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EstaPasta_de_trabalho"/>
  <mc:AlternateContent xmlns:mc="http://schemas.openxmlformats.org/markup-compatibility/2006">
    <mc:Choice Requires="x15">
      <x15ac:absPath xmlns:x15ac="http://schemas.microsoft.com/office/spreadsheetml/2010/11/ac" url="Z:\fc\task\"/>
    </mc:Choice>
  </mc:AlternateContent>
  <xr:revisionPtr revIDLastSave="0" documentId="8_{7FF3DE9C-611D-4627-B550-AEAA5AD4DC33}" xr6:coauthVersionLast="47" xr6:coauthVersionMax="47" xr10:uidLastSave="{00000000-0000-0000-0000-000000000000}"/>
  <workbookProtection workbookAlgorithmName="SHA-512" workbookHashValue="QsGgmmSBBkyZdw8dP7UKNUI9rg5LYyqjHYIpH/EFCqIIFbzdkV3SN6PrOqepepuj4jbvhvL89+Srdktcp/GbLg==" workbookSaltValue="0ytUlkPeZGA2IPsEAE0/Zw==" workbookSpinCount="100000" lockStructure="1"/>
  <bookViews>
    <workbookView xWindow="1170" yWindow="1170" windowWidth="14400" windowHeight="8145" tabRatio="801"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BM!$C$15:$C$47</definedName>
    <definedName name="_xlnm._FilterDatabase" localSheetId="6" hidden="1">CÁLCULO!$C$15:$C$47</definedName>
    <definedName name="_xlnm._FilterDatabase" localSheetId="8" hidden="1">CRONO!$G$13:$G$52</definedName>
    <definedName name="_xlnm._FilterDatabase" localSheetId="7" hidden="1">CRONOPLE!$A$13:$A$79</definedName>
    <definedName name="_xlnm._FilterDatabase" localSheetId="5" hidden="1">EVENTOS!$A$13:$A$72</definedName>
    <definedName name="_xlnm._FilterDatabase" localSheetId="4" hidden="1">ORÇAMENTO!$L$15:$L$47</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BM!$C$15:$C$47</definedName>
    <definedName name="BM.firstrow" hidden="1">BM!$15:$15</definedName>
    <definedName name="BM.FormulaMed" hidden="1">BM!$AO$7</definedName>
    <definedName name="BM.lastrow" hidden="1">BM!$47:$47</definedName>
    <definedName name="BM.LinhaPadrão" hidden="1">BM!$14:$14</definedName>
    <definedName name="BM.MaxMed" hidden="1">IF(RegimeExecucao="Global",1,BM!$G1)</definedName>
    <definedName name="BM.MCAIXA.Filter" hidden="1">BM!$C$15:$Z$47</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CÁLCULO!$C$15:$C$47</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CÁLCULO!$47:$47</definedName>
    <definedName name="CÁLCULO.LinhaPadrão" hidden="1">CÁLCULO!$14:$14</definedName>
    <definedName name="CÁLCULO.margemrow" hidden="1">CÁLCULO!$55:$55</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CÁLCULO!$47:$47</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CÁLCULO!$47:$47</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CÁLCULO!$47:$47</definedName>
    <definedName name="CÁLCULO.nEvento" hidden="1">CÁLCULO!$M$12</definedName>
    <definedName name="CÁLCULO.NúmeroDeEventos" hidden="1">IF(AUTOEVENTO&lt;&gt;"manual",MAX(CÁLCULO!$M$15:$M$47),MAX(OFFSET(EVENTOS!$C$1:$C$65,1,0)))</definedName>
    <definedName name="CÁLCULO.NúmeroDeFrentes" hidden="1">COLUMN(CÁLCULO!$AA$15)-COLUMN(CÁLCULO!$Q$15)</definedName>
    <definedName name="CÁLCULO.Título" hidden="1">CÁLCULO!$F$6</definedName>
    <definedName name="CÁLCULO.TotalAdmLocal" hidden="1">IF(AUTOEVENTO="manual",SUMIF(CÁLCULO!$M$15:$M$47,1,ORÇAMENTO!$X$15:$X$47),0)</definedName>
    <definedName name="CRONO.ColAux" hidden="1">CRONO!$M:$R</definedName>
    <definedName name="CRONO.ColunaPadrão" hidden="1">CRONO!$E:$E</definedName>
    <definedName name="CRONO.Erro" hidden="1">CRONO!$K$10</definedName>
    <definedName name="CRONO.Filtro" hidden="1">CRONO!$G$13:$G$52</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CRONO!$35:$35</definedName>
    <definedName name="CRONO.lastrow2" hidden="1">CRONO!$47:$47</definedName>
    <definedName name="CRONO.LinhaPadrão" hidden="1">CRONO!$1:$3</definedName>
    <definedName name="CRONO.LinhasNecessarias" hidden="1">COUNTIF(QCI!$B$13:$B$24,"Manual")+COUNTIF(QCI!$B$13:$B$24,"SemiAuto")+COUNT(ORÇAMENTO.ListaCrono)</definedName>
    <definedName name="CRONO.Lista.AdmLocal" hidden="1">CRONO!$A$13:$A$35</definedName>
    <definedName name="CRONO.Lista.Níveis" hidden="1">CRONO!$A$9:$A$11</definedName>
    <definedName name="CRONO.margemrow" hidden="1">CRONO!$52:$52</definedName>
    <definedName name="CRONO.MaxParc" hidden="1">CRONO!$H1048576+CRONO!A1</definedName>
    <definedName name="CRONO.NivelExibicao" hidden="1">CRONO!$H$10</definedName>
    <definedName name="CRONO.Parcela1" hidden="1">CRONO!$U$12:$U$13</definedName>
    <definedName name="CRONO.ParcelaFinal" hidden="1">MATCH(100%,CRONO!$U$41:$AG$41,0)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SUMIF(CÁLCULO!$M$15:$M$47,CRONOPLE!$B1,OFFSET(CÁLCULO!$AA$15:$AA$47,0,CRONOPLE!A$12))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BM!$D$50</definedName>
    <definedName name="Import.BMAFAcumulado" hidden="1">OFFSET(BM!$R$15,1,0):OFFSET(BM!$R$47,-1,0)</definedName>
    <definedName name="Import.BMArred" hidden="1">BM!$A$9</definedName>
    <definedName name="Import.CNPJ" hidden="1">DADOS!$C$39</definedName>
    <definedName name="Import.Código" hidden="1">OFFSET(ORÇAMENTO!$Q$15,1,0):OFFSET(ORÇAMENTO!$Q$47,-1,0)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OFFSET(ORÇAMENTO!$U$15,1,0):OFFSET(ORÇAMENTO!$U$47,-1,0)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OFFSET(ORÇAMENTO!$R$15,1,0):OFFSET(ORÇAMENTO!$R$47,-1,0)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OFFSET(ORÇAMENTO!$P$15,1,0):OFFSET(ORÇAMENTO!$P$47,-1,0)</definedName>
    <definedName name="Import.FrenteDeObra" hidden="1">CÁLCULO!$Q$12:OFFSET(CÁLCULO!$AA$12,0,-1)</definedName>
    <definedName name="Import.MacrosserviçoAdmLocal" hidden="1">CRONO!$H$46</definedName>
    <definedName name="Import.Município" hidden="1">DADOS!$C$6</definedName>
    <definedName name="Import.Nível" hidden="1">OFFSET(ORÇAMENTO!$M$15,1,0):OFFSET(ORÇAMENTO!$M$47,-1,0)</definedName>
    <definedName name="Import.Ofício.Dest" hidden="1">OFÍCIO!$B$11</definedName>
    <definedName name="Import.Ofício.GIGOV" hidden="1">OFÍCIO!$C$11</definedName>
    <definedName name="Import.Ofício.Num" hidden="1">OFÍCIO!$C$6</definedName>
    <definedName name="Import.OpcaoBDI" hidden="1">OFFSET(ORÇAMENTO!$V$15,1,0):OFFSET(ORÇAMENTO!$V$47,-1,0)</definedName>
    <definedName name="Import.ORÇAMENTO.DivRecurso" hidden="1">OFFSET(ORÇAMENTO!$Y$15,1,0):OFFSET(ORÇAMENTO!$Y$47,-1,0)</definedName>
    <definedName name="Import.ORÇAMENTO.Obs" hidden="1">ORÇAMENTO!$O$53</definedName>
    <definedName name="Import.PLE" hidden="1">OFFSET(PLE!$G$15,1,1):OFFSET(PLE!$AG$65,-1,-1)</definedName>
    <definedName name="Import.PLE.Datas" hidden="1">PLE!$I$68:$AF$68</definedName>
    <definedName name="Import.PLQ" hidden="1">OFFSET(CÁLCULO!$P$15,1,1):OFFSET(CÁLCULO!$AA$47,-1,-1)</definedName>
    <definedName name="Import.PLQ.MemCalc" hidden="1">OFFSET(CÁLCULO!$I$15,1,0):OFFSET(CÁLCULO!$I$47,-1,0)</definedName>
    <definedName name="Import.PLQ.nAgrupEvent" hidden="1">OFFSET(CÁLCULO!$K$15,1,0):OFFSET(CÁLCULO!$K$47,-1,0)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OFFSET(ORÇAMENTO!$AJ$15,1,0):OFFSET(ORÇAMENTO!$AJ$47,-1,0)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OFFSET(ORÇAMENTO!$S$15,1,0):OFFSET(ORÇAMENTO!$S$47,-1,0)</definedName>
    <definedName name="Import.UnitarioLicitado" hidden="1">OFFSET(ORÇAMENTO!$AL$15,1,0):OFFSET(ORÇAMENTO!$AL$47,-1,0)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ORÇAMENTO!$L$15:$L$47</definedName>
    <definedName name="ORÇAMENTO.firstrow" hidden="1">ORÇAMENTO!$15:$15</definedName>
    <definedName name="ORÇAMENTO.Fonte" hidden="1">ORÇAMENTO!$P1</definedName>
    <definedName name="ORÇAMENTO.lastrow" hidden="1">ORÇAMENTO!$47:$47</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OFFSET(ORÇAMENTO!$AD$15,1,0):OFFSET(ORÇAMENTO!$AD$47,-1,0)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OFFSET(ORÇAMENTO!$P$15,1,0):OFFSET(ORÇAMENTO!$S$47,-1,0)</definedName>
    <definedName name="ORÇAMENTO.PasteFormat2" hidden="1">OFFSET(ORÇAMENTO!$U$15,1,0):OFFSET(ORÇAMENTO!$V$47,-1,0)</definedName>
    <definedName name="ORÇAMENTO.PrecoUnitarioLicitado" hidden="1">ORÇAMENTO!$AL1</definedName>
    <definedName name="ORÇAMENTO.QuantBM" hidden="1">ORÇAMENTO!$AJ1</definedName>
    <definedName name="ORÇAMENTO.RangeQuant" hidden="1">OFFSET(ORÇAMENTO!$T$15,1,0):OFFSET(ORÇAMENTO!$T$47,-1,0)</definedName>
    <definedName name="ORÇAMENTO.SumCPMANUAL" hidden="1">SUMIF(ORÇAMENTO!$Z$15:$Z$47,"CP",ORÇAMENTO!$AA$15:$AA$47)</definedName>
    <definedName name="ORÇAMENTO.SumINVMANUAL" hidden="1">SUMIF(ORÇAMENTO!$Z$15:$Z$47,"RP",ORÇAMENTO!$X$15:$X$47)+SUMIF(ORÇAMENTO!$Z$15:$Z$47,"CP",ORÇAMENTO!$X$15:$X$47)+SUMIF(ORÇAMENTO!$Z$15:$Z$47,"OU",ORÇAMENTO!$X$15:$X$47)</definedName>
    <definedName name="ORÇAMENTO.SumOUTROSMANUAL" hidden="1">SUMIF(ORÇAMENTO!$Z$15:$Z$47,"OU",ORÇAMENTO!$AB$15:$AB$47)</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SUMIF(CÁLCULO!$M$15:$M$47,PLE!$B1,OFFSET(CÁLCULO!$AA$15:$AA$47,0,PLE!A$12))</definedName>
    <definedName name="PO.ValoresBDI" hidden="1">OFFSET(ORÇAMENTO!$AH$15,1,0):OFFSET(ORÇAMENTO!$AH$47,-1,0)</definedName>
    <definedName name="_xlnm.Print_Area" localSheetId="3">BDI!$J$1:$S$132</definedName>
    <definedName name="_xlnm.Print_Area" localSheetId="11">BM!$D$1:$O$62</definedName>
    <definedName name="_xlnm.Print_Area" localSheetId="6">CÁLCULO!$E$6:$I$55</definedName>
    <definedName name="_xlnm.Print_Area" localSheetId="8">CRONO!$I$1:$AG$52</definedName>
    <definedName name="_xlnm.Print_Area" localSheetId="5">EVENTOS!$C$2:$Z$72</definedName>
    <definedName name="_xlnm.Print_Area" localSheetId="1">MENU!$A$1:$I$25</definedName>
    <definedName name="_xlnm.Print_Area" localSheetId="13">OFÍCIO!$A$1:$G$56</definedName>
    <definedName name="_xlnm.Print_Area" localSheetId="4">ORÇAMENTO!$O$1:$Y$64</definedName>
    <definedName name="_xlnm.Print_Area" localSheetId="10">PLE!$B$3:$AG$82</definedName>
    <definedName name="_xlnm.Print_Area" localSheetId="9">QCI!$D$1:$O$37</definedName>
    <definedName name="_xlnm.Print_Area" localSheetId="12">RRE!$E$1:$P$49</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26" i="5" l="1"/>
  <c r="AJ37" i="5"/>
  <c r="AJ36" i="5"/>
  <c r="A46" i="5"/>
  <c r="AJ38" i="5"/>
  <c r="A45" i="5"/>
  <c r="A44" i="5"/>
  <c r="A43" i="5"/>
  <c r="A42" i="5"/>
  <c r="A41" i="5"/>
  <c r="A40" i="5"/>
  <c r="A39" i="5"/>
  <c r="A38" i="5"/>
  <c r="A37" i="5"/>
  <c r="A36" i="5"/>
  <c r="AJ30" i="5" l="1"/>
  <c r="AJ31" i="5" s="1"/>
  <c r="AJ28" i="5"/>
  <c r="AJ27" i="5"/>
  <c r="A24" i="5"/>
  <c r="A23" i="5"/>
  <c r="A19" i="5"/>
  <c r="AJ18" i="5"/>
  <c r="A22" i="5"/>
  <c r="C192" i="3" l="1"/>
  <c r="H23" i="13"/>
  <c r="G23" i="13"/>
  <c r="H22" i="13"/>
  <c r="G22" i="13"/>
  <c r="H21" i="13"/>
  <c r="G21" i="13"/>
  <c r="H20" i="13"/>
  <c r="G20" i="13"/>
  <c r="E20" i="13"/>
  <c r="H19" i="13"/>
  <c r="G19" i="13"/>
  <c r="H18" i="13"/>
  <c r="G18" i="13"/>
  <c r="E18" i="13"/>
  <c r="H17" i="13"/>
  <c r="G17" i="13"/>
  <c r="H16" i="13"/>
  <c r="G16" i="13"/>
  <c r="H15" i="13"/>
  <c r="G15" i="13"/>
  <c r="H14" i="13"/>
  <c r="G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E14" i="13" s="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35" i="5"/>
  <c r="A34" i="5"/>
  <c r="A33" i="5"/>
  <c r="A32" i="5"/>
  <c r="A31" i="5"/>
  <c r="A30" i="5"/>
  <c r="A29" i="5"/>
  <c r="A28" i="5"/>
  <c r="A27" i="5"/>
  <c r="A26" i="5"/>
  <c r="A25" i="5"/>
  <c r="A21" i="5"/>
  <c r="A20" i="5"/>
  <c r="A18" i="5"/>
  <c r="A17" i="5"/>
  <c r="C16" i="5"/>
  <c r="F16" i="5" s="1"/>
  <c r="A16" i="5"/>
  <c r="R101" i="4"/>
  <c r="J105" i="4"/>
  <c r="J102" i="4"/>
  <c r="J101" i="4"/>
  <c r="J65" i="4"/>
  <c r="J62" i="4"/>
  <c r="J61" i="4"/>
  <c r="C188" i="3"/>
  <c r="A23" i="11" l="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L19" i="6" s="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47" i="5" a="1"/>
  <c r="AC47" i="5" s="1"/>
  <c r="A18" i="12" l="1"/>
  <c r="J18" i="5"/>
  <c r="D18" i="5"/>
  <c r="B18" i="12" s="1"/>
  <c r="H18" i="5"/>
  <c r="G18" i="5"/>
  <c r="F18" i="5"/>
  <c r="B18" i="5"/>
  <c r="AE18" i="5" a="1"/>
  <c r="AE18" i="5" s="1"/>
  <c r="AD18" i="5"/>
  <c r="N18" i="5"/>
  <c r="D18" i="6" s="1"/>
  <c r="K18" i="5"/>
  <c r="B26" i="8"/>
  <c r="D17" i="6"/>
  <c r="F17" i="6"/>
  <c r="B14" i="11"/>
  <c r="A14" i="13"/>
  <c r="E17" i="5"/>
  <c r="L20" i="6"/>
  <c r="B18" i="6"/>
  <c r="L14" i="6"/>
  <c r="AE7" i="10" a="1"/>
  <c r="AE7" i="10" s="1"/>
  <c r="AE6" i="10" a="1"/>
  <c r="AE6" i="10" s="1"/>
  <c r="V7" i="10" a="1"/>
  <c r="V7" i="10" s="1"/>
  <c r="V6" i="10" a="1"/>
  <c r="V6" i="10" s="1"/>
  <c r="D54" i="12" a="1"/>
  <c r="D54"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O8" i="5" a="1"/>
  <c r="F11" i="5" a="1"/>
  <c r="C19" i="5" l="1"/>
  <c r="C14" i="13"/>
  <c r="K14" i="11" a="1"/>
  <c r="K14" i="11" s="1"/>
  <c r="J14" i="13" s="1"/>
  <c r="G14" i="11"/>
  <c r="F14" i="13" s="1"/>
  <c r="E18" i="5"/>
  <c r="L21" i="6"/>
  <c r="L22" i="6" s="1"/>
  <c r="L23" i="6" s="1"/>
  <c r="G17" i="6"/>
  <c r="M17" i="6"/>
  <c r="H17" i="6" a="1"/>
  <c r="H17" i="6" s="1"/>
  <c r="T17" i="5" s="1"/>
  <c r="N17" i="6"/>
  <c r="B29" i="8"/>
  <c r="AF17" i="5" a="1"/>
  <c r="AF17" i="5" s="1"/>
  <c r="AF16" i="5" a="1"/>
  <c r="AF16" i="5" s="1"/>
  <c r="B14" i="6"/>
  <c r="O8" i="5"/>
  <c r="F11" i="5"/>
  <c r="L24" i="6" l="1"/>
  <c r="L25" i="6" s="1"/>
  <c r="B19" i="6"/>
  <c r="A19" i="12"/>
  <c r="N19" i="5"/>
  <c r="D19" i="6" s="1"/>
  <c r="H19" i="6" s="1" a="1"/>
  <c r="H19" i="6" s="1"/>
  <c r="T19" i="5" s="1"/>
  <c r="G19" i="12" s="1" a="1"/>
  <c r="G19" i="12" s="1"/>
  <c r="AE19" i="5" a="1"/>
  <c r="AE19" i="5" s="1"/>
  <c r="AD19" i="5"/>
  <c r="C20" i="5"/>
  <c r="H19" i="5"/>
  <c r="G19" i="5"/>
  <c r="F19" i="5"/>
  <c r="B19" i="5"/>
  <c r="AF19" i="5" a="1"/>
  <c r="AF19" i="5" s="1"/>
  <c r="E19" i="5"/>
  <c r="G17" i="12" a="1"/>
  <c r="G17" i="12" s="1"/>
  <c r="AG16" i="5" a="1"/>
  <c r="AG16" i="5" s="1"/>
  <c r="S16" i="5" a="1"/>
  <c r="S16" i="5" s="1"/>
  <c r="AG17" i="5" a="1"/>
  <c r="AG17" i="5" s="1"/>
  <c r="S17" i="5" a="1"/>
  <c r="S17" i="5" s="1"/>
  <c r="F17" i="12" s="1" a="1"/>
  <c r="F17" i="12" s="1"/>
  <c r="B32" i="8"/>
  <c r="F14" i="6"/>
  <c r="D14" i="6"/>
  <c r="C171" i="3"/>
  <c r="C170" i="3"/>
  <c r="C169" i="3"/>
  <c r="C166" i="3"/>
  <c r="C160" i="3"/>
  <c r="C159" i="3"/>
  <c r="E20" i="5" l="1"/>
  <c r="G19" i="6"/>
  <c r="AG19" i="5" a="1"/>
  <c r="AG19" i="5" s="1"/>
  <c r="S19" i="5" a="1"/>
  <c r="S19" i="5" s="1"/>
  <c r="F19" i="12" s="1" a="1"/>
  <c r="F19" i="12" s="1"/>
  <c r="F20" i="5"/>
  <c r="A20" i="12"/>
  <c r="N20" i="5"/>
  <c r="D20" i="6" s="1"/>
  <c r="C21" i="5"/>
  <c r="B20" i="5"/>
  <c r="AD20" i="5"/>
  <c r="B20" i="6"/>
  <c r="AE20" i="5" a="1"/>
  <c r="AE20" i="5" s="1"/>
  <c r="H20" i="5"/>
  <c r="G20" i="5"/>
  <c r="F16" i="12" a="1"/>
  <c r="F16" i="12" s="1"/>
  <c r="L26" i="6"/>
  <c r="G14" i="6"/>
  <c r="H14" i="6" a="1"/>
  <c r="H14" i="6" s="1"/>
  <c r="X9" i="5"/>
  <c r="W9" i="5"/>
  <c r="V9" i="5"/>
  <c r="U9" i="5"/>
  <c r="T9" i="5"/>
  <c r="C22" i="5" l="1"/>
  <c r="C23" i="5" s="1"/>
  <c r="A21" i="12"/>
  <c r="K21" i="5"/>
  <c r="AE21" i="5" a="1"/>
  <c r="AE21" i="5" s="1"/>
  <c r="H21" i="5"/>
  <c r="AD21" i="5"/>
  <c r="G21" i="5"/>
  <c r="F21" i="5"/>
  <c r="D21" i="5"/>
  <c r="B21" i="12" s="1"/>
  <c r="B21" i="5"/>
  <c r="J21" i="5"/>
  <c r="B21" i="6"/>
  <c r="N21" i="5"/>
  <c r="D21" i="6" s="1"/>
  <c r="E21" i="5"/>
  <c r="F19" i="6"/>
  <c r="E19" i="12"/>
  <c r="L27" i="6"/>
  <c r="C177" i="3"/>
  <c r="C175" i="3"/>
  <c r="AE23" i="5" l="1" a="1"/>
  <c r="AE23" i="5" s="1"/>
  <c r="A23" i="12"/>
  <c r="AD23" i="5"/>
  <c r="N23" i="5"/>
  <c r="C24" i="5"/>
  <c r="D23" i="5"/>
  <c r="B23" i="12" s="1"/>
  <c r="K23" i="5"/>
  <c r="J23" i="5"/>
  <c r="B23" i="6"/>
  <c r="AE22" i="5" a="1"/>
  <c r="AE22" i="5" s="1"/>
  <c r="AD22" i="5"/>
  <c r="D22" i="5"/>
  <c r="B22" i="12" s="1"/>
  <c r="N22" i="5"/>
  <c r="D22" i="6" s="1"/>
  <c r="A22" i="12"/>
  <c r="K22" i="5"/>
  <c r="J22" i="5"/>
  <c r="B22" i="6"/>
  <c r="B22" i="5"/>
  <c r="E22" i="5"/>
  <c r="E23" i="5" s="1"/>
  <c r="F22" i="5"/>
  <c r="F23" i="5" s="1"/>
  <c r="G22" i="5"/>
  <c r="G23" i="5" s="1"/>
  <c r="H22" i="5"/>
  <c r="H23" i="5" s="1"/>
  <c r="E25" i="12"/>
  <c r="F25" i="6"/>
  <c r="C157" i="3"/>
  <c r="C173" i="3"/>
  <c r="C167" i="3"/>
  <c r="C164" i="3"/>
  <c r="C163" i="3"/>
  <c r="C161" i="3"/>
  <c r="A24" i="12" l="1"/>
  <c r="G24" i="5"/>
  <c r="F24" i="5"/>
  <c r="E24" i="5"/>
  <c r="D24" i="5"/>
  <c r="B24" i="12" s="1"/>
  <c r="N24" i="5"/>
  <c r="AE24" i="5" a="1"/>
  <c r="AE24" i="5" s="1"/>
  <c r="K24" i="5"/>
  <c r="AD24" i="5"/>
  <c r="J24" i="5"/>
  <c r="H24" i="5"/>
  <c r="B24" i="6"/>
  <c r="B23" i="5"/>
  <c r="B24" i="5" s="1"/>
  <c r="C25" i="5" s="1"/>
  <c r="D23" i="6"/>
  <c r="L28" i="6"/>
  <c r="C153" i="3"/>
  <c r="C151" i="3"/>
  <c r="H25" i="5" l="1"/>
  <c r="AF25" i="5" a="1"/>
  <c r="AF25" i="5" s="1"/>
  <c r="AG25" i="5" s="1" a="1"/>
  <c r="AG25" i="5" s="1"/>
  <c r="N25" i="5"/>
  <c r="D25" i="6" s="1"/>
  <c r="G25" i="6" s="1"/>
  <c r="AE25" i="5" a="1"/>
  <c r="AE25" i="5" s="1"/>
  <c r="A25" i="12"/>
  <c r="F25" i="5"/>
  <c r="B25" i="5"/>
  <c r="AD25" i="5"/>
  <c r="G25" i="5"/>
  <c r="E25" i="5"/>
  <c r="C26" i="5"/>
  <c r="AD26" i="5" s="1"/>
  <c r="B25" i="6"/>
  <c r="D24" i="6"/>
  <c r="H23" i="6" a="1"/>
  <c r="H23" i="6" s="1"/>
  <c r="T23" i="5" s="1"/>
  <c r="K20" i="5"/>
  <c r="L29" i="6"/>
  <c r="A12" i="6"/>
  <c r="E26" i="5" l="1"/>
  <c r="AE26" i="5" a="1"/>
  <c r="AE26" i="5" s="1"/>
  <c r="C27" i="5"/>
  <c r="J27" i="5" s="1"/>
  <c r="S25" i="5" a="1"/>
  <c r="S25" i="5" s="1"/>
  <c r="F25" i="12" s="1" a="1"/>
  <c r="F25" i="12" s="1"/>
  <c r="H24" i="6" a="1"/>
  <c r="H24" i="6" s="1"/>
  <c r="T24" i="5" s="1"/>
  <c r="F26" i="5"/>
  <c r="H26" i="5"/>
  <c r="G23" i="12" a="1"/>
  <c r="G23" i="12" s="1"/>
  <c r="A26" i="12"/>
  <c r="B26" i="5"/>
  <c r="N26" i="5"/>
  <c r="D26" i="6" s="1"/>
  <c r="G26" i="5"/>
  <c r="B26" i="6"/>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7" i="6"/>
  <c r="A18" i="6" s="1"/>
  <c r="A19" i="6" s="1"/>
  <c r="L30" i="6"/>
  <c r="A14" i="6"/>
  <c r="A11" i="6"/>
  <c r="C147" i="3"/>
  <c r="C149" i="3"/>
  <c r="C145" i="3"/>
  <c r="C143" i="3"/>
  <c r="C141" i="3"/>
  <c r="U11" i="4"/>
  <c r="U10" i="4"/>
  <c r="Y26" i="4"/>
  <c r="Z26" i="4" s="1"/>
  <c r="Y106" i="4"/>
  <c r="Z106" i="4" s="1"/>
  <c r="Y66" i="4"/>
  <c r="Z66" i="4" s="1"/>
  <c r="R64" i="4"/>
  <c r="R63" i="4"/>
  <c r="R23" i="4"/>
  <c r="R24" i="4"/>
  <c r="C133" i="3"/>
  <c r="K27" i="5" l="1"/>
  <c r="G27" i="5"/>
  <c r="A27" i="12"/>
  <c r="AD27" i="5"/>
  <c r="F27" i="5"/>
  <c r="C28" i="5"/>
  <c r="AE28" i="5" s="1" a="1"/>
  <c r="AE28" i="5" s="1"/>
  <c r="AE27" i="5" a="1"/>
  <c r="AE27" i="5" s="1"/>
  <c r="E27" i="5"/>
  <c r="B27" i="5"/>
  <c r="H27" i="5"/>
  <c r="N27" i="5"/>
  <c r="D27" i="6" s="1"/>
  <c r="B27" i="6"/>
  <c r="D27" i="5"/>
  <c r="B27" i="12" s="1"/>
  <c r="G24" i="12" a="1"/>
  <c r="G24" i="12" s="1"/>
  <c r="N19" i="6"/>
  <c r="N18" i="6"/>
  <c r="A20" i="6"/>
  <c r="L31" i="6"/>
  <c r="X26" i="4"/>
  <c r="X106" i="4"/>
  <c r="X66" i="4"/>
  <c r="C137" i="3"/>
  <c r="C135" i="3"/>
  <c r="C132" i="3"/>
  <c r="N28" i="5" l="1"/>
  <c r="D28" i="6" s="1"/>
  <c r="F28" i="5"/>
  <c r="J28" i="5"/>
  <c r="C29" i="5"/>
  <c r="K29" i="5" s="1"/>
  <c r="K28" i="5"/>
  <c r="B28" i="6"/>
  <c r="H28" i="5"/>
  <c r="G28" i="5"/>
  <c r="AD28" i="5"/>
  <c r="A28" i="12"/>
  <c r="D28" i="5"/>
  <c r="B28" i="12" s="1"/>
  <c r="B28" i="5"/>
  <c r="E28" i="5"/>
  <c r="N20" i="6"/>
  <c r="A21" i="6"/>
  <c r="A22" i="6" s="1"/>
  <c r="A23" i="6" s="1"/>
  <c r="L32"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AE29" i="5" l="1" a="1"/>
  <c r="AE29" i="5" s="1"/>
  <c r="E29" i="5"/>
  <c r="G29" i="5"/>
  <c r="F29" i="5"/>
  <c r="B29" i="5"/>
  <c r="C30" i="5"/>
  <c r="J30" i="5" s="1"/>
  <c r="AD29" i="5"/>
  <c r="J29" i="5"/>
  <c r="H29" i="5"/>
  <c r="B29" i="6"/>
  <c r="N29" i="5"/>
  <c r="D29" i="6" s="1"/>
  <c r="D29" i="5"/>
  <c r="B29" i="12" s="1"/>
  <c r="A29" i="12"/>
  <c r="N23" i="6"/>
  <c r="A24" i="6"/>
  <c r="L33" i="6"/>
  <c r="A25" i="6"/>
  <c r="J4" i="15"/>
  <c r="H22" i="6" s="1" a="1"/>
  <c r="H22" i="6" s="1"/>
  <c r="T22" i="5" s="1"/>
  <c r="G22" i="12" s="1" a="1"/>
  <c r="G22" i="12" s="1"/>
  <c r="AB13" i="12" a="1"/>
  <c r="AB13" i="12" s="1"/>
  <c r="I69" i="10"/>
  <c r="D30" i="5" l="1"/>
  <c r="B30" i="12" s="1"/>
  <c r="B30" i="6"/>
  <c r="C31" i="5"/>
  <c r="AE31" i="5" s="1" a="1"/>
  <c r="AE31" i="5" s="1"/>
  <c r="K30" i="5"/>
  <c r="F30" i="5"/>
  <c r="E30" i="5"/>
  <c r="B30" i="5"/>
  <c r="H30" i="5"/>
  <c r="G30" i="5"/>
  <c r="AD30" i="5"/>
  <c r="AE30" i="5" a="1"/>
  <c r="AE30" i="5" s="1"/>
  <c r="A30" i="12"/>
  <c r="N30" i="5"/>
  <c r="D30" i="6" s="1"/>
  <c r="N24" i="6"/>
  <c r="A26" i="6"/>
  <c r="N25" i="6"/>
  <c r="P7" i="13"/>
  <c r="K14" i="13" a="1"/>
  <c r="K14" i="13" s="1"/>
  <c r="L34" i="6"/>
  <c r="G22" i="15" a="1"/>
  <c r="G22" i="15" s="1"/>
  <c r="C22" i="15" a="1"/>
  <c r="C22" i="15" s="1"/>
  <c r="F10" i="12" a="1"/>
  <c r="F10" i="12" s="1"/>
  <c r="F8" i="7"/>
  <c r="M8" i="12" a="1"/>
  <c r="M8" i="12" s="1"/>
  <c r="H47" i="8" a="1"/>
  <c r="H47" i="8" s="1"/>
  <c r="H45" i="8" a="1"/>
  <c r="H45" i="8" s="1"/>
  <c r="F7" i="6" a="1"/>
  <c r="F7" i="6" s="1"/>
  <c r="F6" i="6" a="1"/>
  <c r="F6" i="6" s="1"/>
  <c r="Q1" i="6" a="1"/>
  <c r="Q1" i="6" s="1"/>
  <c r="O1" i="6" a="1"/>
  <c r="O1" i="6" s="1"/>
  <c r="C11" i="7" a="1"/>
  <c r="C11" i="7" s="1"/>
  <c r="C122" i="3"/>
  <c r="C120" i="3"/>
  <c r="D31" i="5" l="1"/>
  <c r="B31" i="12" s="1"/>
  <c r="B31" i="6"/>
  <c r="A31" i="12"/>
  <c r="AD31" i="5"/>
  <c r="H31" i="5"/>
  <c r="K31" i="5"/>
  <c r="N31" i="5"/>
  <c r="D31" i="6" s="1"/>
  <c r="C32" i="5"/>
  <c r="B32" i="6" s="1"/>
  <c r="G31" i="5"/>
  <c r="E31" i="5"/>
  <c r="B31" i="5"/>
  <c r="J31" i="5"/>
  <c r="F31" i="5"/>
  <c r="L35" i="6"/>
  <c r="L36" i="6" s="1"/>
  <c r="A27" i="6"/>
  <c r="N26" i="6"/>
  <c r="C14" i="14" a="1"/>
  <c r="C14" i="14" s="1"/>
  <c r="B39" i="14" a="1"/>
  <c r="B39" i="14" s="1"/>
  <c r="B37" i="14" a="1"/>
  <c r="B37" i="14" s="1"/>
  <c r="E28" i="14" a="1"/>
  <c r="E28" i="14" s="1"/>
  <c r="R1" i="6" a="1"/>
  <c r="R1" i="6" s="1"/>
  <c r="S67" i="4"/>
  <c r="U67" i="4" s="1"/>
  <c r="S107" i="4"/>
  <c r="U107" i="4" s="1"/>
  <c r="S27" i="4"/>
  <c r="U27" i="4" s="1"/>
  <c r="C124" i="3"/>
  <c r="L37" i="6" l="1"/>
  <c r="D32" i="5"/>
  <c r="B32" i="12" s="1"/>
  <c r="A32" i="12"/>
  <c r="H32" i="5"/>
  <c r="AE32" i="5" a="1"/>
  <c r="AE32" i="5" s="1"/>
  <c r="G32" i="5"/>
  <c r="C33" i="5"/>
  <c r="K33" i="5" s="1"/>
  <c r="E32" i="5"/>
  <c r="F32" i="5"/>
  <c r="AD32" i="5"/>
  <c r="J32" i="5"/>
  <c r="K32" i="5"/>
  <c r="N32" i="5"/>
  <c r="D32" i="6" s="1"/>
  <c r="B32" i="5"/>
  <c r="N27" i="6"/>
  <c r="S1" i="6" a="1"/>
  <c r="S1" i="6" s="1"/>
  <c r="H67" i="9"/>
  <c r="L38" i="6" l="1"/>
  <c r="D33" i="5"/>
  <c r="B33" i="12" s="1"/>
  <c r="E33" i="5"/>
  <c r="F33" i="5"/>
  <c r="G33" i="5"/>
  <c r="AD33" i="5"/>
  <c r="H33" i="5"/>
  <c r="AE33" i="5" a="1"/>
  <c r="AE33" i="5" s="1"/>
  <c r="C34" i="5"/>
  <c r="K34" i="5" s="1"/>
  <c r="B33" i="6"/>
  <c r="J33" i="5"/>
  <c r="A33" i="12"/>
  <c r="B33" i="5"/>
  <c r="N33" i="5"/>
  <c r="D33" i="6" s="1"/>
  <c r="A28" i="6"/>
  <c r="T1" i="6" a="1"/>
  <c r="T1" i="6" s="1"/>
  <c r="C94" i="3"/>
  <c r="C92" i="3"/>
  <c r="L39" i="6" l="1"/>
  <c r="B34" i="5"/>
  <c r="C35" i="5" s="1"/>
  <c r="C36" i="5" s="1"/>
  <c r="AE34" i="5" a="1"/>
  <c r="AE34" i="5" s="1"/>
  <c r="A34" i="12"/>
  <c r="D34" i="5"/>
  <c r="B34" i="12" s="1"/>
  <c r="E34" i="5"/>
  <c r="B34" i="6"/>
  <c r="H34" i="5"/>
  <c r="J34" i="5"/>
  <c r="N34" i="5"/>
  <c r="D34" i="6" s="1"/>
  <c r="G34" i="5"/>
  <c r="F34" i="5"/>
  <c r="AD34" i="5"/>
  <c r="N28" i="6"/>
  <c r="A29" i="6"/>
  <c r="U1" i="6" a="1"/>
  <c r="U1" i="6" s="1"/>
  <c r="C98" i="3"/>
  <c r="N36" i="5" l="1"/>
  <c r="A36" i="12"/>
  <c r="AD36" i="5"/>
  <c r="J36" i="5"/>
  <c r="K36" i="5"/>
  <c r="AE36" i="5" a="1"/>
  <c r="AE36" i="5" s="1"/>
  <c r="C37" i="5"/>
  <c r="D36" i="5"/>
  <c r="B36" i="12" s="1"/>
  <c r="B36" i="6"/>
  <c r="L40" i="6"/>
  <c r="H35" i="5"/>
  <c r="H36" i="5" s="1"/>
  <c r="AE35" i="5" a="1"/>
  <c r="AE35" i="5" s="1"/>
  <c r="G35" i="5"/>
  <c r="G36" i="5" s="1"/>
  <c r="N35" i="5"/>
  <c r="D35" i="6" s="1"/>
  <c r="E35" i="5"/>
  <c r="E36" i="5" s="1"/>
  <c r="A35" i="12"/>
  <c r="B35" i="6"/>
  <c r="B35" i="5"/>
  <c r="B36" i="5" s="1"/>
  <c r="AD35" i="5"/>
  <c r="F35" i="5"/>
  <c r="J20" i="5" s="1"/>
  <c r="D20" i="5" s="1"/>
  <c r="B20" i="12" s="1"/>
  <c r="K19" i="5"/>
  <c r="N29" i="6"/>
  <c r="A30" i="6"/>
  <c r="V1" i="6" a="1"/>
  <c r="V1" i="6" s="1"/>
  <c r="C5" i="14"/>
  <c r="E37" i="5" l="1"/>
  <c r="D37" i="5"/>
  <c r="B37" i="12" s="1"/>
  <c r="C38" i="5"/>
  <c r="N37" i="5"/>
  <c r="AE37" i="5" a="1"/>
  <c r="AE37" i="5" s="1"/>
  <c r="K37" i="5"/>
  <c r="J37" i="5"/>
  <c r="H37" i="5"/>
  <c r="G37" i="5"/>
  <c r="B37" i="5"/>
  <c r="AD37" i="5"/>
  <c r="A37" i="12"/>
  <c r="B37" i="6"/>
  <c r="L41" i="6"/>
  <c r="F36" i="5"/>
  <c r="F37" i="5" s="1"/>
  <c r="D36" i="6"/>
  <c r="N30" i="6"/>
  <c r="A31" i="6"/>
  <c r="W1" i="6" a="1"/>
  <c r="W1" i="6" s="1"/>
  <c r="S12" i="11"/>
  <c r="L42" i="6" l="1"/>
  <c r="D37" i="6"/>
  <c r="H36" i="6" a="1"/>
  <c r="H36" i="6" s="1"/>
  <c r="T36" i="5" s="1"/>
  <c r="C39" i="5"/>
  <c r="K38" i="5"/>
  <c r="E38" i="5"/>
  <c r="G38" i="5"/>
  <c r="F38" i="5"/>
  <c r="A38" i="12"/>
  <c r="D38" i="5"/>
  <c r="B38" i="12" s="1"/>
  <c r="AD38" i="5"/>
  <c r="B38" i="5"/>
  <c r="AE38" i="5" a="1"/>
  <c r="AE38" i="5" s="1"/>
  <c r="N38" i="5"/>
  <c r="J38" i="5"/>
  <c r="H38" i="5"/>
  <c r="B38" i="6"/>
  <c r="N31" i="6"/>
  <c r="A32" i="6"/>
  <c r="X1" i="6" a="1"/>
  <c r="X1" i="6" s="1"/>
  <c r="C1" i="7" a="1"/>
  <c r="C1" i="7" s="1"/>
  <c r="H37" i="6" l="1" a="1"/>
  <c r="H37" i="6" s="1"/>
  <c r="T37" i="5" s="1"/>
  <c r="G36" i="12" a="1"/>
  <c r="G36" i="12" s="1"/>
  <c r="L43" i="6"/>
  <c r="D38" i="6"/>
  <c r="B39" i="5"/>
  <c r="C40" i="5"/>
  <c r="G39" i="5"/>
  <c r="F39" i="5"/>
  <c r="AD39" i="5"/>
  <c r="E39" i="5"/>
  <c r="N39" i="5"/>
  <c r="K39" i="5"/>
  <c r="A39" i="12"/>
  <c r="J39" i="5"/>
  <c r="D39" i="5"/>
  <c r="B39" i="12" s="1"/>
  <c r="AE39" i="5" a="1"/>
  <c r="AE39" i="5" s="1"/>
  <c r="H39" i="5"/>
  <c r="B39" i="6"/>
  <c r="N32" i="6"/>
  <c r="A33"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H38" i="6" l="1" a="1"/>
  <c r="H38" i="6" s="1"/>
  <c r="T38" i="5" s="1"/>
  <c r="J40" i="5"/>
  <c r="C41" i="5"/>
  <c r="E40" i="5"/>
  <c r="D40" i="5"/>
  <c r="B40" i="12" s="1"/>
  <c r="AE40" i="5" a="1"/>
  <c r="AE40" i="5" s="1"/>
  <c r="H40" i="5"/>
  <c r="K40" i="5"/>
  <c r="AD40" i="5"/>
  <c r="N40" i="5"/>
  <c r="A40" i="12"/>
  <c r="F40" i="5"/>
  <c r="B40" i="5"/>
  <c r="G40" i="5"/>
  <c r="B40" i="6"/>
  <c r="G37" i="12" a="1"/>
  <c r="G37" i="12" s="1"/>
  <c r="D39" i="6"/>
  <c r="L44" i="6"/>
  <c r="N33" i="6"/>
  <c r="A34" i="6"/>
  <c r="Z1" i="6" a="1"/>
  <c r="Z1" i="6" s="1"/>
  <c r="D27" i="2"/>
  <c r="D15" i="2"/>
  <c r="D35" i="2"/>
  <c r="D3" i="2"/>
  <c r="H39" i="6" l="1" a="1"/>
  <c r="H39" i="6" s="1"/>
  <c r="T39" i="5" s="1"/>
  <c r="AE41" i="5" a="1"/>
  <c r="AE41" i="5" s="1"/>
  <c r="J41" i="5"/>
  <c r="B41" i="5"/>
  <c r="C42" i="5" s="1"/>
  <c r="N41" i="5"/>
  <c r="A41" i="12"/>
  <c r="G41" i="5"/>
  <c r="F41" i="5"/>
  <c r="D41" i="5"/>
  <c r="B41" i="12" s="1"/>
  <c r="K41" i="5"/>
  <c r="H41" i="5"/>
  <c r="E41" i="5"/>
  <c r="AD41" i="5"/>
  <c r="B41" i="6"/>
  <c r="L45" i="6"/>
  <c r="L46" i="6" s="1"/>
  <c r="D40" i="6"/>
  <c r="G38" i="12" a="1"/>
  <c r="G38" i="12" s="1"/>
  <c r="N34" i="6"/>
  <c r="A35" i="6"/>
  <c r="A36" i="6" s="1"/>
  <c r="H10" i="7"/>
  <c r="G39" i="12" l="1" a="1"/>
  <c r="G39" i="12" s="1"/>
  <c r="H40" i="6" a="1"/>
  <c r="H40" i="6" s="1"/>
  <c r="T40" i="5" s="1"/>
  <c r="A37" i="6"/>
  <c r="H42" i="5"/>
  <c r="A42" i="12"/>
  <c r="G42" i="5"/>
  <c r="AE42" i="5" a="1"/>
  <c r="AE42" i="5" s="1"/>
  <c r="AD42" i="5"/>
  <c r="F42" i="5"/>
  <c r="C43" i="5"/>
  <c r="N42" i="5"/>
  <c r="B42" i="5"/>
  <c r="E42" i="5"/>
  <c r="AF42" i="5" a="1"/>
  <c r="AF42" i="5" s="1"/>
  <c r="B42" i="6"/>
  <c r="D41" i="6"/>
  <c r="N35" i="6"/>
  <c r="AG47" i="8"/>
  <c r="A38" i="6" l="1"/>
  <c r="D42" i="6"/>
  <c r="S42" i="5" a="1"/>
  <c r="S42" i="5" s="1"/>
  <c r="F42" i="12" s="1" a="1"/>
  <c r="F42" i="12" s="1"/>
  <c r="AG42" i="5" a="1"/>
  <c r="AG42" i="5" s="1"/>
  <c r="U42" i="5" s="1"/>
  <c r="H41" i="6" a="1"/>
  <c r="H41" i="6" s="1"/>
  <c r="T41" i="5" s="1"/>
  <c r="A43" i="12"/>
  <c r="AD43" i="5"/>
  <c r="H43" i="5"/>
  <c r="D43" i="5"/>
  <c r="B43" i="12" s="1"/>
  <c r="C44" i="5"/>
  <c r="K43" i="5"/>
  <c r="AE43" i="5" a="1"/>
  <c r="AE43" i="5" s="1"/>
  <c r="B43" i="5"/>
  <c r="G43" i="5"/>
  <c r="F43" i="5"/>
  <c r="E43" i="5"/>
  <c r="N43" i="5"/>
  <c r="J43" i="5"/>
  <c r="B43" i="6"/>
  <c r="G40" i="12" a="1"/>
  <c r="G40" i="12" s="1"/>
  <c r="C103" i="3"/>
  <c r="C100" i="3"/>
  <c r="C96" i="3"/>
  <c r="E42" i="12" l="1"/>
  <c r="F42" i="6"/>
  <c r="G41" i="12" a="1"/>
  <c r="G41" i="12" s="1"/>
  <c r="F44" i="5"/>
  <c r="E44" i="5"/>
  <c r="AD44" i="5"/>
  <c r="K44" i="5"/>
  <c r="J44" i="5"/>
  <c r="B44" i="5"/>
  <c r="C45" i="5" s="1"/>
  <c r="C46" i="5" s="1"/>
  <c r="A44" i="12"/>
  <c r="D44" i="5"/>
  <c r="B44" i="12" s="1"/>
  <c r="AE44" i="5" a="1"/>
  <c r="AE44" i="5" s="1"/>
  <c r="N44" i="5"/>
  <c r="H44" i="5"/>
  <c r="G44" i="5"/>
  <c r="B44" i="6"/>
  <c r="H42" i="6" a="1"/>
  <c r="H42" i="6" s="1"/>
  <c r="T42" i="5" s="1"/>
  <c r="G42" i="6"/>
  <c r="D43" i="6"/>
  <c r="A39" i="6"/>
  <c r="C93" i="3"/>
  <c r="A46" i="12" l="1"/>
  <c r="AE46" i="5" a="1"/>
  <c r="AE46" i="5" s="1"/>
  <c r="AD46" i="5"/>
  <c r="N46" i="5"/>
  <c r="K46" i="5"/>
  <c r="J46" i="5"/>
  <c r="D46" i="5"/>
  <c r="B46" i="12" s="1"/>
  <c r="B46" i="6"/>
  <c r="A40" i="6"/>
  <c r="G42" i="12" a="1"/>
  <c r="G42" i="12" s="1"/>
  <c r="D44" i="6"/>
  <c r="A45" i="12"/>
  <c r="N45" i="5"/>
  <c r="F45" i="5"/>
  <c r="G45" i="5"/>
  <c r="G46" i="5" s="1"/>
  <c r="AE45" i="5" a="1"/>
  <c r="AE45" i="5" s="1"/>
  <c r="AD45" i="5"/>
  <c r="E45" i="5"/>
  <c r="E46" i="5" s="1"/>
  <c r="B45" i="5"/>
  <c r="B46" i="5" s="1"/>
  <c r="H45" i="5"/>
  <c r="H46" i="5" s="1"/>
  <c r="AF45" i="5" a="1"/>
  <c r="AF45" i="5" s="1"/>
  <c r="B45" i="6"/>
  <c r="H43" i="6" a="1"/>
  <c r="H43" i="6" s="1"/>
  <c r="T43" i="5" s="1"/>
  <c r="C112" i="3"/>
  <c r="C108" i="3"/>
  <c r="C70" i="3"/>
  <c r="L35" i="13"/>
  <c r="L34" i="13" s="1"/>
  <c r="C84" i="3"/>
  <c r="D46" i="6" l="1"/>
  <c r="F46" i="5"/>
  <c r="J42" i="5" s="1"/>
  <c r="D45" i="6"/>
  <c r="G43" i="12" a="1"/>
  <c r="G43" i="12" s="1"/>
  <c r="H44" i="6" a="1"/>
  <c r="H44" i="6" s="1"/>
  <c r="T44" i="5" s="1"/>
  <c r="A41" i="6"/>
  <c r="S45" i="5" a="1"/>
  <c r="S45" i="5" s="1"/>
  <c r="F45" i="12" s="1" a="1"/>
  <c r="F45" i="12" s="1"/>
  <c r="AG45" i="5" a="1"/>
  <c r="AG45" i="5" s="1"/>
  <c r="U45" i="5" s="1"/>
  <c r="K35" i="5"/>
  <c r="C56" i="3"/>
  <c r="J19" i="5" l="1"/>
  <c r="D19" i="5" s="1"/>
  <c r="B19" i="12" s="1"/>
  <c r="K45" i="5"/>
  <c r="J45" i="5"/>
  <c r="J35" i="5"/>
  <c r="D35" i="5" s="1"/>
  <c r="B35" i="12" s="1"/>
  <c r="H46" i="6" a="1"/>
  <c r="H46" i="6" s="1"/>
  <c r="T46" i="5" s="1"/>
  <c r="K42" i="5"/>
  <c r="D42" i="5" s="1"/>
  <c r="B42" i="12" s="1"/>
  <c r="A42" i="6"/>
  <c r="E45" i="12"/>
  <c r="F45" i="6"/>
  <c r="G44" i="12" a="1"/>
  <c r="G44" i="12" s="1"/>
  <c r="G45" i="6"/>
  <c r="H45" i="6" a="1"/>
  <c r="H45" i="6" s="1"/>
  <c r="T45" i="5" s="1"/>
  <c r="Q13" i="6"/>
  <c r="A1" i="7"/>
  <c r="V70" i="7" a="1"/>
  <c r="V70" i="7" s="1"/>
  <c r="Y5" i="7"/>
  <c r="X5" i="7"/>
  <c r="P5" i="7"/>
  <c r="C60" i="3"/>
  <c r="F5" i="7"/>
  <c r="D45" i="5" l="1"/>
  <c r="B45" i="12" s="1"/>
  <c r="G46" i="12" a="1"/>
  <c r="G46" i="12" s="1"/>
  <c r="G45" i="12" a="1"/>
  <c r="G45" i="12" s="1"/>
  <c r="A43" i="6"/>
  <c r="R13" i="6"/>
  <c r="S13" i="6" s="1"/>
  <c r="V71" i="7"/>
  <c r="V72" i="7"/>
  <c r="N5" i="7"/>
  <c r="O5" i="7"/>
  <c r="A44" i="6" l="1"/>
  <c r="T13" i="6"/>
  <c r="E10" i="7"/>
  <c r="C57" i="3"/>
  <c r="C82" i="3"/>
  <c r="C77" i="3"/>
  <c r="B78" i="9"/>
  <c r="D71" i="7"/>
  <c r="V77" i="9" a="1"/>
  <c r="V79" i="9" s="1"/>
  <c r="B75" i="9"/>
  <c r="J67" i="9"/>
  <c r="L67" i="9" s="1"/>
  <c r="N67" i="9" s="1"/>
  <c r="P67" i="9" s="1"/>
  <c r="R67" i="9" s="1"/>
  <c r="T67" i="9" s="1"/>
  <c r="V67" i="9" s="1"/>
  <c r="X67" i="9" s="1"/>
  <c r="Z67" i="9" s="1"/>
  <c r="AB67" i="9" s="1"/>
  <c r="AD67" i="9" s="1"/>
  <c r="M5" i="9"/>
  <c r="J5" i="9"/>
  <c r="G5" i="9"/>
  <c r="B5" i="9"/>
  <c r="A45" i="6" l="1"/>
  <c r="A46" i="6" s="1"/>
  <c r="U13" i="6"/>
  <c r="V77" i="9"/>
  <c r="V78" i="9"/>
  <c r="L70" i="7" a="1"/>
  <c r="L72" i="7" s="1"/>
  <c r="D68" i="7"/>
  <c r="C5" i="7"/>
  <c r="N46" i="6" l="1"/>
  <c r="V13" i="6"/>
  <c r="L70" i="7"/>
  <c r="L71" i="7"/>
  <c r="C69" i="3"/>
  <c r="C86" i="3"/>
  <c r="C81" i="3"/>
  <c r="C80" i="3"/>
  <c r="C79" i="3"/>
  <c r="C76" i="3"/>
  <c r="C75" i="3"/>
  <c r="C74" i="3"/>
  <c r="C67" i="3"/>
  <c r="C65" i="3"/>
  <c r="C64" i="3"/>
  <c r="C61" i="3"/>
  <c r="C62" i="3"/>
  <c r="C59" i="3"/>
  <c r="C58" i="3"/>
  <c r="C72" i="3"/>
  <c r="S108" i="4" a="1"/>
  <c r="S108" i="4" s="1"/>
  <c r="S68" i="4" a="1"/>
  <c r="S68" i="4" s="1"/>
  <c r="S28" i="4" a="1"/>
  <c r="S28" i="4" s="1"/>
  <c r="X108" i="4" l="1"/>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50" i="8" a="1"/>
  <c r="T53" i="6" a="1"/>
  <c r="T55" i="6" s="1"/>
  <c r="I53" i="6" a="1"/>
  <c r="I54"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56" i="12"/>
  <c r="E57" i="12"/>
  <c r="K59" i="12" a="1"/>
  <c r="K61" i="12" s="1"/>
  <c r="E10" i="6"/>
  <c r="I10" i="6"/>
  <c r="K10" i="6"/>
  <c r="S10" i="6"/>
  <c r="U10" i="6"/>
  <c r="O13" i="6"/>
  <c r="O15" i="6" s="1"/>
  <c r="O11" i="6" s="1"/>
  <c r="B15" i="6"/>
  <c r="C15" i="6"/>
  <c r="E15" i="6"/>
  <c r="B47" i="6"/>
  <c r="C47" i="6"/>
  <c r="F51" i="6"/>
  <c r="S5" i="8"/>
  <c r="I8" i="8"/>
  <c r="L8" i="8"/>
  <c r="U8" i="8"/>
  <c r="E13" i="8"/>
  <c r="V13" i="8"/>
  <c r="W13" i="8" s="1"/>
  <c r="X13" i="8" s="1"/>
  <c r="Y13" i="8" s="1"/>
  <c r="Z13" i="8" s="1"/>
  <c r="AA13" i="8" s="1"/>
  <c r="AB13" i="8" s="1"/>
  <c r="AC13" i="8" s="1"/>
  <c r="AD13" i="8" s="1"/>
  <c r="AE13" i="8" s="1"/>
  <c r="AF13" i="8" s="1"/>
  <c r="T37" i="8"/>
  <c r="T42" i="8"/>
  <c r="I48"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57" i="5"/>
  <c r="O15" i="5"/>
  <c r="O60" i="5"/>
  <c r="T62" i="5" a="1"/>
  <c r="T62"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R14" i="5" l="1"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69" i="10"/>
  <c r="K74" i="10" s="1"/>
  <c r="W82" i="10"/>
  <c r="E12" i="13"/>
  <c r="C47" i="4"/>
  <c r="C23" i="4"/>
  <c r="A30" i="4"/>
  <c r="A31" i="4" s="1"/>
  <c r="C31" i="4" s="1"/>
  <c r="C46" i="4"/>
  <c r="C28" i="4"/>
  <c r="K62" i="12"/>
  <c r="C21" i="4"/>
  <c r="C22" i="4"/>
  <c r="K132" i="4"/>
  <c r="W81" i="10"/>
  <c r="K59" i="12"/>
  <c r="T64" i="5"/>
  <c r="O7" i="13"/>
  <c r="T54" i="6"/>
  <c r="P125" i="4"/>
  <c r="I51" i="8"/>
  <c r="I55" i="6"/>
  <c r="I53" i="6"/>
  <c r="AC13" i="6"/>
  <c r="AC12" i="6" s="1"/>
  <c r="AN13" i="6"/>
  <c r="B14" i="5"/>
  <c r="F14" i="5"/>
  <c r="G15" i="9"/>
  <c r="H15" i="10"/>
  <c r="S110" i="4"/>
  <c r="I12" i="10"/>
  <c r="I11" i="10" s="1" a="1"/>
  <c r="I11" i="10" s="1"/>
  <c r="H12" i="9"/>
  <c r="S30" i="4"/>
  <c r="A36" i="4"/>
  <c r="C35" i="4"/>
  <c r="C24" i="4"/>
  <c r="AA51" i="8"/>
  <c r="AA52" i="8"/>
  <c r="AA50" i="8"/>
  <c r="P45" i="4"/>
  <c r="K14" i="5"/>
  <c r="J14" i="5"/>
  <c r="H14" i="5"/>
  <c r="A14" i="12"/>
  <c r="D14" i="5"/>
  <c r="B14" i="12" s="1"/>
  <c r="AD14" i="5"/>
  <c r="E14" i="5"/>
  <c r="G14" i="5"/>
  <c r="N14" i="5"/>
  <c r="E60" i="12"/>
  <c r="B80" i="10"/>
  <c r="F54" i="6"/>
  <c r="O63" i="5"/>
  <c r="D36" i="11"/>
  <c r="W79" i="10"/>
  <c r="A4" i="4"/>
  <c r="K51" i="4"/>
  <c r="K60" i="12"/>
  <c r="S70" i="4"/>
  <c r="K91" i="4"/>
  <c r="T53" i="6"/>
  <c r="K90" i="4"/>
  <c r="T63" i="5"/>
  <c r="AB16" i="6" l="1"/>
  <c r="AB17" i="6"/>
  <c r="AM16" i="6"/>
  <c r="AN16" i="6"/>
  <c r="AN17" i="6"/>
  <c r="AU16" i="6"/>
  <c r="AX16" i="6" a="1"/>
  <c r="AX16" i="6" s="1"/>
  <c r="BA17" i="6" a="1"/>
  <c r="BA17" i="6" s="1"/>
  <c r="AR17" i="6"/>
  <c r="AR16" i="6"/>
  <c r="BD17" i="6" a="1"/>
  <c r="BD17" i="6" s="1"/>
  <c r="AZ17" i="6" a="1"/>
  <c r="AZ17" i="6" s="1"/>
  <c r="AS16" i="6"/>
  <c r="BG16" i="6" a="1"/>
  <c r="BG16" i="6" s="1"/>
  <c r="AS17" i="6"/>
  <c r="AX17" i="6" a="1"/>
  <c r="AX17" i="6" s="1"/>
  <c r="AT17" i="6"/>
  <c r="AQ16" i="6"/>
  <c r="AY17" i="6" a="1"/>
  <c r="AY17" i="6" s="1"/>
  <c r="AV16" i="6"/>
  <c r="AM17" i="6"/>
  <c r="BE17" i="6" a="1"/>
  <c r="BE17" i="6" s="1"/>
  <c r="BC17" i="6" a="1"/>
  <c r="BC17" i="6" s="1"/>
  <c r="BF16" i="6" a="1"/>
  <c r="BF16" i="6" s="1"/>
  <c r="BC16" i="6" a="1"/>
  <c r="BC16" i="6" s="1"/>
  <c r="BG17" i="6" a="1"/>
  <c r="BG17" i="6" s="1"/>
  <c r="AP17" i="6"/>
  <c r="AZ16" i="6" a="1"/>
  <c r="AZ16" i="6" s="1"/>
  <c r="AQ17" i="6"/>
  <c r="AY16" i="6" a="1"/>
  <c r="AY16" i="6" s="1"/>
  <c r="AT16" i="6"/>
  <c r="BE16" i="6" a="1"/>
  <c r="BE16" i="6" s="1"/>
  <c r="BA16" i="6" a="1"/>
  <c r="BA16" i="6" s="1"/>
  <c r="AO17" i="6"/>
  <c r="BD16" i="6" a="1"/>
  <c r="BD16" i="6" s="1"/>
  <c r="AP16" i="6"/>
  <c r="BB17" i="6" a="1"/>
  <c r="BB17" i="6" s="1"/>
  <c r="AV17" i="6"/>
  <c r="AU17" i="6"/>
  <c r="BB16" i="6" a="1"/>
  <c r="BB16" i="6" s="1"/>
  <c r="AO16" i="6"/>
  <c r="BF17" i="6" a="1"/>
  <c r="BF17" i="6" s="1"/>
  <c r="M18" i="6"/>
  <c r="AC16" i="6"/>
  <c r="AC17" i="6"/>
  <c r="AN12" i="6"/>
  <c r="AY12" i="6"/>
  <c r="U97" i="4"/>
  <c r="U57" i="4"/>
  <c r="C15" i="7" a="1"/>
  <c r="C15" i="7" s="1"/>
  <c r="B10" i="9"/>
  <c r="M69" i="10"/>
  <c r="M74" i="10" s="1"/>
  <c r="I12" i="9"/>
  <c r="U17" i="4"/>
  <c r="U14" i="4" s="1"/>
  <c r="T21" i="4" s="1"/>
  <c r="H5" i="5"/>
  <c r="X8" i="5" s="1" a="1"/>
  <c r="X8" i="5" s="1"/>
  <c r="F5" i="5"/>
  <c r="AH46"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44" i="5" l="1"/>
  <c r="AH45" i="5"/>
  <c r="AH42" i="5"/>
  <c r="AH41" i="5"/>
  <c r="AH37" i="5"/>
  <c r="AH40" i="5"/>
  <c r="AH43" i="5"/>
  <c r="AH36" i="5"/>
  <c r="AH38" i="5"/>
  <c r="AH39" i="5"/>
  <c r="AH24" i="5"/>
  <c r="AH23" i="5"/>
  <c r="AH22" i="5"/>
  <c r="AH19" i="5"/>
  <c r="M19" i="6"/>
  <c r="AN18" i="6"/>
  <c r="AZ18" i="6" a="1"/>
  <c r="AZ18" i="6" s="1"/>
  <c r="AX18" i="6" a="1"/>
  <c r="AX18" i="6" s="1"/>
  <c r="AY18" i="6" a="1"/>
  <c r="AY18" i="6" s="1"/>
  <c r="AO18" i="6"/>
  <c r="AM18" i="6"/>
  <c r="AD16" i="6"/>
  <c r="AD17" i="6"/>
  <c r="AH26" i="5"/>
  <c r="AH32" i="5"/>
  <c r="AH17" i="5"/>
  <c r="AN17" i="5" s="1" a="1"/>
  <c r="AN17" i="5" s="1"/>
  <c r="AH34" i="5"/>
  <c r="AH29" i="5"/>
  <c r="AH25" i="5"/>
  <c r="AH31" i="5"/>
  <c r="AH16" i="5"/>
  <c r="AN16" i="5" s="1" a="1"/>
  <c r="AN16" i="5" s="1"/>
  <c r="AH35" i="5"/>
  <c r="AH28" i="5"/>
  <c r="AH21" i="5"/>
  <c r="AH20" i="5"/>
  <c r="AH18" i="5"/>
  <c r="AH27" i="5"/>
  <c r="AH30" i="5"/>
  <c r="AH33" i="5"/>
  <c r="M25" i="6"/>
  <c r="AZ12" i="6"/>
  <c r="AO12" i="6"/>
  <c r="U94" i="4"/>
  <c r="T101" i="4" s="1"/>
  <c r="U54" i="4"/>
  <c r="T61" i="4" s="1"/>
  <c r="B15" i="9"/>
  <c r="B16" i="9" s="1"/>
  <c r="T57" i="4"/>
  <c r="T97" i="4"/>
  <c r="T22" i="4"/>
  <c r="T23" i="4"/>
  <c r="T24" i="4"/>
  <c r="T25" i="4"/>
  <c r="T26" i="4"/>
  <c r="U26" i="4" s="1"/>
  <c r="T17" i="4"/>
  <c r="V8" i="5" a="1"/>
  <c r="V8" i="5" s="1"/>
  <c r="O69" i="10"/>
  <c r="O74" i="10" s="1"/>
  <c r="J12" i="9"/>
  <c r="AH14" i="5"/>
  <c r="W14" i="5" s="1" a="1"/>
  <c r="W14" i="5" s="1"/>
  <c r="BA13" i="6"/>
  <c r="A18" i="4"/>
  <c r="C17" i="4"/>
  <c r="Y12" i="8"/>
  <c r="AE13" i="12"/>
  <c r="Z13" i="6"/>
  <c r="AE13" i="6"/>
  <c r="AP13" i="6"/>
  <c r="K12" i="10"/>
  <c r="K11" i="10" s="1" a="1"/>
  <c r="K11" i="10" s="1"/>
  <c r="C5" i="4"/>
  <c r="A6" i="4"/>
  <c r="M20" i="6" l="1"/>
  <c r="AZ20" i="6" s="1" a="1"/>
  <c r="AZ20" i="6" s="1"/>
  <c r="AN42" i="5" a="1"/>
  <c r="AN42" i="5" s="1"/>
  <c r="W42" i="5" a="1"/>
  <c r="W42" i="5" s="1"/>
  <c r="AN45" i="5" a="1"/>
  <c r="AN45" i="5" s="1"/>
  <c r="W45" i="5" a="1"/>
  <c r="W45" i="5" s="1"/>
  <c r="AO19" i="6"/>
  <c r="BA19" i="6" a="1"/>
  <c r="BA19" i="6" s="1"/>
  <c r="AZ19" i="6" a="1"/>
  <c r="AZ19" i="6" s="1"/>
  <c r="AN19" i="6"/>
  <c r="AM19" i="6"/>
  <c r="AY19" i="6" a="1"/>
  <c r="AY19" i="6" s="1"/>
  <c r="BB19" i="6" a="1"/>
  <c r="BB19" i="6" s="1"/>
  <c r="AX19" i="6" a="1"/>
  <c r="AX19" i="6" s="1"/>
  <c r="AP19" i="6"/>
  <c r="AB19" i="6"/>
  <c r="AC19" i="6"/>
  <c r="AN19" i="5" a="1"/>
  <c r="AN19" i="5" s="1"/>
  <c r="W19" i="5" a="1"/>
  <c r="W19" i="5" s="1"/>
  <c r="AD19" i="6"/>
  <c r="AN25" i="5" a="1"/>
  <c r="AN25" i="5" s="1"/>
  <c r="W25" i="5" a="1"/>
  <c r="W25" i="5" s="1"/>
  <c r="H25" i="12" s="1" a="1"/>
  <c r="H25" i="12" s="1"/>
  <c r="B17" i="9"/>
  <c r="AP18" i="6"/>
  <c r="BA18" i="6" a="1"/>
  <c r="BA18" i="6" s="1"/>
  <c r="AY25" i="6" a="1"/>
  <c r="AY25" i="6" s="1"/>
  <c r="BA25" i="6" a="1"/>
  <c r="BA25" i="6" s="1"/>
  <c r="AX25" i="6" a="1"/>
  <c r="AX25" i="6" s="1"/>
  <c r="AO25" i="6"/>
  <c r="AM25" i="6"/>
  <c r="AN25" i="6"/>
  <c r="AP25" i="6"/>
  <c r="AZ25" i="6" a="1"/>
  <c r="AZ25" i="6" s="1"/>
  <c r="BA12" i="6"/>
  <c r="AP12" i="6"/>
  <c r="H14" i="12" a="1"/>
  <c r="H14" i="12" s="1"/>
  <c r="AN14" i="5" a="1"/>
  <c r="AN14" i="5" s="1"/>
  <c r="T62" i="4"/>
  <c r="T63" i="4"/>
  <c r="T64" i="4"/>
  <c r="T66" i="4"/>
  <c r="U66" i="4" s="1"/>
  <c r="T65" i="4"/>
  <c r="T102" i="4"/>
  <c r="T104" i="4"/>
  <c r="T103" i="4"/>
  <c r="T106" i="4"/>
  <c r="U106" i="4" s="1"/>
  <c r="T105" i="4"/>
  <c r="U7" i="4"/>
  <c r="H68" i="10"/>
  <c r="Q69" i="10"/>
  <c r="Q74" i="10" s="1"/>
  <c r="K12" i="9"/>
  <c r="BB13" i="6"/>
  <c r="AF13" i="6"/>
  <c r="AF12" i="6" s="1"/>
  <c r="AE12" i="6"/>
  <c r="A19" i="4"/>
  <c r="C19" i="4" s="1"/>
  <c r="C18" i="4"/>
  <c r="Z12" i="8"/>
  <c r="AF13" i="12"/>
  <c r="AQ13" i="6"/>
  <c r="L12" i="10"/>
  <c r="L11" i="10" s="1" a="1"/>
  <c r="L11" i="10" s="1"/>
  <c r="A7" i="4"/>
  <c r="C7" i="4" s="1"/>
  <c r="C6" i="4"/>
  <c r="BA20" i="6" l="1" a="1"/>
  <c r="BA20" i="6" s="1"/>
  <c r="AY20" i="6" a="1"/>
  <c r="AY20" i="6" s="1"/>
  <c r="AO20" i="6"/>
  <c r="AM20" i="6"/>
  <c r="AX20" i="6" a="1"/>
  <c r="AX20" i="6" s="1"/>
  <c r="M23" i="6"/>
  <c r="AZ23" i="6" s="1" a="1"/>
  <c r="AZ23" i="6" s="1"/>
  <c r="AP20" i="6"/>
  <c r="AN20" i="6"/>
  <c r="M24" i="6"/>
  <c r="AN24" i="6" s="1"/>
  <c r="M21" i="6"/>
  <c r="M22" i="6" s="1"/>
  <c r="AZ22" i="6" s="1" a="1"/>
  <c r="AZ22" i="6" s="1"/>
  <c r="H42" i="12" a="1"/>
  <c r="H42" i="12" s="1"/>
  <c r="H45" i="12" a="1"/>
  <c r="H45" i="12" s="1"/>
  <c r="AF19" i="6"/>
  <c r="AE19" i="6"/>
  <c r="H19" i="12" a="1"/>
  <c r="H19" i="12" s="1"/>
  <c r="AQ19" i="6"/>
  <c r="B18" i="9"/>
  <c r="BB25" i="6" a="1"/>
  <c r="BB25" i="6" s="1"/>
  <c r="AQ25" i="6"/>
  <c r="BB20" i="6" a="1"/>
  <c r="BB20" i="6" s="1"/>
  <c r="AQ20" i="6"/>
  <c r="BB18" i="6" a="1"/>
  <c r="BB18" i="6" s="1"/>
  <c r="AQ18" i="6"/>
  <c r="AF16" i="6"/>
  <c r="AF17" i="6"/>
  <c r="AE16" i="6"/>
  <c r="AE17" i="6"/>
  <c r="X29" i="4"/>
  <c r="S69" i="10"/>
  <c r="S74" i="10" s="1"/>
  <c r="L12" i="9"/>
  <c r="BB12" i="6"/>
  <c r="AQ12" i="6"/>
  <c r="AG13" i="6"/>
  <c r="AG12" i="6" s="1"/>
  <c r="BC13" i="6"/>
  <c r="BC19" i="6" s="1" a="1"/>
  <c r="BC19" i="6" s="1"/>
  <c r="AA12" i="8"/>
  <c r="AG13" i="12"/>
  <c r="AR13" i="6"/>
  <c r="AR19" i="6" s="1"/>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C23" i="6" l="1"/>
  <c r="AD24" i="6"/>
  <c r="AC24" i="6"/>
  <c r="AB24" i="6"/>
  <c r="AE24" i="6"/>
  <c r="M26" i="6"/>
  <c r="M27" i="6" s="1"/>
  <c r="BB27" i="6" s="1" a="1"/>
  <c r="BB27" i="6" s="1"/>
  <c r="AN22" i="6"/>
  <c r="AO22" i="6"/>
  <c r="AY22" i="6" a="1"/>
  <c r="AY22" i="6" s="1"/>
  <c r="AD22" i="6"/>
  <c r="AM21" i="6"/>
  <c r="AP22" i="6"/>
  <c r="AD23" i="6"/>
  <c r="AQ22" i="6"/>
  <c r="AY24" i="6" a="1"/>
  <c r="AY24" i="6" s="1"/>
  <c r="AP24" i="6"/>
  <c r="BA24" i="6" a="1"/>
  <c r="BA24" i="6" s="1"/>
  <c r="AF24" i="6"/>
  <c r="AZ24" i="6" a="1"/>
  <c r="AZ24" i="6" s="1"/>
  <c r="AM24" i="6"/>
  <c r="AF22" i="6"/>
  <c r="AY21" i="6" a="1"/>
  <c r="AY21" i="6" s="1"/>
  <c r="AB22" i="6"/>
  <c r="AB23" i="6"/>
  <c r="BA23" i="6" a="1"/>
  <c r="BA23" i="6" s="1"/>
  <c r="AN23" i="6"/>
  <c r="AX23" i="6" a="1"/>
  <c r="AX23" i="6" s="1"/>
  <c r="AY23" i="6" a="1"/>
  <c r="AY23" i="6" s="1"/>
  <c r="AO23" i="6"/>
  <c r="AF23" i="6"/>
  <c r="AM23" i="6"/>
  <c r="AE23" i="6"/>
  <c r="AQ23" i="6"/>
  <c r="AP23" i="6"/>
  <c r="AX21" i="6" a="1"/>
  <c r="AX21" i="6" s="1"/>
  <c r="BB23" i="6" a="1"/>
  <c r="BB23" i="6" s="1"/>
  <c r="AC22" i="6"/>
  <c r="AE22" i="6"/>
  <c r="BA22" i="6" a="1"/>
  <c r="BA22" i="6" s="1"/>
  <c r="AP21" i="6"/>
  <c r="AZ21" i="6" a="1"/>
  <c r="AZ21" i="6" s="1"/>
  <c r="BB24" i="6" a="1"/>
  <c r="BB24" i="6" s="1"/>
  <c r="AO24" i="6"/>
  <c r="AN21" i="6"/>
  <c r="BB22" i="6" a="1"/>
  <c r="BB22" i="6" s="1"/>
  <c r="BB21" i="6" a="1"/>
  <c r="BB21" i="6" s="1"/>
  <c r="AQ24" i="6"/>
  <c r="BA21" i="6" a="1"/>
  <c r="BA21" i="6" s="1"/>
  <c r="AM22" i="6"/>
  <c r="AQ21" i="6"/>
  <c r="AX24" i="6" a="1"/>
  <c r="AX24" i="6" s="1"/>
  <c r="AO21" i="6"/>
  <c r="AX22" i="6" a="1"/>
  <c r="AX22" i="6" s="1"/>
  <c r="M35" i="6"/>
  <c r="AR23" i="6"/>
  <c r="AR24" i="6"/>
  <c r="BC24" i="6" a="1"/>
  <c r="BC24" i="6" s="1"/>
  <c r="BC23" i="6" a="1"/>
  <c r="BC23" i="6" s="1"/>
  <c r="AG23" i="6"/>
  <c r="AG24" i="6"/>
  <c r="AG22" i="6"/>
  <c r="AG19" i="6"/>
  <c r="AR22" i="6"/>
  <c r="BC22" i="6" a="1"/>
  <c r="BC22" i="6" s="1"/>
  <c r="AR18" i="6"/>
  <c r="AR20" i="6"/>
  <c r="AR25" i="6"/>
  <c r="AR21" i="6"/>
  <c r="BC18" i="6" a="1"/>
  <c r="BC18" i="6" s="1"/>
  <c r="BC21" i="6" a="1"/>
  <c r="BC21" i="6" s="1"/>
  <c r="BC20" i="6" a="1"/>
  <c r="BC20" i="6" s="1"/>
  <c r="BC25" i="6" a="1"/>
  <c r="BC25" i="6" s="1"/>
  <c r="AG16" i="6"/>
  <c r="AG17" i="6"/>
  <c r="B19" i="9"/>
  <c r="U29" i="4"/>
  <c r="U69" i="4"/>
  <c r="U65" i="4"/>
  <c r="U103" i="4"/>
  <c r="U61" i="4"/>
  <c r="U105" i="4"/>
  <c r="U64" i="4"/>
  <c r="U102" i="4"/>
  <c r="U62" i="4"/>
  <c r="U21" i="4"/>
  <c r="U23" i="4"/>
  <c r="U104" i="4"/>
  <c r="U101" i="4"/>
  <c r="U24" i="4"/>
  <c r="U25" i="4"/>
  <c r="U22" i="4"/>
  <c r="U63" i="4"/>
  <c r="U109" i="4"/>
  <c r="K112" i="4" s="1"/>
  <c r="U69" i="10"/>
  <c r="U74" i="10" s="1"/>
  <c r="M12" i="9"/>
  <c r="BC12" i="6"/>
  <c r="AR12" i="6"/>
  <c r="AH13" i="6"/>
  <c r="AH12" i="6" s="1"/>
  <c r="BD13" i="6"/>
  <c r="AB12" i="8"/>
  <c r="AH13" i="12"/>
  <c r="AS13" i="6"/>
  <c r="N12" i="10"/>
  <c r="N11" i="10" s="1" a="1"/>
  <c r="N11" i="10" s="1"/>
  <c r="AZ26" i="6" l="1" a="1"/>
  <c r="AZ26" i="6" s="1"/>
  <c r="AP26" i="6"/>
  <c r="AZ27" i="6" a="1"/>
  <c r="AZ27" i="6" s="1"/>
  <c r="AR27" i="6"/>
  <c r="AR26" i="6"/>
  <c r="AN27" i="6"/>
  <c r="M31" i="6"/>
  <c r="AY31" i="6" s="1" a="1"/>
  <c r="AY31" i="6" s="1"/>
  <c r="M30" i="6"/>
  <c r="AO30" i="6" s="1"/>
  <c r="AX27" i="6" a="1"/>
  <c r="AX27" i="6" s="1"/>
  <c r="AO26" i="6"/>
  <c r="AP27" i="6"/>
  <c r="AQ27" i="6"/>
  <c r="AM27" i="6"/>
  <c r="M34" i="6"/>
  <c r="AQ34" i="6" s="1"/>
  <c r="BA26" i="6" a="1"/>
  <c r="BA26" i="6" s="1"/>
  <c r="M33" i="6"/>
  <c r="AX33" i="6" s="1" a="1"/>
  <c r="AX33" i="6" s="1"/>
  <c r="M28" i="6"/>
  <c r="AY28" i="6" s="1" a="1"/>
  <c r="AY28" i="6" s="1"/>
  <c r="AQ26" i="6"/>
  <c r="AM26" i="6"/>
  <c r="M29" i="6"/>
  <c r="AZ29" i="6" s="1" a="1"/>
  <c r="AZ29" i="6" s="1"/>
  <c r="M32" i="6"/>
  <c r="BB32" i="6" s="1" a="1"/>
  <c r="BB32" i="6" s="1"/>
  <c r="AX26" i="6" a="1"/>
  <c r="AX26" i="6" s="1"/>
  <c r="BC27" i="6" a="1"/>
  <c r="BC27" i="6" s="1"/>
  <c r="AO27" i="6"/>
  <c r="AN26" i="6"/>
  <c r="BA27" i="6" a="1"/>
  <c r="BA27" i="6" s="1"/>
  <c r="AY26" i="6" a="1"/>
  <c r="AY26" i="6" s="1"/>
  <c r="BC26" i="6" a="1"/>
  <c r="BC26" i="6" s="1"/>
  <c r="BB26" i="6" a="1"/>
  <c r="BB26" i="6" s="1"/>
  <c r="AY27" i="6" a="1"/>
  <c r="AY27" i="6" s="1"/>
  <c r="BB35" i="6" a="1"/>
  <c r="BB35" i="6" s="1"/>
  <c r="AQ35" i="6"/>
  <c r="AN35" i="6"/>
  <c r="AR35" i="6"/>
  <c r="AZ35" i="6" a="1"/>
  <c r="AZ35" i="6" s="1"/>
  <c r="AO35" i="6"/>
  <c r="BC35" i="6" a="1"/>
  <c r="BC35" i="6" s="1"/>
  <c r="AP35" i="6"/>
  <c r="AM35" i="6"/>
  <c r="BA35" i="6" a="1"/>
  <c r="BA35" i="6" s="1"/>
  <c r="AY35" i="6" a="1"/>
  <c r="AY35" i="6" s="1"/>
  <c r="AX35" i="6" a="1"/>
  <c r="AX35" i="6" s="1"/>
  <c r="AS19" i="6"/>
  <c r="AS24" i="6"/>
  <c r="AS23" i="6"/>
  <c r="BD19" i="6" a="1"/>
  <c r="BD19" i="6" s="1"/>
  <c r="BD23" i="6" a="1"/>
  <c r="BD23" i="6" s="1"/>
  <c r="BD24" i="6" a="1"/>
  <c r="BD24" i="6" s="1"/>
  <c r="AH23" i="6"/>
  <c r="AH24" i="6"/>
  <c r="AH22" i="6"/>
  <c r="AH19" i="6"/>
  <c r="AS22" i="6"/>
  <c r="BD22" i="6" a="1"/>
  <c r="BD22" i="6" s="1"/>
  <c r="BD18" i="6" a="1"/>
  <c r="BD18" i="6" s="1"/>
  <c r="BD25" i="6" a="1"/>
  <c r="BD25" i="6" s="1"/>
  <c r="BD20" i="6" a="1"/>
  <c r="BD20" i="6" s="1"/>
  <c r="BD26" i="6" a="1"/>
  <c r="BD26" i="6" s="1"/>
  <c r="BD27" i="6" a="1"/>
  <c r="BD27" i="6" s="1"/>
  <c r="BD21" i="6" a="1"/>
  <c r="BD21" i="6" s="1"/>
  <c r="BD35" i="6" a="1"/>
  <c r="BD35" i="6" s="1"/>
  <c r="AH16" i="6"/>
  <c r="AH17" i="6"/>
  <c r="AS18" i="6"/>
  <c r="AS21" i="6"/>
  <c r="AS25" i="6"/>
  <c r="AS35" i="6"/>
  <c r="AS27" i="6"/>
  <c r="AS20" i="6"/>
  <c r="AS26" i="6"/>
  <c r="B20" i="9"/>
  <c r="AB10" i="12"/>
  <c r="W69" i="10"/>
  <c r="W74" i="10" s="1"/>
  <c r="N12" i="9"/>
  <c r="J72" i="4"/>
  <c r="U8" i="4"/>
  <c r="BD12" i="6"/>
  <c r="AS12" i="6"/>
  <c r="AI13" i="6"/>
  <c r="AI12" i="6" s="1"/>
  <c r="BE13" i="6"/>
  <c r="AC12" i="8"/>
  <c r="AI13" i="12"/>
  <c r="K72" i="4"/>
  <c r="J112" i="4"/>
  <c r="AT13" i="6"/>
  <c r="O12" i="10"/>
  <c r="O11" i="10" s="1" a="1"/>
  <c r="O11" i="10" s="1"/>
  <c r="K32" i="4"/>
  <c r="J32" i="4"/>
  <c r="BC31" i="6" l="1" a="1"/>
  <c r="BC31" i="6" s="1"/>
  <c r="BD32" i="6" a="1"/>
  <c r="BD32" i="6" s="1"/>
  <c r="AX32" i="6" a="1"/>
  <c r="AX32" i="6" s="1"/>
  <c r="AO29" i="6"/>
  <c r="AZ31" i="6" a="1"/>
  <c r="AZ31" i="6" s="1"/>
  <c r="AP31" i="6"/>
  <c r="AX31" i="6" a="1"/>
  <c r="AX31" i="6" s="1"/>
  <c r="BA31" i="6" a="1"/>
  <c r="BA31" i="6" s="1"/>
  <c r="AS31" i="6"/>
  <c r="AN31" i="6"/>
  <c r="BA30" i="6" a="1"/>
  <c r="BA30" i="6" s="1"/>
  <c r="AQ31" i="6"/>
  <c r="AR32" i="6"/>
  <c r="BD31" i="6" a="1"/>
  <c r="BD31" i="6" s="1"/>
  <c r="AZ32" i="6" a="1"/>
  <c r="AZ32" i="6" s="1"/>
  <c r="AX30" i="6" a="1"/>
  <c r="AX30" i="6" s="1"/>
  <c r="BD30" i="6" a="1"/>
  <c r="BD30" i="6" s="1"/>
  <c r="AS32" i="6"/>
  <c r="AN30" i="6"/>
  <c r="BB31" i="6" a="1"/>
  <c r="BB31" i="6" s="1"/>
  <c r="AM32" i="6"/>
  <c r="AY32" i="6" a="1"/>
  <c r="AY32" i="6" s="1"/>
  <c r="AO32" i="6"/>
  <c r="AQ32" i="6"/>
  <c r="BA32" i="6" a="1"/>
  <c r="BA32" i="6" s="1"/>
  <c r="BB30" i="6" a="1"/>
  <c r="BB30" i="6" s="1"/>
  <c r="AZ30" i="6" a="1"/>
  <c r="AZ30" i="6" s="1"/>
  <c r="AR31" i="6"/>
  <c r="AQ30" i="6"/>
  <c r="AM30" i="6"/>
  <c r="AM31" i="6"/>
  <c r="AY34" i="6" a="1"/>
  <c r="AY34" i="6" s="1"/>
  <c r="BA33" i="6" a="1"/>
  <c r="BA33" i="6" s="1"/>
  <c r="AR33" i="6"/>
  <c r="AY30" i="6" a="1"/>
  <c r="AY30" i="6" s="1"/>
  <c r="BC30" i="6" a="1"/>
  <c r="BC30" i="6" s="1"/>
  <c r="AN32" i="6"/>
  <c r="AO31" i="6"/>
  <c r="BC32" i="6" a="1"/>
  <c r="BC32" i="6" s="1"/>
  <c r="AP32" i="6"/>
  <c r="AS30" i="6"/>
  <c r="AP30" i="6"/>
  <c r="AR30" i="6"/>
  <c r="AX29" i="6" a="1"/>
  <c r="AX29" i="6" s="1"/>
  <c r="BA29" i="6" a="1"/>
  <c r="BA29" i="6" s="1"/>
  <c r="AZ33" i="6" a="1"/>
  <c r="AZ33" i="6" s="1"/>
  <c r="AP29" i="6"/>
  <c r="AO34" i="6"/>
  <c r="BB28" i="6" a="1"/>
  <c r="BB28" i="6" s="1"/>
  <c r="AX34" i="6" a="1"/>
  <c r="AX34" i="6" s="1"/>
  <c r="BD34" i="6" a="1"/>
  <c r="BD34" i="6" s="1"/>
  <c r="AR29" i="6"/>
  <c r="AO33" i="6"/>
  <c r="BD29" i="6" a="1"/>
  <c r="BD29" i="6" s="1"/>
  <c r="AS29" i="6"/>
  <c r="AY33" i="6" a="1"/>
  <c r="AY33" i="6" s="1"/>
  <c r="BB29" i="6" a="1"/>
  <c r="BB29" i="6" s="1"/>
  <c r="AN29" i="6"/>
  <c r="AM34" i="6"/>
  <c r="BC29" i="6" a="1"/>
  <c r="BC29" i="6" s="1"/>
  <c r="AQ29" i="6"/>
  <c r="AS34" i="6"/>
  <c r="AZ34" i="6" a="1"/>
  <c r="AZ34" i="6" s="1"/>
  <c r="AY29" i="6" a="1"/>
  <c r="AY29" i="6" s="1"/>
  <c r="AM29" i="6"/>
  <c r="AP28" i="6"/>
  <c r="AQ33" i="6"/>
  <c r="AS28" i="6"/>
  <c r="AR28" i="6"/>
  <c r="AX28" i="6" a="1"/>
  <c r="AX28" i="6" s="1"/>
  <c r="BC33" i="6" a="1"/>
  <c r="BC33" i="6" s="1"/>
  <c r="AO28" i="6"/>
  <c r="AM28" i="6"/>
  <c r="BA28" i="6" a="1"/>
  <c r="BA28" i="6" s="1"/>
  <c r="AR34" i="6"/>
  <c r="AQ28" i="6"/>
  <c r="M36" i="6"/>
  <c r="AH36" i="6" s="1"/>
  <c r="AS33" i="6"/>
  <c r="BD28" i="6" a="1"/>
  <c r="BD28" i="6" s="1"/>
  <c r="AZ28" i="6" a="1"/>
  <c r="AZ28" i="6" s="1"/>
  <c r="BA34" i="6" a="1"/>
  <c r="BA34" i="6" s="1"/>
  <c r="BD33" i="6" a="1"/>
  <c r="BD33" i="6" s="1"/>
  <c r="BC34" i="6" a="1"/>
  <c r="BC34" i="6" s="1"/>
  <c r="BB33" i="6" a="1"/>
  <c r="BB33" i="6" s="1"/>
  <c r="AM33" i="6"/>
  <c r="BB34" i="6" a="1"/>
  <c r="BB34" i="6" s="1"/>
  <c r="AN34" i="6"/>
  <c r="AN28" i="6"/>
  <c r="AP34" i="6"/>
  <c r="AP33" i="6"/>
  <c r="AN33" i="6"/>
  <c r="BC28" i="6" a="1"/>
  <c r="BC28" i="6" s="1"/>
  <c r="AT23" i="6"/>
  <c r="AT24" i="6"/>
  <c r="AI23" i="6"/>
  <c r="AI24" i="6"/>
  <c r="BE23" i="6" a="1"/>
  <c r="BE23" i="6" s="1"/>
  <c r="BE24" i="6" a="1"/>
  <c r="BE24" i="6" s="1"/>
  <c r="AT22" i="6"/>
  <c r="AT19" i="6"/>
  <c r="BE22" i="6" a="1"/>
  <c r="BE22" i="6" s="1"/>
  <c r="BE19" i="6" a="1"/>
  <c r="BE19" i="6" s="1"/>
  <c r="AI22" i="6"/>
  <c r="AI19" i="6"/>
  <c r="AT33" i="6"/>
  <c r="AT28" i="6"/>
  <c r="AT30" i="6"/>
  <c r="AT18" i="6"/>
  <c r="AT29" i="6"/>
  <c r="AT26" i="6"/>
  <c r="AT31" i="6"/>
  <c r="AT27" i="6"/>
  <c r="AT20" i="6"/>
  <c r="AT25" i="6"/>
  <c r="AT35" i="6"/>
  <c r="AT34" i="6"/>
  <c r="AT21" i="6"/>
  <c r="AT32" i="6"/>
  <c r="BE33" i="6" a="1"/>
  <c r="BE33" i="6" s="1"/>
  <c r="BE28" i="6" a="1"/>
  <c r="BE28" i="6" s="1"/>
  <c r="BE18" i="6" a="1"/>
  <c r="BE18" i="6" s="1"/>
  <c r="BE29" i="6" a="1"/>
  <c r="BE29" i="6" s="1"/>
  <c r="BE30" i="6" a="1"/>
  <c r="BE30" i="6" s="1"/>
  <c r="BE26" i="6" a="1"/>
  <c r="BE26" i="6" s="1"/>
  <c r="BE25" i="6" a="1"/>
  <c r="BE25" i="6" s="1"/>
  <c r="BE34" i="6" a="1"/>
  <c r="BE34" i="6" s="1"/>
  <c r="BE21" i="6" a="1"/>
  <c r="BE21" i="6" s="1"/>
  <c r="BE20" i="6" a="1"/>
  <c r="BE20" i="6" s="1"/>
  <c r="BE32" i="6" a="1"/>
  <c r="BE32" i="6" s="1"/>
  <c r="BE31" i="6" a="1"/>
  <c r="BE31" i="6" s="1"/>
  <c r="BE27" i="6" a="1"/>
  <c r="BE27" i="6" s="1"/>
  <c r="BE35" i="6" a="1"/>
  <c r="BE35" i="6" s="1"/>
  <c r="B21" i="9"/>
  <c r="AI16" i="6"/>
  <c r="AI17" i="6"/>
  <c r="O12" i="9"/>
  <c r="Y69" i="10"/>
  <c r="Y74" i="10" s="1"/>
  <c r="T11" i="11"/>
  <c r="BE12" i="6"/>
  <c r="AT12" i="6"/>
  <c r="AJ13" i="6"/>
  <c r="AJ12" i="6" s="1"/>
  <c r="BF13" i="6"/>
  <c r="AD12" i="8"/>
  <c r="AJ13" i="12"/>
  <c r="AU13" i="6"/>
  <c r="P12" i="10"/>
  <c r="P11" i="10" s="1" a="1"/>
  <c r="P11" i="10" s="1"/>
  <c r="M40" i="6" l="1"/>
  <c r="BD40" i="6" s="1" a="1"/>
  <c r="BD40" i="6" s="1"/>
  <c r="M38" i="6"/>
  <c r="AI38" i="6" s="1"/>
  <c r="AC36" i="6"/>
  <c r="AB36" i="6"/>
  <c r="AN36" i="6"/>
  <c r="BB36" i="6" a="1"/>
  <c r="BB36" i="6" s="1"/>
  <c r="AM36" i="6"/>
  <c r="BC36" i="6" a="1"/>
  <c r="BC36" i="6" s="1"/>
  <c r="AG36" i="6"/>
  <c r="BE36" i="6" a="1"/>
  <c r="BE36" i="6" s="1"/>
  <c r="AE36" i="6"/>
  <c r="AD36" i="6"/>
  <c r="BD36" i="6" a="1"/>
  <c r="BD36" i="6" s="1"/>
  <c r="AR36" i="6"/>
  <c r="AU36" i="6"/>
  <c r="AO36" i="6"/>
  <c r="BF36" i="6" a="1"/>
  <c r="BF36" i="6" s="1"/>
  <c r="AS36" i="6"/>
  <c r="AI36" i="6"/>
  <c r="M42" i="6"/>
  <c r="AI42" i="6" s="1"/>
  <c r="AT36" i="6"/>
  <c r="M41" i="6"/>
  <c r="AI41" i="6" s="1"/>
  <c r="BA36" i="6" a="1"/>
  <c r="BA36" i="6" s="1"/>
  <c r="AZ36" i="6" a="1"/>
  <c r="AZ36" i="6" s="1"/>
  <c r="AF36" i="6"/>
  <c r="M39" i="6"/>
  <c r="AI39" i="6" s="1"/>
  <c r="AX36" i="6" a="1"/>
  <c r="AX36" i="6" s="1"/>
  <c r="AP36" i="6"/>
  <c r="M37" i="6"/>
  <c r="AI37" i="6" s="1"/>
  <c r="AQ36" i="6"/>
  <c r="AY36" i="6" a="1"/>
  <c r="AY36" i="6" s="1"/>
  <c r="AJ36" i="6"/>
  <c r="AU19" i="6"/>
  <c r="AU24" i="6"/>
  <c r="AU23" i="6"/>
  <c r="BF24" i="6" a="1"/>
  <c r="BF24" i="6" s="1"/>
  <c r="BF23" i="6" a="1"/>
  <c r="BF23" i="6" s="1"/>
  <c r="AJ23" i="6"/>
  <c r="AJ24" i="6"/>
  <c r="BF22" i="6" a="1"/>
  <c r="BF22" i="6" s="1"/>
  <c r="BF19" i="6" a="1"/>
  <c r="BF19" i="6" s="1"/>
  <c r="AJ22" i="6"/>
  <c r="AJ19" i="6"/>
  <c r="AU22" i="6"/>
  <c r="AU29" i="6"/>
  <c r="AU30" i="6"/>
  <c r="AU33" i="6"/>
  <c r="AU18" i="6"/>
  <c r="AU28" i="6"/>
  <c r="AU35" i="6"/>
  <c r="AU31" i="6"/>
  <c r="AU26" i="6"/>
  <c r="AU20" i="6"/>
  <c r="AU25" i="6"/>
  <c r="AU34" i="6"/>
  <c r="AU21" i="6"/>
  <c r="AU32" i="6"/>
  <c r="AU27" i="6"/>
  <c r="BF18" i="6" a="1"/>
  <c r="BF18" i="6" s="1"/>
  <c r="BF30" i="6" a="1"/>
  <c r="BF30" i="6" s="1"/>
  <c r="BF33" i="6" a="1"/>
  <c r="BF33" i="6" s="1"/>
  <c r="BF28" i="6" a="1"/>
  <c r="BF28" i="6" s="1"/>
  <c r="BF29" i="6" a="1"/>
  <c r="BF29" i="6" s="1"/>
  <c r="BF34" i="6" a="1"/>
  <c r="BF34" i="6" s="1"/>
  <c r="BF31" i="6" a="1"/>
  <c r="BF31" i="6" s="1"/>
  <c r="BF27" i="6" a="1"/>
  <c r="BF27" i="6" s="1"/>
  <c r="BF32" i="6" a="1"/>
  <c r="BF32" i="6" s="1"/>
  <c r="BF20" i="6" a="1"/>
  <c r="BF20" i="6" s="1"/>
  <c r="BF26" i="6" a="1"/>
  <c r="BF26" i="6" s="1"/>
  <c r="BF21" i="6" a="1"/>
  <c r="BF21" i="6" s="1"/>
  <c r="BF35" i="6" a="1"/>
  <c r="BF35" i="6" s="1"/>
  <c r="BF25" i="6" a="1"/>
  <c r="BF25" i="6" s="1"/>
  <c r="AJ16" i="6"/>
  <c r="AJ17" i="6"/>
  <c r="B22" i="9"/>
  <c r="P12" i="9"/>
  <c r="AA69" i="10"/>
  <c r="AA74" i="10" s="1"/>
  <c r="BF12" i="6"/>
  <c r="AU12" i="6"/>
  <c r="AK13" i="6"/>
  <c r="BG13" i="6"/>
  <c r="BG36" i="6" s="1" a="1"/>
  <c r="BG36" i="6" s="1"/>
  <c r="AE12" i="8"/>
  <c r="AK13" i="12"/>
  <c r="AV13" i="6"/>
  <c r="AV36" i="6" s="1"/>
  <c r="Q12" i="10"/>
  <c r="Q11" i="10" s="1" a="1"/>
  <c r="Q11" i="10" s="1"/>
  <c r="BC38" i="6" l="1" a="1"/>
  <c r="BC38" i="6" s="1"/>
  <c r="AZ38" i="6" a="1"/>
  <c r="AZ38" i="6" s="1"/>
  <c r="M43" i="6"/>
  <c r="BD43" i="6" s="1" a="1"/>
  <c r="BD43" i="6" s="1"/>
  <c r="AF40" i="6"/>
  <c r="AE40" i="6"/>
  <c r="AD40" i="6"/>
  <c r="AB40" i="6"/>
  <c r="AY40" i="6" a="1"/>
  <c r="AY40" i="6" s="1"/>
  <c r="AR40" i="6"/>
  <c r="AS40" i="6"/>
  <c r="AO40" i="6"/>
  <c r="BB40" i="6" a="1"/>
  <c r="BB40" i="6" s="1"/>
  <c r="AO38" i="6"/>
  <c r="AU38" i="6"/>
  <c r="AP40" i="6"/>
  <c r="BC40" i="6" a="1"/>
  <c r="BC40" i="6" s="1"/>
  <c r="AC38" i="6"/>
  <c r="AM38" i="6"/>
  <c r="BF38" i="6" a="1"/>
  <c r="BF38" i="6" s="1"/>
  <c r="AC40" i="6"/>
  <c r="AI40" i="6"/>
  <c r="AX40" i="6" a="1"/>
  <c r="AX40" i="6" s="1"/>
  <c r="AZ40" i="6" a="1"/>
  <c r="AZ40" i="6" s="1"/>
  <c r="AH40" i="6"/>
  <c r="AG40" i="6"/>
  <c r="AE38" i="6"/>
  <c r="AD38" i="6"/>
  <c r="BD38" i="6" a="1"/>
  <c r="BD38" i="6" s="1"/>
  <c r="AR38" i="6"/>
  <c r="BA38" i="6" a="1"/>
  <c r="BA38" i="6" s="1"/>
  <c r="AU39" i="6"/>
  <c r="AF42" i="6"/>
  <c r="BE40" i="6" a="1"/>
  <c r="BE40" i="6" s="1"/>
  <c r="AM40" i="6"/>
  <c r="AX39" i="6" a="1"/>
  <c r="AX39" i="6" s="1"/>
  <c r="AS42" i="6"/>
  <c r="BB38" i="6" a="1"/>
  <c r="BB38" i="6" s="1"/>
  <c r="AQ40" i="6"/>
  <c r="AN40" i="6"/>
  <c r="AT40" i="6"/>
  <c r="AU41" i="6"/>
  <c r="AB39" i="6"/>
  <c r="AP39" i="6"/>
  <c r="AE42" i="6"/>
  <c r="BE38" i="6" a="1"/>
  <c r="BE38" i="6" s="1"/>
  <c r="BF39" i="6" a="1"/>
  <c r="BF39" i="6" s="1"/>
  <c r="BC39" i="6" a="1"/>
  <c r="BC39" i="6" s="1"/>
  <c r="AQ42" i="6"/>
  <c r="BB39" i="6" a="1"/>
  <c r="BB39" i="6" s="1"/>
  <c r="BF40" i="6" a="1"/>
  <c r="BF40" i="6" s="1"/>
  <c r="AJ40" i="6"/>
  <c r="BA40" i="6" a="1"/>
  <c r="BA40" i="6" s="1"/>
  <c r="AX38" i="6" a="1"/>
  <c r="AX38" i="6" s="1"/>
  <c r="AJ38" i="6"/>
  <c r="AU40" i="6"/>
  <c r="AQ38" i="6"/>
  <c r="AR37" i="6"/>
  <c r="AF39" i="6"/>
  <c r="AC39" i="6"/>
  <c r="AT39" i="6"/>
  <c r="AF37" i="6"/>
  <c r="AT37" i="6"/>
  <c r="AB38" i="6"/>
  <c r="AN38" i="6"/>
  <c r="AJ37" i="6"/>
  <c r="AN39" i="6"/>
  <c r="AZ39" i="6" a="1"/>
  <c r="AZ39" i="6" s="1"/>
  <c r="BB37" i="6" a="1"/>
  <c r="BB37" i="6" s="1"/>
  <c r="AP38" i="6"/>
  <c r="AE37" i="6"/>
  <c r="AU37" i="6"/>
  <c r="BE37" i="6" a="1"/>
  <c r="BE37" i="6" s="1"/>
  <c r="AQ37" i="6"/>
  <c r="AR39" i="6"/>
  <c r="AP37" i="6"/>
  <c r="AS38" i="6"/>
  <c r="BE39" i="6" a="1"/>
  <c r="BE39" i="6" s="1"/>
  <c r="AY39" i="6" a="1"/>
  <c r="AY39" i="6" s="1"/>
  <c r="AX37" i="6" a="1"/>
  <c r="AX37" i="6" s="1"/>
  <c r="AM39" i="6"/>
  <c r="AH38" i="6"/>
  <c r="AH39" i="6"/>
  <c r="BD39" i="6" a="1"/>
  <c r="BD39" i="6" s="1"/>
  <c r="BA37" i="6" a="1"/>
  <c r="BA37" i="6" s="1"/>
  <c r="AG38" i="6"/>
  <c r="AY38" i="6" a="1"/>
  <c r="AY38" i="6" s="1"/>
  <c r="AG39" i="6"/>
  <c r="AO39" i="6"/>
  <c r="BC37" i="6" a="1"/>
  <c r="BC37" i="6" s="1"/>
  <c r="AF38" i="6"/>
  <c r="AT38" i="6"/>
  <c r="AD37" i="6"/>
  <c r="AN37" i="6"/>
  <c r="AO37" i="6"/>
  <c r="AC37" i="6"/>
  <c r="AS39" i="6"/>
  <c r="AM37" i="6"/>
  <c r="AJ39" i="6"/>
  <c r="AB37" i="6"/>
  <c r="AE39" i="6"/>
  <c r="AQ39" i="6"/>
  <c r="AD39" i="6"/>
  <c r="BA39" i="6" a="1"/>
  <c r="BA39" i="6" s="1"/>
  <c r="AS37" i="6"/>
  <c r="AM41" i="6"/>
  <c r="AR41" i="6"/>
  <c r="AP42" i="6"/>
  <c r="AY42" i="6" a="1"/>
  <c r="AY42" i="6" s="1"/>
  <c r="AF41" i="6"/>
  <c r="AZ42" i="6" a="1"/>
  <c r="AZ42" i="6" s="1"/>
  <c r="AD41" i="6"/>
  <c r="AD42" i="6"/>
  <c r="AJ41" i="6"/>
  <c r="AU42" i="6"/>
  <c r="BC42" i="6" a="1"/>
  <c r="BC42" i="6" s="1"/>
  <c r="AY37" i="6" a="1"/>
  <c r="AY37" i="6" s="1"/>
  <c r="BA41" i="6" a="1"/>
  <c r="BA41" i="6" s="1"/>
  <c r="BD37" i="6" a="1"/>
  <c r="BD37" i="6" s="1"/>
  <c r="AB41" i="6"/>
  <c r="BC41" i="6" a="1"/>
  <c r="BC41" i="6" s="1"/>
  <c r="BF42" i="6" a="1"/>
  <c r="BF42" i="6" s="1"/>
  <c r="AC42" i="6"/>
  <c r="AJ42" i="6"/>
  <c r="AB42" i="6"/>
  <c r="AS41" i="6"/>
  <c r="AT42" i="6"/>
  <c r="BD41" i="6" a="1"/>
  <c r="BD41" i="6" s="1"/>
  <c r="AP41" i="6"/>
  <c r="AY41" i="6" a="1"/>
  <c r="AY41" i="6" s="1"/>
  <c r="AC41" i="6"/>
  <c r="BE42" i="6" a="1"/>
  <c r="BE42" i="6" s="1"/>
  <c r="AH37" i="6"/>
  <c r="BF37" i="6" a="1"/>
  <c r="BF37" i="6" s="1"/>
  <c r="BF41" i="6" a="1"/>
  <c r="BF41" i="6" s="1"/>
  <c r="BE41" i="6" a="1"/>
  <c r="BE41" i="6" s="1"/>
  <c r="AR42" i="6"/>
  <c r="BD42" i="6" a="1"/>
  <c r="BD42" i="6" s="1"/>
  <c r="AX41" i="6" a="1"/>
  <c r="AX41" i="6" s="1"/>
  <c r="AG41" i="6"/>
  <c r="AE41" i="6"/>
  <c r="AG37" i="6"/>
  <c r="AZ37" i="6" a="1"/>
  <c r="AZ37" i="6" s="1"/>
  <c r="AN41" i="6"/>
  <c r="AT41" i="6"/>
  <c r="AM42" i="6"/>
  <c r="AX42" i="6" a="1"/>
  <c r="AX42" i="6" s="1"/>
  <c r="BB42" i="6" a="1"/>
  <c r="BB42" i="6" s="1"/>
  <c r="AO42" i="6"/>
  <c r="AO41" i="6"/>
  <c r="AH42" i="6"/>
  <c r="BA42" i="6" a="1"/>
  <c r="BA42" i="6" s="1"/>
  <c r="AZ41" i="6" a="1"/>
  <c r="AZ41" i="6" s="1"/>
  <c r="AH41" i="6"/>
  <c r="BB41" i="6" a="1"/>
  <c r="BB41" i="6" s="1"/>
  <c r="AQ41" i="6"/>
  <c r="AG42" i="6"/>
  <c r="AN42" i="6"/>
  <c r="BG38" i="6" a="1"/>
  <c r="BG38" i="6" s="1"/>
  <c r="BG40" i="6" a="1"/>
  <c r="BG40" i="6" s="1"/>
  <c r="AV41" i="6"/>
  <c r="BG37" i="6" a="1"/>
  <c r="BG37" i="6" s="1"/>
  <c r="BG41" i="6" a="1"/>
  <c r="BG41" i="6" s="1"/>
  <c r="BG42" i="6" a="1"/>
  <c r="BG42" i="6" s="1"/>
  <c r="BG39" i="6" a="1"/>
  <c r="BG39" i="6" s="1"/>
  <c r="AV42" i="6"/>
  <c r="AV40" i="6"/>
  <c r="AV37" i="6"/>
  <c r="AV38" i="6"/>
  <c r="AV39" i="6"/>
  <c r="AV24" i="6"/>
  <c r="AV23" i="6"/>
  <c r="BG19" i="6" a="1"/>
  <c r="BG19" i="6" s="1"/>
  <c r="BG23" i="6" a="1"/>
  <c r="BG23" i="6" s="1"/>
  <c r="BG24" i="6" a="1"/>
  <c r="BG24" i="6" s="1"/>
  <c r="AV22" i="6"/>
  <c r="AV19" i="6"/>
  <c r="BG22" i="6" a="1"/>
  <c r="BG22" i="6" s="1"/>
  <c r="AV33" i="6"/>
  <c r="AV29" i="6"/>
  <c r="AV18" i="6"/>
  <c r="AV30" i="6"/>
  <c r="AV28" i="6"/>
  <c r="AV31" i="6"/>
  <c r="AV34" i="6"/>
  <c r="AV26" i="6"/>
  <c r="AV32" i="6"/>
  <c r="AV20" i="6"/>
  <c r="AV21" i="6"/>
  <c r="AV25" i="6"/>
  <c r="AV35" i="6"/>
  <c r="AV27" i="6"/>
  <c r="B23" i="9"/>
  <c r="BG29" i="6" a="1"/>
  <c r="BG29" i="6" s="1"/>
  <c r="BG18" i="6" a="1"/>
  <c r="BG18" i="6" s="1"/>
  <c r="BG30" i="6" a="1"/>
  <c r="BG30" i="6" s="1"/>
  <c r="BG28" i="6" a="1"/>
  <c r="BG28" i="6" s="1"/>
  <c r="BG33" i="6" a="1"/>
  <c r="BG33" i="6" s="1"/>
  <c r="BG31" i="6" a="1"/>
  <c r="BG31" i="6" s="1"/>
  <c r="BG34" i="6" a="1"/>
  <c r="BG34" i="6" s="1"/>
  <c r="BG20" i="6" a="1"/>
  <c r="BG20" i="6" s="1"/>
  <c r="BG32" i="6" a="1"/>
  <c r="BG32" i="6" s="1"/>
  <c r="BG27" i="6" a="1"/>
  <c r="BG27" i="6" s="1"/>
  <c r="BG21" i="6" a="1"/>
  <c r="BG21" i="6" s="1"/>
  <c r="BG35" i="6" a="1"/>
  <c r="BG35" i="6" s="1"/>
  <c r="BG26" i="6" a="1"/>
  <c r="BG26" i="6" s="1"/>
  <c r="BG25" i="6" a="1"/>
  <c r="BG25" i="6" s="1"/>
  <c r="AK12" i="6"/>
  <c r="Q12" i="9"/>
  <c r="AC69" i="10"/>
  <c r="AC74" i="10" s="1"/>
  <c r="BG12" i="6"/>
  <c r="AV12" i="6"/>
  <c r="AF12" i="8"/>
  <c r="AL13" i="12"/>
  <c r="R12" i="10"/>
  <c r="R11" i="10" s="1" a="1"/>
  <c r="R11" i="10" s="1"/>
  <c r="BF43" i="6" l="1" a="1"/>
  <c r="BF43" i="6" s="1"/>
  <c r="AY43" i="6" a="1"/>
  <c r="AY43" i="6" s="1"/>
  <c r="AG43" i="6"/>
  <c r="AH43" i="6"/>
  <c r="AT43" i="6"/>
  <c r="AX43" i="6" a="1"/>
  <c r="AX43" i="6" s="1"/>
  <c r="AC43" i="6"/>
  <c r="BC43" i="6" a="1"/>
  <c r="BC43" i="6" s="1"/>
  <c r="BG43" i="6" a="1"/>
  <c r="BG43" i="6" s="1"/>
  <c r="BB43" i="6" a="1"/>
  <c r="BB43" i="6" s="1"/>
  <c r="AS43" i="6"/>
  <c r="AM43" i="6"/>
  <c r="AB43" i="6"/>
  <c r="AV43" i="6"/>
  <c r="AD43" i="6"/>
  <c r="AO43" i="6"/>
  <c r="BA43" i="6" a="1"/>
  <c r="BA43" i="6" s="1"/>
  <c r="AZ43" i="6" a="1"/>
  <c r="AZ43" i="6" s="1"/>
  <c r="AQ43" i="6"/>
  <c r="AJ43" i="6"/>
  <c r="AU43" i="6"/>
  <c r="AF43" i="6"/>
  <c r="AR43" i="6"/>
  <c r="BE43" i="6" a="1"/>
  <c r="BE43" i="6" s="1"/>
  <c r="AP43" i="6"/>
  <c r="AN43" i="6"/>
  <c r="AE43" i="6"/>
  <c r="AI43" i="6"/>
  <c r="M45" i="6"/>
  <c r="AK45" i="6" s="1"/>
  <c r="M44" i="6"/>
  <c r="AK44" i="6" s="1"/>
  <c r="AK36" i="6"/>
  <c r="AK37" i="6"/>
  <c r="AK38" i="6"/>
  <c r="AK39" i="6"/>
  <c r="AK40" i="6"/>
  <c r="AK41" i="6"/>
  <c r="AK42" i="6"/>
  <c r="AK43" i="6"/>
  <c r="AK23" i="6"/>
  <c r="AK24" i="6"/>
  <c r="AK22" i="6"/>
  <c r="AK19" i="6"/>
  <c r="B24" i="9"/>
  <c r="AK16" i="6"/>
  <c r="AK17" i="6"/>
  <c r="R12" i="9"/>
  <c r="AE69" i="10"/>
  <c r="AE74" i="10" s="1"/>
  <c r="AM13" i="12"/>
  <c r="S12" i="10"/>
  <c r="S11" i="10" s="1" a="1"/>
  <c r="S11" i="10" s="1"/>
  <c r="M46" i="6" l="1"/>
  <c r="AO46" i="6" s="1"/>
  <c r="L46" i="12" a="1"/>
  <c r="L46" i="12" s="1"/>
  <c r="J46" i="12" a="1"/>
  <c r="J46" i="12" s="1"/>
  <c r="BF45" i="6" a="1"/>
  <c r="BF45" i="6" s="1"/>
  <c r="AE45" i="6"/>
  <c r="BB45" i="6" a="1"/>
  <c r="BB45" i="6" s="1"/>
  <c r="AP45" i="6"/>
  <c r="AF45" i="6"/>
  <c r="BC45" i="6" a="1"/>
  <c r="BC45" i="6" s="1"/>
  <c r="AR45" i="6"/>
  <c r="AD45" i="6"/>
  <c r="AS45" i="6"/>
  <c r="AM45" i="6"/>
  <c r="BG45" i="6" a="1"/>
  <c r="BG45" i="6" s="1"/>
  <c r="AX45" i="6" a="1"/>
  <c r="AX45" i="6" s="1"/>
  <c r="BD45" i="6" a="1"/>
  <c r="BD45" i="6" s="1"/>
  <c r="AH45" i="6"/>
  <c r="AB45" i="6"/>
  <c r="AG45" i="6"/>
  <c r="AZ45" i="6" a="1"/>
  <c r="AZ45" i="6" s="1"/>
  <c r="AT45" i="6"/>
  <c r="BA45" i="6" a="1"/>
  <c r="BA45" i="6" s="1"/>
  <c r="AQ45" i="6"/>
  <c r="AI45" i="6"/>
  <c r="AC45" i="6"/>
  <c r="BE45" i="6" a="1"/>
  <c r="BE45" i="6" s="1"/>
  <c r="AV45" i="6"/>
  <c r="AN45" i="6"/>
  <c r="AU45" i="6"/>
  <c r="AO45" i="6"/>
  <c r="AJ45" i="6"/>
  <c r="AY45" i="6" a="1"/>
  <c r="AY45" i="6" s="1"/>
  <c r="AI44" i="6"/>
  <c r="AP44" i="6"/>
  <c r="AB44" i="6"/>
  <c r="AS44" i="6"/>
  <c r="AM44" i="6"/>
  <c r="AT44" i="6"/>
  <c r="AJ44" i="6"/>
  <c r="AX44" i="6" a="1"/>
  <c r="AX44" i="6" s="1"/>
  <c r="AG44" i="6"/>
  <c r="AQ44" i="6"/>
  <c r="BG44" i="6" a="1"/>
  <c r="BG44" i="6" s="1"/>
  <c r="AH44" i="6"/>
  <c r="AZ44" i="6" a="1"/>
  <c r="AZ44" i="6" s="1"/>
  <c r="AY44" i="6" a="1"/>
  <c r="AY44" i="6" s="1"/>
  <c r="AO44" i="6"/>
  <c r="AV44" i="6"/>
  <c r="AN44" i="6"/>
  <c r="BC44" i="6" a="1"/>
  <c r="BC44" i="6" s="1"/>
  <c r="BB44" i="6" a="1"/>
  <c r="BB44" i="6" s="1"/>
  <c r="BF44" i="6" a="1"/>
  <c r="BF44" i="6" s="1"/>
  <c r="AD44" i="6"/>
  <c r="AF44" i="6"/>
  <c r="BD44" i="6" a="1"/>
  <c r="BD44" i="6" s="1"/>
  <c r="AE44" i="6"/>
  <c r="BA44" i="6" a="1"/>
  <c r="BA44" i="6" s="1"/>
  <c r="AR44" i="6"/>
  <c r="AU44" i="6"/>
  <c r="AC44" i="6"/>
  <c r="BE44" i="6" a="1"/>
  <c r="BE44" i="6" s="1"/>
  <c r="J39" i="12" a="1"/>
  <c r="J39" i="12" s="1"/>
  <c r="J44" i="12" a="1"/>
  <c r="J44" i="12" s="1"/>
  <c r="L40" i="12" a="1"/>
  <c r="L40" i="12" s="1"/>
  <c r="L41" i="12" a="1"/>
  <c r="L41" i="12" s="1"/>
  <c r="L38" i="12" a="1"/>
  <c r="L38" i="12" s="1"/>
  <c r="L36" i="12" a="1"/>
  <c r="L36" i="12" s="1"/>
  <c r="L44" i="12" a="1"/>
  <c r="L44" i="12" s="1"/>
  <c r="J43" i="12" a="1"/>
  <c r="J43" i="12" s="1"/>
  <c r="L43" i="12" a="1"/>
  <c r="L43" i="12" s="1"/>
  <c r="J40" i="12" a="1"/>
  <c r="J40" i="12" s="1"/>
  <c r="J41" i="12" a="1"/>
  <c r="J41" i="12" s="1"/>
  <c r="L39" i="12" a="1"/>
  <c r="L39" i="12" s="1"/>
  <c r="J38" i="12" a="1"/>
  <c r="J38" i="12" s="1"/>
  <c r="J37" i="12" a="1"/>
  <c r="J37" i="12" s="1"/>
  <c r="J36" i="12" a="1"/>
  <c r="J36" i="12" s="1"/>
  <c r="L37" i="12" a="1"/>
  <c r="L37" i="12" s="1"/>
  <c r="J23" i="12" a="1"/>
  <c r="J23" i="12" s="1"/>
  <c r="J24" i="12" a="1"/>
  <c r="J24" i="12" s="1"/>
  <c r="L23" i="12" a="1"/>
  <c r="L23" i="12" s="1"/>
  <c r="L24" i="12" a="1"/>
  <c r="L24" i="12" s="1"/>
  <c r="L22" i="12" a="1"/>
  <c r="L22" i="12" s="1"/>
  <c r="J22" i="12" a="1"/>
  <c r="J22" i="12" s="1"/>
  <c r="L29" i="12" a="1"/>
  <c r="L29" i="12" s="1"/>
  <c r="L18" i="12" a="1"/>
  <c r="L18" i="12" s="1"/>
  <c r="J30" i="12" a="1"/>
  <c r="J30" i="12" s="1"/>
  <c r="J29" i="12" a="1"/>
  <c r="J29" i="12" s="1"/>
  <c r="J28" i="12" a="1"/>
  <c r="J28" i="12" s="1"/>
  <c r="L30" i="12" a="1"/>
  <c r="L30" i="12" s="1"/>
  <c r="L27" i="12" a="1"/>
  <c r="L27" i="12" s="1"/>
  <c r="L28" i="12" a="1"/>
  <c r="L28" i="12" s="1"/>
  <c r="J32" i="12" a="1"/>
  <c r="J32" i="12" s="1"/>
  <c r="J18" i="12" a="1"/>
  <c r="J18" i="12" s="1"/>
  <c r="J27" i="12" a="1"/>
  <c r="J27" i="12" s="1"/>
  <c r="J31" i="12" a="1"/>
  <c r="J31" i="12" s="1"/>
  <c r="J21" i="12" a="1"/>
  <c r="J21" i="12" s="1"/>
  <c r="L21" i="12" a="1"/>
  <c r="L21" i="12" s="1"/>
  <c r="J34" i="12" a="1"/>
  <c r="J34" i="12" s="1"/>
  <c r="L31" i="12" a="1"/>
  <c r="L31" i="12" s="1"/>
  <c r="L34" i="12" a="1"/>
  <c r="L34" i="12" s="1"/>
  <c r="L32" i="12" a="1"/>
  <c r="L32" i="12" s="1"/>
  <c r="L33" i="12" a="1"/>
  <c r="L33" i="12" s="1"/>
  <c r="J33" i="12" a="1"/>
  <c r="J33" i="12" s="1"/>
  <c r="B25" i="9"/>
  <c r="AO7" i="12" a="1"/>
  <c r="AO7" i="12" s="1"/>
  <c r="L14" i="12" a="1"/>
  <c r="L14" i="12" s="1"/>
  <c r="J14" i="12" a="1"/>
  <c r="J14" i="12" s="1"/>
  <c r="S12" i="9"/>
  <c r="T12" i="10"/>
  <c r="T11" i="10" s="1" a="1"/>
  <c r="T11" i="10" s="1"/>
  <c r="AE46" i="6" l="1"/>
  <c r="AD46" i="6"/>
  <c r="AV46" i="6"/>
  <c r="AT46" i="6"/>
  <c r="AQ46" i="6"/>
  <c r="BF46" i="6" a="1"/>
  <c r="BF46" i="6" s="1"/>
  <c r="BB46" i="6" a="1"/>
  <c r="BB46" i="6" s="1"/>
  <c r="AR46" i="6"/>
  <c r="AS46" i="6"/>
  <c r="AX46" i="6" a="1"/>
  <c r="AX46" i="6" s="1"/>
  <c r="AK46" i="6"/>
  <c r="BG46" i="6" a="1"/>
  <c r="BG46" i="6" s="1"/>
  <c r="AJ46" i="6"/>
  <c r="AN46" i="6"/>
  <c r="AI46" i="6"/>
  <c r="AU46" i="6"/>
  <c r="AH46" i="6"/>
  <c r="BE46" i="6" a="1"/>
  <c r="BE46" i="6" s="1"/>
  <c r="AG46" i="6"/>
  <c r="AF46" i="6"/>
  <c r="AP46" i="6"/>
  <c r="BC46" i="6" a="1"/>
  <c r="BC46" i="6" s="1"/>
  <c r="AC46" i="6"/>
  <c r="AY46" i="6" a="1"/>
  <c r="AY46" i="6" s="1"/>
  <c r="AB46" i="6"/>
  <c r="BD46" i="6" a="1"/>
  <c r="BD46" i="6" s="1"/>
  <c r="AZ46" i="6" a="1"/>
  <c r="AZ46" i="6" s="1"/>
  <c r="AM46" i="6"/>
  <c r="BA46" i="6" a="1"/>
  <c r="BA46" i="6" s="1"/>
  <c r="K46" i="12"/>
  <c r="K43" i="12"/>
  <c r="K44" i="12"/>
  <c r="K36" i="12"/>
  <c r="K39" i="12"/>
  <c r="K37" i="12"/>
  <c r="K38" i="12"/>
  <c r="K41" i="12"/>
  <c r="K40" i="12"/>
  <c r="K23" i="12"/>
  <c r="K24" i="12"/>
  <c r="K22" i="12"/>
  <c r="K28" i="12"/>
  <c r="K34" i="12"/>
  <c r="K18" i="12"/>
  <c r="K29" i="12"/>
  <c r="K27" i="12"/>
  <c r="K31" i="12"/>
  <c r="B26" i="9"/>
  <c r="K21" i="12"/>
  <c r="K33" i="12"/>
  <c r="K32" i="12"/>
  <c r="K30" i="12"/>
  <c r="T12" i="9"/>
  <c r="K14" i="12"/>
  <c r="U12" i="10"/>
  <c r="U11" i="10" s="1" a="1"/>
  <c r="U11" i="10" s="1"/>
  <c r="B27" i="9" l="1"/>
  <c r="U12" i="9"/>
  <c r="V12" i="10"/>
  <c r="V11" i="10" s="1" a="1"/>
  <c r="V11" i="10" s="1"/>
  <c r="B28" i="9" l="1"/>
  <c r="V12" i="9"/>
  <c r="W12" i="10"/>
  <c r="W11" i="10" s="1" a="1"/>
  <c r="W11" i="10" s="1"/>
  <c r="B29" i="9" l="1"/>
  <c r="W12" i="9"/>
  <c r="X12" i="10"/>
  <c r="X11" i="10" s="1" a="1"/>
  <c r="X11" i="10" s="1"/>
  <c r="B30" i="9" l="1"/>
  <c r="X12" i="9"/>
  <c r="Y12" i="10"/>
  <c r="Y11" i="10" s="1" a="1"/>
  <c r="Y11" i="10" s="1"/>
  <c r="B31" i="9" l="1"/>
  <c r="Y12" i="9"/>
  <c r="Z12" i="10"/>
  <c r="Z11" i="10" s="1" a="1"/>
  <c r="Z11" i="10" s="1"/>
  <c r="B32" i="9" l="1"/>
  <c r="Z12" i="9"/>
  <c r="AA12" i="10"/>
  <c r="AA11" i="10" s="1" a="1"/>
  <c r="AA11" i="10" s="1"/>
  <c r="B33" i="9" l="1"/>
  <c r="AA12" i="9"/>
  <c r="AB12" i="10"/>
  <c r="AB11" i="10" s="1" a="1"/>
  <c r="AB11" i="10" s="1"/>
  <c r="B34" i="9" l="1"/>
  <c r="AB12" i="9"/>
  <c r="AC12" i="10"/>
  <c r="AC11" i="10" s="1" a="1"/>
  <c r="AC11" i="10" s="1"/>
  <c r="B35" i="9" l="1"/>
  <c r="AC12" i="9"/>
  <c r="AD12" i="10"/>
  <c r="AD11" i="10" s="1" a="1"/>
  <c r="AD11" i="10" s="1"/>
  <c r="B36" i="9" l="1"/>
  <c r="AD12" i="9"/>
  <c r="AE12" i="10"/>
  <c r="AE11" i="10" s="1" a="1"/>
  <c r="AE11" i="10" s="1"/>
  <c r="B37" i="9" l="1"/>
  <c r="AE12" i="9"/>
  <c r="AF12" i="10"/>
  <c r="AF11" i="10" s="1" a="1"/>
  <c r="AF11" i="10" s="1"/>
  <c r="B38" i="9" l="1"/>
  <c r="M1" i="6"/>
  <c r="J46" i="6" s="1" a="1"/>
  <c r="J46" i="6" s="1"/>
  <c r="J36" i="6" l="1" a="1"/>
  <c r="J36" i="6" s="1"/>
  <c r="J37" i="6" a="1"/>
  <c r="J37" i="6" s="1"/>
  <c r="J38" i="6" a="1"/>
  <c r="J38" i="6" s="1"/>
  <c r="J39" i="6" a="1"/>
  <c r="J39" i="6" s="1"/>
  <c r="J40" i="6" a="1"/>
  <c r="J40" i="6" s="1"/>
  <c r="J41" i="6" a="1"/>
  <c r="J41" i="6" s="1"/>
  <c r="J42" i="6" a="1"/>
  <c r="J42" i="6" s="1"/>
  <c r="J43" i="6" a="1"/>
  <c r="J43" i="6" s="1"/>
  <c r="J44" i="6" a="1"/>
  <c r="J44" i="6" s="1"/>
  <c r="J45" i="6" a="1"/>
  <c r="J45" i="6" s="1"/>
  <c r="J19" i="6" a="1"/>
  <c r="J19" i="6" s="1"/>
  <c r="J23" i="6" a="1"/>
  <c r="J23" i="6" s="1"/>
  <c r="J24" i="6" a="1"/>
  <c r="J24" i="6" s="1"/>
  <c r="J22" i="6" a="1"/>
  <c r="J22" i="6" s="1"/>
  <c r="B39" i="9"/>
  <c r="J16" i="6" a="1"/>
  <c r="J16" i="6" s="1"/>
  <c r="J17" i="6" a="1"/>
  <c r="J17" i="6" s="1"/>
  <c r="J18" i="6" a="1"/>
  <c r="J18" i="6" s="1"/>
  <c r="J20" i="6" a="1"/>
  <c r="J20" i="6" s="1"/>
  <c r="J21" i="6" a="1"/>
  <c r="J21" i="6" s="1"/>
  <c r="J25" i="6" a="1"/>
  <c r="J25" i="6" s="1"/>
  <c r="J26" i="6" a="1"/>
  <c r="J26" i="6" s="1"/>
  <c r="J27" i="6" a="1"/>
  <c r="J27" i="6" s="1"/>
  <c r="J28" i="6" a="1"/>
  <c r="J28" i="6" s="1"/>
  <c r="J29" i="6" a="1"/>
  <c r="J29" i="6" s="1"/>
  <c r="J30" i="6" a="1"/>
  <c r="J30" i="6" s="1"/>
  <c r="J31" i="6" a="1"/>
  <c r="J31" i="6" s="1"/>
  <c r="H29" i="6" a="1"/>
  <c r="H29" i="6" s="1"/>
  <c r="H32" i="6" a="1"/>
  <c r="H32" i="6" s="1"/>
  <c r="H31" i="6" a="1"/>
  <c r="H31" i="6" s="1"/>
  <c r="H21" i="6" a="1"/>
  <c r="H21" i="6" s="1"/>
  <c r="H30" i="6" a="1"/>
  <c r="H30" i="6" s="1"/>
  <c r="H18" i="6" a="1"/>
  <c r="H18" i="6" s="1"/>
  <c r="H25" i="6" a="1"/>
  <c r="H25" i="6" s="1"/>
  <c r="H26" i="6" a="1"/>
  <c r="H26" i="6" s="1"/>
  <c r="J32" i="6" a="1"/>
  <c r="J32" i="6" s="1"/>
  <c r="H27" i="6" a="1"/>
  <c r="H27" i="6" s="1"/>
  <c r="H28" i="6" a="1"/>
  <c r="H28" i="6" s="1"/>
  <c r="H20" i="6" a="1"/>
  <c r="H20" i="6" s="1"/>
  <c r="J33" i="6" a="1"/>
  <c r="J33" i="6" s="1"/>
  <c r="H33" i="6" a="1"/>
  <c r="H33" i="6" s="1"/>
  <c r="J34" i="6" a="1"/>
  <c r="J34" i="6" s="1"/>
  <c r="H34" i="6" a="1"/>
  <c r="H34" i="6" s="1"/>
  <c r="J35" i="6" a="1"/>
  <c r="J35" i="6" s="1"/>
  <c r="H35" i="6" a="1"/>
  <c r="H35"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7" i="5" l="1"/>
  <c r="AB27" i="6"/>
  <c r="AC27" i="6"/>
  <c r="AD27" i="6"/>
  <c r="AF27" i="6"/>
  <c r="AE27" i="6"/>
  <c r="AG27" i="6"/>
  <c r="AH27" i="6"/>
  <c r="AI27" i="6"/>
  <c r="AJ27" i="6"/>
  <c r="AK27" i="6"/>
  <c r="B40" i="9"/>
  <c r="T26" i="5"/>
  <c r="AB26" i="6"/>
  <c r="AC26" i="6"/>
  <c r="AD26" i="6"/>
  <c r="AE26" i="6"/>
  <c r="AF26" i="6"/>
  <c r="AG26" i="6"/>
  <c r="AH26" i="6"/>
  <c r="AI26" i="6"/>
  <c r="AJ26" i="6"/>
  <c r="AK26" i="6"/>
  <c r="T34" i="5"/>
  <c r="AB34" i="6"/>
  <c r="AC34" i="6"/>
  <c r="AD34" i="6"/>
  <c r="AF34" i="6"/>
  <c r="AE34" i="6"/>
  <c r="AG34" i="6"/>
  <c r="AH34" i="6"/>
  <c r="AI34" i="6"/>
  <c r="AJ34" i="6"/>
  <c r="AK34" i="6"/>
  <c r="T30" i="5"/>
  <c r="AB30" i="6"/>
  <c r="AC30" i="6"/>
  <c r="AD30" i="6"/>
  <c r="AF30" i="6"/>
  <c r="AE30" i="6"/>
  <c r="AG30" i="6"/>
  <c r="AH30" i="6"/>
  <c r="AI30" i="6"/>
  <c r="AJ30" i="6"/>
  <c r="AK30" i="6"/>
  <c r="T21" i="5"/>
  <c r="AB21" i="6"/>
  <c r="AC21" i="6"/>
  <c r="AD21" i="6"/>
  <c r="AF21" i="6"/>
  <c r="AE21" i="6"/>
  <c r="AG21" i="6"/>
  <c r="AH21" i="6"/>
  <c r="AI21" i="6"/>
  <c r="AJ21" i="6"/>
  <c r="AK21" i="6"/>
  <c r="T33" i="5"/>
  <c r="AB33" i="6"/>
  <c r="AC33" i="6"/>
  <c r="AD33" i="6"/>
  <c r="AE33" i="6"/>
  <c r="AF33" i="6"/>
  <c r="AG33" i="6"/>
  <c r="AH33" i="6"/>
  <c r="AI33" i="6"/>
  <c r="AJ33" i="6"/>
  <c r="AK33" i="6"/>
  <c r="T31" i="5"/>
  <c r="AB31" i="6"/>
  <c r="AC31" i="6"/>
  <c r="AD31" i="6"/>
  <c r="AF31" i="6"/>
  <c r="AE31" i="6"/>
  <c r="AG31" i="6"/>
  <c r="AH31" i="6"/>
  <c r="AI31" i="6"/>
  <c r="AJ31" i="6"/>
  <c r="AK31" i="6"/>
  <c r="T35" i="5"/>
  <c r="AB35" i="6"/>
  <c r="AC35" i="6"/>
  <c r="AD35" i="6"/>
  <c r="AF35" i="6"/>
  <c r="AE35" i="6"/>
  <c r="AG35" i="6"/>
  <c r="AH35" i="6"/>
  <c r="AI35" i="6"/>
  <c r="AJ35" i="6"/>
  <c r="AK35" i="6"/>
  <c r="T32" i="5"/>
  <c r="AB32" i="6"/>
  <c r="AC32" i="6"/>
  <c r="AD32" i="6"/>
  <c r="AF32" i="6"/>
  <c r="AE32" i="6"/>
  <c r="AG32" i="6"/>
  <c r="AH32" i="6"/>
  <c r="AI32" i="6"/>
  <c r="AJ32" i="6"/>
  <c r="AK32" i="6"/>
  <c r="T25" i="5"/>
  <c r="AB25" i="6"/>
  <c r="AC25" i="6"/>
  <c r="AD25" i="6"/>
  <c r="AF25" i="6"/>
  <c r="AE25" i="6"/>
  <c r="AG25" i="6"/>
  <c r="AH25" i="6"/>
  <c r="AI25" i="6"/>
  <c r="AJ25" i="6"/>
  <c r="AK25" i="6"/>
  <c r="T18" i="5"/>
  <c r="AB18" i="6"/>
  <c r="AC18" i="6"/>
  <c r="AD18" i="6"/>
  <c r="AF18" i="6"/>
  <c r="AE18" i="6"/>
  <c r="AG18" i="6"/>
  <c r="AH18" i="6"/>
  <c r="AI18" i="6"/>
  <c r="AJ18" i="6"/>
  <c r="AK18" i="6"/>
  <c r="T20" i="5"/>
  <c r="AB20" i="6"/>
  <c r="AC20" i="6"/>
  <c r="AD20" i="6"/>
  <c r="AF20" i="6"/>
  <c r="AE20" i="6"/>
  <c r="AG20" i="6"/>
  <c r="AH20" i="6"/>
  <c r="AI20" i="6"/>
  <c r="AJ20" i="6"/>
  <c r="AK20" i="6"/>
  <c r="T29" i="5"/>
  <c r="AB29" i="6"/>
  <c r="AC29" i="6"/>
  <c r="AD29" i="6"/>
  <c r="AF29" i="6"/>
  <c r="AE29" i="6"/>
  <c r="AG29" i="6"/>
  <c r="AH29" i="6"/>
  <c r="AI29" i="6"/>
  <c r="AJ29" i="6"/>
  <c r="AK29" i="6"/>
  <c r="T28" i="5"/>
  <c r="AB28" i="6"/>
  <c r="AC28" i="6"/>
  <c r="AD28" i="6"/>
  <c r="AE28" i="6"/>
  <c r="AF28" i="6"/>
  <c r="AG28" i="6"/>
  <c r="AH28" i="6"/>
  <c r="AI28" i="6"/>
  <c r="AJ28" i="6"/>
  <c r="AK28" i="6"/>
  <c r="I10" i="7"/>
  <c r="K13" i="7"/>
  <c r="L13" i="7" s="1"/>
  <c r="J10" i="7"/>
  <c r="G20" i="12" l="1" a="1"/>
  <c r="G20" i="12" s="1"/>
  <c r="B41" i="9"/>
  <c r="G29" i="12" a="1"/>
  <c r="G29" i="12" s="1"/>
  <c r="G34" i="12" a="1"/>
  <c r="G34" i="12" s="1"/>
  <c r="G21" i="12" a="1"/>
  <c r="G21" i="12" s="1"/>
  <c r="G30" i="12" a="1"/>
  <c r="G30" i="12" s="1"/>
  <c r="G25" i="12" a="1"/>
  <c r="G25" i="12" s="1"/>
  <c r="G35" i="12" a="1"/>
  <c r="G35" i="12" s="1"/>
  <c r="G33" i="12" a="1"/>
  <c r="G33" i="12" s="1"/>
  <c r="G18" i="12" a="1"/>
  <c r="G18" i="12" s="1"/>
  <c r="G31" i="12" a="1"/>
  <c r="G31" i="12" s="1"/>
  <c r="G28" i="12" a="1"/>
  <c r="G28" i="12" s="1"/>
  <c r="G32" i="12" a="1"/>
  <c r="G32" i="12" s="1"/>
  <c r="G26" i="12" a="1"/>
  <c r="G26" i="12" s="1"/>
  <c r="G27" i="12" a="1"/>
  <c r="G27" i="12" s="1"/>
  <c r="M13" i="7"/>
  <c r="L10" i="7"/>
  <c r="B42" i="9" l="1"/>
  <c r="N13" i="7"/>
  <c r="M10" i="7"/>
  <c r="B43" i="9" l="1"/>
  <c r="O13" i="7"/>
  <c r="N10" i="7"/>
  <c r="B44" i="9" l="1"/>
  <c r="P13" i="7"/>
  <c r="O10" i="7"/>
  <c r="B45" i="9" l="1"/>
  <c r="Q13" i="7"/>
  <c r="P10" i="7"/>
  <c r="B46" i="9" l="1"/>
  <c r="R13" i="7"/>
  <c r="Q10" i="7"/>
  <c r="B47" i="9" l="1"/>
  <c r="S13" i="7"/>
  <c r="R10" i="7"/>
  <c r="B48" i="9" l="1"/>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B26" i="7" l="1"/>
  <c r="C27" i="7" a="1"/>
  <c r="C27" i="7" s="1"/>
  <c r="B27" i="10"/>
  <c r="B28" i="10" l="1"/>
  <c r="B27" i="7"/>
  <c r="C28" i="7" a="1"/>
  <c r="C28" i="7" s="1"/>
  <c r="B29" i="10" l="1"/>
  <c r="C29" i="7" a="1"/>
  <c r="C29" i="7" s="1"/>
  <c r="B28" i="7"/>
  <c r="B30" i="10" l="1"/>
  <c r="C30" i="7" a="1"/>
  <c r="C30" i="7" s="1"/>
  <c r="B29" i="7"/>
  <c r="O15" i="12" a="1"/>
  <c r="O15" i="12" s="1"/>
  <c r="M15" i="12" a="1"/>
  <c r="M15" i="12" s="1"/>
  <c r="J14" i="6" a="1"/>
  <c r="J14" i="6" s="1"/>
  <c r="B31" i="10" l="1"/>
  <c r="C31" i="7" a="1"/>
  <c r="C31" i="7" s="1"/>
  <c r="B30" i="7"/>
  <c r="I15" i="12" a="1"/>
  <c r="I15" i="12" s="1"/>
  <c r="J15" i="12" a="1"/>
  <c r="J15" i="12" s="1"/>
  <c r="L15" i="12" a="1"/>
  <c r="L15" i="12" s="1"/>
  <c r="C32" i="7" l="1" a="1"/>
  <c r="C32" i="7" s="1"/>
  <c r="B31" i="7"/>
  <c r="B32" i="10"/>
  <c r="K15" i="12"/>
  <c r="N15" i="12"/>
  <c r="P10" i="12"/>
  <c r="O10" i="12" s="1"/>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X14" i="5" a="1"/>
  <c r="X14" i="5" s="1"/>
  <c r="C36" i="7" l="1" a="1"/>
  <c r="C36" i="7" s="1"/>
  <c r="B35" i="7"/>
  <c r="B36" i="10"/>
  <c r="I14" i="5"/>
  <c r="I14" i="12"/>
  <c r="L14" i="5"/>
  <c r="AM14" i="5"/>
  <c r="Z14" i="5"/>
  <c r="C37" i="7" l="1" a="1"/>
  <c r="C37" i="7" s="1"/>
  <c r="B36" i="7"/>
  <c r="B37" i="10"/>
  <c r="O14" i="5"/>
  <c r="AA14" i="5" a="1"/>
  <c r="AA14" i="5" s="1"/>
  <c r="AB14" i="5" a="1"/>
  <c r="AB14" i="5" s="1"/>
  <c r="AO14" i="12" a="1"/>
  <c r="AO14" i="12" s="1"/>
  <c r="C14" i="12"/>
  <c r="M14" i="12" a="1"/>
  <c r="M14" i="12" s="1"/>
  <c r="O14" i="12" a="1"/>
  <c r="O14" i="12" s="1"/>
  <c r="C38" i="7" l="1" a="1"/>
  <c r="C38" i="7" s="1"/>
  <c r="B37" i="7"/>
  <c r="B38" i="10"/>
  <c r="N14" i="12"/>
  <c r="Y14" i="12"/>
  <c r="D14" i="12"/>
  <c r="C39" i="7" l="1" a="1"/>
  <c r="C39" i="7" s="1"/>
  <c r="B38" i="7"/>
  <c r="B39" i="10"/>
  <c r="W14" i="12" a="1"/>
  <c r="W14" i="12" s="1"/>
  <c r="X14" i="12" a="1"/>
  <c r="X14" i="12" s="1"/>
  <c r="B40" i="10" l="1"/>
  <c r="B39" i="7"/>
  <c r="C40" i="7" a="1"/>
  <c r="C40" i="7" s="1"/>
  <c r="U14" i="12"/>
  <c r="V14" i="12" a="1"/>
  <c r="V14" i="12" s="1"/>
  <c r="T14" i="12"/>
  <c r="B40" i="7" l="1"/>
  <c r="C41" i="7" a="1"/>
  <c r="C41" i="7" s="1"/>
  <c r="B41" i="10"/>
  <c r="AG14" i="5" a="1"/>
  <c r="AG14" i="5" s="1"/>
  <c r="S14" i="5" a="1"/>
  <c r="S14" i="5" s="1"/>
  <c r="F14" i="12" s="1" a="1"/>
  <c r="F14" i="12" s="1"/>
  <c r="C42" i="7" l="1" a="1"/>
  <c r="C42" i="7" s="1"/>
  <c r="B41" i="7"/>
  <c r="B42" i="10"/>
  <c r="E14" i="12"/>
  <c r="AC14" i="5" a="1"/>
  <c r="AC14" i="5" s="1"/>
  <c r="C43" i="7" l="1" a="1"/>
  <c r="C43" i="7" s="1"/>
  <c r="B42" i="7"/>
  <c r="B43" i="10"/>
  <c r="I1" i="7" a="1"/>
  <c r="I1" i="7" s="1"/>
  <c r="B43" i="7" l="1"/>
  <c r="C44" i="7" a="1"/>
  <c r="C44" i="7" s="1"/>
  <c r="B44" i="10"/>
  <c r="F1" i="7"/>
  <c r="E1" i="7" a="1"/>
  <c r="E1" i="7" s="1"/>
  <c r="H1" i="7" a="1"/>
  <c r="H1" i="7" s="1"/>
  <c r="I14" i="7"/>
  <c r="B44" i="7" l="1"/>
  <c r="C45" i="7" a="1"/>
  <c r="C45" i="7" s="1"/>
  <c r="B45" i="10"/>
  <c r="I74" i="10"/>
  <c r="F14" i="7"/>
  <c r="H14" i="7"/>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B46" i="7" l="1"/>
  <c r="C47" i="7" a="1"/>
  <c r="C47" i="7" s="1"/>
  <c r="B47" i="10"/>
  <c r="F6" i="7"/>
  <c r="D1" i="2"/>
  <c r="B48" i="10" l="1"/>
  <c r="C48" i="7" a="1"/>
  <c r="C48" i="7" s="1"/>
  <c r="B47" i="7"/>
  <c r="B49" i="10" l="1"/>
  <c r="C49" i="7" a="1"/>
  <c r="C49" i="7" s="1"/>
  <c r="B48" i="7"/>
  <c r="J10" i="13"/>
  <c r="B50" i="10" l="1"/>
  <c r="C50" i="7" a="1"/>
  <c r="C50" i="7" s="1"/>
  <c r="B49" i="7"/>
  <c r="B51" i="10" l="1"/>
  <c r="C51" i="7" a="1"/>
  <c r="C51" i="7" s="1"/>
  <c r="B50" i="7"/>
  <c r="B52" i="10" l="1"/>
  <c r="C52" i="7" a="1"/>
  <c r="C52" i="7" s="1"/>
  <c r="B51" i="7"/>
  <c r="B52" i="7" l="1"/>
  <c r="C53" i="7" a="1"/>
  <c r="C53" i="7" s="1"/>
  <c r="B53" i="10"/>
  <c r="B54" i="10" l="1"/>
  <c r="C54" i="7" a="1"/>
  <c r="C54" i="7" s="1"/>
  <c r="B53" i="7"/>
  <c r="B54" i="7" l="1"/>
  <c r="C55" i="7" a="1"/>
  <c r="C55" i="7" s="1"/>
  <c r="B55" i="10"/>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L47" i="6" l="1"/>
  <c r="A5" i="5"/>
  <c r="J25" i="5" l="1"/>
  <c r="K25" i="5"/>
  <c r="K26" i="5"/>
  <c r="J26" i="5"/>
  <c r="F23" i="8" a="1"/>
  <c r="F23" i="8" s="1"/>
  <c r="F17" i="8" a="1"/>
  <c r="F17" i="8" s="1"/>
  <c r="F18" i="8" s="1"/>
  <c r="F20" i="8" a="1"/>
  <c r="F20" i="8" s="1"/>
  <c r="F29" i="8" a="1"/>
  <c r="F29" i="8" s="1"/>
  <c r="F26" i="8" a="1"/>
  <c r="F26" i="8" s="1"/>
  <c r="F14" i="8" a="1"/>
  <c r="F14" i="8" s="1"/>
  <c r="F15" i="8" s="1"/>
  <c r="F32" i="8" a="1"/>
  <c r="F32" i="8" s="1"/>
  <c r="F1" i="8" a="1"/>
  <c r="F1" i="8" s="1"/>
  <c r="F2" i="8" s="1"/>
  <c r="J17" i="5"/>
  <c r="K17" i="5"/>
  <c r="B21" i="11"/>
  <c r="A21" i="13"/>
  <c r="B16" i="11"/>
  <c r="A20" i="13"/>
  <c r="A23" i="13"/>
  <c r="A18" i="13"/>
  <c r="A15" i="13"/>
  <c r="B22" i="11"/>
  <c r="B23" i="11"/>
  <c r="A16" i="13"/>
  <c r="A19" i="13"/>
  <c r="A17" i="13"/>
  <c r="B19" i="11"/>
  <c r="B17" i="11"/>
  <c r="B20" i="11"/>
  <c r="B18" i="11"/>
  <c r="B15" i="11"/>
  <c r="K16" i="5"/>
  <c r="J16" i="5"/>
  <c r="A22" i="13"/>
  <c r="B12" i="11"/>
  <c r="A12" i="13"/>
  <c r="D25" i="5" l="1"/>
  <c r="B25" i="12" s="1"/>
  <c r="D26" i="5"/>
  <c r="B26" i="12" s="1"/>
  <c r="AO19" i="13"/>
  <c r="AL19" i="13"/>
  <c r="AL12" i="13"/>
  <c r="AO12" i="13"/>
  <c r="AO16" i="13"/>
  <c r="AL16" i="13"/>
  <c r="AL22" i="13"/>
  <c r="AO22" i="13"/>
  <c r="AL18" i="13"/>
  <c r="AO18" i="13"/>
  <c r="AO23" i="13"/>
  <c r="AL23" i="13"/>
  <c r="AO20" i="13"/>
  <c r="AL20" i="13"/>
  <c r="AO21" i="13"/>
  <c r="AL21" i="13"/>
  <c r="AL17" i="13"/>
  <c r="AO17" i="13"/>
  <c r="B20" i="13"/>
  <c r="AG20" i="13" s="1" a="1"/>
  <c r="AG20" i="13" s="1"/>
  <c r="AE20" i="13"/>
  <c r="AD20" i="13" a="1"/>
  <c r="AD20" i="13" s="1"/>
  <c r="AB16" i="11" a="1"/>
  <c r="AB16" i="11" s="1"/>
  <c r="N16" i="11" s="1"/>
  <c r="K16" i="11" a="1"/>
  <c r="K16" i="11" s="1"/>
  <c r="J16" i="13" s="1"/>
  <c r="AA16" i="11" a="1"/>
  <c r="AA16" i="11" s="1"/>
  <c r="G16" i="11"/>
  <c r="F16" i="13" s="1"/>
  <c r="C16" i="13"/>
  <c r="O16" i="11" a="1"/>
  <c r="O16" i="11" s="1"/>
  <c r="C17" i="13"/>
  <c r="AB17" i="11" a="1"/>
  <c r="AB17" i="11" s="1"/>
  <c r="N17" i="11" s="1"/>
  <c r="K17" i="11" a="1"/>
  <c r="K17" i="11" s="1"/>
  <c r="J17" i="13" s="1"/>
  <c r="G17" i="11"/>
  <c r="F17" i="13" s="1"/>
  <c r="AA17" i="11" a="1"/>
  <c r="AA17" i="11" s="1"/>
  <c r="O17" i="11" a="1"/>
  <c r="O17" i="11" s="1"/>
  <c r="O18" i="11" a="1"/>
  <c r="O18" i="11" s="1"/>
  <c r="AB18" i="11" a="1"/>
  <c r="AB18" i="11" s="1"/>
  <c r="N18" i="11" s="1"/>
  <c r="AA18" i="11" a="1"/>
  <c r="AA18" i="11" s="1"/>
  <c r="C18" i="13"/>
  <c r="G18" i="11"/>
  <c r="F18" i="13" s="1"/>
  <c r="K18" i="11" a="1"/>
  <c r="K18" i="11" s="1"/>
  <c r="J18" i="13" s="1"/>
  <c r="AA21" i="11" a="1"/>
  <c r="AA21" i="11" s="1"/>
  <c r="G21" i="11"/>
  <c r="F21" i="13" s="1"/>
  <c r="C21" i="13"/>
  <c r="AB21" i="11" a="1"/>
  <c r="AB21" i="11" s="1"/>
  <c r="N21" i="11" s="1"/>
  <c r="O21" i="11" a="1"/>
  <c r="O21" i="11" s="1"/>
  <c r="K21" i="11" a="1"/>
  <c r="K21" i="11" s="1"/>
  <c r="J21" i="13" s="1"/>
  <c r="J14" i="8"/>
  <c r="M14" i="8"/>
  <c r="Q14" i="8" s="1"/>
  <c r="O19" i="11" a="1"/>
  <c r="O19" i="11" s="1"/>
  <c r="C19" i="13"/>
  <c r="AA19" i="11" a="1"/>
  <c r="AA19" i="11" s="1"/>
  <c r="AB19" i="11" a="1"/>
  <c r="AB19" i="11" s="1"/>
  <c r="N19" i="11" s="1"/>
  <c r="G19" i="11"/>
  <c r="F19" i="13" s="1"/>
  <c r="K19" i="11" a="1"/>
  <c r="K19" i="11" s="1"/>
  <c r="J19" i="13" s="1"/>
  <c r="B17" i="13"/>
  <c r="AF17" i="13" s="1" a="1"/>
  <c r="AF17" i="13" s="1"/>
  <c r="B12" i="13"/>
  <c r="AM12" i="13" s="1" a="1"/>
  <c r="AM12" i="13" s="1"/>
  <c r="AH12" i="13"/>
  <c r="C20" i="13"/>
  <c r="K20" i="11" a="1"/>
  <c r="K20" i="11" s="1"/>
  <c r="J20" i="13" s="1"/>
  <c r="G20" i="11"/>
  <c r="F20" i="13" s="1"/>
  <c r="O20" i="11" a="1"/>
  <c r="O20" i="11" s="1"/>
  <c r="AB20" i="11" a="1"/>
  <c r="AB20" i="11" s="1"/>
  <c r="N20" i="11" s="1"/>
  <c r="AA20" i="11" a="1"/>
  <c r="AA20" i="11" s="1"/>
  <c r="B21" i="13"/>
  <c r="AC21" i="13" s="1" a="1"/>
  <c r="AC21" i="13" s="1"/>
  <c r="B19" i="13"/>
  <c r="AG19" i="13" s="1" a="1"/>
  <c r="AG19" i="13" s="1"/>
  <c r="B16" i="13"/>
  <c r="AC16" i="13" s="1" a="1"/>
  <c r="AC16" i="13" s="1"/>
  <c r="C12" i="13"/>
  <c r="O12" i="11" a="1"/>
  <c r="O12" i="11" s="1"/>
  <c r="AA12" i="11" a="1"/>
  <c r="AA12" i="11" s="1"/>
  <c r="AB12" i="11" a="1"/>
  <c r="AB12" i="11" s="1"/>
  <c r="N12" i="11" s="1"/>
  <c r="K12" i="11" a="1"/>
  <c r="K12" i="11" s="1"/>
  <c r="J12" i="13" s="1"/>
  <c r="G12" i="11"/>
  <c r="F12" i="13" s="1"/>
  <c r="C23" i="13"/>
  <c r="AB23" i="11" a="1"/>
  <c r="AB23" i="11" s="1"/>
  <c r="N23" i="11" s="1"/>
  <c r="K23" i="11" a="1"/>
  <c r="K23" i="11" s="1"/>
  <c r="J23" i="13" s="1"/>
  <c r="G23" i="11"/>
  <c r="F23" i="13" s="1"/>
  <c r="O23" i="11" a="1"/>
  <c r="O23" i="11" s="1"/>
  <c r="AA23" i="11" a="1"/>
  <c r="AA23" i="11" s="1"/>
  <c r="J17" i="8"/>
  <c r="M17" i="8"/>
  <c r="P17" i="8" s="1"/>
  <c r="AB22" i="11" a="1"/>
  <c r="AB22" i="11" s="1"/>
  <c r="N22" i="11" s="1"/>
  <c r="K22" i="11" a="1"/>
  <c r="K22" i="11" s="1"/>
  <c r="J22" i="13" s="1"/>
  <c r="AA22" i="11" a="1"/>
  <c r="AA22" i="11" s="1"/>
  <c r="G22" i="11"/>
  <c r="F22" i="13" s="1"/>
  <c r="O22" i="11" a="1"/>
  <c r="O22" i="11" s="1"/>
  <c r="C22" i="13"/>
  <c r="B22" i="13"/>
  <c r="AD22" i="13" s="1" a="1"/>
  <c r="AD22" i="13" s="1"/>
  <c r="B15" i="13"/>
  <c r="AC15" i="13" s="1" a="1"/>
  <c r="AC15" i="13" s="1"/>
  <c r="N1" i="8"/>
  <c r="M1" i="8"/>
  <c r="O1" i="8"/>
  <c r="Q1" i="8"/>
  <c r="J1" i="8"/>
  <c r="P1" i="8"/>
  <c r="I1" i="8"/>
  <c r="S1" i="8"/>
  <c r="B18" i="13"/>
  <c r="AG18" i="13" s="1" a="1"/>
  <c r="AG18" i="13" s="1"/>
  <c r="D16" i="5"/>
  <c r="G15" i="11"/>
  <c r="F15" i="13" s="1"/>
  <c r="C15" i="13"/>
  <c r="K15" i="11" a="1"/>
  <c r="K15" i="11" s="1"/>
  <c r="J15" i="13" s="1"/>
  <c r="F10" i="8" a="1"/>
  <c r="F10" i="8" s="1"/>
  <c r="B23" i="13"/>
  <c r="AE23" i="13" s="1"/>
  <c r="D17" i="5"/>
  <c r="AJ17" i="13" l="1" a="1"/>
  <c r="AJ17" i="13" s="1"/>
  <c r="AM23" i="13" a="1"/>
  <c r="AM23" i="13" s="1"/>
  <c r="AJ16" i="13" a="1"/>
  <c r="AJ16" i="13" s="1"/>
  <c r="AJ20" i="13" a="1"/>
  <c r="AJ20" i="13" s="1"/>
  <c r="AN18" i="13" a="1"/>
  <c r="AN18" i="13" s="1"/>
  <c r="AK12" i="13" a="1"/>
  <c r="AK12" i="13" s="1"/>
  <c r="AK17" i="13" a="1"/>
  <c r="AK17" i="13" s="1"/>
  <c r="AJ22" i="13" a="1"/>
  <c r="AJ22" i="13" s="1"/>
  <c r="AN12" i="13" a="1"/>
  <c r="AN12" i="13" s="1"/>
  <c r="AM17" i="13" a="1"/>
  <c r="AM17" i="13" s="1"/>
  <c r="AN20" i="13" a="1"/>
  <c r="AN20" i="13" s="1"/>
  <c r="AN22" i="13" a="1"/>
  <c r="AN22" i="13" s="1"/>
  <c r="AJ12" i="13" a="1"/>
  <c r="AJ12" i="13" s="1"/>
  <c r="AM18" i="13" a="1"/>
  <c r="AM18" i="13" s="1"/>
  <c r="AM22" i="13" a="1"/>
  <c r="AM22" i="13" s="1"/>
  <c r="AK20" i="13" a="1"/>
  <c r="AK20" i="13" s="1"/>
  <c r="AK18" i="13" a="1"/>
  <c r="AK18" i="13" s="1"/>
  <c r="AM20" i="13" a="1"/>
  <c r="AM20" i="13" s="1"/>
  <c r="AJ18" i="13" a="1"/>
  <c r="AJ18" i="13" s="1"/>
  <c r="AK22" i="13" a="1"/>
  <c r="AK22" i="13" s="1"/>
  <c r="AJ23" i="13" a="1"/>
  <c r="AJ23" i="13" s="1"/>
  <c r="AK19" i="13" a="1"/>
  <c r="AK19" i="13" s="1"/>
  <c r="AM21" i="13" a="1"/>
  <c r="AM21" i="13" s="1"/>
  <c r="AN16" i="13" a="1"/>
  <c r="AN16" i="13" s="1"/>
  <c r="AM19" i="13" a="1"/>
  <c r="AM19" i="13" s="1"/>
  <c r="AJ21" i="13" a="1"/>
  <c r="AJ21" i="13" s="1"/>
  <c r="AN23" i="13" a="1"/>
  <c r="AN23" i="13" s="1"/>
  <c r="AM16" i="13" a="1"/>
  <c r="AM16" i="13" s="1"/>
  <c r="AN19" i="13" a="1"/>
  <c r="AN19" i="13" s="1"/>
  <c r="AN21" i="13" a="1"/>
  <c r="AN21" i="13" s="1"/>
  <c r="AK16" i="13" a="1"/>
  <c r="AK16" i="13" s="1"/>
  <c r="AN17" i="13" a="1"/>
  <c r="AN17" i="13" s="1"/>
  <c r="AK21" i="13" a="1"/>
  <c r="AK21" i="13" s="1"/>
  <c r="AK23" i="13" a="1"/>
  <c r="AK23" i="13" s="1"/>
  <c r="AJ19" i="13" a="1"/>
  <c r="AJ19" i="13" s="1"/>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Q17" i="8"/>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P22" i="11"/>
  <c r="L22" i="13"/>
  <c r="C22" i="11"/>
  <c r="Z22" i="11"/>
  <c r="AE16" i="13"/>
  <c r="AE21" i="13"/>
  <c r="AD12" i="13" a="1"/>
  <c r="AD12" i="13" s="1"/>
  <c r="K16" i="13" a="1"/>
  <c r="K16" i="13" s="1"/>
  <c r="U16" i="13"/>
  <c r="T16" i="13"/>
  <c r="M16" i="13"/>
  <c r="R16" i="13"/>
  <c r="O16" i="13"/>
  <c r="S16" i="13"/>
  <c r="AH16" i="13"/>
  <c r="AC19" i="13" a="1"/>
  <c r="AC19" i="13" s="1"/>
  <c r="AH21" i="13"/>
  <c r="AG12" i="13" a="1"/>
  <c r="AG12" i="13" s="1"/>
  <c r="Z21" i="11"/>
  <c r="C21" i="11"/>
  <c r="L21" i="13"/>
  <c r="P21" i="11"/>
  <c r="C18" i="11"/>
  <c r="L18" i="13"/>
  <c r="Z18" i="11"/>
  <c r="P18" i="11"/>
  <c r="AF16" i="13" a="1"/>
  <c r="AF16" i="13" s="1"/>
  <c r="AC12" i="13" a="1"/>
  <c r="AC12" i="13" s="1"/>
  <c r="O12" i="13"/>
  <c r="K12" i="13" a="1"/>
  <c r="K12" i="13" s="1"/>
  <c r="R12" i="13"/>
  <c r="S12" i="13"/>
  <c r="M12" i="13"/>
  <c r="U12" i="13"/>
  <c r="T12" i="13"/>
  <c r="AD19" i="13" a="1"/>
  <c r="AD19" i="13" s="1"/>
  <c r="R19" i="13"/>
  <c r="O19" i="13"/>
  <c r="K19" i="13" a="1"/>
  <c r="K19" i="13" s="1"/>
  <c r="T19" i="13"/>
  <c r="S19" i="13"/>
  <c r="M19" i="13"/>
  <c r="U19" i="13"/>
  <c r="O14" i="8"/>
  <c r="C17" i="11"/>
  <c r="P17" i="11"/>
  <c r="L17" i="13"/>
  <c r="Z17" i="11"/>
  <c r="S19" i="8"/>
  <c r="F21" i="8"/>
  <c r="Z20" i="11"/>
  <c r="C20" i="11"/>
  <c r="P20" i="11"/>
  <c r="L20" i="13"/>
  <c r="P19" i="11"/>
  <c r="Z19" i="11"/>
  <c r="L19" i="13"/>
  <c r="C19" i="11"/>
  <c r="C23" i="11"/>
  <c r="Z23" i="11"/>
  <c r="P23" i="11"/>
  <c r="L23" i="13"/>
  <c r="S3" i="8"/>
  <c r="A1" i="8"/>
  <c r="R1" i="8"/>
  <c r="G1" i="8"/>
  <c r="G2" i="8" s="1" a="1"/>
  <c r="G2" i="8" s="1"/>
  <c r="H1" i="8" a="1"/>
  <c r="H1" i="8" s="1"/>
  <c r="J2" i="8" s="1"/>
  <c r="H2" i="8" a="1"/>
  <c r="H2" i="8" s="1"/>
  <c r="AG21" i="13" a="1"/>
  <c r="AG21" i="13" s="1"/>
  <c r="K20" i="13" a="1"/>
  <c r="K20" i="13" s="1"/>
  <c r="U20" i="13"/>
  <c r="T20" i="13"/>
  <c r="S20" i="13"/>
  <c r="R20" i="13"/>
  <c r="O20" i="13"/>
  <c r="M20" i="13"/>
  <c r="A14" i="8"/>
  <c r="S16" i="8"/>
  <c r="B16" i="12"/>
  <c r="B14" i="13"/>
  <c r="D15" i="5"/>
  <c r="AC22" i="13" a="1"/>
  <c r="AC22" i="13" s="1"/>
  <c r="AG22" i="13" a="1"/>
  <c r="AG22" i="13" s="1"/>
  <c r="AF21" i="13" a="1"/>
  <c r="AF21" i="13" s="1"/>
  <c r="AF12" i="13" a="1"/>
  <c r="AF12" i="13" s="1"/>
  <c r="K18" i="13" a="1"/>
  <c r="K18" i="13" s="1"/>
  <c r="U18" i="13"/>
  <c r="O18" i="13"/>
  <c r="M18" i="13"/>
  <c r="S18" i="13"/>
  <c r="R18" i="13"/>
  <c r="T18" i="13"/>
  <c r="R17" i="13"/>
  <c r="O17" i="13"/>
  <c r="U17" i="13"/>
  <c r="T17" i="13"/>
  <c r="S17" i="13"/>
  <c r="M17" i="13"/>
  <c r="K17" i="13" a="1"/>
  <c r="K17" i="13" s="1"/>
  <c r="R21" i="13"/>
  <c r="O21" i="13"/>
  <c r="M21" i="13"/>
  <c r="K21" i="13" a="1"/>
  <c r="K21" i="13" s="1"/>
  <c r="U21" i="13"/>
  <c r="T21" i="13"/>
  <c r="S21" i="13"/>
  <c r="C12" i="11"/>
  <c r="P12" i="11"/>
  <c r="Z12" i="11"/>
  <c r="L12" i="13"/>
  <c r="B17" i="12"/>
  <c r="AD16" i="13" a="1"/>
  <c r="AD16" i="13" s="1"/>
  <c r="K15" i="13" a="1"/>
  <c r="K15" i="13" s="1"/>
  <c r="K22" i="13" a="1"/>
  <c r="K22" i="13" s="1"/>
  <c r="U22" i="13"/>
  <c r="T22" i="13"/>
  <c r="M22" i="13"/>
  <c r="S22" i="13"/>
  <c r="R22" i="13"/>
  <c r="O22" i="13"/>
  <c r="R23" i="13"/>
  <c r="O23" i="13"/>
  <c r="U23" i="13"/>
  <c r="T23" i="13"/>
  <c r="S23" i="13"/>
  <c r="M23" i="13"/>
  <c r="K23" i="13" a="1"/>
  <c r="K23" i="13" s="1"/>
  <c r="AE12" i="13"/>
  <c r="P14" i="8"/>
  <c r="P16" i="11"/>
  <c r="L16" i="13"/>
  <c r="C16" i="11"/>
  <c r="Z16" i="11"/>
  <c r="P23" i="13" l="1"/>
  <c r="N23" i="13"/>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D20" i="13"/>
  <c r="P12" i="13"/>
  <c r="N12" i="13"/>
  <c r="D18" i="13"/>
  <c r="P17" i="13"/>
  <c r="N17" i="13"/>
  <c r="D17" i="13"/>
  <c r="P19" i="13"/>
  <c r="N19" i="13"/>
  <c r="N22" i="13"/>
  <c r="P22" i="13"/>
  <c r="N16" i="13"/>
  <c r="P16" i="13"/>
  <c r="D22" i="13"/>
  <c r="D19" i="13"/>
  <c r="J20" i="8"/>
  <c r="M20" i="8"/>
  <c r="P21" i="13"/>
  <c r="N21" i="13"/>
  <c r="D23" i="13"/>
  <c r="D21" i="13"/>
  <c r="D16" i="13"/>
  <c r="D12" i="13"/>
  <c r="V12" i="13"/>
  <c r="N18" i="13"/>
  <c r="P18" i="13"/>
  <c r="P20" i="13"/>
  <c r="N20" i="13"/>
  <c r="Q20" i="8" l="1"/>
  <c r="S22" i="8"/>
  <c r="F24" i="8"/>
  <c r="P20" i="8"/>
  <c r="M23" i="8" l="1"/>
  <c r="Q23" i="8" l="1"/>
  <c r="P23" i="8"/>
  <c r="S25" i="8"/>
  <c r="F27" i="8"/>
  <c r="M26" i="8" l="1"/>
  <c r="S28" i="8" l="1"/>
  <c r="F30" i="8"/>
  <c r="Q26" i="8"/>
  <c r="P26" i="8"/>
  <c r="M29" i="8" l="1"/>
  <c r="J29" i="8"/>
  <c r="C16" i="9"/>
  <c r="F16" i="9" s="1"/>
  <c r="A16" i="9"/>
  <c r="A17" i="9"/>
  <c r="A19" i="9"/>
  <c r="A18" i="9"/>
  <c r="C18" i="9"/>
  <c r="F18" i="9" s="1"/>
  <c r="C23" i="9"/>
  <c r="F23" i="9" s="1"/>
  <c r="A23" i="9"/>
  <c r="A20" i="9"/>
  <c r="A22" i="9"/>
  <c r="C22" i="9"/>
  <c r="F22" i="9" s="1"/>
  <c r="A21" i="9"/>
  <c r="C21" i="9"/>
  <c r="F21" i="9" s="1"/>
  <c r="C24" i="9"/>
  <c r="F24" i="9" s="1"/>
  <c r="C25" i="9"/>
  <c r="F25" i="9" s="1"/>
  <c r="A27" i="9"/>
  <c r="A26" i="9"/>
  <c r="C26" i="9"/>
  <c r="F26" i="9" s="1"/>
  <c r="A24" i="9"/>
  <c r="A25" i="9"/>
  <c r="C27" i="9"/>
  <c r="F27" i="9" s="1"/>
  <c r="A30" i="9"/>
  <c r="A28" i="9"/>
  <c r="A31" i="9"/>
  <c r="C28" i="9"/>
  <c r="F28" i="9" s="1"/>
  <c r="C30" i="9"/>
  <c r="F30" i="9" s="1"/>
  <c r="C29" i="9"/>
  <c r="F29" i="9" s="1"/>
  <c r="A29" i="9"/>
  <c r="A33" i="9"/>
  <c r="A32" i="9"/>
  <c r="C32" i="9"/>
  <c r="F32" i="9" s="1"/>
  <c r="C31" i="9"/>
  <c r="F31" i="9" s="1"/>
  <c r="C33" i="9"/>
  <c r="F33" i="9" s="1"/>
  <c r="C36" i="9"/>
  <c r="F36" i="9" s="1"/>
  <c r="A35" i="9"/>
  <c r="C35" i="9"/>
  <c r="F35" i="9" s="1"/>
  <c r="C34" i="9"/>
  <c r="F34" i="9" s="1"/>
  <c r="A34" i="9"/>
  <c r="A36" i="9"/>
  <c r="A37" i="9"/>
  <c r="A40" i="9"/>
  <c r="C40" i="9"/>
  <c r="F40" i="9" s="1"/>
  <c r="C38" i="9"/>
  <c r="F38" i="9" s="1"/>
  <c r="C37" i="9"/>
  <c r="F37" i="9" s="1"/>
  <c r="A39" i="9"/>
  <c r="A38" i="9"/>
  <c r="C39" i="9"/>
  <c r="F39" i="9" s="1"/>
  <c r="A41" i="9"/>
  <c r="C41" i="9"/>
  <c r="F41" i="9" s="1"/>
  <c r="C43" i="9"/>
  <c r="F43" i="9" s="1"/>
  <c r="A42" i="9"/>
  <c r="C45" i="9"/>
  <c r="F45" i="9" s="1"/>
  <c r="C42" i="9"/>
  <c r="F42" i="9" s="1"/>
  <c r="A43" i="9"/>
  <c r="C44" i="9"/>
  <c r="F44" i="9" s="1"/>
  <c r="A47" i="9"/>
  <c r="A45" i="9"/>
  <c r="A44" i="9"/>
  <c r="C47" i="9"/>
  <c r="F47" i="9" s="1"/>
  <c r="C46" i="9"/>
  <c r="F46" i="9" s="1"/>
  <c r="A46" i="9"/>
  <c r="C49" i="9"/>
  <c r="F49" i="9" s="1"/>
  <c r="C48" i="9"/>
  <c r="F48" i="9" s="1"/>
  <c r="A48" i="9"/>
  <c r="A49" i="9"/>
  <c r="C51" i="9"/>
  <c r="F51" i="9" s="1"/>
  <c r="A50" i="9"/>
  <c r="A51" i="9"/>
  <c r="C50" i="9"/>
  <c r="F50" i="9" s="1"/>
  <c r="C54" i="9"/>
  <c r="F54" i="9" s="1"/>
  <c r="A52" i="9"/>
  <c r="C53" i="9"/>
  <c r="F53" i="9" s="1"/>
  <c r="C52" i="9"/>
  <c r="F52" i="9" s="1"/>
  <c r="A53" i="9"/>
  <c r="A54" i="9"/>
  <c r="C16" i="10"/>
  <c r="A16" i="10" s="1"/>
  <c r="C55" i="9"/>
  <c r="F55" i="9" s="1"/>
  <c r="A55" i="9"/>
  <c r="A57" i="9"/>
  <c r="C56" i="9"/>
  <c r="F56" i="9" s="1"/>
  <c r="C18" i="10"/>
  <c r="A18" i="10" s="1"/>
  <c r="A56" i="9"/>
  <c r="A58" i="9"/>
  <c r="C57" i="9"/>
  <c r="F57" i="9" s="1"/>
  <c r="C21" i="10"/>
  <c r="A21" i="10" s="1"/>
  <c r="A59" i="9"/>
  <c r="C59" i="9"/>
  <c r="F59" i="9" s="1"/>
  <c r="C23" i="10"/>
  <c r="A23" i="10" s="1"/>
  <c r="C58" i="9"/>
  <c r="F58" i="9" s="1"/>
  <c r="A61" i="9"/>
  <c r="C60" i="9"/>
  <c r="F60" i="9" s="1"/>
  <c r="C22" i="10"/>
  <c r="A22" i="10" s="1"/>
  <c r="A60" i="9"/>
  <c r="C24" i="10"/>
  <c r="A24" i="10" s="1"/>
  <c r="C61" i="9"/>
  <c r="F61" i="9" s="1"/>
  <c r="A62" i="9"/>
  <c r="C62" i="9"/>
  <c r="F62" i="9" s="1"/>
  <c r="A63" i="9"/>
  <c r="C64" i="9"/>
  <c r="F64" i="9" s="1"/>
  <c r="C63" i="9"/>
  <c r="F63" i="9" s="1"/>
  <c r="C26" i="10"/>
  <c r="A26" i="10" s="1"/>
  <c r="A64" i="9"/>
  <c r="C25" i="10"/>
  <c r="A25" i="10" s="1"/>
  <c r="C28" i="10"/>
  <c r="A28" i="10" s="1"/>
  <c r="C27" i="10"/>
  <c r="A27" i="10" s="1"/>
  <c r="C29" i="10"/>
  <c r="A29" i="10" s="1"/>
  <c r="C30" i="10"/>
  <c r="A30" i="10" s="1"/>
  <c r="C32" i="10"/>
  <c r="A32" i="10" s="1"/>
  <c r="C31" i="10"/>
  <c r="A31" i="10" s="1"/>
  <c r="C33" i="10"/>
  <c r="A33" i="10" s="1"/>
  <c r="C34" i="10"/>
  <c r="A34" i="10" s="1"/>
  <c r="C35" i="10"/>
  <c r="A35" i="10" s="1"/>
  <c r="C36" i="10"/>
  <c r="A36" i="10" s="1"/>
  <c r="C38" i="10"/>
  <c r="A38" i="10" s="1"/>
  <c r="C37" i="10"/>
  <c r="A37" i="10" s="1"/>
  <c r="C39" i="10"/>
  <c r="A39" i="10" s="1"/>
  <c r="C41" i="10"/>
  <c r="A41" i="10" s="1"/>
  <c r="C42" i="10"/>
  <c r="A42" i="10" s="1"/>
  <c r="C40" i="10"/>
  <c r="A40" i="10" s="1"/>
  <c r="C43" i="10"/>
  <c r="A43" i="10" s="1"/>
  <c r="C45" i="10"/>
  <c r="A45" i="10" s="1"/>
  <c r="C44" i="10"/>
  <c r="A44" i="10" s="1"/>
  <c r="C47" i="10"/>
  <c r="A47" i="10" s="1"/>
  <c r="C46" i="10"/>
  <c r="A46" i="10" s="1"/>
  <c r="C48" i="10"/>
  <c r="A48" i="10" s="1"/>
  <c r="C49" i="10"/>
  <c r="A49" i="10" s="1"/>
  <c r="C50" i="10"/>
  <c r="A50" i="10" s="1"/>
  <c r="C51" i="10"/>
  <c r="A51" i="10" s="1"/>
  <c r="C54" i="10"/>
  <c r="A54" i="10" s="1"/>
  <c r="C55" i="10"/>
  <c r="A55" i="10" s="1"/>
  <c r="C53" i="10"/>
  <c r="A53" i="10" s="1"/>
  <c r="C52" i="10"/>
  <c r="A52" i="10" s="1"/>
  <c r="C57" i="10"/>
  <c r="A57" i="10" s="1"/>
  <c r="C56" i="10"/>
  <c r="A56" i="10" s="1"/>
  <c r="C60" i="10"/>
  <c r="A60" i="10" s="1"/>
  <c r="C58" i="10"/>
  <c r="A58" i="10" s="1"/>
  <c r="C59" i="10"/>
  <c r="A59" i="10" s="1"/>
  <c r="C61" i="10"/>
  <c r="A61" i="10" s="1"/>
  <c r="A1" i="9"/>
  <c r="C64" i="10"/>
  <c r="A64" i="10" s="1"/>
  <c r="C62" i="10"/>
  <c r="A62" i="10" s="1"/>
  <c r="C63" i="10"/>
  <c r="A63" i="10" s="1"/>
  <c r="A15" i="9"/>
  <c r="M12" i="6" a="1"/>
  <c r="M12" i="6" s="1"/>
  <c r="C1" i="9"/>
  <c r="F1" i="9" s="1"/>
  <c r="C1" i="10"/>
  <c r="A1" i="10" s="1"/>
  <c r="AI15" i="6"/>
  <c r="X15" i="6" s="1"/>
  <c r="X11" i="6" s="1"/>
  <c r="AK15" i="6"/>
  <c r="Z15" i="6" s="1"/>
  <c r="Z11" i="6" s="1"/>
  <c r="AF15" i="6"/>
  <c r="U15" i="6" s="1"/>
  <c r="U11" i="6" s="1"/>
  <c r="AD15" i="6"/>
  <c r="S15" i="6" s="1"/>
  <c r="S11" i="6" s="1"/>
  <c r="AH15" i="6"/>
  <c r="W15" i="6" s="1"/>
  <c r="W11" i="6" s="1"/>
  <c r="AG15" i="6"/>
  <c r="V15" i="6" s="1"/>
  <c r="V11" i="6" s="1"/>
  <c r="AJ15" i="6"/>
  <c r="Y15" i="6" s="1"/>
  <c r="Y11" i="6" s="1"/>
  <c r="AE15" i="6"/>
  <c r="T15" i="6" s="1"/>
  <c r="T11" i="6" s="1"/>
  <c r="AC15" i="6"/>
  <c r="R15" i="6" s="1"/>
  <c r="R11" i="6" s="1"/>
  <c r="AH14" i="13" l="1"/>
  <c r="AE14" i="13"/>
  <c r="AB15" i="6"/>
  <c r="Q15" i="6" s="1"/>
  <c r="Q11" i="6" s="1"/>
  <c r="S31" i="8"/>
  <c r="F33" i="8"/>
  <c r="P29" i="8"/>
  <c r="Q29" i="8"/>
  <c r="I73" i="10" a="1"/>
  <c r="I73" i="10" s="1"/>
  <c r="U73" i="10" a="1"/>
  <c r="U73" i="10" s="1"/>
  <c r="M73" i="10" a="1"/>
  <c r="M73" i="10" s="1"/>
  <c r="Y73" i="10" a="1"/>
  <c r="Y73" i="10" s="1"/>
  <c r="AC73" i="10" a="1"/>
  <c r="AC73" i="10" s="1"/>
  <c r="O73" i="10" a="1"/>
  <c r="O73" i="10" s="1"/>
  <c r="S73" i="10" a="1"/>
  <c r="S73" i="10" s="1"/>
  <c r="Q73" i="10" a="1"/>
  <c r="Q73" i="10" s="1"/>
  <c r="W73" i="10" a="1"/>
  <c r="W73" i="10" s="1"/>
  <c r="AA73" i="10" a="1"/>
  <c r="AA73" i="10" s="1"/>
  <c r="AE73" i="10" a="1"/>
  <c r="AE73" i="10" s="1"/>
  <c r="K73" i="10" a="1"/>
  <c r="K73" i="10" s="1"/>
  <c r="N11" i="6" l="1"/>
  <c r="F11" i="6"/>
  <c r="I12" i="6"/>
  <c r="AA71" i="10"/>
  <c r="AE71" i="10"/>
  <c r="K71" i="10"/>
  <c r="W71" i="10"/>
  <c r="Q71" i="10"/>
  <c r="S71" i="10"/>
  <c r="AC71" i="10"/>
  <c r="M32" i="8"/>
  <c r="J32" i="8"/>
  <c r="Y71" i="10"/>
  <c r="O71" i="10"/>
  <c r="M71" i="10"/>
  <c r="U71" i="10"/>
  <c r="I71" i="10" a="1"/>
  <c r="I71" i="10" s="1"/>
  <c r="Q32" i="8" l="1"/>
  <c r="P32" i="8"/>
  <c r="S34" i="8"/>
  <c r="L26" i="12" l="1" a="1"/>
  <c r="L26" i="12" s="1"/>
  <c r="J26" i="12" a="1"/>
  <c r="J26" i="12" s="1"/>
  <c r="N17" i="8" l="1"/>
  <c r="N23" i="8"/>
  <c r="N29" i="8"/>
  <c r="N14" i="8"/>
  <c r="R14" i="8" s="1"/>
  <c r="N20" i="8"/>
  <c r="N26" i="8"/>
  <c r="K26" i="12"/>
  <c r="AG14" i="13" a="1"/>
  <c r="AG14" i="13" s="1"/>
  <c r="AD14" i="13" a="1"/>
  <c r="AD14" i="13" s="1"/>
  <c r="N32" i="8"/>
  <c r="AC14" i="13" a="1"/>
  <c r="AC14" i="13" s="1"/>
  <c r="AF14" i="13" a="1"/>
  <c r="AF14" i="13" s="1"/>
  <c r="D14" i="8" l="1"/>
  <c r="C14" i="8"/>
  <c r="F16" i="8"/>
  <c r="O32" i="8" l="1"/>
  <c r="R32" i="8" s="1"/>
  <c r="F34" i="8" s="1"/>
  <c r="O26" i="8" l="1"/>
  <c r="R26" i="8" s="1"/>
  <c r="F28" i="8" s="1"/>
  <c r="O29" i="8"/>
  <c r="R29" i="8" s="1"/>
  <c r="F31" i="8" s="1"/>
  <c r="O23" i="8"/>
  <c r="R23" i="8" s="1"/>
  <c r="O20" i="8"/>
  <c r="R20" i="8" s="1"/>
  <c r="O17" i="8"/>
  <c r="R17" i="8" s="1"/>
  <c r="F25" i="8" l="1"/>
  <c r="F22" i="8"/>
  <c r="X23" i="8" a="1"/>
  <c r="X23" i="8" s="1"/>
  <c r="AA23" i="8" a="1"/>
  <c r="AA23" i="8" s="1"/>
  <c r="V23" i="8" a="1"/>
  <c r="V23" i="8" s="1"/>
  <c r="AB23" i="8" a="1"/>
  <c r="AB23" i="8" s="1"/>
  <c r="AC23" i="8" a="1"/>
  <c r="AC23" i="8" s="1"/>
  <c r="E23" i="8" a="1"/>
  <c r="E23" i="8" s="1"/>
  <c r="W23" i="8" a="1"/>
  <c r="W23" i="8" s="1"/>
  <c r="Y23" i="8" a="1"/>
  <c r="Y23" i="8" s="1"/>
  <c r="U23" i="8" a="1"/>
  <c r="U23" i="8" s="1"/>
  <c r="AF23" i="8" a="1"/>
  <c r="AF23" i="8" s="1"/>
  <c r="AD23" i="8" a="1"/>
  <c r="AD23" i="8" s="1"/>
  <c r="AE23" i="8" a="1"/>
  <c r="AE23" i="8" s="1"/>
  <c r="Z23" i="8" a="1"/>
  <c r="Z23" i="8" s="1"/>
  <c r="F19" i="8"/>
  <c r="AB17" i="8" l="1" a="1"/>
  <c r="AB17" i="8" s="1"/>
  <c r="Y17" i="8" a="1"/>
  <c r="Y17" i="8" s="1"/>
  <c r="AC17" i="8" a="1"/>
  <c r="AC17" i="8" s="1"/>
  <c r="W17" i="8" a="1"/>
  <c r="W17" i="8" s="1"/>
  <c r="X17" i="8" a="1"/>
  <c r="X17" i="8" s="1"/>
  <c r="AE17" i="8" a="1"/>
  <c r="AE17" i="8" s="1"/>
  <c r="AF17" i="8" l="1" a="1"/>
  <c r="AF17" i="8" s="1"/>
  <c r="AD17" i="8" a="1"/>
  <c r="AD17" i="8" s="1"/>
  <c r="Z17" i="8" a="1"/>
  <c r="Z17" i="8" s="1"/>
  <c r="U17" i="8" a="1"/>
  <c r="U17" i="8" s="1"/>
  <c r="AA17" i="8" a="1"/>
  <c r="AA17" i="8" s="1"/>
  <c r="V17" i="8" a="1"/>
  <c r="V17" i="8" s="1"/>
  <c r="E17" i="8" a="1"/>
  <c r="E17" i="8" s="1"/>
  <c r="B6" i="9" l="1" a="1"/>
  <c r="B6" i="9" s="1"/>
  <c r="M13" i="9" s="1"/>
  <c r="I25" i="5" l="1"/>
  <c r="AF35" i="5" l="1" a="1"/>
  <c r="AF35" i="5" l="1"/>
  <c r="AG35" i="5" l="1" a="1"/>
  <c r="S35" i="5" a="1"/>
  <c r="S35" i="5" l="1"/>
  <c r="AG35" i="5"/>
  <c r="U35" i="5" s="1"/>
  <c r="J26" i="8"/>
  <c r="E35" i="12" l="1"/>
  <c r="F35" i="6"/>
  <c r="AN35" i="5" a="1"/>
  <c r="AN35" i="5" s="1"/>
  <c r="W35" i="5" a="1"/>
  <c r="W35" i="5" s="1"/>
  <c r="G35" i="6"/>
  <c r="F35" i="12" a="1"/>
  <c r="F35" i="12" s="1"/>
  <c r="N36" i="6" l="1"/>
  <c r="N37" i="6"/>
  <c r="N38" i="6"/>
  <c r="N39" i="6"/>
  <c r="N40" i="6"/>
  <c r="N41" i="6"/>
  <c r="N42" i="6"/>
  <c r="N43" i="6"/>
  <c r="N44" i="6"/>
  <c r="N45" i="6"/>
  <c r="N21" i="6"/>
  <c r="N22" i="6"/>
  <c r="H35" i="12" a="1"/>
  <c r="H35" i="12" s="1"/>
  <c r="C20" i="10" l="1"/>
  <c r="A20" i="10" s="1"/>
  <c r="C20" i="9"/>
  <c r="F20" i="9" s="1"/>
  <c r="C19" i="10"/>
  <c r="A19" i="10" s="1"/>
  <c r="C19" i="9"/>
  <c r="F19" i="9" s="1"/>
  <c r="O15" i="11" a="1"/>
  <c r="O15" i="11" s="1"/>
  <c r="C17" i="9"/>
  <c r="F17" i="9" s="1"/>
  <c r="C17" i="10"/>
  <c r="A17" i="10" s="1"/>
  <c r="P15" i="11" l="1"/>
  <c r="L15" i="13"/>
  <c r="D15" i="13" s="1"/>
  <c r="C15" i="11"/>
  <c r="I19" i="5"/>
  <c r="L20" i="12" l="1" a="1"/>
  <c r="L20" i="12" s="1"/>
  <c r="J20" i="12" a="1"/>
  <c r="J20" i="12" s="1"/>
  <c r="AO15" i="13" l="1"/>
  <c r="O15" i="13" s="1"/>
  <c r="AN15" i="13" a="1"/>
  <c r="AN15" i="13" s="1"/>
  <c r="K20" i="12"/>
  <c r="AL15" i="13"/>
  <c r="M15" i="13" s="1"/>
  <c r="AK15" i="13" a="1"/>
  <c r="AK15" i="13" s="1"/>
  <c r="AB15" i="11" a="1"/>
  <c r="AB15" i="11" s="1"/>
  <c r="U15" i="13" s="1"/>
  <c r="S15" i="13" l="1"/>
  <c r="N15" i="11"/>
  <c r="P15" i="13"/>
  <c r="N15" i="13"/>
  <c r="AE20" i="8" l="1" a="1"/>
  <c r="AE20" i="8" s="1"/>
  <c r="V20" i="8" a="1"/>
  <c r="V20" i="8" s="1"/>
  <c r="AA20" i="8" a="1"/>
  <c r="AA20" i="8" s="1"/>
  <c r="E20" i="8" a="1"/>
  <c r="E20" i="8" s="1"/>
  <c r="AF20" i="8" a="1"/>
  <c r="AF20" i="8" s="1"/>
  <c r="AA15" i="11" l="1" a="1"/>
  <c r="AA15" i="11" s="1"/>
  <c r="Z15" i="11" s="1"/>
  <c r="AM15" i="13" a="1"/>
  <c r="AM15" i="13" s="1"/>
  <c r="AJ15" i="13" a="1"/>
  <c r="AJ15" i="13" s="1"/>
  <c r="T15" i="13" l="1"/>
  <c r="R15" i="13"/>
  <c r="I42" i="5" l="1"/>
  <c r="I45" i="5" l="1"/>
  <c r="J23" i="8" l="1"/>
  <c r="AF46" i="5" a="1"/>
  <c r="AF21" i="5" a="1"/>
  <c r="AF18" i="5" a="1"/>
  <c r="AF29" i="5" a="1"/>
  <c r="AF24" i="5" a="1"/>
  <c r="AF30" i="5" a="1"/>
  <c r="AF20" i="5" a="1"/>
  <c r="AF23" i="5" a="1"/>
  <c r="AF34" i="5" a="1"/>
  <c r="AF39" i="5" a="1"/>
  <c r="AF44" i="5" a="1"/>
  <c r="AF38" i="5" a="1"/>
  <c r="AF36" i="5" a="1"/>
  <c r="AF41" i="5" a="1"/>
  <c r="AF37" i="5" a="1"/>
  <c r="AF32" i="5" a="1"/>
  <c r="AF28" i="5" a="1"/>
  <c r="AF26" i="5" a="1"/>
  <c r="AF43" i="5" a="1"/>
  <c r="AF31" i="5" a="1"/>
  <c r="AF40" i="5" a="1"/>
  <c r="AF27" i="5" a="1"/>
  <c r="AF22" i="5" a="1"/>
  <c r="AF33" i="5" a="1"/>
  <c r="AF33" i="5" l="1"/>
  <c r="AF22" i="5"/>
  <c r="AF27" i="5"/>
  <c r="AF40" i="5"/>
  <c r="AF31" i="5"/>
  <c r="AF43" i="5"/>
  <c r="AF26" i="5"/>
  <c r="AF28" i="5"/>
  <c r="AF32" i="5"/>
  <c r="AF37" i="5"/>
  <c r="AF41" i="5"/>
  <c r="AF36" i="5"/>
  <c r="AF38" i="5"/>
  <c r="AF44" i="5"/>
  <c r="AF39" i="5"/>
  <c r="AF34" i="5"/>
  <c r="AF23" i="5"/>
  <c r="AF20" i="5"/>
  <c r="AF30" i="5"/>
  <c r="AF24" i="5"/>
  <c r="AF29" i="5"/>
  <c r="AF18" i="5"/>
  <c r="AF21" i="5"/>
  <c r="AF46" i="5"/>
  <c r="AG46" i="5" l="1" a="1"/>
  <c r="AG46" i="5" s="1"/>
  <c r="U46" i="5" s="1"/>
  <c r="S46" i="5" a="1"/>
  <c r="S46" i="5" s="1"/>
  <c r="R46" i="5" a="1"/>
  <c r="R46" i="5" s="1"/>
  <c r="AG24" i="5" a="1"/>
  <c r="AG24" i="5" s="1"/>
  <c r="U24" i="5" s="1"/>
  <c r="S24" i="5" a="1"/>
  <c r="S24" i="5" s="1"/>
  <c r="R24" i="5" a="1"/>
  <c r="R24" i="5" s="1"/>
  <c r="R34" i="5" a="1"/>
  <c r="R34" i="5" s="1"/>
  <c r="S34" i="5" a="1"/>
  <c r="S34" i="5" s="1"/>
  <c r="AG34" i="5" a="1"/>
  <c r="AG34" i="5" s="1"/>
  <c r="U34" i="5" s="1"/>
  <c r="S36" i="5" a="1"/>
  <c r="S36" i="5" s="1"/>
  <c r="AG36" i="5" a="1"/>
  <c r="AG36" i="5" s="1"/>
  <c r="U36" i="5" s="1"/>
  <c r="R36" i="5" a="1"/>
  <c r="R36" i="5" s="1"/>
  <c r="AG28" i="5" a="1"/>
  <c r="AG28" i="5" s="1"/>
  <c r="U28" i="5" s="1"/>
  <c r="R28" i="5" a="1"/>
  <c r="R28" i="5" s="1"/>
  <c r="S28" i="5" a="1"/>
  <c r="S28" i="5" s="1"/>
  <c r="R40" i="5" a="1"/>
  <c r="R40" i="5" s="1"/>
  <c r="AG40" i="5" a="1"/>
  <c r="AG40" i="5" s="1"/>
  <c r="U40" i="5" s="1"/>
  <c r="S40" i="5" a="1"/>
  <c r="S40" i="5" s="1"/>
  <c r="R21" i="5" a="1"/>
  <c r="R21" i="5" s="1"/>
  <c r="S21" i="5" a="1"/>
  <c r="S21" i="5" s="1"/>
  <c r="AG21" i="5" a="1"/>
  <c r="AG21" i="5" s="1"/>
  <c r="U21" i="5" s="1"/>
  <c r="AG30" i="5" a="1"/>
  <c r="AG30" i="5" s="1"/>
  <c r="U30" i="5" s="1"/>
  <c r="R30" i="5" a="1"/>
  <c r="R30" i="5" s="1"/>
  <c r="S30" i="5" a="1"/>
  <c r="S30" i="5" s="1"/>
  <c r="R39" i="5" a="1"/>
  <c r="R39" i="5" s="1"/>
  <c r="S39" i="5" a="1"/>
  <c r="S39" i="5" s="1"/>
  <c r="AG39" i="5" a="1"/>
  <c r="AG39" i="5" s="1"/>
  <c r="U39" i="5" s="1"/>
  <c r="AG41" i="5" a="1"/>
  <c r="AG41" i="5" s="1"/>
  <c r="U41" i="5" s="1"/>
  <c r="R41" i="5" a="1"/>
  <c r="R41" i="5" s="1"/>
  <c r="S41" i="5" a="1"/>
  <c r="S41" i="5" s="1"/>
  <c r="S26" i="5" a="1"/>
  <c r="S26" i="5" s="1"/>
  <c r="AG26" i="5" a="1"/>
  <c r="AG26" i="5" s="1"/>
  <c r="U26" i="5" s="1"/>
  <c r="R26" i="5" a="1"/>
  <c r="R26" i="5" s="1"/>
  <c r="S27" i="5" a="1"/>
  <c r="S27" i="5" s="1"/>
  <c r="AG27" i="5" a="1"/>
  <c r="AG27" i="5" s="1"/>
  <c r="U27" i="5" s="1"/>
  <c r="R27" i="5" a="1"/>
  <c r="R27" i="5" s="1"/>
  <c r="AG18" i="5" a="1"/>
  <c r="AG18" i="5" s="1"/>
  <c r="U18" i="5" s="1"/>
  <c r="R18" i="5" a="1"/>
  <c r="R18" i="5" s="1"/>
  <c r="S18" i="5" a="1"/>
  <c r="S18" i="5" s="1"/>
  <c r="AG20" i="5" a="1"/>
  <c r="AG20" i="5" s="1"/>
  <c r="U20" i="5" s="1"/>
  <c r="S20" i="5" a="1"/>
  <c r="S20" i="5" s="1"/>
  <c r="R20" i="5" a="1"/>
  <c r="R20" i="5" s="1"/>
  <c r="AG44" i="5" a="1"/>
  <c r="AG44" i="5" s="1"/>
  <c r="U44" i="5" s="1"/>
  <c r="S44" i="5" a="1"/>
  <c r="S44" i="5" s="1"/>
  <c r="R44" i="5" a="1"/>
  <c r="R44" i="5" s="1"/>
  <c r="S37" i="5" a="1"/>
  <c r="S37" i="5" s="1"/>
  <c r="R37" i="5" a="1"/>
  <c r="R37" i="5" s="1"/>
  <c r="AG37" i="5" a="1"/>
  <c r="AG37" i="5" s="1"/>
  <c r="U37" i="5" s="1"/>
  <c r="R43" i="5" a="1"/>
  <c r="R43" i="5" s="1"/>
  <c r="S43" i="5" a="1"/>
  <c r="S43" i="5" s="1"/>
  <c r="AG43" i="5" a="1"/>
  <c r="AG43" i="5" s="1"/>
  <c r="U43" i="5" s="1"/>
  <c r="R22" i="5" a="1"/>
  <c r="R22" i="5" s="1"/>
  <c r="AG22" i="5" a="1"/>
  <c r="AG22" i="5" s="1"/>
  <c r="U22" i="5" s="1"/>
  <c r="S22" i="5" a="1"/>
  <c r="S22" i="5" s="1"/>
  <c r="S29" i="5" a="1"/>
  <c r="S29" i="5" s="1"/>
  <c r="R29" i="5" a="1"/>
  <c r="R29" i="5" s="1"/>
  <c r="AG29" i="5" a="1"/>
  <c r="AG29" i="5" s="1"/>
  <c r="U29" i="5" s="1"/>
  <c r="R23" i="5" a="1"/>
  <c r="R23" i="5" s="1"/>
  <c r="S23" i="5" a="1"/>
  <c r="S23" i="5" s="1"/>
  <c r="AG23" i="5" a="1"/>
  <c r="AG23" i="5" s="1"/>
  <c r="U23" i="5" s="1"/>
  <c r="S38" i="5" a="1"/>
  <c r="S38" i="5" s="1"/>
  <c r="AG38" i="5" a="1"/>
  <c r="AG38" i="5" s="1"/>
  <c r="U38" i="5" s="1"/>
  <c r="R38" i="5" a="1"/>
  <c r="R38" i="5" s="1"/>
  <c r="S32" i="5" a="1"/>
  <c r="S32" i="5" s="1"/>
  <c r="R32" i="5" a="1"/>
  <c r="R32" i="5" s="1"/>
  <c r="AG32" i="5" a="1"/>
  <c r="AG32" i="5" s="1"/>
  <c r="U32" i="5" s="1"/>
  <c r="R31" i="5" a="1"/>
  <c r="R31" i="5" s="1"/>
  <c r="AG31" i="5" a="1"/>
  <c r="AG31" i="5" s="1"/>
  <c r="U31" i="5" s="1"/>
  <c r="S31" i="5" a="1"/>
  <c r="S31" i="5" s="1"/>
  <c r="AG33" i="5" a="1"/>
  <c r="AG33" i="5" s="1"/>
  <c r="U33" i="5" s="1"/>
  <c r="S33" i="5" a="1"/>
  <c r="S33" i="5" s="1"/>
  <c r="R33" i="5" a="1"/>
  <c r="R33" i="5" s="1"/>
  <c r="AN23" i="5" l="1" a="1"/>
  <c r="AN23" i="5" s="1"/>
  <c r="W23" i="5" a="1"/>
  <c r="W23" i="5" s="1"/>
  <c r="E29" i="12"/>
  <c r="F29" i="6"/>
  <c r="AC29" i="5" a="1"/>
  <c r="AC29" i="5" s="1"/>
  <c r="E22" i="12"/>
  <c r="F22" i="6"/>
  <c r="AC22" i="5" a="1"/>
  <c r="AC22" i="5" s="1"/>
  <c r="AN37" i="5" a="1"/>
  <c r="AN37" i="5" s="1"/>
  <c r="W37" i="5" a="1"/>
  <c r="W37" i="5" s="1"/>
  <c r="G44" i="6"/>
  <c r="F44" i="12" a="1"/>
  <c r="F44" i="12" s="1"/>
  <c r="AN20" i="5" a="1"/>
  <c r="AN20" i="5" s="1"/>
  <c r="W20" i="5" a="1"/>
  <c r="W20" i="5" s="1"/>
  <c r="E27" i="12"/>
  <c r="F27" i="6"/>
  <c r="AC27" i="5" a="1"/>
  <c r="AC27" i="5" s="1"/>
  <c r="W26" i="5" a="1"/>
  <c r="W26" i="5" s="1"/>
  <c r="AN26" i="5" a="1"/>
  <c r="AN26" i="5" s="1"/>
  <c r="AN41" i="5" a="1"/>
  <c r="AN41" i="5" s="1"/>
  <c r="W41" i="5" a="1"/>
  <c r="W41" i="5" s="1"/>
  <c r="F30" i="12" a="1"/>
  <c r="F30" i="12" s="1"/>
  <c r="G30" i="6"/>
  <c r="G21" i="6"/>
  <c r="F21" i="12" a="1"/>
  <c r="F21" i="12" s="1"/>
  <c r="F40" i="6"/>
  <c r="E40" i="12"/>
  <c r="AC40" i="5" a="1"/>
  <c r="AC40" i="5" s="1"/>
  <c r="E36" i="12"/>
  <c r="F36" i="6"/>
  <c r="AC36" i="5" a="1"/>
  <c r="AC36" i="5" s="1"/>
  <c r="G34" i="6"/>
  <c r="F34" i="12" a="1"/>
  <c r="F34" i="12" s="1"/>
  <c r="W24" i="5" a="1"/>
  <c r="W24" i="5" s="1"/>
  <c r="AN24" i="5" a="1"/>
  <c r="AN24" i="5" s="1"/>
  <c r="AN27" i="5" a="1"/>
  <c r="AN27" i="5" s="1"/>
  <c r="W27" i="5" a="1"/>
  <c r="W27" i="5" s="1"/>
  <c r="W36" i="5" a="1"/>
  <c r="W36" i="5" s="1"/>
  <c r="AN36" i="5" a="1"/>
  <c r="AN36" i="5" s="1"/>
  <c r="E34" i="12"/>
  <c r="F34" i="6"/>
  <c r="AC34" i="5" a="1"/>
  <c r="AC34" i="5" s="1"/>
  <c r="F46" i="6"/>
  <c r="E46" i="12"/>
  <c r="AC46" i="5" a="1"/>
  <c r="AC46" i="5" s="1"/>
  <c r="AN31" i="5" a="1"/>
  <c r="AN31" i="5" s="1"/>
  <c r="W31" i="5" a="1"/>
  <c r="W31" i="5" s="1"/>
  <c r="F31" i="6"/>
  <c r="E31" i="12"/>
  <c r="AC31" i="5" a="1"/>
  <c r="AC31" i="5" s="1"/>
  <c r="F38" i="6"/>
  <c r="E38" i="12"/>
  <c r="AC38" i="5" a="1"/>
  <c r="AC38" i="5" s="1"/>
  <c r="G23" i="6"/>
  <c r="F23" i="12" a="1"/>
  <c r="F23" i="12" s="1"/>
  <c r="G29" i="6"/>
  <c r="F29" i="12" a="1"/>
  <c r="F29" i="12" s="1"/>
  <c r="F37" i="6"/>
  <c r="E37" i="12"/>
  <c r="AC37" i="5" a="1"/>
  <c r="AC37" i="5" s="1"/>
  <c r="AN39" i="5" a="1"/>
  <c r="AN39" i="5" s="1"/>
  <c r="W39" i="5" a="1"/>
  <c r="W39" i="5" s="1"/>
  <c r="AN32" i="5" a="1"/>
  <c r="AN32" i="5" s="1"/>
  <c r="W32" i="5" a="1"/>
  <c r="W32" i="5" s="1"/>
  <c r="W38" i="5" a="1"/>
  <c r="W38" i="5" s="1"/>
  <c r="AN38" i="5" a="1"/>
  <c r="AN38" i="5" s="1"/>
  <c r="E23" i="12"/>
  <c r="F23" i="6"/>
  <c r="AC23" i="5" a="1"/>
  <c r="AC23" i="5" s="1"/>
  <c r="F22" i="12" a="1"/>
  <c r="F22" i="12" s="1"/>
  <c r="G22" i="6"/>
  <c r="F43" i="12" a="1"/>
  <c r="F43" i="12" s="1"/>
  <c r="G43" i="6"/>
  <c r="F37" i="12" a="1"/>
  <c r="F37" i="12" s="1"/>
  <c r="G37" i="6"/>
  <c r="E20" i="12"/>
  <c r="F20" i="6"/>
  <c r="AC20" i="5" a="1"/>
  <c r="AC20" i="5" s="1"/>
  <c r="E18" i="12"/>
  <c r="F18" i="6"/>
  <c r="AC18" i="5" a="1"/>
  <c r="AC18" i="5" s="1"/>
  <c r="G27" i="6"/>
  <c r="F27" i="12" a="1"/>
  <c r="F27" i="12" s="1"/>
  <c r="F41" i="12" a="1"/>
  <c r="F41" i="12" s="1"/>
  <c r="G41" i="6"/>
  <c r="G39" i="6"/>
  <c r="F39" i="12" a="1"/>
  <c r="F39" i="12" s="1"/>
  <c r="AN30" i="5" a="1"/>
  <c r="AN30" i="5" s="1"/>
  <c r="W30" i="5" a="1"/>
  <c r="W30" i="5" s="1"/>
  <c r="G40" i="6"/>
  <c r="F40" i="12" a="1"/>
  <c r="F40" i="12" s="1"/>
  <c r="E28" i="12"/>
  <c r="F28" i="6"/>
  <c r="AC28" i="5" a="1"/>
  <c r="AC28" i="5" s="1"/>
  <c r="F36" i="12" a="1"/>
  <c r="F36" i="12" s="1"/>
  <c r="G36" i="6"/>
  <c r="F24" i="6"/>
  <c r="E24" i="12"/>
  <c r="AC24" i="5" a="1"/>
  <c r="AC24" i="5" s="1"/>
  <c r="G46" i="6"/>
  <c r="F46" i="12" a="1"/>
  <c r="F46" i="12" s="1"/>
  <c r="E33" i="12"/>
  <c r="F33" i="6"/>
  <c r="AC33" i="5" a="1"/>
  <c r="AC33" i="5" s="1"/>
  <c r="F32" i="12" a="1"/>
  <c r="F32" i="12" s="1"/>
  <c r="G32" i="6"/>
  <c r="G33" i="6"/>
  <c r="F33" i="12" a="1"/>
  <c r="F33" i="12" s="1"/>
  <c r="AN43" i="5" a="1"/>
  <c r="AN43" i="5" s="1"/>
  <c r="W43" i="5" a="1"/>
  <c r="W43" i="5" s="1"/>
  <c r="AN44" i="5" a="1"/>
  <c r="AN44" i="5" s="1"/>
  <c r="W44" i="5" a="1"/>
  <c r="W44" i="5" s="1"/>
  <c r="F18" i="12" a="1"/>
  <c r="F18" i="12" s="1"/>
  <c r="G18" i="6"/>
  <c r="G26" i="6"/>
  <c r="F26" i="12" a="1"/>
  <c r="F26" i="12" s="1"/>
  <c r="F30" i="6"/>
  <c r="E30" i="12"/>
  <c r="AC30" i="5" a="1"/>
  <c r="AC30" i="5" s="1"/>
  <c r="F21" i="6"/>
  <c r="E21" i="12"/>
  <c r="AC21" i="5" a="1"/>
  <c r="AC21" i="5" s="1"/>
  <c r="G28" i="6"/>
  <c r="F28" i="12" a="1"/>
  <c r="F28" i="12" s="1"/>
  <c r="AN33" i="5" a="1"/>
  <c r="AN33" i="5" s="1"/>
  <c r="W33" i="5" a="1"/>
  <c r="W33" i="5" s="1"/>
  <c r="F31" i="12" a="1"/>
  <c r="F31" i="12" s="1"/>
  <c r="G31" i="6"/>
  <c r="F32" i="6"/>
  <c r="E32" i="12"/>
  <c r="AC32" i="5" a="1"/>
  <c r="AC32" i="5" s="1"/>
  <c r="F38" i="12" a="1"/>
  <c r="F38" i="12" s="1"/>
  <c r="G38" i="6"/>
  <c r="AN29" i="5" a="1"/>
  <c r="AN29" i="5" s="1"/>
  <c r="W29" i="5" a="1"/>
  <c r="W29" i="5" s="1"/>
  <c r="W22" i="5" a="1"/>
  <c r="W22" i="5" s="1"/>
  <c r="AN22" i="5" a="1"/>
  <c r="AN22" i="5" s="1"/>
  <c r="E43" i="12"/>
  <c r="F43" i="6"/>
  <c r="AC43" i="5" a="1"/>
  <c r="AC43" i="5" s="1"/>
  <c r="F44" i="6"/>
  <c r="E44" i="12"/>
  <c r="AC44" i="5" a="1"/>
  <c r="AC44" i="5" s="1"/>
  <c r="G20" i="6"/>
  <c r="F20" i="12" a="1"/>
  <c r="F20" i="12" s="1"/>
  <c r="W18" i="5" a="1"/>
  <c r="W18" i="5" s="1"/>
  <c r="AN18" i="5" a="1"/>
  <c r="AN18" i="5" s="1"/>
  <c r="F26" i="6"/>
  <c r="E26" i="12"/>
  <c r="F41" i="6"/>
  <c r="E41" i="12"/>
  <c r="AC41" i="5" a="1"/>
  <c r="AC41" i="5" s="1"/>
  <c r="F39" i="6"/>
  <c r="E39" i="12"/>
  <c r="AC39" i="5" a="1"/>
  <c r="AC39" i="5" s="1"/>
  <c r="W21" i="5" a="1"/>
  <c r="W21" i="5" s="1"/>
  <c r="AN21" i="5" a="1"/>
  <c r="AN21" i="5" s="1"/>
  <c r="AN40" i="5" a="1"/>
  <c r="AN40" i="5" s="1"/>
  <c r="W40" i="5" a="1"/>
  <c r="W40" i="5" s="1"/>
  <c r="W28" i="5" a="1"/>
  <c r="W28" i="5" s="1"/>
  <c r="AN28" i="5" a="1"/>
  <c r="AN28" i="5" s="1"/>
  <c r="AN34" i="5" a="1"/>
  <c r="AN34" i="5" s="1"/>
  <c r="W34" i="5" a="1"/>
  <c r="W34" i="5" s="1"/>
  <c r="F24" i="12" a="1"/>
  <c r="F24" i="12" s="1"/>
  <c r="G24" i="6"/>
  <c r="W46" i="5" a="1"/>
  <c r="W46" i="5" s="1"/>
  <c r="AN46" i="5" a="1"/>
  <c r="AN46" i="5" s="1"/>
  <c r="H28" i="12" l="1" a="1"/>
  <c r="H28" i="12" s="1"/>
  <c r="X28" i="5" a="1"/>
  <c r="X28" i="5" s="1"/>
  <c r="H21" i="12" a="1"/>
  <c r="H21" i="12" s="1"/>
  <c r="X21" i="5" a="1"/>
  <c r="X21" i="5" s="1"/>
  <c r="X22" i="5" a="1"/>
  <c r="X22" i="5" s="1"/>
  <c r="H22" i="12" a="1"/>
  <c r="H22" i="12" s="1"/>
  <c r="X44" i="5" a="1"/>
  <c r="X44" i="5" s="1"/>
  <c r="H44" i="12" a="1"/>
  <c r="H44" i="12" s="1"/>
  <c r="H32" i="12" a="1"/>
  <c r="H32" i="12" s="1"/>
  <c r="X32" i="5" a="1"/>
  <c r="X32" i="5" s="1"/>
  <c r="X29" i="5" a="1"/>
  <c r="X29" i="5" s="1"/>
  <c r="H29" i="12" a="1"/>
  <c r="H29" i="12" s="1"/>
  <c r="X31" i="5" a="1"/>
  <c r="X31" i="5" s="1"/>
  <c r="H31" i="12" a="1"/>
  <c r="H31" i="12" s="1"/>
  <c r="X40" i="5" a="1"/>
  <c r="X40" i="5" s="1"/>
  <c r="H40" i="12" a="1"/>
  <c r="H40" i="12" s="1"/>
  <c r="H46" i="12" a="1"/>
  <c r="H46" i="12" s="1"/>
  <c r="X46" i="5" a="1"/>
  <c r="X46" i="5" s="1"/>
  <c r="X18" i="5" a="1"/>
  <c r="X18" i="5" s="1"/>
  <c r="H18" i="12" a="1"/>
  <c r="H18" i="12" s="1"/>
  <c r="H33" i="12" a="1"/>
  <c r="H33" i="12" s="1"/>
  <c r="X33" i="5" a="1"/>
  <c r="X33" i="5" s="1"/>
  <c r="H43" i="12" a="1"/>
  <c r="H43" i="12" s="1"/>
  <c r="X43" i="5" a="1"/>
  <c r="X43" i="5" s="1"/>
  <c r="H39" i="12" a="1"/>
  <c r="H39" i="12" s="1"/>
  <c r="X39" i="5" a="1"/>
  <c r="X39" i="5" s="1"/>
  <c r="H36" i="12" a="1"/>
  <c r="H36" i="12" s="1"/>
  <c r="X36" i="5" a="1"/>
  <c r="X36" i="5" s="1"/>
  <c r="H24" i="12" a="1"/>
  <c r="H24" i="12" s="1"/>
  <c r="X24" i="5" a="1"/>
  <c r="X24" i="5" s="1"/>
  <c r="H26" i="12" a="1"/>
  <c r="H26" i="12" s="1"/>
  <c r="X26" i="5" a="1"/>
  <c r="X26" i="5" s="1"/>
  <c r="X20" i="5" a="1"/>
  <c r="X20" i="5" s="1"/>
  <c r="H20" i="12" a="1"/>
  <c r="H20" i="12" s="1"/>
  <c r="X37" i="5" a="1"/>
  <c r="X37" i="5" s="1"/>
  <c r="H37" i="12" a="1"/>
  <c r="H37" i="12" s="1"/>
  <c r="X23" i="5" a="1"/>
  <c r="X23" i="5" s="1"/>
  <c r="H23" i="12" a="1"/>
  <c r="H23" i="12" s="1"/>
  <c r="H34" i="12" a="1"/>
  <c r="H34" i="12" s="1"/>
  <c r="X34" i="5" a="1"/>
  <c r="X34" i="5" s="1"/>
  <c r="H30" i="12" a="1"/>
  <c r="H30" i="12" s="1"/>
  <c r="X30" i="5" a="1"/>
  <c r="X30" i="5" s="1"/>
  <c r="X38" i="5" a="1"/>
  <c r="X38" i="5" s="1"/>
  <c r="H38" i="12" a="1"/>
  <c r="H38" i="12" s="1"/>
  <c r="X27" i="5" a="1"/>
  <c r="X27" i="5" s="1"/>
  <c r="H27" i="12" a="1"/>
  <c r="H27" i="12" s="1"/>
  <c r="X41" i="5" a="1"/>
  <c r="X41" i="5" s="1"/>
  <c r="H41" i="12" a="1"/>
  <c r="H41" i="12" s="1"/>
  <c r="I26" i="5" l="1"/>
  <c r="Z26" i="5"/>
  <c r="AB26" i="5" s="1" a="1"/>
  <c r="AB26" i="5" s="1"/>
  <c r="AM26" i="5"/>
  <c r="L26" i="5"/>
  <c r="I26" i="12"/>
  <c r="X25" i="5" a="1"/>
  <c r="X25" i="5" s="1"/>
  <c r="Z36" i="5"/>
  <c r="I36" i="12"/>
  <c r="X35" i="5" a="1"/>
  <c r="X35" i="5" s="1"/>
  <c r="AM36" i="5"/>
  <c r="L36" i="5"/>
  <c r="L43" i="5"/>
  <c r="Z43" i="5"/>
  <c r="I43" i="12"/>
  <c r="AM43" i="5"/>
  <c r="X42" i="5" a="1"/>
  <c r="X42" i="5" s="1"/>
  <c r="I43" i="5"/>
  <c r="I44" i="5" s="1"/>
  <c r="L21" i="5"/>
  <c r="AM21" i="5"/>
  <c r="I21" i="12"/>
  <c r="Z21" i="5"/>
  <c r="L18" i="5"/>
  <c r="X17" i="5" a="1"/>
  <c r="X17" i="5" s="1"/>
  <c r="I18" i="12"/>
  <c r="AM18" i="5"/>
  <c r="I18" i="5"/>
  <c r="Z18" i="5"/>
  <c r="X15" i="5"/>
  <c r="X16" i="5" a="1"/>
  <c r="X16" i="5" s="1"/>
  <c r="AM44" i="5"/>
  <c r="Z44" i="5"/>
  <c r="I44" i="12"/>
  <c r="L44" i="5"/>
  <c r="C44" i="6" s="1"/>
  <c r="AM34" i="5"/>
  <c r="I34" i="12"/>
  <c r="Z34" i="5"/>
  <c r="L34" i="5"/>
  <c r="AM41" i="5"/>
  <c r="L41" i="5"/>
  <c r="C41" i="6" s="1"/>
  <c r="Z41" i="5"/>
  <c r="I41" i="12"/>
  <c r="L37" i="5"/>
  <c r="I37" i="12"/>
  <c r="AM37" i="5"/>
  <c r="Z37" i="5"/>
  <c r="AM40" i="5"/>
  <c r="L40" i="5"/>
  <c r="I40" i="12"/>
  <c r="Z40" i="5"/>
  <c r="AM30" i="5"/>
  <c r="Z30" i="5"/>
  <c r="L30" i="5"/>
  <c r="I30" i="12"/>
  <c r="AM24" i="5"/>
  <c r="L24" i="5"/>
  <c r="Z24" i="5"/>
  <c r="I24" i="12"/>
  <c r="Z39" i="5"/>
  <c r="AM39" i="5"/>
  <c r="L39" i="5"/>
  <c r="I39" i="12"/>
  <c r="I33" i="12"/>
  <c r="Z33" i="5"/>
  <c r="L33" i="5"/>
  <c r="C33" i="6" s="1"/>
  <c r="AM33" i="5"/>
  <c r="L46" i="5"/>
  <c r="I46" i="5"/>
  <c r="X45" i="5" a="1"/>
  <c r="X45" i="5" s="1"/>
  <c r="AM46" i="5"/>
  <c r="I46" i="12"/>
  <c r="Z46" i="5"/>
  <c r="Z32" i="5"/>
  <c r="AM32" i="5"/>
  <c r="L32" i="5"/>
  <c r="I32" i="12"/>
  <c r="Z28" i="5"/>
  <c r="L28" i="5"/>
  <c r="I28" i="12"/>
  <c r="AM28" i="5"/>
  <c r="I38" i="12"/>
  <c r="AM38" i="5"/>
  <c r="Z38" i="5"/>
  <c r="L38" i="5"/>
  <c r="Z29" i="5"/>
  <c r="AM29" i="5"/>
  <c r="I29" i="12"/>
  <c r="L29" i="5"/>
  <c r="I27" i="5"/>
  <c r="I28" i="5" s="1"/>
  <c r="I29" i="5" s="1"/>
  <c r="I30" i="5" s="1"/>
  <c r="I31" i="5" s="1"/>
  <c r="I32" i="5" s="1"/>
  <c r="I33" i="5" s="1"/>
  <c r="L27" i="5"/>
  <c r="I27" i="12"/>
  <c r="AM27" i="5"/>
  <c r="Z27" i="5"/>
  <c r="Z23" i="5"/>
  <c r="AM23" i="5"/>
  <c r="I23" i="12"/>
  <c r="L23" i="5"/>
  <c r="L20" i="5"/>
  <c r="Z20" i="5"/>
  <c r="I20" i="12"/>
  <c r="AM20" i="5"/>
  <c r="X19" i="5" a="1"/>
  <c r="X19" i="5" s="1"/>
  <c r="I20" i="5"/>
  <c r="I21" i="5" s="1"/>
  <c r="I22" i="5" s="1"/>
  <c r="I23" i="5" s="1"/>
  <c r="I24" i="5" s="1"/>
  <c r="AM31" i="5"/>
  <c r="Z31" i="5"/>
  <c r="L31" i="5"/>
  <c r="I31" i="12"/>
  <c r="L22" i="5"/>
  <c r="AM22" i="5"/>
  <c r="Z22" i="5"/>
  <c r="I22" i="12"/>
  <c r="O33" i="5" l="1"/>
  <c r="I34" i="5"/>
  <c r="I35" i="5" s="1"/>
  <c r="I36" i="5" s="1"/>
  <c r="I37" i="5" s="1"/>
  <c r="I38" i="5" s="1"/>
  <c r="I39" i="5" s="1"/>
  <c r="I40" i="5" s="1"/>
  <c r="I41" i="5" s="1"/>
  <c r="O41" i="5" s="1"/>
  <c r="L19" i="5"/>
  <c r="S20" i="8"/>
  <c r="I19" i="12"/>
  <c r="Z19" i="5"/>
  <c r="AM19" i="5"/>
  <c r="C20" i="6"/>
  <c r="O20" i="5"/>
  <c r="AB23" i="5" a="1"/>
  <c r="AB23" i="5" s="1"/>
  <c r="AA23" i="5" a="1"/>
  <c r="AA23" i="5" s="1"/>
  <c r="C27" i="6"/>
  <c r="O27" i="5"/>
  <c r="AB38" i="5" a="1"/>
  <c r="AB38" i="5" s="1"/>
  <c r="AA38" i="5" a="1"/>
  <c r="AA38" i="5" s="1"/>
  <c r="C28" i="12"/>
  <c r="O28" i="12" a="1"/>
  <c r="O28" i="12" s="1"/>
  <c r="AO28" i="12" a="1"/>
  <c r="AO28" i="12" s="1"/>
  <c r="Y28" i="12" s="1"/>
  <c r="M28" i="12" a="1"/>
  <c r="M28" i="12" s="1"/>
  <c r="O32" i="5"/>
  <c r="C32" i="6"/>
  <c r="AB46" i="5" a="1"/>
  <c r="AB46" i="5" s="1"/>
  <c r="AB45" i="5" s="1" a="1"/>
  <c r="AB45" i="5" s="1"/>
  <c r="AA46" i="5" a="1"/>
  <c r="AA46" i="5" s="1"/>
  <c r="AA45" i="5" s="1" a="1"/>
  <c r="AA45" i="5" s="1"/>
  <c r="AB33" i="5" a="1"/>
  <c r="AB33" i="5" s="1"/>
  <c r="AA33" i="5" a="1"/>
  <c r="AA33" i="5" s="1"/>
  <c r="C39" i="6"/>
  <c r="O39" i="5"/>
  <c r="AB24" i="5" a="1"/>
  <c r="AB24" i="5" s="1"/>
  <c r="AA24" i="5" a="1"/>
  <c r="AA24" i="5" s="1"/>
  <c r="O30" i="5"/>
  <c r="C30" i="6"/>
  <c r="AB40" i="5" a="1"/>
  <c r="AB40" i="5" s="1"/>
  <c r="AA40" i="5" a="1"/>
  <c r="AA40" i="5" s="1"/>
  <c r="C37" i="6"/>
  <c r="O37" i="5"/>
  <c r="AB34" i="5" a="1"/>
  <c r="AB34" i="5" s="1"/>
  <c r="AA34" i="5" a="1"/>
  <c r="AA34" i="5" s="1"/>
  <c r="O44" i="12" a="1"/>
  <c r="O44" i="12" s="1"/>
  <c r="C44" i="12"/>
  <c r="M44" i="12" a="1"/>
  <c r="M44" i="12" s="1"/>
  <c r="AO44" i="12" a="1"/>
  <c r="AO44" i="12" s="1"/>
  <c r="K70" i="10"/>
  <c r="I70" i="10"/>
  <c r="Y9" i="10" s="1"/>
  <c r="C11" i="10" s="1" a="1"/>
  <c r="C11" i="10" s="1"/>
  <c r="S70" i="10"/>
  <c r="Q72" i="10"/>
  <c r="Q75" i="10" s="1"/>
  <c r="AM15" i="5"/>
  <c r="S72" i="10"/>
  <c r="S75" i="10" s="1"/>
  <c r="AE70" i="10"/>
  <c r="AA72" i="10"/>
  <c r="AA75" i="10" s="1"/>
  <c r="W70" i="10"/>
  <c r="U72" i="10"/>
  <c r="U75" i="10" s="1"/>
  <c r="Y70" i="10"/>
  <c r="K72" i="10"/>
  <c r="K75" i="10" s="1"/>
  <c r="O70" i="10"/>
  <c r="I72" i="10"/>
  <c r="AC72" i="10"/>
  <c r="AC75" i="10" s="1"/>
  <c r="Q70" i="10"/>
  <c r="Z15" i="5"/>
  <c r="Y72" i="10"/>
  <c r="Y75" i="10" s="1"/>
  <c r="M72" i="10"/>
  <c r="M75" i="10" s="1"/>
  <c r="W72" i="10"/>
  <c r="W75" i="10" s="1"/>
  <c r="M70" i="10"/>
  <c r="O72" i="10"/>
  <c r="O75" i="10" s="1"/>
  <c r="U70" i="10"/>
  <c r="AA70" i="10"/>
  <c r="AE72" i="10"/>
  <c r="AE75" i="10" s="1"/>
  <c r="AC70" i="10"/>
  <c r="C18" i="12"/>
  <c r="O18" i="12" a="1"/>
  <c r="O18" i="12" s="1"/>
  <c r="AO18" i="12" a="1"/>
  <c r="AO18" i="12" s="1"/>
  <c r="M18" i="12" a="1"/>
  <c r="M18" i="12" s="1"/>
  <c r="C21" i="12"/>
  <c r="M21" i="12" a="1"/>
  <c r="M21" i="12" s="1"/>
  <c r="AO21" i="12" a="1"/>
  <c r="AO21" i="12" s="1"/>
  <c r="O21" i="12" a="1"/>
  <c r="O21" i="12" s="1"/>
  <c r="N21" i="12" s="1"/>
  <c r="S29" i="8"/>
  <c r="Z42" i="5"/>
  <c r="AM42" i="5"/>
  <c r="I42" i="12"/>
  <c r="L42" i="5"/>
  <c r="O43" i="5"/>
  <c r="C43" i="6"/>
  <c r="O36" i="12" a="1"/>
  <c r="O36" i="12" s="1"/>
  <c r="C36" i="12"/>
  <c r="AO36" i="12" a="1"/>
  <c r="AO36" i="12" s="1"/>
  <c r="M36" i="12" a="1"/>
  <c r="M36" i="12" s="1"/>
  <c r="AC26" i="5" a="1"/>
  <c r="AC26" i="5" s="1"/>
  <c r="O26" i="5"/>
  <c r="C26" i="6"/>
  <c r="AB37" i="5" a="1"/>
  <c r="AB37" i="5" s="1"/>
  <c r="AA37" i="5" a="1"/>
  <c r="AA37" i="5" s="1"/>
  <c r="S17" i="8"/>
  <c r="AM17" i="5"/>
  <c r="Z17" i="5"/>
  <c r="I17" i="12"/>
  <c r="L17" i="5"/>
  <c r="C36" i="6"/>
  <c r="O36" i="5"/>
  <c r="AB36" i="5" a="1"/>
  <c r="AB36" i="5" s="1"/>
  <c r="AA36" i="5" a="1"/>
  <c r="AA36" i="5" s="1"/>
  <c r="C31" i="6"/>
  <c r="O31" i="5"/>
  <c r="C23" i="6"/>
  <c r="O23" i="5"/>
  <c r="AB27" i="5" a="1"/>
  <c r="AB27" i="5" s="1"/>
  <c r="AA27" i="5" a="1"/>
  <c r="AA27" i="5" s="1"/>
  <c r="AB29" i="5" a="1"/>
  <c r="AB29" i="5" s="1"/>
  <c r="AB25" i="5" s="1" a="1"/>
  <c r="AB25" i="5" s="1"/>
  <c r="D23" i="8" s="1"/>
  <c r="AA29" i="5" a="1"/>
  <c r="AA29" i="5" s="1"/>
  <c r="C28" i="6"/>
  <c r="O28" i="5"/>
  <c r="O46" i="12" a="1"/>
  <c r="O46" i="12" s="1"/>
  <c r="AO46" i="12" a="1"/>
  <c r="AO46" i="12" s="1"/>
  <c r="C46" i="12"/>
  <c r="M46" i="12" a="1"/>
  <c r="M46" i="12" s="1"/>
  <c r="M45" i="12" s="1" a="1"/>
  <c r="M45" i="12" s="1"/>
  <c r="O46" i="5"/>
  <c r="C46" i="6"/>
  <c r="M33" i="12" a="1"/>
  <c r="M33" i="12" s="1"/>
  <c r="O33" i="12" a="1"/>
  <c r="O33" i="12" s="1"/>
  <c r="N33" i="12" s="1"/>
  <c r="AO33" i="12" a="1"/>
  <c r="AO33" i="12" s="1"/>
  <c r="Y33" i="12" s="1"/>
  <c r="C33" i="12"/>
  <c r="O24" i="5"/>
  <c r="C24" i="6"/>
  <c r="AB30" i="5" a="1"/>
  <c r="AB30" i="5" s="1"/>
  <c r="AA30" i="5" a="1"/>
  <c r="AA30" i="5" s="1"/>
  <c r="M40" i="12" a="1"/>
  <c r="M40" i="12" s="1"/>
  <c r="C40" i="12"/>
  <c r="O40" i="12" a="1"/>
  <c r="O40" i="12" s="1"/>
  <c r="N40" i="12" s="1"/>
  <c r="AO40" i="12" a="1"/>
  <c r="AO40" i="12" s="1"/>
  <c r="M34" i="12" a="1"/>
  <c r="M34" i="12" s="1"/>
  <c r="AO34" i="12" a="1"/>
  <c r="AO34" i="12" s="1"/>
  <c r="O34" i="12" a="1"/>
  <c r="O34" i="12" s="1"/>
  <c r="N34" i="12" s="1"/>
  <c r="C34" i="12"/>
  <c r="AB44" i="5" a="1"/>
  <c r="AB44" i="5" s="1"/>
  <c r="AA44" i="5" a="1"/>
  <c r="AA44" i="5" s="1"/>
  <c r="AB18" i="5" a="1"/>
  <c r="AB18" i="5" s="1"/>
  <c r="AA18" i="5" a="1"/>
  <c r="AA18" i="5" s="1"/>
  <c r="O22" i="5"/>
  <c r="C22" i="6"/>
  <c r="C20" i="12"/>
  <c r="M20" i="12" a="1"/>
  <c r="M20" i="12" s="1"/>
  <c r="O20" i="12" a="1"/>
  <c r="O20" i="12" s="1"/>
  <c r="AO20" i="12" a="1"/>
  <c r="AO20" i="12" s="1"/>
  <c r="C23" i="12"/>
  <c r="M23" i="12" a="1"/>
  <c r="M23" i="12" s="1"/>
  <c r="O23" i="12" a="1"/>
  <c r="O23" i="12" s="1"/>
  <c r="AO23" i="12" a="1"/>
  <c r="AO23" i="12" s="1"/>
  <c r="Y23" i="12" s="1"/>
  <c r="O29" i="5"/>
  <c r="C29" i="6"/>
  <c r="M38" i="12" a="1"/>
  <c r="M38" i="12" s="1"/>
  <c r="O38" i="12" a="1"/>
  <c r="O38" i="12" s="1"/>
  <c r="N38" i="12" s="1"/>
  <c r="AO38" i="12" a="1"/>
  <c r="AO38" i="12" s="1"/>
  <c r="Y38" i="12" s="1"/>
  <c r="C38" i="12"/>
  <c r="AB28" i="5" a="1"/>
  <c r="AB28" i="5" s="1"/>
  <c r="AA28" i="5" a="1"/>
  <c r="AA28" i="5" s="1"/>
  <c r="AB39" i="5" a="1"/>
  <c r="AB39" i="5" s="1"/>
  <c r="AA39" i="5" a="1"/>
  <c r="AA39" i="5" s="1"/>
  <c r="C40" i="6"/>
  <c r="O40" i="5"/>
  <c r="AO41" i="12" a="1"/>
  <c r="AO41" i="12" s="1"/>
  <c r="Y41" i="12" s="1"/>
  <c r="M41" i="12" a="1"/>
  <c r="M41" i="12" s="1"/>
  <c r="C41" i="12"/>
  <c r="O41" i="12" a="1"/>
  <c r="O41" i="12" s="1"/>
  <c r="C18" i="6"/>
  <c r="O18" i="5"/>
  <c r="O21" i="5"/>
  <c r="C21" i="6"/>
  <c r="O43" i="12" a="1"/>
  <c r="O43" i="12" s="1"/>
  <c r="AO43" i="12" a="1"/>
  <c r="AO43" i="12" s="1"/>
  <c r="C43" i="12"/>
  <c r="M43" i="12" a="1"/>
  <c r="M43" i="12" s="1"/>
  <c r="M42" i="12" s="1" a="1"/>
  <c r="M42" i="12" s="1"/>
  <c r="S23" i="8"/>
  <c r="AM25" i="5"/>
  <c r="Z25" i="5"/>
  <c r="I25" i="12"/>
  <c r="L25" i="5"/>
  <c r="AB22" i="5" a="1"/>
  <c r="AB22" i="5" s="1"/>
  <c r="AA22" i="5" a="1"/>
  <c r="AA22" i="5" s="1"/>
  <c r="AB31" i="5" a="1"/>
  <c r="AB31" i="5" s="1"/>
  <c r="AA31" i="5" a="1"/>
  <c r="AA31" i="5" s="1"/>
  <c r="C22" i="12"/>
  <c r="M22" i="12" a="1"/>
  <c r="M22" i="12" s="1"/>
  <c r="AO22" i="12" a="1"/>
  <c r="AO22" i="12" s="1"/>
  <c r="Y22" i="12" s="1"/>
  <c r="O22" i="12" a="1"/>
  <c r="O22" i="12" s="1"/>
  <c r="N22" i="12" s="1"/>
  <c r="O31" i="12" a="1"/>
  <c r="O31" i="12" s="1"/>
  <c r="C31" i="12"/>
  <c r="AO31" i="12" a="1"/>
  <c r="AO31" i="12" s="1"/>
  <c r="Y31" i="12" s="1"/>
  <c r="M31" i="12" a="1"/>
  <c r="M31" i="12" s="1"/>
  <c r="AB20" i="5" a="1"/>
  <c r="AB20" i="5" s="1"/>
  <c r="AA20" i="5" a="1"/>
  <c r="AA20" i="5" s="1"/>
  <c r="AO27" i="12" a="1"/>
  <c r="AO27" i="12" s="1"/>
  <c r="Y27" i="12" s="1"/>
  <c r="M27" i="12" a="1"/>
  <c r="M27" i="12" s="1"/>
  <c r="O27" i="12" a="1"/>
  <c r="O27" i="12" s="1"/>
  <c r="C27" i="12"/>
  <c r="O29" i="12" a="1"/>
  <c r="O29" i="12" s="1"/>
  <c r="N29" i="12" s="1"/>
  <c r="M29" i="12" a="1"/>
  <c r="M29" i="12" s="1"/>
  <c r="C29" i="12"/>
  <c r="AO29" i="12" a="1"/>
  <c r="AO29" i="12" s="1"/>
  <c r="C38" i="6"/>
  <c r="O38" i="5"/>
  <c r="M32" i="12" a="1"/>
  <c r="M32" i="12" s="1"/>
  <c r="C32" i="12"/>
  <c r="O32" i="12" a="1"/>
  <c r="O32" i="12" s="1"/>
  <c r="N32" i="12" s="1"/>
  <c r="AO32" i="12" a="1"/>
  <c r="AO32" i="12" s="1"/>
  <c r="AB32" i="5" a="1"/>
  <c r="AB32" i="5" s="1"/>
  <c r="AA32" i="5" a="1"/>
  <c r="AA32" i="5" s="1"/>
  <c r="Z45" i="5"/>
  <c r="AM45" i="5"/>
  <c r="S32" i="8"/>
  <c r="L45" i="5"/>
  <c r="I45" i="12"/>
  <c r="AO39" i="12" a="1"/>
  <c r="AO39" i="12" s="1"/>
  <c r="C39" i="12"/>
  <c r="M39" i="12" a="1"/>
  <c r="M39" i="12" s="1"/>
  <c r="O39" i="12" a="1"/>
  <c r="O39" i="12" s="1"/>
  <c r="N39" i="12" s="1"/>
  <c r="AO24" i="12" a="1"/>
  <c r="AO24" i="12" s="1"/>
  <c r="C24" i="12"/>
  <c r="M24" i="12" a="1"/>
  <c r="M24" i="12" s="1"/>
  <c r="O24" i="12" a="1"/>
  <c r="O24" i="12" s="1"/>
  <c r="N24" i="12" s="1"/>
  <c r="AO30" i="12" a="1"/>
  <c r="AO30" i="12" s="1"/>
  <c r="Y30" i="12" s="1"/>
  <c r="O30" i="12" a="1"/>
  <c r="O30" i="12" s="1"/>
  <c r="C30" i="12"/>
  <c r="M30" i="12" a="1"/>
  <c r="M30" i="12" s="1"/>
  <c r="AO37" i="12" a="1"/>
  <c r="AO37" i="12" s="1"/>
  <c r="Y37" i="12" s="1"/>
  <c r="M37" i="12" a="1"/>
  <c r="M37" i="12" s="1"/>
  <c r="O37" i="12" a="1"/>
  <c r="O37" i="12" s="1"/>
  <c r="N37" i="12" s="1"/>
  <c r="C37" i="12"/>
  <c r="AB41" i="5" a="1"/>
  <c r="AB41" i="5" s="1"/>
  <c r="AA41" i="5" a="1"/>
  <c r="AA41" i="5" s="1"/>
  <c r="C34" i="6"/>
  <c r="O34" i="5"/>
  <c r="I16" i="12"/>
  <c r="O14" i="11" a="1"/>
  <c r="O14" i="11" s="1"/>
  <c r="Z16" i="5"/>
  <c r="L16" i="5"/>
  <c r="S14" i="8"/>
  <c r="AM16" i="5"/>
  <c r="AB21" i="5" a="1"/>
  <c r="AB21" i="5" s="1"/>
  <c r="AA21" i="5" a="1"/>
  <c r="AA21" i="5" s="1"/>
  <c r="O44" i="5"/>
  <c r="AB43" i="5" a="1"/>
  <c r="AB43" i="5" s="1"/>
  <c r="AB42" i="5" s="1" a="1"/>
  <c r="AB42" i="5" s="1"/>
  <c r="AA43" i="5" a="1"/>
  <c r="AA43" i="5" s="1"/>
  <c r="AA42" i="5" s="1" a="1"/>
  <c r="AA42" i="5" s="1"/>
  <c r="C29" i="8" s="1"/>
  <c r="S26" i="8"/>
  <c r="L35" i="5"/>
  <c r="Z35" i="5"/>
  <c r="I35" i="12"/>
  <c r="AM35" i="5"/>
  <c r="O26" i="12" a="1"/>
  <c r="O26" i="12" s="1"/>
  <c r="AO26" i="12" a="1"/>
  <c r="AO26" i="12" s="1"/>
  <c r="C26" i="12"/>
  <c r="M26" i="12" a="1"/>
  <c r="M26" i="12" s="1"/>
  <c r="M25" i="12" s="1" a="1"/>
  <c r="M25" i="12" s="1"/>
  <c r="N26" i="12" l="1"/>
  <c r="O25" i="12" a="1"/>
  <c r="O25" i="12" s="1"/>
  <c r="N25" i="12" s="1"/>
  <c r="AC35" i="5" a="1"/>
  <c r="AC35" i="5" s="1"/>
  <c r="O35" i="5"/>
  <c r="C35" i="6"/>
  <c r="E44" i="6"/>
  <c r="D44" i="12"/>
  <c r="R36" i="8"/>
  <c r="I36" i="8" s="1"/>
  <c r="H14" i="8" a="1"/>
  <c r="H14" i="8" s="1"/>
  <c r="J15" i="8" s="1"/>
  <c r="G14" i="8"/>
  <c r="G15" i="8" s="1" a="1"/>
  <c r="G15" i="8" s="1"/>
  <c r="H15" i="8" a="1"/>
  <c r="H15" i="8" s="1"/>
  <c r="L16" i="12" a="1"/>
  <c r="L16" i="12" s="1"/>
  <c r="K16" i="12" s="1"/>
  <c r="J16" i="12" a="1"/>
  <c r="J16" i="12" s="1"/>
  <c r="C16" i="12"/>
  <c r="W37" i="12" a="1"/>
  <c r="W37" i="12" s="1"/>
  <c r="X37" i="12" a="1"/>
  <c r="X37" i="12" s="1"/>
  <c r="W30" i="12" a="1"/>
  <c r="W30" i="12" s="1"/>
  <c r="X30" i="12" a="1"/>
  <c r="X30" i="12" s="1"/>
  <c r="Y24" i="12"/>
  <c r="Y39" i="12"/>
  <c r="Y32" i="12"/>
  <c r="D38" i="12"/>
  <c r="E38" i="6"/>
  <c r="AO42" i="12" a="1"/>
  <c r="AO42" i="12" s="1"/>
  <c r="Y43" i="12"/>
  <c r="E18" i="6"/>
  <c r="D18" i="12"/>
  <c r="M19" i="12" a="1"/>
  <c r="M19" i="12" s="1"/>
  <c r="AA17" i="5" a="1"/>
  <c r="AA17" i="5" s="1"/>
  <c r="C17" i="8" s="1"/>
  <c r="Y40" i="12"/>
  <c r="AO45" i="12" a="1"/>
  <c r="AO45" i="12" s="1"/>
  <c r="Y46" i="12"/>
  <c r="E23" i="6"/>
  <c r="D23" i="12"/>
  <c r="AA35" i="5" a="1"/>
  <c r="AA35" i="5" s="1"/>
  <c r="C26" i="8" s="1"/>
  <c r="O17" i="5"/>
  <c r="AC17" i="5" a="1"/>
  <c r="AC17" i="5" s="1"/>
  <c r="C17" i="6"/>
  <c r="U19" i="8" a="1"/>
  <c r="U19" i="8" s="1"/>
  <c r="V19" i="8" a="1"/>
  <c r="V19" i="8" s="1"/>
  <c r="E19" i="8" a="1"/>
  <c r="E19" i="8" s="1"/>
  <c r="E16" i="8" s="1" a="1"/>
  <c r="E16" i="8" s="1"/>
  <c r="AB19" i="8" a="1"/>
  <c r="AB19" i="8" s="1"/>
  <c r="AA19" i="8" a="1"/>
  <c r="AA19" i="8" s="1"/>
  <c r="AF19" i="8" a="1"/>
  <c r="AF19" i="8" s="1"/>
  <c r="G17" i="8"/>
  <c r="G18" i="8" s="1" a="1"/>
  <c r="G18" i="8" s="1"/>
  <c r="H18" i="8" a="1"/>
  <c r="H18" i="8" s="1"/>
  <c r="AD19" i="8" a="1"/>
  <c r="AD19" i="8" s="1"/>
  <c r="X19" i="8" a="1"/>
  <c r="X19" i="8" s="1"/>
  <c r="AE19" i="8" a="1"/>
  <c r="AE19" i="8" s="1"/>
  <c r="AE16" i="8" s="1" a="1"/>
  <c r="AE16" i="8" s="1"/>
  <c r="AC19" i="8" a="1"/>
  <c r="AC19" i="8" s="1"/>
  <c r="AC16" i="8" s="1" a="1"/>
  <c r="AC16" i="8" s="1"/>
  <c r="W19" i="8" a="1"/>
  <c r="W19" i="8" s="1"/>
  <c r="Z19" i="8" a="1"/>
  <c r="Z19" i="8" s="1"/>
  <c r="Y19" i="8" a="1"/>
  <c r="Y19" i="8" s="1"/>
  <c r="Y16" i="8" s="1" a="1"/>
  <c r="Y16" i="8" s="1"/>
  <c r="H17" i="8" a="1"/>
  <c r="H17" i="8" s="1"/>
  <c r="J18" i="8" s="1"/>
  <c r="D26" i="12"/>
  <c r="E26" i="6"/>
  <c r="C42" i="6"/>
  <c r="AC42" i="5" a="1"/>
  <c r="AC42" i="5" s="1"/>
  <c r="O42" i="5"/>
  <c r="H30" i="8" a="1"/>
  <c r="H30" i="8" s="1"/>
  <c r="U31" i="8" a="1"/>
  <c r="U31" i="8" s="1"/>
  <c r="U29" i="8" s="1" a="1"/>
  <c r="U29" i="8" s="1"/>
  <c r="AC31" i="8" a="1"/>
  <c r="AC31" i="8" s="1"/>
  <c r="AC29" i="8" s="1" a="1"/>
  <c r="AC29" i="8" s="1"/>
  <c r="AF31" i="8" a="1"/>
  <c r="AF31" i="8" s="1"/>
  <c r="AF29" i="8" s="1" a="1"/>
  <c r="AF29" i="8" s="1"/>
  <c r="G29" i="8"/>
  <c r="G30" i="8" s="1" a="1"/>
  <c r="G30" i="8" s="1"/>
  <c r="AE31" i="8" a="1"/>
  <c r="AE31" i="8" s="1"/>
  <c r="AE29" i="8" s="1" a="1"/>
  <c r="AE29" i="8" s="1"/>
  <c r="AB31" i="8" a="1"/>
  <c r="AB31" i="8" s="1"/>
  <c r="AB29" i="8" s="1" a="1"/>
  <c r="AB29" i="8" s="1"/>
  <c r="W31" i="8" a="1"/>
  <c r="W31" i="8" s="1"/>
  <c r="W29" i="8" s="1" a="1"/>
  <c r="W29" i="8" s="1"/>
  <c r="AD31" i="8" a="1"/>
  <c r="AD31" i="8" s="1"/>
  <c r="AD29" i="8" s="1" a="1"/>
  <c r="AD29" i="8" s="1"/>
  <c r="Z31" i="8" a="1"/>
  <c r="Z31" i="8" s="1"/>
  <c r="Z29" i="8" s="1" a="1"/>
  <c r="Z29" i="8" s="1"/>
  <c r="V31" i="8" a="1"/>
  <c r="V31" i="8" s="1"/>
  <c r="V29" i="8" s="1" a="1"/>
  <c r="V29" i="8" s="1"/>
  <c r="Y31" i="8" a="1"/>
  <c r="Y31" i="8" s="1"/>
  <c r="Y29" i="8" s="1" a="1"/>
  <c r="Y29" i="8" s="1"/>
  <c r="AA31" i="8" a="1"/>
  <c r="AA31" i="8" s="1"/>
  <c r="AA29" i="8" s="1" a="1"/>
  <c r="AA29" i="8" s="1"/>
  <c r="E31" i="8" a="1"/>
  <c r="E31" i="8" s="1"/>
  <c r="E29" i="8" s="1" a="1"/>
  <c r="E29" i="8" s="1"/>
  <c r="D29" i="8"/>
  <c r="X31" i="8" a="1"/>
  <c r="X31" i="8" s="1"/>
  <c r="X29" i="8" s="1" a="1"/>
  <c r="X29" i="8" s="1"/>
  <c r="H29" i="8" a="1"/>
  <c r="H29" i="8" s="1"/>
  <c r="J30" i="8" s="1"/>
  <c r="E32" i="6"/>
  <c r="D32" i="12"/>
  <c r="AC22" i="8" a="1"/>
  <c r="AC22" i="8" s="1"/>
  <c r="AC20" i="8" s="1" a="1"/>
  <c r="AC20" i="8" s="1"/>
  <c r="H21" i="8" a="1"/>
  <c r="H21" i="8" s="1"/>
  <c r="G20" i="8"/>
  <c r="G21" i="8" s="1" a="1"/>
  <c r="G21" i="8" s="1"/>
  <c r="W22" i="8" a="1"/>
  <c r="W22" i="8" s="1"/>
  <c r="W20" i="8" s="1" a="1"/>
  <c r="W20" i="8" s="1"/>
  <c r="U22" i="8" a="1"/>
  <c r="U22" i="8" s="1"/>
  <c r="U20" i="8" s="1" a="1"/>
  <c r="U20" i="8" s="1"/>
  <c r="AD22" i="8" a="1"/>
  <c r="AD22" i="8" s="1"/>
  <c r="AD20" i="8" s="1" a="1"/>
  <c r="AD20" i="8" s="1"/>
  <c r="Z22" i="8" a="1"/>
  <c r="Z22" i="8" s="1"/>
  <c r="Z20" i="8" s="1" a="1"/>
  <c r="Z20" i="8" s="1"/>
  <c r="X22" i="8" a="1"/>
  <c r="X22" i="8" s="1"/>
  <c r="X20" i="8" s="1" a="1"/>
  <c r="X20" i="8" s="1"/>
  <c r="Y22" i="8" a="1"/>
  <c r="Y22" i="8" s="1"/>
  <c r="Y20" i="8" s="1" a="1"/>
  <c r="Y20" i="8" s="1"/>
  <c r="AB22" i="8" a="1"/>
  <c r="AB22" i="8" s="1"/>
  <c r="AB20" i="8" s="1" a="1"/>
  <c r="AB20" i="8" s="1"/>
  <c r="H20" i="8" a="1"/>
  <c r="H20" i="8" s="1"/>
  <c r="J21" i="8" s="1"/>
  <c r="E25" i="8" a="1"/>
  <c r="E25" i="8" s="1"/>
  <c r="E22" i="8" s="1" a="1"/>
  <c r="E22" i="8" s="1"/>
  <c r="Z25" i="8" a="1"/>
  <c r="Z25" i="8" s="1"/>
  <c r="H24" i="8" a="1"/>
  <c r="H24" i="8" s="1"/>
  <c r="U25" i="8" a="1"/>
  <c r="U25" i="8" s="1"/>
  <c r="X25" i="8" a="1"/>
  <c r="X25" i="8" s="1"/>
  <c r="AB25" i="8" a="1"/>
  <c r="AB25" i="8" s="1"/>
  <c r="W25" i="8" a="1"/>
  <c r="W25" i="8" s="1"/>
  <c r="AA25" i="8" a="1"/>
  <c r="AA25" i="8" s="1"/>
  <c r="AA22" i="8" s="1" a="1"/>
  <c r="AA22" i="8" s="1"/>
  <c r="AA16" i="8" s="1" a="1"/>
  <c r="AA16" i="8" s="1"/>
  <c r="AD25" i="8" a="1"/>
  <c r="AD25" i="8" s="1"/>
  <c r="Y25" i="8" a="1"/>
  <c r="Y25" i="8" s="1"/>
  <c r="G23" i="8"/>
  <c r="G24" i="8" s="1" a="1"/>
  <c r="G24" i="8" s="1"/>
  <c r="AF25" i="8" a="1"/>
  <c r="AF25" i="8" s="1"/>
  <c r="AF22" i="8" s="1" a="1"/>
  <c r="AF22" i="8" s="1"/>
  <c r="AC25" i="8" a="1"/>
  <c r="AC25" i="8" s="1"/>
  <c r="H23" i="8" a="1"/>
  <c r="H23" i="8" s="1"/>
  <c r="J24" i="8" s="1"/>
  <c r="AE25" i="8" a="1"/>
  <c r="AE25" i="8" s="1"/>
  <c r="AE22" i="8" s="1" a="1"/>
  <c r="AE22" i="8" s="1"/>
  <c r="V25" i="8" a="1"/>
  <c r="V25" i="8" s="1"/>
  <c r="V22" i="8" s="1" a="1"/>
  <c r="V22" i="8" s="1"/>
  <c r="V16" i="8" s="1" a="1"/>
  <c r="V16" i="8" s="1"/>
  <c r="E46" i="6"/>
  <c r="D46" i="12"/>
  <c r="J42" i="12" a="1"/>
  <c r="J42" i="12" s="1"/>
  <c r="L42" i="12" a="1"/>
  <c r="L42" i="12" s="1"/>
  <c r="C42" i="12"/>
  <c r="M17" i="12" a="1"/>
  <c r="M17" i="12" s="1"/>
  <c r="M16" i="12" a="1"/>
  <c r="M16" i="12" s="1"/>
  <c r="I75" i="10"/>
  <c r="H75" i="10" s="1"/>
  <c r="AE9" i="10"/>
  <c r="E37" i="6"/>
  <c r="D37" i="12"/>
  <c r="D39" i="12"/>
  <c r="E39" i="6"/>
  <c r="C32" i="8"/>
  <c r="C19" i="6"/>
  <c r="O19" i="5"/>
  <c r="AC19" i="5" a="1"/>
  <c r="AC19" i="5" s="1"/>
  <c r="C16" i="6"/>
  <c r="C14" i="6"/>
  <c r="AC16" i="5" a="1"/>
  <c r="AC16" i="5" s="1"/>
  <c r="O12" i="5" s="1" a="1"/>
  <c r="O12" i="5" s="1"/>
  <c r="O16" i="5"/>
  <c r="AC11" i="5"/>
  <c r="L45" i="12" a="1"/>
  <c r="L45" i="12" s="1"/>
  <c r="K45" i="12" s="1"/>
  <c r="C45" i="12"/>
  <c r="J45" i="12" a="1"/>
  <c r="J45" i="12" s="1"/>
  <c r="X27" i="12" a="1"/>
  <c r="X27" i="12" s="1"/>
  <c r="W27" i="12" a="1"/>
  <c r="W27" i="12" s="1"/>
  <c r="AC25" i="5" a="1"/>
  <c r="AC25" i="5" s="1"/>
  <c r="C25" i="6"/>
  <c r="O25" i="5"/>
  <c r="E29" i="6"/>
  <c r="D29" i="12"/>
  <c r="N46" i="12"/>
  <c r="O45" i="12" a="1"/>
  <c r="O45" i="12" s="1"/>
  <c r="N45" i="12" s="1"/>
  <c r="Y29" i="12"/>
  <c r="AA19" i="5" a="1"/>
  <c r="AA19" i="5" s="1"/>
  <c r="C20" i="8" s="1"/>
  <c r="J25" i="12" a="1"/>
  <c r="J25" i="12" s="1"/>
  <c r="C25" i="12"/>
  <c r="L25" i="12" a="1"/>
  <c r="L25" i="12" s="1"/>
  <c r="K25" i="12" s="1"/>
  <c r="N41" i="12"/>
  <c r="E40" i="6"/>
  <c r="D40" i="12"/>
  <c r="W23" i="12" a="1"/>
  <c r="W23" i="12" s="1"/>
  <c r="X23" i="12" a="1"/>
  <c r="X23" i="12" s="1"/>
  <c r="Y20" i="12"/>
  <c r="AO19" i="12" a="1"/>
  <c r="AO19" i="12" s="1"/>
  <c r="Y19" i="12" s="1"/>
  <c r="Y34" i="12"/>
  <c r="E28" i="6"/>
  <c r="D28" i="12"/>
  <c r="D31" i="12"/>
  <c r="E31" i="6"/>
  <c r="D36" i="12"/>
  <c r="E36" i="6"/>
  <c r="M35" i="12" a="1"/>
  <c r="M35" i="12" s="1"/>
  <c r="Y21" i="12"/>
  <c r="Y18" i="12"/>
  <c r="AO17" i="12" a="1"/>
  <c r="AO17" i="12" s="1"/>
  <c r="AO16" i="12" a="1"/>
  <c r="AO16" i="12" s="1"/>
  <c r="Y16" i="12" s="1"/>
  <c r="N44" i="12"/>
  <c r="E30" i="6"/>
  <c r="D30" i="12"/>
  <c r="X28" i="12" a="1"/>
  <c r="X28" i="12" s="1"/>
  <c r="W28" i="12" a="1"/>
  <c r="W28" i="12" s="1"/>
  <c r="D41" i="12"/>
  <c r="E41" i="6"/>
  <c r="V28" i="8" a="1"/>
  <c r="V28" i="8" s="1"/>
  <c r="V26" i="8" s="1" a="1"/>
  <c r="V26" i="8" s="1"/>
  <c r="AD28" i="8" a="1"/>
  <c r="AD28" i="8" s="1"/>
  <c r="AD26" i="8" s="1" a="1"/>
  <c r="AD26" i="8" s="1"/>
  <c r="G26" i="8"/>
  <c r="G27" i="8" s="1" a="1"/>
  <c r="G27" i="8" s="1"/>
  <c r="X28" i="8" a="1"/>
  <c r="X28" i="8" s="1"/>
  <c r="X26" i="8" s="1" a="1"/>
  <c r="X26" i="8" s="1"/>
  <c r="Z28" i="8" a="1"/>
  <c r="Z28" i="8" s="1"/>
  <c r="Z26" i="8" s="1" a="1"/>
  <c r="Z26" i="8" s="1"/>
  <c r="AA28" i="8" a="1"/>
  <c r="AA28" i="8" s="1"/>
  <c r="AA26" i="8" s="1" a="1"/>
  <c r="AA26" i="8" s="1"/>
  <c r="AE28" i="8" a="1"/>
  <c r="AE28" i="8" s="1"/>
  <c r="AE26" i="8" s="1" a="1"/>
  <c r="AE26" i="8" s="1"/>
  <c r="H27" i="8" a="1"/>
  <c r="H27" i="8" s="1"/>
  <c r="Y28" i="8" a="1"/>
  <c r="Y28" i="8" s="1"/>
  <c r="Y26" i="8" s="1" a="1"/>
  <c r="Y26" i="8" s="1"/>
  <c r="AF28" i="8" a="1"/>
  <c r="AF28" i="8" s="1"/>
  <c r="AF26" i="8" s="1" a="1"/>
  <c r="AF26" i="8" s="1"/>
  <c r="U28" i="8" a="1"/>
  <c r="U28" i="8" s="1"/>
  <c r="U26" i="8" s="1" a="1"/>
  <c r="U26" i="8" s="1"/>
  <c r="AC28" i="8" a="1"/>
  <c r="AC28" i="8" s="1"/>
  <c r="AC26" i="8" s="1" a="1"/>
  <c r="AC26" i="8" s="1"/>
  <c r="E28" i="8" a="1"/>
  <c r="E28" i="8" s="1"/>
  <c r="E26" i="8" s="1" a="1"/>
  <c r="E26" i="8" s="1"/>
  <c r="AB28" i="8" a="1"/>
  <c r="AB28" i="8" s="1"/>
  <c r="AB26" i="8" s="1" a="1"/>
  <c r="AB26" i="8" s="1"/>
  <c r="W28" i="8" a="1"/>
  <c r="W28" i="8" s="1"/>
  <c r="W26" i="8" s="1" a="1"/>
  <c r="W26" i="8" s="1"/>
  <c r="H26" i="8" a="1"/>
  <c r="H26" i="8" s="1"/>
  <c r="J27" i="8" s="1"/>
  <c r="D34" i="12"/>
  <c r="E34" i="6"/>
  <c r="W31" i="12" a="1"/>
  <c r="W31" i="12" s="1"/>
  <c r="X31" i="12" a="1"/>
  <c r="X31" i="12" s="1"/>
  <c r="X22" i="12" a="1"/>
  <c r="X22" i="12" s="1"/>
  <c r="W22" i="12" a="1"/>
  <c r="W22" i="12" s="1"/>
  <c r="N43" i="12"/>
  <c r="O42" i="12" a="1"/>
  <c r="O42" i="12" s="1"/>
  <c r="N42" i="12" s="1"/>
  <c r="W41" i="12" a="1"/>
  <c r="W41" i="12" s="1"/>
  <c r="X41" i="12" a="1"/>
  <c r="X41" i="12" s="1"/>
  <c r="X38" i="12" a="1"/>
  <c r="X38" i="12" s="1"/>
  <c r="W38" i="12" a="1"/>
  <c r="W38" i="12" s="1"/>
  <c r="AB17" i="5" a="1"/>
  <c r="AB17" i="5" s="1"/>
  <c r="D17" i="8" s="1"/>
  <c r="AB15" i="5"/>
  <c r="AB16" i="5" a="1"/>
  <c r="AB16" i="5" s="1"/>
  <c r="AB14" i="11" s="1" a="1"/>
  <c r="AB14" i="11" s="1"/>
  <c r="W33" i="12" a="1"/>
  <c r="W33" i="12" s="1"/>
  <c r="X33" i="12" a="1"/>
  <c r="X33" i="12" s="1"/>
  <c r="AB35" i="5" a="1"/>
  <c r="AB35" i="5" s="1"/>
  <c r="D26" i="8" s="1"/>
  <c r="J17" i="12" a="1"/>
  <c r="J17" i="12" s="1"/>
  <c r="C17" i="12"/>
  <c r="L17" i="12" a="1"/>
  <c r="L17" i="12" s="1"/>
  <c r="K17" i="12" s="1"/>
  <c r="O35" i="12" a="1"/>
  <c r="O35" i="12" s="1"/>
  <c r="N36" i="12"/>
  <c r="L35" i="12" a="1"/>
  <c r="L35" i="12" s="1"/>
  <c r="C35" i="12"/>
  <c r="J35" i="12" a="1"/>
  <c r="J35" i="12" s="1"/>
  <c r="C45" i="6"/>
  <c r="AC45" i="5" a="1"/>
  <c r="AC45" i="5" s="1"/>
  <c r="O45" i="5"/>
  <c r="Y26" i="12"/>
  <c r="AO25" i="12" a="1"/>
  <c r="AO25" i="12" s="1"/>
  <c r="Y25" i="12" s="1"/>
  <c r="O24" i="11"/>
  <c r="C14" i="11"/>
  <c r="P14" i="11"/>
  <c r="G11" i="11" s="1"/>
  <c r="L14" i="13"/>
  <c r="N30" i="12"/>
  <c r="AC34" i="8" a="1"/>
  <c r="AC34" i="8" s="1"/>
  <c r="AC32" i="8" s="1" a="1"/>
  <c r="AC32" i="8" s="1"/>
  <c r="AE34" i="8" a="1"/>
  <c r="AE34" i="8" s="1"/>
  <c r="AE32" i="8" s="1" a="1"/>
  <c r="AE32" i="8" s="1"/>
  <c r="G32" i="8"/>
  <c r="G33" i="8" s="1" a="1"/>
  <c r="G33" i="8" s="1"/>
  <c r="AB34" i="8" a="1"/>
  <c r="AB34" i="8" s="1"/>
  <c r="AB32" i="8" s="1" a="1"/>
  <c r="AB32" i="8" s="1"/>
  <c r="U34" i="8" a="1"/>
  <c r="U34" i="8" s="1"/>
  <c r="U32" i="8" s="1" a="1"/>
  <c r="U32" i="8" s="1"/>
  <c r="H33" i="8" a="1"/>
  <c r="H33" i="8" s="1"/>
  <c r="AD34" i="8" a="1"/>
  <c r="AD34" i="8" s="1"/>
  <c r="AD32" i="8" s="1" a="1"/>
  <c r="AD32" i="8" s="1"/>
  <c r="Z34" i="8" a="1"/>
  <c r="Z34" i="8" s="1"/>
  <c r="Z32" i="8" s="1" a="1"/>
  <c r="Z32" i="8" s="1"/>
  <c r="D32" i="8"/>
  <c r="X34" i="8" a="1"/>
  <c r="X34" i="8" s="1"/>
  <c r="X32" i="8" s="1" a="1"/>
  <c r="X32" i="8" s="1"/>
  <c r="AA34" i="8" a="1"/>
  <c r="AA34" i="8" s="1"/>
  <c r="AA32" i="8" s="1" a="1"/>
  <c r="AA32" i="8" s="1"/>
  <c r="V34" i="8" a="1"/>
  <c r="V34" i="8" s="1"/>
  <c r="V32" i="8" s="1" a="1"/>
  <c r="V32" i="8" s="1"/>
  <c r="E34" i="8" a="1"/>
  <c r="E34" i="8" s="1"/>
  <c r="E32" i="8" s="1" a="1"/>
  <c r="E32" i="8" s="1"/>
  <c r="Y34" i="8" a="1"/>
  <c r="Y34" i="8" s="1"/>
  <c r="Y32" i="8" s="1" a="1"/>
  <c r="Y32" i="8" s="1"/>
  <c r="AF34" i="8" a="1"/>
  <c r="AF34" i="8" s="1"/>
  <c r="AF32" i="8" s="1" a="1"/>
  <c r="AF32" i="8" s="1"/>
  <c r="W34" i="8" a="1"/>
  <c r="W34" i="8" s="1"/>
  <c r="W32" i="8" s="1" a="1"/>
  <c r="W32" i="8" s="1"/>
  <c r="H32" i="8" a="1"/>
  <c r="H32" i="8" s="1"/>
  <c r="J33" i="8" s="1"/>
  <c r="N27" i="12"/>
  <c r="AB19" i="5" a="1"/>
  <c r="AB19" i="5" s="1"/>
  <c r="D20" i="8" s="1"/>
  <c r="N31" i="12"/>
  <c r="D21" i="12"/>
  <c r="E21" i="6"/>
  <c r="N23" i="12"/>
  <c r="N20" i="12"/>
  <c r="O19" i="12" a="1"/>
  <c r="O19" i="12" s="1"/>
  <c r="N19" i="12" s="1"/>
  <c r="E22" i="6"/>
  <c r="D22" i="12"/>
  <c r="E24" i="6"/>
  <c r="D24" i="12"/>
  <c r="AO35" i="12" a="1"/>
  <c r="AO35" i="12" s="1"/>
  <c r="Y35" i="12" s="1"/>
  <c r="Y36" i="12"/>
  <c r="D43" i="12"/>
  <c r="E43" i="6"/>
  <c r="O17" i="12" a="1"/>
  <c r="O17" i="12" s="1"/>
  <c r="N17" i="12" s="1"/>
  <c r="N18" i="12"/>
  <c r="O16" i="12" a="1"/>
  <c r="O16" i="12" s="1"/>
  <c r="Y44" i="12"/>
  <c r="N28" i="12"/>
  <c r="E27" i="6"/>
  <c r="D27" i="12"/>
  <c r="D20" i="12"/>
  <c r="E20" i="6"/>
  <c r="J19" i="12" a="1"/>
  <c r="J19" i="12" s="1"/>
  <c r="C19" i="12"/>
  <c r="L19" i="12" a="1"/>
  <c r="L19" i="12" s="1"/>
  <c r="E33" i="6"/>
  <c r="D33" i="12"/>
  <c r="AC14" i="8" l="1" a="1"/>
  <c r="AC14" i="8" s="1"/>
  <c r="V14" i="8" a="1"/>
  <c r="V14" i="8" s="1"/>
  <c r="AA14" i="8" a="1"/>
  <c r="AA14" i="8" s="1"/>
  <c r="Y14" i="8" a="1"/>
  <c r="Y14" i="8" s="1"/>
  <c r="AE14" i="8" a="1"/>
  <c r="AE14" i="8" s="1"/>
  <c r="E44" i="8" a="1"/>
  <c r="E44" i="8" s="1"/>
  <c r="E39" i="8" s="1"/>
  <c r="E14" i="8" a="1"/>
  <c r="E14" i="8" s="1"/>
  <c r="E45" i="8"/>
  <c r="X26" i="12" a="1"/>
  <c r="X26" i="12" s="1"/>
  <c r="W26" i="12" a="1"/>
  <c r="W26" i="12" s="1"/>
  <c r="N35" i="12"/>
  <c r="U22" i="12"/>
  <c r="V22" i="12" a="1"/>
  <c r="V22" i="12" s="1"/>
  <c r="T22" i="12"/>
  <c r="V28" i="12" a="1"/>
  <c r="V28" i="12" s="1"/>
  <c r="U28" i="12"/>
  <c r="T28" i="12"/>
  <c r="X21" i="12" a="1"/>
  <c r="X21" i="12" s="1"/>
  <c r="W21" i="12" a="1"/>
  <c r="W21" i="12" s="1"/>
  <c r="X34" i="12" a="1"/>
  <c r="X34" i="12" s="1"/>
  <c r="W34" i="12" a="1"/>
  <c r="W34" i="12" s="1"/>
  <c r="V23" i="12" a="1"/>
  <c r="V23" i="12" s="1"/>
  <c r="U23" i="12"/>
  <c r="T23" i="12"/>
  <c r="W29" i="12" a="1"/>
  <c r="W29" i="12" s="1"/>
  <c r="X29" i="12" a="1"/>
  <c r="X29" i="12" s="1"/>
  <c r="T27" i="12"/>
  <c r="U27" i="12"/>
  <c r="V27" i="12" a="1"/>
  <c r="V27" i="12" s="1"/>
  <c r="I20" i="8"/>
  <c r="A20" i="8" s="1"/>
  <c r="D19" i="12"/>
  <c r="E19" i="6"/>
  <c r="K42" i="12"/>
  <c r="X40" i="12" a="1"/>
  <c r="X40" i="12" s="1"/>
  <c r="W40" i="12" a="1"/>
  <c r="W40" i="12" s="1"/>
  <c r="Y42" i="12"/>
  <c r="X39" i="12" a="1"/>
  <c r="X39" i="12" s="1"/>
  <c r="W39" i="12" a="1"/>
  <c r="W39" i="12" s="1"/>
  <c r="D35" i="12"/>
  <c r="I26" i="8"/>
  <c r="A26" i="8" s="1"/>
  <c r="E35" i="6"/>
  <c r="E45" i="6"/>
  <c r="D45" i="12"/>
  <c r="I32" i="8"/>
  <c r="A32" i="8" s="1"/>
  <c r="AL14" i="13"/>
  <c r="M14" i="13" s="1"/>
  <c r="M28" i="13" s="1"/>
  <c r="AK14" i="13" a="1"/>
  <c r="AK14" i="13" s="1"/>
  <c r="S14" i="13" s="1"/>
  <c r="M27" i="13" s="1"/>
  <c r="AF16" i="8" a="1"/>
  <c r="AF16" i="8" s="1"/>
  <c r="Z16" i="8" a="1"/>
  <c r="Z16" i="8" s="1"/>
  <c r="AB16" i="8" a="1"/>
  <c r="AB16" i="8" s="1"/>
  <c r="X24" i="12" a="1"/>
  <c r="X24" i="12" s="1"/>
  <c r="W24" i="12" a="1"/>
  <c r="W24" i="12" s="1"/>
  <c r="U37" i="12"/>
  <c r="T37" i="12"/>
  <c r="V37" i="12" a="1"/>
  <c r="V37" i="12" s="1"/>
  <c r="X36" i="12" a="1"/>
  <c r="X36" i="12" s="1"/>
  <c r="W36" i="12" a="1"/>
  <c r="W36" i="12" s="1"/>
  <c r="U41" i="12"/>
  <c r="T41" i="12"/>
  <c r="V41" i="12" a="1"/>
  <c r="V41" i="12" s="1"/>
  <c r="X16" i="12" a="1"/>
  <c r="X16" i="12" s="1"/>
  <c r="W16" i="12" a="1"/>
  <c r="W16" i="12" s="1"/>
  <c r="E25" i="6"/>
  <c r="I23" i="8"/>
  <c r="A23" i="8" s="1"/>
  <c r="D25" i="12"/>
  <c r="K19" i="12"/>
  <c r="W44" i="12" a="1"/>
  <c r="W44" i="12" s="1"/>
  <c r="X44" i="12" a="1"/>
  <c r="X44" i="12" s="1"/>
  <c r="O25" i="11"/>
  <c r="AA7" i="11"/>
  <c r="K35" i="12"/>
  <c r="T33" i="12"/>
  <c r="V33" i="12" a="1"/>
  <c r="V33" i="12" s="1"/>
  <c r="U33" i="12"/>
  <c r="V38" i="12" a="1"/>
  <c r="V38" i="12" s="1"/>
  <c r="U38" i="12"/>
  <c r="T38" i="12"/>
  <c r="Y17" i="12"/>
  <c r="W20" i="12" a="1"/>
  <c r="W20" i="12" s="1"/>
  <c r="X20" i="12" a="1"/>
  <c r="X20" i="12" s="1"/>
  <c r="AC7" i="5"/>
  <c r="D42" i="12"/>
  <c r="E42" i="6"/>
  <c r="I29" i="8"/>
  <c r="A29" i="8" s="1"/>
  <c r="AD16" i="8" a="1"/>
  <c r="AD16" i="8" s="1"/>
  <c r="U16" i="8" a="1"/>
  <c r="U16" i="8" s="1"/>
  <c r="D17" i="12"/>
  <c r="E17" i="6"/>
  <c r="I17" i="8"/>
  <c r="A17" i="8" s="1"/>
  <c r="F46" i="8" s="1"/>
  <c r="X46" i="12" a="1"/>
  <c r="X46" i="12" s="1"/>
  <c r="W46" i="12" a="1"/>
  <c r="W46" i="12" s="1"/>
  <c r="W35" i="12" a="1"/>
  <c r="W35" i="12" s="1"/>
  <c r="X35" i="12" a="1"/>
  <c r="X35" i="12" s="1"/>
  <c r="X19" i="12" a="1"/>
  <c r="X19" i="12" s="1"/>
  <c r="W19" i="12" a="1"/>
  <c r="W19" i="12" s="1"/>
  <c r="N16" i="12"/>
  <c r="AN14" i="13" a="1"/>
  <c r="AN14" i="13" s="1"/>
  <c r="U14" i="13" s="1"/>
  <c r="AD4" i="13" s="1"/>
  <c r="AO14" i="13"/>
  <c r="O14" i="13" s="1"/>
  <c r="L28" i="13"/>
  <c r="D14" i="13"/>
  <c r="V14" i="13"/>
  <c r="V15" i="13" s="1"/>
  <c r="V16" i="13" s="1"/>
  <c r="V17" i="13" s="1"/>
  <c r="V18" i="13" s="1"/>
  <c r="V19" i="13" s="1"/>
  <c r="V20" i="13" s="1"/>
  <c r="V21" i="13" s="1"/>
  <c r="V22" i="13" s="1"/>
  <c r="V23" i="13" s="1"/>
  <c r="X25" i="12" a="1"/>
  <c r="X25" i="12" s="1"/>
  <c r="W25" i="12" a="1"/>
  <c r="W25" i="12" s="1"/>
  <c r="N14" i="11"/>
  <c r="N24" i="11" s="1"/>
  <c r="AB24" i="11"/>
  <c r="AB7" i="11" s="1"/>
  <c r="T31" i="12"/>
  <c r="U31" i="12"/>
  <c r="V31" i="12" a="1"/>
  <c r="V31" i="12" s="1"/>
  <c r="W18" i="12" a="1"/>
  <c r="W18" i="12" s="1"/>
  <c r="X18" i="12" a="1"/>
  <c r="X18" i="12" s="1"/>
  <c r="E16" i="6"/>
  <c r="I14" i="8"/>
  <c r="D16" i="12"/>
  <c r="E14" i="6"/>
  <c r="X16" i="8" a="1"/>
  <c r="X16" i="8" s="1"/>
  <c r="W16" i="8" a="1"/>
  <c r="W16" i="8" s="1"/>
  <c r="W14" i="8" s="1" a="1"/>
  <c r="W14" i="8" s="1"/>
  <c r="Y45" i="12"/>
  <c r="W43" i="12" a="1"/>
  <c r="W43" i="12" s="1"/>
  <c r="X43" i="12" a="1"/>
  <c r="X43" i="12" s="1"/>
  <c r="W32" i="12" a="1"/>
  <c r="W32" i="12" s="1"/>
  <c r="X32" i="12" a="1"/>
  <c r="X32" i="12" s="1"/>
  <c r="T30" i="12"/>
  <c r="V30" i="12" a="1"/>
  <c r="V30" i="12" s="1"/>
  <c r="U30" i="12"/>
  <c r="X45" i="12" l="1" a="1"/>
  <c r="X45" i="12" s="1"/>
  <c r="W45" i="12" a="1"/>
  <c r="W45" i="12" s="1"/>
  <c r="T18" i="12"/>
  <c r="V18" i="12" a="1"/>
  <c r="V18" i="12" s="1"/>
  <c r="U18" i="12"/>
  <c r="N14" i="13"/>
  <c r="P14" i="13"/>
  <c r="O28" i="13"/>
  <c r="U44" i="8" a="1"/>
  <c r="U44" i="8" s="1"/>
  <c r="U14" i="8" a="1"/>
  <c r="U14" i="8" s="1"/>
  <c r="U45" i="8"/>
  <c r="W17" i="12" a="1"/>
  <c r="W17" i="12" s="1"/>
  <c r="X17" i="12" a="1"/>
  <c r="X17" i="12" s="1"/>
  <c r="Z3" i="11"/>
  <c r="AA3" i="11" s="1" a="1"/>
  <c r="AA3" i="11" s="1"/>
  <c r="T16" i="12"/>
  <c r="U16" i="12"/>
  <c r="V16" i="12" a="1"/>
  <c r="V16" i="12" s="1"/>
  <c r="AB14" i="8" a="1"/>
  <c r="AB14" i="8" s="1"/>
  <c r="U39" i="12"/>
  <c r="T39" i="12"/>
  <c r="V39" i="12" a="1"/>
  <c r="V39" i="12" s="1"/>
  <c r="U26" i="12"/>
  <c r="T26" i="12"/>
  <c r="V26" i="12" a="1"/>
  <c r="V26" i="12" s="1"/>
  <c r="AD46" i="8"/>
  <c r="AA46" i="8"/>
  <c r="X46" i="8"/>
  <c r="AF46" i="8"/>
  <c r="V46" i="8"/>
  <c r="W46" i="8"/>
  <c r="AE46" i="8"/>
  <c r="Z46" i="8"/>
  <c r="A11" i="12"/>
  <c r="P11" i="12" s="1"/>
  <c r="O11" i="12" s="1"/>
  <c r="U46" i="8"/>
  <c r="H72" i="9" s="1"/>
  <c r="Y46" i="8"/>
  <c r="AB46" i="8"/>
  <c r="AC46" i="8"/>
  <c r="AD14" i="8" a="1"/>
  <c r="AD14" i="8" s="1"/>
  <c r="V36" i="12" a="1"/>
  <c r="V36" i="12" s="1"/>
  <c r="T36" i="12"/>
  <c r="U36" i="12"/>
  <c r="Z14" i="8" a="1"/>
  <c r="Z14" i="8" s="1"/>
  <c r="M24" i="13"/>
  <c r="O29" i="13"/>
  <c r="U29" i="12"/>
  <c r="V29" i="12" a="1"/>
  <c r="V29" i="12" s="1"/>
  <c r="T29" i="12"/>
  <c r="V34" i="12" a="1"/>
  <c r="V34" i="12" s="1"/>
  <c r="U34" i="12"/>
  <c r="T34" i="12"/>
  <c r="X14" i="8" a="1"/>
  <c r="X14" i="8" s="1"/>
  <c r="L24" i="13"/>
  <c r="D33" i="14"/>
  <c r="U24" i="12"/>
  <c r="T24" i="12"/>
  <c r="V24" i="12" a="1"/>
  <c r="V24" i="12" s="1"/>
  <c r="AF14" i="8" a="1"/>
  <c r="AF14" i="8" s="1"/>
  <c r="W42" i="12" a="1"/>
  <c r="W42" i="12" s="1"/>
  <c r="X42" i="12" a="1"/>
  <c r="X42" i="12" s="1"/>
  <c r="E40" i="8"/>
  <c r="E36" i="8" s="1"/>
  <c r="E41" i="8"/>
  <c r="E46" i="8" s="1"/>
  <c r="V32" i="12" a="1"/>
  <c r="V32" i="12" s="1"/>
  <c r="U32" i="12"/>
  <c r="T32" i="12"/>
  <c r="L27" i="13"/>
  <c r="D32" i="14" s="1"/>
  <c r="N25" i="11"/>
  <c r="V25" i="12" a="1"/>
  <c r="V25" i="12" s="1"/>
  <c r="T25" i="12"/>
  <c r="U25" i="12"/>
  <c r="V35" i="12" a="1"/>
  <c r="V35" i="12" s="1"/>
  <c r="U35" i="12"/>
  <c r="T35" i="12"/>
  <c r="T43" i="12"/>
  <c r="V43" i="12" a="1"/>
  <c r="V43" i="12" s="1"/>
  <c r="U43" i="12"/>
  <c r="T19" i="12"/>
  <c r="V19" i="12" a="1"/>
  <c r="V19" i="12" s="1"/>
  <c r="U19" i="12"/>
  <c r="V46" i="12" a="1"/>
  <c r="V46" i="12" s="1"/>
  <c r="U46" i="12"/>
  <c r="T46" i="12"/>
  <c r="V20" i="12" a="1"/>
  <c r="V20" i="12" s="1"/>
  <c r="T20" i="12"/>
  <c r="U20" i="12"/>
  <c r="T44" i="12"/>
  <c r="V44" i="12" a="1"/>
  <c r="V44" i="12" s="1"/>
  <c r="U44" i="12"/>
  <c r="U40" i="12"/>
  <c r="T40" i="12"/>
  <c r="V40" i="12" a="1"/>
  <c r="V40" i="12" s="1"/>
  <c r="U21" i="12"/>
  <c r="T21" i="12"/>
  <c r="V21" i="12" a="1"/>
  <c r="V21" i="12" s="1"/>
  <c r="L72" i="9" l="1"/>
  <c r="W47" i="8"/>
  <c r="T72" i="9"/>
  <c r="AA47" i="8"/>
  <c r="U40" i="8"/>
  <c r="H71" i="9"/>
  <c r="U41" i="8"/>
  <c r="V45" i="8"/>
  <c r="N28" i="13"/>
  <c r="F33" i="14"/>
  <c r="D51" i="2" a="1"/>
  <c r="D51" i="2" s="1"/>
  <c r="AD27" i="13"/>
  <c r="AC27" i="13"/>
  <c r="O24" i="13"/>
  <c r="AD6" i="13"/>
  <c r="AE6" i="13" s="1"/>
  <c r="D52" i="2" a="1"/>
  <c r="D52" i="2" s="1"/>
  <c r="D47" i="2" a="1"/>
  <c r="D47" i="2" s="1"/>
  <c r="D54" i="2" a="1"/>
  <c r="D54" i="2" s="1"/>
  <c r="D53" i="2" a="1"/>
  <c r="D53" i="2" s="1"/>
  <c r="P24" i="13"/>
  <c r="D48" i="2" a="1"/>
  <c r="D48" i="2" s="1"/>
  <c r="AA26" i="5" a="1"/>
  <c r="AA26" i="5" s="1"/>
  <c r="AD22" i="11"/>
  <c r="AD12" i="11"/>
  <c r="AD15" i="11"/>
  <c r="AD16" i="11"/>
  <c r="AD21" i="11"/>
  <c r="AD23" i="11"/>
  <c r="AD19" i="11"/>
  <c r="AD18" i="11"/>
  <c r="AD20" i="11"/>
  <c r="AE19" i="11" s="1"/>
  <c r="M19" i="11" s="1"/>
  <c r="L19" i="11" s="1"/>
  <c r="AD14" i="11"/>
  <c r="AD17" i="11"/>
  <c r="X72" i="9"/>
  <c r="AC47" i="8"/>
  <c r="J72" i="9"/>
  <c r="V47" i="8"/>
  <c r="Z72" i="9"/>
  <c r="AD47" i="8"/>
  <c r="V72" i="9"/>
  <c r="AB47" i="8"/>
  <c r="R72" i="9"/>
  <c r="Z47" i="8"/>
  <c r="AD72" i="9"/>
  <c r="AF47" i="8"/>
  <c r="V45" i="12" a="1"/>
  <c r="V45" i="12" s="1"/>
  <c r="T45" i="12"/>
  <c r="U45" i="12"/>
  <c r="U42" i="12"/>
  <c r="V42" i="12" a="1"/>
  <c r="V42" i="12" s="1"/>
  <c r="T42" i="12"/>
  <c r="P72" i="9"/>
  <c r="Y47" i="8"/>
  <c r="AB72" i="9"/>
  <c r="AE47" i="8"/>
  <c r="N72" i="9"/>
  <c r="X47" i="8"/>
  <c r="T17" i="12"/>
  <c r="V17" i="12" a="1"/>
  <c r="V17" i="12" s="1"/>
  <c r="U17" i="12"/>
  <c r="V44" i="8" a="1"/>
  <c r="V44" i="8" s="1"/>
  <c r="U39" i="8"/>
  <c r="AE20" i="11" l="1"/>
  <c r="M20" i="11" s="1"/>
  <c r="L20" i="11" s="1"/>
  <c r="AE21" i="11"/>
  <c r="M21" i="11" s="1"/>
  <c r="L21" i="11" s="1"/>
  <c r="D50" i="2"/>
  <c r="U47" i="8"/>
  <c r="H70" i="9"/>
  <c r="H73" i="9" s="1"/>
  <c r="V39" i="8"/>
  <c r="W44" i="8" a="1"/>
  <c r="W44" i="8" s="1"/>
  <c r="AE16" i="11"/>
  <c r="M16" i="11" s="1"/>
  <c r="L16" i="11" s="1"/>
  <c r="AE14" i="11"/>
  <c r="D46" i="2"/>
  <c r="AE4" i="13"/>
  <c r="O27" i="13" s="1"/>
  <c r="E33" i="14"/>
  <c r="N24" i="13"/>
  <c r="E34" i="14"/>
  <c r="AE17" i="11"/>
  <c r="M17" i="11" s="1"/>
  <c r="L17" i="11" s="1"/>
  <c r="AE15" i="11"/>
  <c r="M15" i="11" s="1"/>
  <c r="L15" i="11" s="1"/>
  <c r="AA25" i="5" a="1"/>
  <c r="AA25" i="5" s="1"/>
  <c r="C23" i="8" s="1"/>
  <c r="AA15" i="5"/>
  <c r="AA16" i="5" a="1"/>
  <c r="AA16" i="5" s="1"/>
  <c r="T47" i="8"/>
  <c r="AE18" i="11"/>
  <c r="M18" i="11" s="1"/>
  <c r="L18" i="11" s="1"/>
  <c r="AE12" i="11"/>
  <c r="M12" i="11" s="1"/>
  <c r="L12" i="11" s="1"/>
  <c r="AE23" i="11"/>
  <c r="M23" i="11" s="1"/>
  <c r="L23" i="11" s="1"/>
  <c r="AE22" i="11"/>
  <c r="M22" i="11" s="1"/>
  <c r="L22" i="11" s="1"/>
  <c r="G10" i="13"/>
  <c r="F34" i="14"/>
  <c r="W45" i="8"/>
  <c r="V41" i="8"/>
  <c r="J70" i="9" s="1"/>
  <c r="J73" i="9" s="1"/>
  <c r="V40" i="8"/>
  <c r="J71" i="9"/>
  <c r="H69" i="9"/>
  <c r="U36" i="8"/>
  <c r="H68" i="9" s="1"/>
  <c r="S77" i="10" l="1"/>
  <c r="J57" i="12"/>
  <c r="E43" i="8" a="1"/>
  <c r="E43" i="8" s="1"/>
  <c r="U43" i="8" a="1"/>
  <c r="U43" i="8" s="1"/>
  <c r="V36" i="8"/>
  <c r="J68" i="9" s="1"/>
  <c r="J69" i="9"/>
  <c r="W40" i="8"/>
  <c r="L71" i="9"/>
  <c r="W41" i="8"/>
  <c r="L70" i="9" s="1"/>
  <c r="L73" i="9" s="1"/>
  <c r="X45" i="8"/>
  <c r="AA14" i="11" a="1"/>
  <c r="AA14" i="11" s="1"/>
  <c r="AJ14" i="13" a="1"/>
  <c r="AJ14" i="13" s="1"/>
  <c r="R14" i="13" s="1"/>
  <c r="M26" i="13" s="1"/>
  <c r="AM14" i="13" a="1"/>
  <c r="AM14" i="13" s="1"/>
  <c r="T14" i="13" s="1"/>
  <c r="AD3" i="13" s="1"/>
  <c r="AD2" i="13" s="1"/>
  <c r="N27" i="13"/>
  <c r="E32" i="14" s="1"/>
  <c r="F32" i="14"/>
  <c r="W39" i="8"/>
  <c r="X44" i="8" a="1"/>
  <c r="X44" i="8" s="1"/>
  <c r="L69" i="9" l="1"/>
  <c r="W36" i="8"/>
  <c r="L68" i="9" s="1"/>
  <c r="E38" i="8"/>
  <c r="E42" i="8"/>
  <c r="E37" i="8" s="1"/>
  <c r="N71" i="9"/>
  <c r="X41" i="8"/>
  <c r="X40" i="8"/>
  <c r="Y45" i="8"/>
  <c r="Y44" i="8" a="1"/>
  <c r="Y44" i="8" s="1"/>
  <c r="X39" i="8"/>
  <c r="M25" i="13"/>
  <c r="AE3" i="13"/>
  <c r="AA24" i="11"/>
  <c r="M14" i="11"/>
  <c r="Z14" i="11"/>
  <c r="Z24" i="11" s="1"/>
  <c r="V43" i="8" a="1"/>
  <c r="V43" i="8" s="1"/>
  <c r="U38" i="8"/>
  <c r="U42" i="8"/>
  <c r="U37" i="8" s="1"/>
  <c r="Y39" i="8" l="1"/>
  <c r="Z44" i="8" a="1"/>
  <c r="Z44" i="8" s="1"/>
  <c r="N70" i="9"/>
  <c r="N73" i="9" s="1"/>
  <c r="M24" i="11"/>
  <c r="L14" i="11"/>
  <c r="L24" i="11" s="1"/>
  <c r="X36" i="8"/>
  <c r="N68" i="9" s="1"/>
  <c r="N69" i="9"/>
  <c r="V38" i="8"/>
  <c r="W43" i="8" a="1"/>
  <c r="W43" i="8" s="1"/>
  <c r="V42" i="8"/>
  <c r="V37" i="8" s="1"/>
  <c r="O26" i="13"/>
  <c r="AE2" i="13"/>
  <c r="Y41" i="8"/>
  <c r="P70" i="9" s="1"/>
  <c r="P73" i="9" s="1"/>
  <c r="Y40" i="8"/>
  <c r="P71" i="9"/>
  <c r="Z45" i="8"/>
  <c r="Z41" i="8" l="1"/>
  <c r="Z40" i="8"/>
  <c r="R71" i="9"/>
  <c r="AA45" i="8"/>
  <c r="L25" i="11"/>
  <c r="L25" i="13"/>
  <c r="D30" i="14" s="1"/>
  <c r="L10" i="11"/>
  <c r="M10" i="13" s="1"/>
  <c r="F31" i="14"/>
  <c r="N26" i="13"/>
  <c r="E31" i="14" s="1"/>
  <c r="O25" i="13"/>
  <c r="P69" i="9"/>
  <c r="Y36" i="8"/>
  <c r="P68" i="9" s="1"/>
  <c r="W38" i="8"/>
  <c r="X43" i="8" a="1"/>
  <c r="X43" i="8" s="1"/>
  <c r="W42" i="8"/>
  <c r="W37" i="8" s="1"/>
  <c r="Z39" i="8"/>
  <c r="AA44" i="8" a="1"/>
  <c r="AA44" i="8" s="1"/>
  <c r="M10" i="11"/>
  <c r="N10" i="13" s="1"/>
  <c r="L26" i="13"/>
  <c r="M25" i="11"/>
  <c r="D31" i="14" l="1"/>
  <c r="AC26" i="13"/>
  <c r="AD26" i="13"/>
  <c r="X38" i="8"/>
  <c r="Y43" i="8" a="1"/>
  <c r="Y43" i="8" s="1"/>
  <c r="X42" i="8"/>
  <c r="X37" i="8" s="1"/>
  <c r="AA39" i="8"/>
  <c r="AB44" i="8" a="1"/>
  <c r="AB44" i="8" s="1"/>
  <c r="R69" i="9"/>
  <c r="Z36" i="8"/>
  <c r="R68" i="9" s="1"/>
  <c r="N25" i="13"/>
  <c r="E30" i="14" s="1"/>
  <c r="F30" i="14"/>
  <c r="G9" i="11"/>
  <c r="AA40" i="8"/>
  <c r="AA41" i="8"/>
  <c r="T70" i="9" s="1"/>
  <c r="T73" i="9" s="1"/>
  <c r="T71" i="9"/>
  <c r="AB45" i="8"/>
  <c r="R70" i="9"/>
  <c r="R73" i="9" s="1"/>
  <c r="AB39" i="8" l="1"/>
  <c r="AC44" i="8" a="1"/>
  <c r="AC44" i="8" s="1"/>
  <c r="AB40" i="8"/>
  <c r="AB41" i="8"/>
  <c r="V71" i="9"/>
  <c r="AC45" i="8"/>
  <c r="T69" i="9"/>
  <c r="AA36" i="8"/>
  <c r="T68" i="9" s="1"/>
  <c r="Z43" i="8" a="1"/>
  <c r="Z43" i="8" s="1"/>
  <c r="Y38" i="8"/>
  <c r="Y42" i="8"/>
  <c r="Y37" i="8" s="1"/>
  <c r="V70" i="9" l="1"/>
  <c r="V73" i="9" s="1"/>
  <c r="AA43" i="8" a="1"/>
  <c r="AA43" i="8" s="1"/>
  <c r="Z38" i="8"/>
  <c r="Z42" i="8"/>
  <c r="Z37" i="8" s="1"/>
  <c r="X71" i="9"/>
  <c r="AC40" i="8"/>
  <c r="AC41" i="8"/>
  <c r="X70" i="9" s="1"/>
  <c r="X73" i="9" s="1"/>
  <c r="AD45" i="8"/>
  <c r="V69" i="9"/>
  <c r="AB36" i="8"/>
  <c r="V68" i="9" s="1"/>
  <c r="AC39" i="8"/>
  <c r="AD44" i="8" a="1"/>
  <c r="AD44" i="8" s="1"/>
  <c r="X69" i="9" l="1"/>
  <c r="AC36" i="8"/>
  <c r="X68" i="9" s="1"/>
  <c r="AE44" i="8" a="1"/>
  <c r="AE44" i="8" s="1"/>
  <c r="AD39" i="8"/>
  <c r="AB43" i="8" a="1"/>
  <c r="AB43" i="8" s="1"/>
  <c r="AA38" i="8"/>
  <c r="AA42" i="8"/>
  <c r="AA37" i="8" s="1"/>
  <c r="AD41" i="8"/>
  <c r="Z70" i="9" s="1"/>
  <c r="Z73" i="9" s="1"/>
  <c r="Z71" i="9"/>
  <c r="AD40" i="8"/>
  <c r="AE45" i="8"/>
  <c r="AD36" i="8" l="1"/>
  <c r="Z68" i="9" s="1"/>
  <c r="Z69" i="9"/>
  <c r="AE40" i="8"/>
  <c r="AE41" i="8"/>
  <c r="AB70" i="9" s="1"/>
  <c r="AB73" i="9" s="1"/>
  <c r="AB71" i="9"/>
  <c r="AF45" i="8"/>
  <c r="AF44" i="8" a="1"/>
  <c r="AF44" i="8" s="1"/>
  <c r="AF39" i="8" s="1"/>
  <c r="AE39" i="8"/>
  <c r="AC43" i="8" a="1"/>
  <c r="AC43" i="8" s="1"/>
  <c r="AB38" i="8"/>
  <c r="AB42" i="8"/>
  <c r="AB37" i="8" s="1"/>
  <c r="AF41" i="8" l="1"/>
  <c r="AD71" i="9"/>
  <c r="AF40" i="8"/>
  <c r="K10" i="8" a="1"/>
  <c r="K10" i="8" s="1"/>
  <c r="AB69" i="9"/>
  <c r="AE36" i="8"/>
  <c r="AB68" i="9" s="1"/>
  <c r="AD43" i="8" a="1"/>
  <c r="AD43" i="8" s="1"/>
  <c r="AC38" i="8"/>
  <c r="AC42" i="8"/>
  <c r="AC37" i="8" s="1"/>
  <c r="AE43" i="8" l="1" a="1"/>
  <c r="AE43" i="8" s="1"/>
  <c r="AD38" i="8"/>
  <c r="AD42" i="8"/>
  <c r="AD37" i="8" s="1"/>
  <c r="AD69" i="9"/>
  <c r="AF36" i="8"/>
  <c r="AD68" i="9" s="1"/>
  <c r="AD70" i="9"/>
  <c r="AD73" i="9" s="1"/>
  <c r="G73" i="9" s="1"/>
  <c r="F11" i="8" a="1"/>
  <c r="F11" i="8" s="1"/>
  <c r="AE38" i="8" l="1"/>
  <c r="AF43" i="8" a="1"/>
  <c r="AF43" i="8" s="1"/>
  <c r="AE42" i="8"/>
  <c r="AE37" i="8" s="1"/>
  <c r="AF38" i="8" l="1"/>
  <c r="AF42" i="8"/>
  <c r="AF37"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<sst xmlns="http://schemas.openxmlformats.org/spreadsheetml/2006/main" count="1927" uniqueCount="1068">
  <si>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</si>
  <si>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</si>
  <si>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</si>
  <si>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</si>
  <si>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</si>
  <si>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</si>
  <si>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</si>
  <si>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</si>
  <si>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</si>
  <si>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</si>
  <si>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</si>
  <si>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</si>
  <si>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</si>
  <si>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</si>
  <si>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</si>
  <si>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</si>
  <si>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</si>
  <si>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</si>
  <si>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</si>
  <si>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</si>
  <si>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</si>
  <si>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</si>
  <si>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</si>
  <si>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</si>
  <si>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</si>
  <si>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</si>
  <si>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</si>
  <si>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</si>
  <si>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</si>
  <si>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</si>
  <si>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</si>
  <si>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</si>
  <si>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</si>
  <si>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</si>
  <si>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</si>
  <si>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</si>
  <si>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</si>
  <si>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</si>
  <si>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</si>
  <si>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</si>
  <si>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</si>
  <si>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</si>
  <si>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</si>
  <si>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</si>
  <si>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</si>
  <si>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</si>
  <si>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</si>
  <si>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</si>
  <si>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</si>
  <si>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</si>
  <si>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</si>
  <si>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</si>
  <si>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</si>
  <si>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</si>
  <si>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</si>
  <si>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</si>
  <si>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</si>
  <si>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</si>
  <si>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</si>
  <si>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</si>
  <si>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</si>
  <si>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</si>
  <si>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</si>
  <si>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</si>
  <si>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</si>
  <si>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</si>
  <si>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</si>
  <si>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</si>
  <si>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</si>
  <si>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</si>
  <si>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</si>
  <si>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</si>
  <si>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</si>
  <si>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</si>
  <si>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</si>
  <si>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</si>
  <si>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</si>
  <si>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</si>
  <si>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</si>
  <si>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</si>
  <si>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</si>
  <si>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</si>
  <si>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</si>
  <si>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</si>
  <si>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</si>
  <si>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</si>
  <si>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</si>
  <si>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</si>
  <si>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</si>
  <si>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</si>
  <si>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</si>
  <si>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</si>
  <si>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</si>
  <si>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</si>
  <si>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</si>
  <si>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</si>
  <si>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</si>
  <si>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</si>
  <si>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</si>
  <si>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</si>
  <si>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</si>
  <si>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</si>
  <si>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</si>
  <si>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</si>
  <si>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</si>
  <si>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</si>
  <si>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</si>
  <si>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</si>
  <si>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</si>
  <si>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</si>
  <si>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</si>
  <si>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</si>
  <si>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</si>
  <si>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</si>
  <si>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</si>
  <si>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</si>
  <si>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</si>
  <si>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</si>
  <si>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</si>
  <si>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</si>
  <si>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</si>
  <si>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</si>
  <si>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</si>
  <si>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</si>
  <si>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</si>
  <si>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</si>
  <si>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</si>
  <si>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</si>
  <si>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</si>
  <si>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</si>
  <si>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</si>
  <si>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</si>
  <si>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</si>
  <si>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</si>
  <si>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</si>
  <si>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</si>
  <si>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</si>
  <si>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</si>
  <si>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</si>
  <si>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</si>
  <si>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</si>
  <si>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</si>
  <si>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</si>
  <si>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</si>
  <si>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</si>
  <si>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</si>
  <si>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</si>
  <si>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</si>
  <si>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</si>
  <si>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</si>
  <si>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</si>
  <si>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</si>
  <si>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</si>
  <si>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</si>
  <si>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</si>
  <si>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</si>
  <si>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</si>
  <si>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</si>
  <si>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</si>
  <si>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</si>
  <si>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</si>
  <si>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</si>
  <si>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</si>
  <si>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</si>
  <si>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</si>
  <si>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</si>
  <si>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</si>
  <si>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</si>
  <si>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</si>
  <si>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</si>
  <si>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</si>
  <si>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</si>
  <si>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</si>
  <si>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</si>
  <si>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</si>
  <si>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</si>
  <si>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</si>
  <si>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</si>
  <si>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</si>
  <si>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</si>
  <si>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</si>
  <si>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</si>
  <si>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</si>
  <si>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</si>
  <si>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</si>
  <si>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</si>
  <si>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</si>
  <si>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</si>
  <si>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</si>
  <si>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</si>
  <si>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</si>
  <si>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</si>
  <si>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</si>
  <si>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</si>
  <si>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</si>
  <si>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</si>
  <si>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</si>
  <si>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</si>
  <si>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</si>
  <si>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</si>
  <si>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</si>
  <si>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</si>
  <si>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</si>
  <si>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</si>
  <si>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</si>
  <si>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</si>
  <si>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</si>
  <si>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</si>
  <si>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</si>
  <si>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</si>
  <si>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</si>
  <si>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</si>
  <si>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</si>
  <si>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</si>
  <si>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</si>
  <si>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</si>
  <si>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</si>
  <si>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</si>
  <si>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</si>
  <si>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</si>
  <si>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</si>
  <si>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</si>
  <si>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</si>
  <si>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</si>
  <si>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</si>
  <si>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</si>
  <si>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</si>
  <si>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</si>
  <si>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</si>
  <si>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</si>
  <si>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</si>
  <si>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</si>
  <si>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</si>
  <si>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</si>
  <si>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</si>
  <si>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</si>
  <si>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</si>
  <si>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</si>
  <si>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</si>
  <si>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</si>
  <si>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</si>
  <si>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</si>
  <si>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</si>
  <si>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</si>
  <si>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</si>
  <si>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</si>
  <si>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</si>
  <si>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</si>
  <si>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</si>
  <si>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</si>
  <si>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</si>
  <si>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</si>
  <si>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</si>
  <si>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</si>
  <si>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</si>
  <si>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</si>
  <si>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</si>
  <si>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</si>
  <si>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</si>
  <si>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</si>
  <si>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</si>
  <si>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</si>
  <si>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</si>
  <si>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</si>
  <si>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</si>
  <si>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</si>
  <si>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</si>
  <si>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</si>
  <si>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</si>
  <si>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</si>
  <si>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</si>
  <si>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</si>
  <si>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</si>
  <si>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</si>
  <si>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</si>
  <si>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</si>
  <si>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</si>
  <si>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</si>
  <si>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</si>
  <si>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</si>
  <si>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</si>
  <si>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</si>
  <si>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</si>
  <si>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</si>
  <si>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</si>
  <si>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</si>
  <si>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</si>
  <si>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</si>
  <si>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</si>
  <si>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</si>
  <si>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</si>
  <si>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</si>
  <si>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</si>
  <si>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</si>
  <si>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</si>
  <si>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</si>
  <si>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</si>
  <si>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</si>
  <si>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</si>
  <si>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</si>
  <si>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</si>
  <si>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</si>
  <si>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</si>
  <si>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</si>
  <si>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</si>
  <si>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</si>
  <si>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</si>
  <si>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</si>
  <si>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</si>
  <si>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</si>
  <si>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</si>
  <si>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</si>
  <si>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</si>
  <si>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</si>
  <si>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</si>
  <si>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</si>
  <si>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</si>
  <si>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</si>
  <si>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</si>
  <si>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</si>
  <si>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</si>
  <si>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</si>
  <si>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</si>
  <si>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</si>
  <si>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</si>
  <si>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</si>
  <si>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</si>
  <si>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</si>
  <si>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</si>
  <si>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</si>
  <si>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</si>
  <si>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</si>
  <si>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</si>
  <si>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</si>
  <si>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</si>
  <si>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</si>
  <si>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</si>
  <si>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</si>
  <si>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</si>
  <si>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</si>
  <si>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</si>
  <si>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</si>
  <si>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</si>
  <si>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</si>
  <si>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</si>
  <si>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</si>
  <si>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</si>
  <si>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</si>
  <si>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</si>
  <si>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</si>
  <si>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</si>
  <si>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</si>
  <si>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</si>
  <si>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</si>
  <si>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</si>
  <si>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</si>
  <si>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</si>
  <si>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</si>
  <si>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</si>
  <si>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</si>
  <si>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</si>
  <si>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</si>
  <si>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</si>
  <si>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</si>
  <si>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</si>
  <si>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</si>
  <si>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</si>
  <si>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</si>
  <si>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</si>
  <si>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</si>
  <si>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</si>
  <si>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</si>
  <si>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</si>
  <si>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</si>
  <si>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</si>
  <si>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</si>
  <si>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</si>
  <si>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</si>
  <si>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</si>
  <si>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</si>
  <si>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</si>
  <si>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</si>
  <si>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</si>
  <si>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</si>
  <si>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</si>
  <si>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</si>
  <si>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</si>
  <si>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</si>
  <si>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</si>
  <si>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</si>
  <si>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</si>
  <si>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</si>
  <si>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</si>
  <si>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</si>
  <si>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</si>
  <si>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</si>
  <si>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</si>
  <si>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</si>
  <si>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</si>
  <si>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</si>
  <si>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</si>
  <si>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</si>
  <si>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</si>
  <si>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</si>
  <si>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</si>
  <si>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</si>
  <si>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</si>
  <si>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</si>
  <si>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</si>
  <si>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</si>
  <si>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</si>
  <si>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</si>
  <si>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</si>
  <si>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</si>
  <si>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</si>
  <si>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</si>
  <si>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</si>
  <si>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</si>
  <si>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</si>
  <si>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</si>
  <si>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</si>
  <si>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</si>
  <si>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</si>
  <si>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</si>
  <si>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</si>
  <si>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</si>
  <si>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</si>
  <si>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</si>
  <si>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</si>
  <si>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</si>
  <si>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</si>
  <si>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</si>
  <si>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</si>
  <si>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</si>
  <si>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</si>
  <si>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</si>
  <si>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</si>
  <si>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</si>
  <si>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</si>
  <si>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</si>
  <si>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</si>
  <si>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</si>
  <si>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</si>
  <si>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</si>
  <si>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</si>
  <si>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</si>
  <si>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</si>
  <si>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</si>
  <si>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</si>
  <si>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</si>
  <si>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</si>
  <si>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</si>
  <si>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</si>
  <si>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</si>
  <si>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</si>
  <si>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</si>
  <si>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</si>
  <si>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</si>
  <si>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</si>
  <si>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</si>
  <si>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</si>
  <si>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</si>
  <si>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</si>
  <si>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</si>
  <si>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</si>
  <si>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</si>
  <si>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</si>
  <si>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</si>
  <si>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</si>
  <si>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</si>
  <si>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</si>
  <si>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</si>
  <si>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</si>
  <si>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</si>
  <si>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</si>
  <si>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</si>
  <si>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</si>
  <si>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</si>
  <si>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</si>
  <si>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</si>
  <si>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</si>
  <si>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</si>
  <si>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</si>
  <si>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</si>
  <si>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</si>
  <si>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</si>
  <si>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</si>
  <si>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</si>
  <si>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</si>
  <si>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</si>
  <si>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</si>
  <si>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</si>
  <si>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</si>
  <si>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</si>
  <si>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</si>
  <si>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</si>
  <si>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</si>
  <si>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</si>
  <si>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</si>
  <si>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</si>
  <si>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</si>
  <si>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</si>
  <si>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</si>
  <si>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</si>
  <si>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</si>
  <si>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</si>
  <si>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</si>
  <si>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</si>
  <si>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</si>
  <si>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</si>
  <si>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</si>
  <si>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</si>
  <si>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</si>
  <si>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</si>
  <si>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</si>
  <si>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</si>
  <si>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</si>
  <si>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</si>
  <si>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</si>
  <si>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</si>
  <si>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</si>
  <si>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</si>
  <si>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</si>
  <si>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</si>
  <si>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</si>
  <si>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</si>
  <si>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</si>
  <si>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</si>
  <si>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</si>
  <si>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</si>
  <si>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</si>
  <si>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</si>
  <si>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</si>
  <si>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</si>
  <si>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</si>
  <si>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</si>
  <si>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</si>
  <si>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</si>
  <si>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</si>
  <si>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</si>
  <si>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</si>
  <si>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</si>
  <si>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</si>
  <si>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</si>
  <si>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</si>
  <si>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</si>
  <si>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</si>
  <si>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</si>
  <si>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</si>
  <si>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</si>
  <si>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</si>
  <si>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</si>
  <si>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</si>
  <si>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</si>
  <si>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</si>
  <si>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</si>
  <si>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</si>
  <si>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</si>
  <si>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</si>
  <si>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</si>
  <si>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</si>
  <si>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</si>
  <si>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</si>
  <si>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</si>
  <si>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</si>
  <si>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</si>
  <si>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</si>
  <si>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</si>
  <si>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</si>
  <si>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</si>
  <si>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</si>
  <si>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</si>
  <si>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</si>
  <si>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</si>
  <si>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</si>
  <si>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</si>
  <si>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</si>
  <si>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</si>
  <si>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</si>
  <si>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</si>
  <si>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</si>
  <si>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</si>
  <si>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</si>
  <si>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</si>
  <si>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</si>
  <si>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</si>
  <si>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</si>
  <si>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</si>
  <si>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</si>
  <si>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</si>
  <si>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</si>
  <si>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</si>
  <si>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</si>
  <si>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</si>
  <si>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</si>
  <si>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</si>
  <si>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</si>
  <si>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</si>
  <si>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</si>
  <si>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</si>
  <si>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</si>
  <si>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</si>
  <si>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</si>
  <si>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</si>
  <si>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</si>
  <si>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</si>
  <si>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</si>
  <si>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</si>
  <si>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</si>
  <si>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</si>
  <si>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</si>
  <si>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</si>
  <si>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</si>
  <si>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</si>
  <si>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</si>
  <si>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</si>
  <si>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</si>
  <si>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</si>
  <si>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</si>
  <si>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</si>
  <si>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</si>
  <si>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</si>
  <si>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</si>
  <si>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</si>
  <si>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</si>
  <si>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</si>
  <si>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</si>
  <si>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</si>
  <si>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</si>
  <si>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</si>
  <si>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</si>
  <si>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</si>
  <si>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</si>
  <si>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</si>
  <si>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</si>
  <si>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</si>
  <si>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</si>
  <si>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</si>
  <si>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</si>
  <si>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</si>
  <si>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</si>
  <si>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</si>
  <si>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</si>
  <si>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</si>
  <si>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</si>
  <si>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</si>
  <si>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</si>
  <si>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</si>
  <si>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</si>
  <si>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</si>
  <si>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</si>
  <si>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</si>
  <si>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</si>
  <si>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</si>
  <si>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</si>
  <si>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</si>
  <si>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</si>
  <si>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</si>
  <si>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</si>
  <si>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</si>
  <si>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</si>
  <si>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</si>
  <si>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</si>
  <si>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</si>
  <si>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</si>
  <si>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</si>
  <si>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</si>
  <si>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</si>
  <si>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</si>
  <si>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</si>
  <si>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</si>
  <si>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</si>
  <si>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</si>
  <si>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</si>
  <si>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</si>
  <si>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</si>
  <si>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</si>
  <si>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</si>
  <si>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</si>
  <si>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</si>
  <si>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</si>
  <si>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</si>
  <si>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</si>
  <si>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</si>
  <si>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</si>
  <si>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</si>
  <si>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</si>
  <si>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</si>
  <si>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</si>
  <si>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</si>
  <si>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</si>
  <si>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</si>
  <si>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</si>
  <si>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</si>
  <si>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</si>
  <si>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</si>
  <si>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</si>
  <si>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</si>
  <si>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</si>
  <si>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</si>
  <si>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</si>
  <si>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</si>
  <si>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</si>
  <si>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</si>
  <si>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</si>
  <si>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</si>
  <si>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</si>
  <si>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</si>
  <si>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</si>
  <si>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</si>
  <si>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</si>
  <si>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</si>
  <si>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</si>
  <si>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</si>
  <si>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</si>
  <si>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</si>
  <si>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</si>
  <si>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</si>
  <si>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</si>
  <si>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</si>
  <si>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</si>
  <si>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</si>
  <si>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</si>
  <si>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</si>
  <si>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</si>
  <si>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</si>
  <si>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</si>
  <si>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</si>
  <si>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</si>
  <si>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</si>
  <si>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</si>
  <si>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</si>
  <si>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</si>
  <si>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</si>
  <si>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</si>
  <si>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</si>
  <si>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</si>
  <si>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</si>
  <si>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</si>
  <si>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</si>
  <si>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</si>
  <si>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</si>
  <si>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</si>
  <si>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</si>
  <si>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</si>
  <si>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</si>
  <si>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</si>
  <si>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</si>
  <si>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</si>
  <si>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</si>
  <si>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</si>
  <si>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</si>
  <si>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</si>
  <si>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</si>
  <si>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</si>
  <si>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</si>
  <si>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</si>
  <si>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</si>
  <si>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</si>
  <si>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</si>
  <si>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</si>
  <si>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</si>
  <si>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</si>
  <si>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</si>
  <si>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</si>
  <si>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</si>
  <si>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</si>
  <si>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</si>
  <si>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</si>
  <si>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</si>
  <si>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</si>
  <si>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</si>
  <si>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</si>
  <si>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</si>
  <si>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</si>
  <si>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</si>
  <si>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</si>
  <si>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</si>
  <si>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</si>
  <si>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</si>
  <si>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</si>
  <si>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</si>
  <si>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</si>
  <si>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</si>
  <si>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</si>
  <si>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</si>
  <si>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</si>
  <si>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</si>
  <si>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</si>
  <si>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</si>
  <si>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</si>
  <si>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</si>
  <si>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</si>
  <si>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</si>
  <si>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</si>
  <si>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</si>
  <si>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</si>
  <si>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</si>
  <si>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</si>
  <si>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</si>
  <si>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</si>
  <si>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</si>
  <si>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</si>
  <si>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</si>
  <si>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</si>
  <si>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</si>
  <si>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</si>
  <si>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</si>
  <si>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</si>
  <si>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</si>
  <si>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</si>
  <si>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</si>
  <si>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</si>
  <si>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</si>
  <si>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</si>
  <si>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</si>
  <si>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</si>
  <si>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</si>
  <si>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</si>
  <si>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</si>
  <si>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</si>
  <si>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</si>
  <si>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</si>
  <si>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</si>
  <si>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</si>
  <si>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</si>
  <si>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</si>
  <si>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</si>
  <si>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</si>
  <si>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</si>
  <si>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</si>
  <si>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</si>
  <si>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</si>
  <si>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</si>
  <si>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</si>
  <si>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</si>
  <si>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</si>
  <si>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</si>
  <si>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</si>
  <si>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</si>
  <si>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</si>
  <si>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</si>
  <si>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</si>
  <si>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</si>
  <si>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</si>
  <si>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</si>
  <si>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</si>
  <si>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</si>
  <si>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</si>
  <si>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</si>
  <si>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</si>
  <si>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</si>
  <si>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</si>
  <si>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</si>
  <si>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</si>
  <si>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</si>
  <si>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</si>
  <si>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</si>
  <si>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</si>
  <si>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</si>
  <si>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</si>
  <si>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</si>
  <si>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</si>
  <si>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</si>
  <si>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</si>
  <si>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</si>
  <si>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</si>
  <si>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</si>
  <si>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</si>
  <si>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</si>
  <si>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</si>
  <si>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</si>
  <si>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</si>
  <si>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</si>
  <si>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</si>
  <si>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</si>
  <si>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</si>
  <si>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</si>
  <si>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</si>
  <si>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</si>
  <si>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</si>
  <si>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</si>
  <si>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</si>
  <si>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</si>
  <si>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</si>
  <si>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</si>
  <si>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</si>
  <si>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</si>
  <si>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</si>
  <si>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</si>
  <si>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</si>
  <si>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</si>
  <si>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</si>
  <si>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</si>
  <si>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</si>
  <si>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</si>
  <si>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</si>
  <si>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</si>
  <si>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</si>
  <si>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</si>
  <si>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</si>
  <si>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</si>
  <si>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</si>
  <si>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</si>
  <si>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</si>
  <si>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</si>
  <si>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</si>
  <si>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</si>
  <si>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</si>
  <si>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</si>
  <si>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</si>
  <si>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</si>
  <si>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</si>
  <si>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</si>
  <si>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</si>
  <si>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</si>
  <si>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</si>
  <si>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</si>
  <si>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</si>
  <si>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</si>
  <si>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</si>
  <si>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</si>
  <si>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</si>
  <si>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</si>
  <si>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</si>
  <si>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</si>
  <si>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</si>
  <si>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</si>
  <si>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</si>
  <si>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</si>
  <si>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</si>
  <si>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</si>
  <si>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</si>
  <si>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</si>
  <si>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</si>
  <si>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</si>
  <si>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</si>
  <si>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</si>
  <si>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</si>
  <si>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</si>
  <si>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</si>
  <si>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</si>
  <si>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</si>
  <si>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</si>
  <si>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</si>
  <si>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</si>
  <si>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</si>
  <si>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</si>
  <si>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</si>
  <si>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</si>
  <si>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</si>
  <si>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</si>
  <si>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</si>
  <si>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</si>
  <si>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</si>
  <si>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</si>
  <si>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</si>
  <si>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</si>
  <si>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</si>
  <si>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</si>
  <si>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</si>
  <si>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</si>
  <si>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</si>
  <si>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</si>
  <si>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</si>
  <si>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</si>
  <si>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</si>
  <si>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</si>
  <si>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</si>
  <si>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</si>
  <si>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</si>
  <si>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</si>
  <si>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</si>
  <si>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</si>
  <si>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</si>
  <si>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</si>
  <si>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</si>
  <si>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</si>
  <si>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</si>
  <si>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</si>
  <si>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</si>
  <si>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</si>
  <si>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</si>
  <si>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</si>
  <si>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</si>
  <si>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</si>
  <si>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</si>
  <si>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</si>
  <si>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</si>
  <si>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</si>
  <si>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</si>
  <si>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</si>
  <si>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</si>
  <si>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</si>
  <si>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</si>
  <si>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</si>
  <si>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</si>
  <si>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</si>
  <si>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</si>
  <si>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</si>
  <si>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</si>
  <si>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</si>
  <si>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</si>
  <si>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</si>
  <si>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</si>
  <si>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</si>
  <si>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</si>
  <si>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PASSOS MG</t>
  </si>
  <si>
    <t>PRFEITURA MUNICIPAL DE PASSOS</t>
  </si>
  <si>
    <t>SICOR</t>
  </si>
  <si>
    <t>ED-16660</t>
  </si>
  <si>
    <t>ED-16350</t>
  </si>
  <si>
    <t>ED-50137</t>
  </si>
  <si>
    <t>PRAÇA SÃO FRANCISCO</t>
  </si>
  <si>
    <t>REFORMA PRAÇA SÃO FRANCISCO</t>
  </si>
  <si>
    <t>PLACA DA OBRA</t>
  </si>
  <si>
    <t>CANTEIRO DE OBRAS</t>
  </si>
  <si>
    <t>ED-16358</t>
  </si>
  <si>
    <t>ED-16353</t>
  </si>
  <si>
    <t>ED-16361</t>
  </si>
  <si>
    <t>DEMOLIÇÃO</t>
  </si>
  <si>
    <t>ED-51123</t>
  </si>
  <si>
    <t>104790</t>
  </si>
  <si>
    <t>ED-48476</t>
  </si>
  <si>
    <t>100975</t>
  </si>
  <si>
    <t>95876</t>
  </si>
  <si>
    <t>COMP01</t>
  </si>
  <si>
    <t>ED-48472</t>
  </si>
  <si>
    <t>COMP02</t>
  </si>
  <si>
    <t>CONSTRUÇÃO</t>
  </si>
  <si>
    <t>ED-8915</t>
  </si>
  <si>
    <t>ED-50435</t>
  </si>
  <si>
    <t>ED-15450</t>
  </si>
  <si>
    <t>ED-48360</t>
  </si>
  <si>
    <t>ILUMINAÇÃO</t>
  </si>
  <si>
    <t>COMP03</t>
  </si>
  <si>
    <t>ED-22216</t>
  </si>
  <si>
    <t>ENTREGA FINAL DA OBRA</t>
  </si>
  <si>
    <t>ED-50270</t>
  </si>
  <si>
    <t>placa de 1,00 x 1,50m</t>
  </si>
  <si>
    <t>3  meses</t>
  </si>
  <si>
    <t>1</t>
  </si>
  <si>
    <t>3 meses</t>
  </si>
  <si>
    <t>2</t>
  </si>
  <si>
    <t>=460+445+320+320</t>
  </si>
  <si>
    <t>=1545+74</t>
  </si>
  <si>
    <t>=(330+42)*0,1</t>
  </si>
  <si>
    <t>75 metros</t>
  </si>
  <si>
    <t>=37+(1619*0,1)</t>
  </si>
  <si>
    <t>=(37+(1619*0,1))*15km</t>
  </si>
  <si>
    <t>344 metros</t>
  </si>
  <si>
    <t>23 metros</t>
  </si>
  <si>
    <t>27 unidades</t>
  </si>
  <si>
    <t>=230+351+367</t>
  </si>
  <si>
    <t>16 unidades</t>
  </si>
  <si>
    <t>=35+36+42</t>
  </si>
  <si>
    <t>1 poste novo</t>
  </si>
  <si>
    <t>Para entregar o local limpo</t>
  </si>
  <si>
    <t>Mateus Junior Rosa</t>
  </si>
  <si>
    <t>386.526/D</t>
  </si>
  <si>
    <t>4 unidades já existentes, que terão o tamanho reduzido e serão realocadas.</t>
  </si>
  <si>
    <t>94991</t>
  </si>
  <si>
    <t>94277</t>
  </si>
  <si>
    <t>=240+354</t>
  </si>
  <si>
    <t>5 conjuntos</t>
  </si>
  <si>
    <t>=(352+(74-12))*0,05</t>
  </si>
  <si>
    <t>1.2. CANTEIRO DE OBRAS</t>
  </si>
  <si>
    <t>98525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</si>
</sst>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164" formatCode="_-* #,##0.00_-;\-* #,##0.00_-;_-* &quot;-&quot;??_-;_-@_-"/>
    <numFmt numFmtId="165" formatCode="_(&quot;R$ &quot;* #,##0.00_);_(&quot;R$ &quot;* \(#,##0.00\);_(&quot;R$ &quot;* \-??_);_(@_)"/>
    <numFmt numFmtId="166" formatCode="_-* #,##0.00_-;\-* #,##0.00_-;_-* \-??_-;_-@_-"/>
    <numFmt numFmtId="167" formatCode="mm\-yyyy"/>
    <numFmt numFmtId="168" formatCode="General;General"/>
    <numFmt numFmtId="169" formatCode="dddd&quot;, &quot;mmmm\ dd&quot;, &quot;yyyy"/>
    <numFmt numFmtId="170" formatCode="dd&quot; de &quot;mmmm&quot; de &quot;yyyy"/>
    <numFmt numFmtId="171" formatCode="mmm\-yy;@"/>
    <numFmt numFmtId="172" formatCode="_(* #,##0.00_);_(* \(#,##0.00\);_(* \-??_);_(@_)"/>
    <numFmt numFmtId="173" formatCode="0\."/>
    <numFmt numFmtId="174" formatCode="_(\ #,##0.00_);_(&quot; (&quot;#,##0.00\);_(&quot; -&quot;??_);_(@_)"/>
    <numFmt numFmtId="175" formatCode="mm/yy"/>
    <numFmt numFmtId="176" formatCode="General;;"/>
    <numFmt numFmtId="177" formatCode="&quot;Medição &quot;0"/>
    <numFmt numFmtId="178" formatCode="_(#,##0.00_);_(* \(#,##0.00\);_(* \-??_);_(@_)"/>
    <numFmt numFmtId="179" formatCode="_-#,##0.00_-;\-#,##0.00_-;_-&quot; -&quot;??_-;_-@_-"/>
    <numFmt numFmtId="180" formatCode="##\."/>
    <numFmt numFmtId="181" formatCode="_-&quot;R$ &quot;* #,##0.00_-;&quot;-R$ &quot;* #,##0.00_-;_-&quot;R$ &quot;* \-??_-;_-@_-"/>
    <numFmt numFmtId="182" formatCode="&quot;( &quot;0.00%&quot; )&quot;"/>
    <numFmt numFmtId="183" formatCode="dd/mm/yy;@"/>
    <numFmt numFmtId="184" formatCode="&quot;Medição &quot;##"/>
    <numFmt numFmtId="185" formatCode="#,##0.00_ ;\-#,##0.00\ "/>
    <numFmt numFmtId="186" formatCode="_(* #,##0.00_);_(* \(#,##0.00\);;_(@_)"/>
    <numFmt numFmtId="187" formatCode="[$-F800]dddd\,\ mmmm\ dd\,\ yyyy"/>
    <numFmt numFmtId="188" formatCode="&quot;Mês &quot;00"/>
    <numFmt numFmtId="189" formatCode="_-#,##0.00_-;\-#,##0.00_-;_-&quot;-&quot;??_-;_-@_-"/>
    <numFmt numFmtId="190"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1" fontId="56" fillId="0" borderId="0" applyFill="0" applyBorder="0" applyAlignment="0" applyProtection="0"/>
    <xf numFmtId="165"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2" fontId="56" fillId="0" borderId="0" applyFill="0" applyBorder="0" applyAlignment="0" applyProtection="0"/>
    <xf numFmtId="166" fontId="56" fillId="0" borderId="0" applyFill="0" applyBorder="0" applyAlignment="0" applyProtection="0"/>
    <xf numFmtId="0" fontId="67" fillId="0" borderId="0"/>
  </cellStyleXfs>
  <cellXfs count="863">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7"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7"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70"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8" fontId="0" fillId="0" borderId="0" xfId="33" applyNumberFormat="1" applyFont="1"/>
    <xf numFmtId="168"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1"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2" fontId="0" fillId="0" borderId="39" xfId="48" applyFont="1" applyFill="1" applyBorder="1" applyAlignment="1" applyProtection="1">
      <alignment vertical="center" shrinkToFit="1"/>
    </xf>
    <xf numFmtId="172"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2"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2" fontId="24" fillId="17" borderId="44" xfId="48" applyFont="1" applyFill="1" applyBorder="1" applyAlignment="1" applyProtection="1">
      <alignment horizontal="center" vertical="center" shrinkToFit="1"/>
    </xf>
    <xf numFmtId="172"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8"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2" fontId="0" fillId="6" borderId="38" xfId="48" applyFont="1" applyFill="1" applyBorder="1" applyAlignment="1" applyProtection="1">
      <alignment vertical="center" shrinkToFit="1"/>
      <protection locked="0"/>
    </xf>
    <xf numFmtId="172" fontId="0" fillId="6" borderId="39" xfId="48" applyFont="1" applyFill="1" applyBorder="1" applyAlignment="1" applyProtection="1">
      <alignment vertical="center" shrinkToFit="1"/>
      <protection locked="0"/>
    </xf>
    <xf numFmtId="172"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8"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2"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6"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3"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4" fontId="56" fillId="0" borderId="59" xfId="48" applyNumberFormat="1" applyFill="1" applyBorder="1" applyAlignment="1" applyProtection="1">
      <alignment horizontal="right" shrinkToFit="1"/>
    </xf>
    <xf numFmtId="174"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6" fontId="0" fillId="0" borderId="60" xfId="49" applyFont="1" applyFill="1" applyBorder="1" applyAlignment="1" applyProtection="1">
      <alignment horizontal="right" shrinkToFit="1"/>
    </xf>
    <xf numFmtId="174" fontId="0" fillId="0" borderId="30" xfId="48" applyNumberFormat="1" applyFont="1" applyFill="1" applyBorder="1" applyAlignment="1" applyProtection="1">
      <alignment horizontal="center" vertical="center"/>
    </xf>
    <xf numFmtId="166" fontId="48" fillId="0" borderId="61" xfId="49" applyFont="1" applyFill="1" applyBorder="1" applyAlignment="1" applyProtection="1">
      <alignment horizontal="center"/>
    </xf>
    <xf numFmtId="0" fontId="46" fillId="0" borderId="13" xfId="34" applyFont="1" applyBorder="1" applyAlignment="1">
      <alignment horizontal="center"/>
    </xf>
    <xf numFmtId="166" fontId="48" fillId="0" borderId="0" xfId="49" applyFont="1" applyFill="1" applyBorder="1" applyAlignment="1" applyProtection="1">
      <alignment horizontal="center"/>
    </xf>
    <xf numFmtId="166" fontId="0" fillId="0" borderId="13" xfId="49" applyFont="1" applyFill="1" applyBorder="1" applyAlignment="1" applyProtection="1">
      <alignment horizontal="center"/>
    </xf>
    <xf numFmtId="166"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6" fontId="24" fillId="0" borderId="32" xfId="49" applyFont="1" applyFill="1" applyBorder="1" applyAlignment="1" applyProtection="1">
      <alignment horizontal="left"/>
    </xf>
    <xf numFmtId="166"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5"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5" fontId="49" fillId="0" borderId="54" xfId="34" applyNumberFormat="1" applyFont="1" applyBorder="1" applyAlignment="1" applyProtection="1">
      <alignment horizontal="center"/>
      <protection locked="0"/>
    </xf>
    <xf numFmtId="0" fontId="46" fillId="8" borderId="33" xfId="34" applyFont="1" applyFill="1" applyBorder="1"/>
    <xf numFmtId="166" fontId="24" fillId="0" borderId="0" xfId="49" applyFont="1" applyFill="1" applyBorder="1" applyAlignment="1" applyProtection="1">
      <alignment horizontal="center" shrinkToFit="1"/>
    </xf>
    <xf numFmtId="166" fontId="0" fillId="8" borderId="62" xfId="49" applyFont="1" applyFill="1" applyBorder="1" applyAlignment="1" applyProtection="1">
      <alignment horizontal="center"/>
    </xf>
    <xf numFmtId="166" fontId="0" fillId="8" borderId="63" xfId="49" applyFont="1" applyFill="1" applyBorder="1" applyAlignment="1" applyProtection="1">
      <alignment horizontal="right"/>
    </xf>
    <xf numFmtId="172" fontId="56" fillId="0" borderId="39" xfId="48" applyFill="1" applyBorder="1" applyAlignment="1" applyProtection="1">
      <alignment shrinkToFit="1"/>
    </xf>
    <xf numFmtId="0" fontId="46" fillId="8" borderId="30" xfId="34" applyFont="1" applyFill="1" applyBorder="1"/>
    <xf numFmtId="166" fontId="0" fillId="0" borderId="37" xfId="49" applyFont="1" applyFill="1" applyBorder="1" applyAlignment="1" applyProtection="1">
      <alignment horizontal="center"/>
    </xf>
    <xf numFmtId="166"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6" fontId="0" fillId="8" borderId="37" xfId="49" applyFont="1" applyFill="1" applyBorder="1" applyAlignment="1" applyProtection="1">
      <alignment horizontal="center"/>
    </xf>
    <xf numFmtId="166" fontId="0" fillId="8" borderId="65" xfId="49" applyFont="1" applyFill="1" applyBorder="1" applyAlignment="1" applyProtection="1">
      <alignment horizontal="right"/>
    </xf>
    <xf numFmtId="172" fontId="56" fillId="0" borderId="42" xfId="48" applyFill="1" applyBorder="1" applyAlignment="1" applyProtection="1">
      <alignment shrinkToFit="1"/>
    </xf>
    <xf numFmtId="166" fontId="0" fillId="0" borderId="57" xfId="49" applyFont="1" applyFill="1" applyBorder="1" applyAlignment="1" applyProtection="1">
      <alignment horizontal="center"/>
    </xf>
    <xf numFmtId="166" fontId="0" fillId="0" borderId="59" xfId="49" applyFont="1" applyFill="1" applyBorder="1" applyAlignment="1" applyProtection="1">
      <alignment horizontal="right"/>
    </xf>
    <xf numFmtId="0" fontId="46" fillId="8" borderId="13" xfId="34" applyFont="1" applyFill="1" applyBorder="1"/>
    <xf numFmtId="166" fontId="24" fillId="8" borderId="68" xfId="49" applyFont="1" applyFill="1" applyBorder="1" applyAlignment="1" applyProtection="1">
      <alignment horizontal="center"/>
    </xf>
    <xf numFmtId="166" fontId="24" fillId="8" borderId="69" xfId="49" applyFont="1" applyFill="1" applyBorder="1" applyAlignment="1" applyProtection="1">
      <alignment horizontal="right"/>
    </xf>
    <xf numFmtId="0" fontId="46" fillId="0" borderId="29" xfId="34" applyFont="1" applyBorder="1" applyAlignment="1">
      <alignment horizontal="center"/>
    </xf>
    <xf numFmtId="166"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6"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9" fontId="0" fillId="0" borderId="45" xfId="0" applyNumberFormat="1" applyBorder="1" applyAlignment="1">
      <alignment horizontal="center" vertical="center"/>
    </xf>
    <xf numFmtId="179" fontId="0" fillId="0" borderId="13" xfId="0" applyNumberFormat="1" applyBorder="1" applyAlignment="1">
      <alignment horizontal="center" vertical="center"/>
    </xf>
    <xf numFmtId="180" fontId="24" fillId="0" borderId="38" xfId="0" applyNumberFormat="1" applyFont="1" applyBorder="1" applyAlignment="1">
      <alignment horizontal="center" vertical="center"/>
    </xf>
    <xf numFmtId="0" fontId="0" fillId="0" borderId="39" xfId="0" applyBorder="1" applyAlignment="1">
      <alignment horizontal="center" vertical="center"/>
    </xf>
    <xf numFmtId="179" fontId="0" fillId="0" borderId="37" xfId="0" applyNumberFormat="1" applyBorder="1" applyAlignment="1">
      <alignment horizontal="center" vertical="center"/>
    </xf>
    <xf numFmtId="179" fontId="0" fillId="0" borderId="75" xfId="0" applyNumberFormat="1" applyBorder="1" applyAlignment="1">
      <alignment horizontal="center" vertical="center"/>
    </xf>
    <xf numFmtId="179" fontId="0" fillId="0" borderId="65" xfId="0" applyNumberFormat="1" applyBorder="1" applyAlignment="1">
      <alignment horizontal="center" vertical="center"/>
    </xf>
    <xf numFmtId="179" fontId="0" fillId="0" borderId="41" xfId="0" applyNumberFormat="1" applyBorder="1" applyAlignment="1">
      <alignment horizontal="center" vertical="center"/>
    </xf>
    <xf numFmtId="179" fontId="0" fillId="6" borderId="66" xfId="0" applyNumberFormat="1" applyFill="1" applyBorder="1" applyAlignment="1" applyProtection="1">
      <alignment horizontal="center" vertical="center"/>
      <protection locked="0"/>
    </xf>
    <xf numFmtId="179"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9" fontId="17" fillId="8" borderId="78" xfId="0" applyNumberFormat="1" applyFont="1" applyFill="1" applyBorder="1" applyAlignment="1">
      <alignment horizontal="center" vertical="center"/>
    </xf>
    <xf numFmtId="179" fontId="17" fillId="8" borderId="10" xfId="0" applyNumberFormat="1" applyFont="1" applyFill="1" applyBorder="1" applyAlignment="1">
      <alignment horizontal="center" vertical="center"/>
    </xf>
    <xf numFmtId="179" fontId="17" fillId="8" borderId="11" xfId="0" applyNumberFormat="1" applyFont="1" applyFill="1" applyBorder="1" applyAlignment="1">
      <alignment horizontal="center" vertical="center"/>
    </xf>
    <xf numFmtId="179"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2" fontId="8" fillId="8" borderId="45" xfId="0" applyNumberFormat="1" applyFont="1" applyFill="1" applyBorder="1" applyAlignment="1">
      <alignment horizontal="center"/>
    </xf>
    <xf numFmtId="182" fontId="8" fillId="8" borderId="29" xfId="0" applyNumberFormat="1" applyFont="1" applyFill="1" applyBorder="1" applyAlignment="1">
      <alignment horizontal="center"/>
    </xf>
    <xf numFmtId="182" fontId="8" fillId="8" borderId="28" xfId="0" applyNumberFormat="1" applyFont="1" applyFill="1" applyBorder="1" applyAlignment="1">
      <alignment horizontal="center"/>
    </xf>
    <xf numFmtId="182"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3"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4" fontId="24" fillId="8" borderId="33" xfId="0" applyNumberFormat="1" applyFont="1" applyFill="1" applyBorder="1" applyAlignment="1">
      <alignment horizontal="center" vertical="center" wrapText="1"/>
    </xf>
    <xf numFmtId="172" fontId="0" fillId="0" borderId="37" xfId="48" applyFont="1" applyFill="1" applyBorder="1" applyAlignment="1" applyProtection="1">
      <alignment vertical="center" shrinkToFit="1"/>
    </xf>
    <xf numFmtId="172" fontId="0" fillId="0" borderId="65" xfId="48" applyFont="1" applyFill="1" applyBorder="1" applyAlignment="1" applyProtection="1">
      <alignment vertical="center" shrinkToFit="1"/>
    </xf>
    <xf numFmtId="172" fontId="0" fillId="0" borderId="38" xfId="48" applyFont="1" applyFill="1" applyBorder="1" applyAlignment="1" applyProtection="1">
      <alignment horizontal="center" vertical="center" shrinkToFit="1"/>
    </xf>
    <xf numFmtId="172" fontId="0" fillId="0" borderId="39" xfId="48" applyFont="1" applyFill="1" applyBorder="1" applyAlignment="1" applyProtection="1">
      <alignment horizontal="center" vertical="center" shrinkToFit="1"/>
    </xf>
    <xf numFmtId="172" fontId="0" fillId="6" borderId="38" xfId="48" applyFont="1" applyFill="1" applyBorder="1" applyAlignment="1" applyProtection="1">
      <protection locked="0"/>
    </xf>
    <xf numFmtId="172" fontId="0" fillId="6" borderId="40" xfId="48" applyFont="1" applyFill="1" applyBorder="1" applyAlignment="1" applyProtection="1">
      <protection locked="0"/>
    </xf>
    <xf numFmtId="166" fontId="0" fillId="0" borderId="39" xfId="0" applyNumberFormat="1" applyBorder="1"/>
    <xf numFmtId="172" fontId="24" fillId="17" borderId="13" xfId="48" applyFont="1" applyFill="1" applyBorder="1" applyAlignment="1" applyProtection="1">
      <alignment horizontal="center" vertical="center"/>
    </xf>
    <xf numFmtId="172"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5"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1"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9"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9"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2" fontId="8" fillId="8" borderId="80" xfId="0" applyNumberFormat="1" applyFont="1" applyFill="1" applyBorder="1" applyAlignment="1">
      <alignment horizontal="center"/>
    </xf>
    <xf numFmtId="182" fontId="8" fillId="8" borderId="81" xfId="0" applyNumberFormat="1" applyFont="1" applyFill="1" applyBorder="1" applyAlignment="1">
      <alignment horizontal="center"/>
    </xf>
    <xf numFmtId="182" fontId="8" fillId="8" borderId="62" xfId="0" applyNumberFormat="1" applyFont="1" applyFill="1" applyBorder="1" applyAlignment="1">
      <alignment horizontal="center"/>
    </xf>
    <xf numFmtId="182"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9" fontId="0" fillId="8" borderId="41" xfId="0" applyNumberFormat="1" applyFill="1" applyBorder="1" applyAlignment="1">
      <alignment horizontal="center" vertical="center"/>
    </xf>
    <xf numFmtId="179" fontId="0" fillId="8" borderId="37" xfId="0" applyNumberFormat="1" applyFill="1" applyBorder="1" applyAlignment="1">
      <alignment horizontal="center" vertical="center"/>
    </xf>
    <xf numFmtId="179" fontId="0" fillId="8" borderId="75" xfId="0" applyNumberFormat="1" applyFill="1" applyBorder="1" applyAlignment="1">
      <alignment horizontal="center" vertical="center"/>
    </xf>
    <xf numFmtId="179" fontId="0" fillId="8" borderId="65" xfId="0" applyNumberFormat="1" applyFill="1" applyBorder="1" applyAlignment="1">
      <alignment horizontal="center" vertical="center"/>
    </xf>
    <xf numFmtId="0" fontId="0" fillId="18" borderId="80" xfId="0" applyFill="1" applyBorder="1" applyAlignment="1">
      <alignment horizontal="right"/>
    </xf>
    <xf numFmtId="179" fontId="55" fillId="0" borderId="39" xfId="0" applyNumberFormat="1" applyFont="1" applyBorder="1"/>
    <xf numFmtId="179" fontId="0" fillId="0" borderId="82" xfId="0" applyNumberFormat="1" applyBorder="1" applyAlignment="1">
      <alignment horizontal="center" vertical="center"/>
    </xf>
    <xf numFmtId="179" fontId="0" fillId="0" borderId="57" xfId="0" applyNumberFormat="1" applyBorder="1" applyAlignment="1">
      <alignment horizontal="center" vertical="center"/>
    </xf>
    <xf numFmtId="179" fontId="0" fillId="0" borderId="58" xfId="0" applyNumberFormat="1" applyBorder="1" applyAlignment="1">
      <alignment horizontal="center" vertical="center"/>
    </xf>
    <xf numFmtId="179" fontId="0" fillId="0" borderId="59" xfId="0" applyNumberFormat="1" applyBorder="1" applyAlignment="1">
      <alignment horizontal="center" vertical="center"/>
    </xf>
    <xf numFmtId="0" fontId="0" fillId="18" borderId="83" xfId="0" applyFill="1" applyBorder="1" applyAlignment="1">
      <alignment horizontal="right"/>
    </xf>
    <xf numFmtId="179" fontId="17" fillId="8" borderId="31" xfId="0" applyNumberFormat="1" applyFont="1" applyFill="1" applyBorder="1" applyAlignment="1">
      <alignment horizontal="center" vertical="center"/>
    </xf>
    <xf numFmtId="179" fontId="17" fillId="8" borderId="44" xfId="0" applyNumberFormat="1" applyFont="1" applyFill="1" applyBorder="1" applyAlignment="1">
      <alignment horizontal="center" vertical="center"/>
    </xf>
    <xf numFmtId="179"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9" fontId="0" fillId="0" borderId="0" xfId="33" applyNumberFormat="1" applyFont="1" applyAlignment="1">
      <alignment horizontal="left"/>
    </xf>
    <xf numFmtId="172"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1" fontId="24" fillId="0" borderId="39" xfId="48" applyNumberFormat="1" applyFont="1" applyFill="1" applyBorder="1" applyAlignment="1" applyProtection="1">
      <alignment vertical="top" shrinkToFit="1"/>
    </xf>
    <xf numFmtId="181"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2"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2"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2"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2"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2"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2"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2" fontId="0" fillId="0" borderId="36" xfId="48" applyFont="1" applyFill="1" applyBorder="1" applyAlignment="1" applyProtection="1">
      <alignment vertical="center" shrinkToFit="1"/>
    </xf>
    <xf numFmtId="186"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2" fontId="24" fillId="17" borderId="29" xfId="48" applyFont="1" applyFill="1" applyBorder="1" applyAlignment="1" applyProtection="1">
      <alignment horizontal="center" vertical="center"/>
    </xf>
    <xf numFmtId="172"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7"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6"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2" fontId="0" fillId="0" borderId="40" xfId="48" applyFont="1" applyFill="1" applyBorder="1" applyAlignment="1" applyProtection="1">
      <alignment vertical="center" shrinkToFit="1"/>
    </xf>
    <xf numFmtId="172" fontId="24" fillId="17" borderId="67" xfId="48" applyFont="1" applyFill="1" applyBorder="1" applyAlignment="1" applyProtection="1">
      <alignment horizontal="center" vertical="center" shrinkToFit="1"/>
    </xf>
    <xf numFmtId="172"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164"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8"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8" fontId="0" fillId="0" borderId="90" xfId="0" applyNumberFormat="1" applyBorder="1"/>
    <xf numFmtId="187"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8" fontId="56" fillId="0" borderId="0" xfId="48" applyNumberFormat="1" applyFill="1" applyBorder="1" applyAlignment="1" applyProtection="1">
      <alignment horizontal="center" shrinkToFit="1"/>
    </xf>
    <xf numFmtId="166" fontId="0" fillId="0" borderId="110" xfId="49" applyFont="1" applyFill="1" applyBorder="1" applyAlignment="1" applyProtection="1">
      <alignment horizontal="center"/>
    </xf>
    <xf numFmtId="166" fontId="24" fillId="8" borderId="75" xfId="49" applyFont="1" applyFill="1" applyBorder="1" applyAlignment="1" applyProtection="1">
      <alignment horizontal="right"/>
    </xf>
    <xf numFmtId="166" fontId="56" fillId="0" borderId="111" xfId="49" applyFill="1" applyBorder="1" applyAlignment="1" applyProtection="1">
      <alignment horizontal="right"/>
    </xf>
    <xf numFmtId="10" fontId="0" fillId="29" borderId="52" xfId="38" applyNumberFormat="1" applyFont="1" applyFill="1" applyBorder="1" applyAlignment="1" applyProtection="1"/>
    <xf numFmtId="172" fontId="56" fillId="29" borderId="39" xfId="48" applyFill="1" applyBorder="1" applyAlignment="1" applyProtection="1">
      <alignment shrinkToFit="1"/>
    </xf>
    <xf numFmtId="166" fontId="24" fillId="29" borderId="67" xfId="49" applyFont="1" applyFill="1" applyBorder="1" applyAlignment="1" applyProtection="1">
      <alignment shrinkToFit="1"/>
    </xf>
    <xf numFmtId="172"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5" fontId="49" fillId="0" borderId="116" xfId="34" applyNumberFormat="1" applyFont="1" applyBorder="1" applyAlignment="1">
      <alignment horizontal="center"/>
    </xf>
    <xf numFmtId="10" fontId="0" fillId="29" borderId="117" xfId="38" applyNumberFormat="1" applyFont="1" applyFill="1" applyBorder="1" applyAlignment="1" applyProtection="1"/>
    <xf numFmtId="172"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2"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2"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6" fontId="23" fillId="0" borderId="0" xfId="0" applyNumberFormat="1" applyFont="1" applyAlignment="1">
      <alignment vertical="top"/>
    </xf>
    <xf numFmtId="166"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5" fontId="74" fillId="0" borderId="0" xfId="0" applyNumberFormat="1" applyFont="1"/>
    <xf numFmtId="0" fontId="77" fillId="0" borderId="0" xfId="0" applyFont="1"/>
    <xf numFmtId="179" fontId="0" fillId="6" borderId="66" xfId="0" applyNumberFormat="1" applyFill="1" applyBorder="1" applyAlignment="1" applyProtection="1">
      <alignment horizontal="right" vertical="center"/>
      <protection locked="0"/>
    </xf>
    <xf numFmtId="179" fontId="0" fillId="6" borderId="42" xfId="0" applyNumberFormat="1" applyFill="1" applyBorder="1" applyAlignment="1" applyProtection="1">
      <alignment horizontal="right" vertical="center"/>
      <protection locked="0"/>
    </xf>
    <xf numFmtId="179"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6"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90"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90"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2"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2" fontId="56" fillId="0" borderId="122" xfId="48" applyBorder="1" applyAlignment="1" applyProtection="1">
      <alignment shrinkToFit="1"/>
    </xf>
    <xf numFmtId="172"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2" fontId="24" fillId="30" borderId="122" xfId="0" applyNumberFormat="1" applyFont="1" applyFill="1" applyBorder="1"/>
    <xf numFmtId="0" fontId="46" fillId="31" borderId="123" xfId="0" applyFont="1" applyFill="1" applyBorder="1" applyAlignment="1">
      <alignment horizontal="left" vertical="center"/>
    </xf>
    <xf numFmtId="172" fontId="56" fillId="31" borderId="122" xfId="48" applyFill="1" applyBorder="1" applyAlignment="1" applyProtection="1">
      <alignment horizontal="left" vertical="center" shrinkToFit="1"/>
    </xf>
    <xf numFmtId="172"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6"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9" fontId="17" fillId="8" borderId="123" xfId="0" applyNumberFormat="1" applyFont="1" applyFill="1" applyBorder="1" applyAlignment="1">
      <alignment horizontal="center" vertical="center"/>
    </xf>
    <xf numFmtId="179"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90"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90" fontId="56" fillId="28" borderId="143" xfId="50" applyNumberFormat="1" applyFont="1" applyFill="1" applyBorder="1" applyAlignment="1">
      <alignment horizontal="center" vertical="center"/>
    </xf>
    <xf numFmtId="190"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5"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8" fontId="0" fillId="0" borderId="29" xfId="33" applyNumberFormat="1" applyFont="1" applyBorder="1" applyAlignment="1">
      <alignment horizontal="left"/>
    </xf>
    <xf numFmtId="187"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7"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8"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9" fontId="46" fillId="0" borderId="103" xfId="48" applyNumberFormat="1" applyFont="1" applyBorder="1" applyAlignment="1" applyProtection="1">
      <alignment horizontal="center" shrinkToFit="1"/>
    </xf>
    <xf numFmtId="189"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2" fontId="56" fillId="0" borderId="103" xfId="48" applyBorder="1" applyAlignment="1" applyProtection="1">
      <alignment horizontal="center" shrinkToFit="1"/>
    </xf>
    <xf numFmtId="172"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9" fontId="46" fillId="0" borderId="122" xfId="48" applyNumberFormat="1" applyFont="1" applyBorder="1" applyAlignment="1" applyProtection="1">
      <alignment horizontal="center" shrinkToFit="1"/>
    </xf>
    <xf numFmtId="188"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2" fontId="56" fillId="0" borderId="122" xfId="48" applyBorder="1" applyAlignment="1" applyProtection="1">
      <alignment horizontal="center" shrinkToFit="1"/>
    </xf>
    <xf numFmtId="0" fontId="12" fillId="0" borderId="118" xfId="0" applyFont="1" applyBorder="1" applyAlignment="1">
      <alignment horizontal="right" vertical="center"/>
    </xf>
    <xf numFmtId="187"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7"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6" fontId="24" fillId="0" borderId="44" xfId="49" applyFont="1" applyFill="1" applyBorder="1" applyAlignment="1" applyProtection="1">
      <alignment horizontal="center" vertical="center" wrapText="1"/>
    </xf>
    <xf numFmtId="174" fontId="24" fillId="0" borderId="31" xfId="48" applyNumberFormat="1" applyFont="1" applyFill="1" applyBorder="1" applyAlignment="1" applyProtection="1">
      <alignment horizontal="center" vertical="center"/>
    </xf>
    <xf numFmtId="166"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8"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7"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8"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2"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9"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1"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23" builtinId="29" customBuiltin="1"/>
    <cellStyle name="Accent2" xfId="24" builtinId="33" customBuiltin="1"/>
    <cellStyle name="Accent3" xfId="25" builtinId="37" customBuiltin="1"/>
    <cellStyle name="Accent4" xfId="26" builtinId="41" customBuiltin="1"/>
    <cellStyle name="Accent5" xfId="27" builtinId="45" customBuiltin="1"/>
    <cellStyle name="Accent6" xfId="28" builtinId="49" customBuiltin="1"/>
    <cellStyle name="Calculation" xfId="20" builtinId="22" customBuiltin="1"/>
    <cellStyle name="Check Cell" xfId="21" builtinId="23" customBuiltin="1"/>
    <cellStyle name="Comma" xfId="48" builtinId="3"/>
    <cellStyle name="Currency" xfId="31" builtinId="4"/>
    <cellStyle name="Explanatory Text" xfId="41" builtinId="53" customBuiltin="1"/>
    <cellStyle name="Good" xfId="19" builtinId="26" customBuiltin="1"/>
    <cellStyle name="Heading 1" xfId="42" builtinId="16" customBuiltin="1"/>
    <cellStyle name="Heading 2" xfId="43" builtinId="17" customBuiltin="1"/>
    <cellStyle name="Heading 3" xfId="44" builtinId="18" customBuiltin="1"/>
    <cellStyle name="Heading 4" xfId="45" builtinId="19" customBuiltin="1"/>
    <cellStyle name="Hyperlink" xfId="30" builtinId="8"/>
    <cellStyle name="Input" xfId="29" builtinId="20" customBuiltin="1"/>
    <cellStyle name="Linked Cell" xfId="22" builtinId="24" customBuiltin="1"/>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e" xfId="36" builtinId="10" customBuiltin="1"/>
    <cellStyle name="Output" xfId="39" builtinId="21" customBuiltin="1"/>
    <cellStyle name="Percent" xfId="37" builtinId="5"/>
    <cellStyle name="Porcentagem 2" xfId="38" xr:uid="{00000000-0005-0000-0000-000026000000}"/>
    <cellStyle name="Título 5" xfId="46" xr:uid="{00000000-0005-0000-0000-00002E000000}"/>
    <cellStyle name="Total" xfId="47" builtinId="25" customBuiltin="1"/>
    <cellStyle name="Vírgula 2" xfId="49" xr:uid="{00000000-0005-0000-0000-000031000000}"/>
    <cellStyle name="Warning Text" xfId="40" builtinId="11" customBuiltin="1"/>
  </cellStyles>
  <dxfs count="479">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8"/>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8"/>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695" y="971533"/>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95" y="971533"/>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ht="15" x14ac:dyDescent="0.25">
      <c r="A156" s="4"/>
      <c r="B156" s="47" t="s">
        <v>2</v>
      </c>
      <c r="C156" s="47"/>
      <c r="D156" s="499"/>
    </row>
    <row r="157" spans="1:4" ht="15" x14ac:dyDescent="0.25">
      <c r="A157" s="4"/>
      <c r="B157" s="47"/>
      <c r="C157" s="48" t="str">
        <f>IF(D157&lt;&gt;"","▪","")</f>
        <v>▪</v>
      </c>
      <c r="D157" s="499" t="s">
        <v>986</v>
      </c>
    </row>
    <row r="158" spans="1:4" ht="15" x14ac:dyDescent="0.25">
      <c r="A158" s="4"/>
      <c r="B158" s="47" t="s">
        <v>40</v>
      </c>
      <c r="C158" s="47"/>
      <c r="D158" s="499"/>
    </row>
    <row r="159" spans="1:4" ht="25.5" x14ac:dyDescent="0.25">
      <c r="A159" s="4"/>
      <c r="B159" s="47"/>
      <c r="C159" s="48" t="str">
        <f>IF(D159&lt;&gt;"","▪","")</f>
        <v>▪</v>
      </c>
      <c r="D159" s="499" t="s">
        <v>987</v>
      </c>
    </row>
    <row r="160" spans="1:4"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C163" s="48" t="str">
        <f>IF(D163&lt;&gt;"","▪","")</f>
        <v>▪</v>
      </c>
      <c r="D163" s="499" t="s">
        <v>983</v>
      </c>
    </row>
    <row r="164" spans="1:4" ht="15" x14ac:dyDescent="0.2">
      <c r="A164" s="414"/>
      <c r="C164" s="48" t="str">
        <f>IF(D164&lt;&gt;"","▪","")</f>
        <v>▪</v>
      </c>
      <c r="D164" s="499" t="s">
        <v>952</v>
      </c>
    </row>
    <row r="165" spans="1:4" ht="15" x14ac:dyDescent="0.2">
      <c r="A165" s="414"/>
      <c r="C165" s="48" t="str">
        <f>IF(D165&lt;&gt;"","▪","")</f>
        <v>▪</v>
      </c>
      <c r="D165" s="499" t="s">
        <v>997</v>
      </c>
    </row>
    <row r="166" spans="1:4" ht="15" x14ac:dyDescent="0.2">
      <c r="A166" s="414"/>
      <c r="C166" s="48" t="str">
        <f>IF(D166&lt;&gt;"","▪","")</f>
        <v>▪</v>
      </c>
      <c r="D166" s="499" t="s">
        <v>988</v>
      </c>
    </row>
    <row r="167" spans="1:4" ht="15" x14ac:dyDescent="0.2">
      <c r="A167" s="414"/>
      <c r="C167" s="48" t="str">
        <f>IF(D167&lt;&gt;"","▪","")</f>
        <v>▪</v>
      </c>
      <c r="D167" s="499" t="s">
        <v>989</v>
      </c>
    </row>
    <row r="168" spans="1:4" ht="15" x14ac:dyDescent="0.25">
      <c r="A168" s="4"/>
      <c r="B168" s="47" t="s">
        <v>20</v>
      </c>
      <c r="C168" s="47"/>
      <c r="D168" s="499"/>
    </row>
    <row r="169" spans="1:4" ht="25.5" x14ac:dyDescent="0.2">
      <c r="A169" s="414"/>
      <c r="C169" s="48" t="str">
        <f>IF(D169&lt;&gt;"","▪","")</f>
        <v>▪</v>
      </c>
      <c r="D169" s="499" t="s">
        <v>990</v>
      </c>
    </row>
    <row r="170" spans="1:4" ht="15" x14ac:dyDescent="0.2">
      <c r="A170" s="414"/>
      <c r="C170" s="48" t="str">
        <f t="shared" ref="C170:C171" si="2">IF(D170&lt;&gt;"","▪","")</f>
        <v>▪</v>
      </c>
      <c r="D170" s="499" t="s">
        <v>991</v>
      </c>
    </row>
    <row r="171" spans="1:4" ht="15" x14ac:dyDescent="0.2">
      <c r="A171" s="414"/>
      <c r="C171" s="48" t="str">
        <f t="shared" si="2"/>
        <v>▪</v>
      </c>
      <c r="D171" s="499" t="s">
        <v>992</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984</v>
      </c>
    </row>
    <row r="176" spans="1:4" ht="15" x14ac:dyDescent="0.25">
      <c r="A176" s="4"/>
      <c r="B176" s="47" t="s">
        <v>17</v>
      </c>
      <c r="C176" s="47"/>
      <c r="D176" s="499"/>
    </row>
    <row r="177" spans="1:4" ht="15" x14ac:dyDescent="0.2">
      <c r="A177" s="414"/>
      <c r="C177" s="48" t="str">
        <f>IF(D177&lt;&gt;"","▪","")</f>
        <v>▪</v>
      </c>
      <c r="D177" s="499" t="s">
        <v>985</v>
      </c>
    </row>
    <row r="178" spans="1:4" ht="15" x14ac:dyDescent="0.25">
      <c r="A178" s="418"/>
      <c r="B178" s="477"/>
      <c r="C178" s="477"/>
      <c r="D178" s="502"/>
    </row>
    <row r="179" spans="1:4" ht="18.75" x14ac:dyDescent="0.3">
      <c r="A179" s="602" t="s">
        <v>998</v>
      </c>
      <c r="B179" s="603"/>
      <c r="C179" s="603"/>
      <c r="D179" s="604"/>
    </row>
    <row r="180" spans="1:4" ht="15" x14ac:dyDescent="0.25">
      <c r="A180" s="4"/>
      <c r="B180" s="47" t="s">
        <v>2</v>
      </c>
      <c r="C180" s="47"/>
      <c r="D180" s="499"/>
    </row>
    <row r="181" spans="1:4" ht="15" x14ac:dyDescent="0.25">
      <c r="A181" s="4"/>
      <c r="B181" s="47"/>
      <c r="C181" s="48" t="str">
        <f>IF(D181&lt;&gt;"","▪","")</f>
        <v>▪</v>
      </c>
      <c r="D181" s="499" t="s">
        <v>999</v>
      </c>
    </row>
    <row r="182" spans="1:4" ht="15" x14ac:dyDescent="0.25">
      <c r="A182" s="4"/>
      <c r="B182" s="47" t="s">
        <v>40</v>
      </c>
      <c r="C182" s="47"/>
      <c r="D182" s="499"/>
    </row>
    <row r="183" spans="1:4" ht="15" x14ac:dyDescent="0.25">
      <c r="A183" s="4"/>
      <c r="B183" s="47"/>
      <c r="C183" s="48" t="str">
        <f>IF(D183&lt;&gt;"","▪","")</f>
        <v>▪</v>
      </c>
      <c r="D183" s="499" t="s">
        <v>1000</v>
      </c>
    </row>
    <row r="184" spans="1:4" ht="15" x14ac:dyDescent="0.25">
      <c r="A184" s="4"/>
      <c r="B184" s="47"/>
      <c r="C184" s="48" t="str">
        <f>IF(D184&lt;&gt;"","▪","")</f>
        <v>▪</v>
      </c>
      <c r="D184" s="499" t="s">
        <v>1001</v>
      </c>
    </row>
    <row r="185" spans="1:4" ht="15" x14ac:dyDescent="0.25">
      <c r="A185" s="418"/>
      <c r="B185" s="477"/>
      <c r="C185" s="477"/>
      <c r="D185" s="502"/>
    </row>
    <row r="186" spans="1:4" ht="18.75" x14ac:dyDescent="0.3">
      <c r="A186" s="602" t="s">
        <v>1002</v>
      </c>
      <c r="B186" s="603"/>
      <c r="C186" s="603"/>
      <c r="D186" s="604"/>
    </row>
    <row r="187" spans="1:4" ht="15" x14ac:dyDescent="0.25">
      <c r="A187" s="4"/>
      <c r="B187" s="47" t="s">
        <v>11</v>
      </c>
      <c r="C187" s="47"/>
      <c r="D187" s="499"/>
    </row>
    <row r="188" spans="1:4" ht="15" x14ac:dyDescent="0.25">
      <c r="A188" s="4"/>
      <c r="B188" s="47"/>
      <c r="C188" s="48" t="str">
        <f>IF(D188&lt;&gt;"","▪","")</f>
        <v>▪</v>
      </c>
      <c r="D188" s="499" t="s">
        <v>1003</v>
      </c>
    </row>
    <row r="189" spans="1:4" ht="15" x14ac:dyDescent="0.25">
      <c r="A189" s="418"/>
      <c r="B189" s="477"/>
      <c r="C189" s="477"/>
      <c r="D189" s="502"/>
    </row>
    <row r="190" spans="1:4" ht="18.75" x14ac:dyDescent="0.3">
      <c r="A190" s="602" t="s">
        <v>1005</v>
      </c>
      <c r="B190" s="603"/>
      <c r="C190" s="603"/>
      <c r="D190" s="604"/>
    </row>
    <row r="191" spans="1:4" ht="15" x14ac:dyDescent="0.25">
      <c r="A191" s="4"/>
      <c r="B191" s="47" t="s">
        <v>23</v>
      </c>
      <c r="C191" s="47"/>
      <c r="D191" s="499"/>
    </row>
    <row r="192" spans="1:4" ht="15" x14ac:dyDescent="0.25">
      <c r="A192" s="4"/>
      <c r="B192" s="47"/>
      <c r="C192" s="48" t="str">
        <f>IF(D192&lt;&gt;"","▪","")</f>
        <v>▪</v>
      </c>
      <c r="D192" s="499" t="s">
        <v>1006</v>
      </c>
    </row>
    <row r="193" spans="1:4" ht="15" x14ac:dyDescent="0.25">
      <c r="A193" s="418"/>
      <c r="B193" s="477"/>
      <c r="C193" s="477"/>
      <c r="D193" s="502"/>
    </row>
  </sheetData>
  <sheetProtection algorithmName="SHA-512" hashValue="FVtSoLQfElDEXkb6uM5a9vl+AOWOGL4b7wPsg0z8I7eqt0SICloCk1Tpeli82+Q4EuUF07tqdqtDRatzRCSxqw==" saltValue="WqwGaoiWAHykp9yO8JcH3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7" t="str">
        <f>CHOOSE(MATCH(Objeto,{"PM","PO"}),"PLANILHA MÚLTIPLA ","PLANILHA ORÇAMENTÁRIA ")&amp; Versao</f>
        <v>PLANILHA MÚLTIPLA v3.16</v>
      </c>
      <c r="F2" s="677"/>
      <c r="G2" s="677"/>
      <c r="H2" s="408"/>
      <c r="I2" s="406"/>
      <c r="J2" s="491" t="s">
        <v>1004</v>
      </c>
      <c r="K2" s="510" t="b">
        <v>1</v>
      </c>
    </row>
    <row r="3" spans="1:15" ht="22.5" customHeight="1" x14ac:dyDescent="0.2">
      <c r="A3" s="404"/>
      <c r="B3" s="406"/>
      <c r="C3" s="406"/>
      <c r="D3" s="406"/>
      <c r="E3" s="677"/>
      <c r="F3" s="677"/>
      <c r="G3" s="677"/>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6" t="str">
        <f>IF($O$3&lt;&gt;2,"DOCUMENTAÇÃO DA PROPOSTA","PROPOSTA: Para visualizar/preencher esta seção, altere o TIPO DE ORÇAMENTO para 'Proposto'")</f>
        <v>DOCUMENTAÇÃO DA PROPOSTA</v>
      </c>
      <c r="C8" s="676"/>
      <c r="D8" s="676"/>
      <c r="E8" s="676"/>
      <c r="F8" s="676"/>
      <c r="G8" s="676"/>
      <c r="H8" s="676"/>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02-Sunday.xlsm.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6" t="str">
        <f>IF($O$3&lt;&gt;2,"PÓS-LICITADO: Para visualizar/preencher esta seção, altere o TIPO DE ORÇAMENTO para 'Licitado'","RESULTADO DO PROCESSO LICITATÓRIO")</f>
        <v>PÓS-LICITADO: Para visualizar/preencher esta seção, altere o TIPO DE ORÇAMENTO para 'Licitado'</v>
      </c>
      <c r="C16" s="676"/>
      <c r="D16" s="676"/>
      <c r="E16" s="676"/>
      <c r="F16" s="676"/>
      <c r="G16" s="676"/>
      <c r="H16" s="676"/>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6" t="str">
        <f>IF($O$3&lt;&gt;2,"ACOMPANHAMENTO: Para visualizar/preencher esta seção, altere o TIPO DE ORÇAMENTO para 'Licitado'","ACOMPANHAMENTO DO EMPREENDIMENTO")</f>
        <v>ACOMPANHAMENTO: Para visualizar/preencher esta seção, altere o TIPO DE ORÇAMENTO para 'Licitado'</v>
      </c>
      <c r="C20" s="676"/>
      <c r="D20" s="676"/>
      <c r="E20" s="676"/>
      <c r="F20" s="676"/>
      <c r="G20" s="676"/>
      <c r="H20" s="676"/>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QjbafoFvy/GKqFZmkvCx8CRrhveIYmcuCnolLRKwPJa2tk3dP/wkbV0V9CTBC8RKF5IDfVpEVWSSvBx8+MZg==" saltValue="wyNNg3cwc3RNFEz6aqO9jg==" spinCount="100000" sheet="1" objects="1" scenarios="1" autoFilter="0"/>
  <mergeCells count="4">
    <mergeCell ref="B20:H20"/>
    <mergeCell ref="B8:H8"/>
    <mergeCell ref="E2:G3"/>
    <mergeCell ref="B16:H16"/>
  </mergeCells>
  <phoneticPr fontId="38" type="noConversion"/>
  <conditionalFormatting sqref="C10:G14">
    <cfRule type="expression" dxfId="478" priority="70" stopIfTrue="1">
      <formula>TIPOORCAMENTO="Licitado"</formula>
    </cfRule>
  </conditionalFormatting>
  <conditionalFormatting sqref="C18:G18 E22:E24">
    <cfRule type="expression" dxfId="477" priority="71" stopIfTrue="1">
      <formula>TIPOORCAMENTO&lt;&gt;"Licitado"</formula>
    </cfRule>
  </conditionalFormatting>
  <conditionalFormatting sqref="C22">
    <cfRule type="expression" dxfId="476" priority="73" stopIfTrue="1">
      <formula>OR(TIPOORCAMENTO&lt;&gt;"Licitado",ACOMPANHAMENTO&lt;&gt;"PLE")</formula>
    </cfRule>
  </conditionalFormatting>
  <conditionalFormatting sqref="G22">
    <cfRule type="expression" dxfId="475" priority="74" stopIfTrue="1">
      <formula>OR(TIPOORCAMENTO&lt;&gt;"Licitado",ACOMPANHAMENTO&lt;&gt;"BM")</formula>
    </cfRule>
  </conditionalFormatting>
  <conditionalFormatting sqref="B16:H16 B20:H20">
    <cfRule type="expression" dxfId="474" priority="599" stopIfTrue="1">
      <formula>$O$3&lt;&gt;2</formula>
    </cfRule>
  </conditionalFormatting>
  <conditionalFormatting sqref="B8:H8">
    <cfRule type="expression" dxfId="473"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679" t="s">
        <v>97</v>
      </c>
      <c r="O1" s="679"/>
      <c r="P1" s="679"/>
      <c r="Q1" s="679"/>
      <c r="R1" s="679"/>
      <c r="S1" s="679"/>
      <c r="T1" s="679"/>
      <c r="U1" s="679"/>
      <c r="V1" s="679"/>
      <c r="W1" s="679"/>
      <c r="X1" s="679"/>
      <c r="Y1" s="679"/>
      <c r="Z1" s="679"/>
      <c r="AA1" s="679"/>
      <c r="AB1" s="679"/>
      <c r="AC1" s="679"/>
      <c r="AD1" s="679"/>
      <c r="AE1" s="679"/>
      <c r="AF1" s="679"/>
      <c r="AG1" s="679"/>
      <c r="AH1" s="679"/>
      <c r="AI1" s="679"/>
      <c r="AJ1" s="679"/>
      <c r="AK1" s="679"/>
      <c r="AL1" s="679"/>
      <c r="AM1" s="679"/>
      <c r="AN1" s="679"/>
      <c r="AO1" s="679"/>
      <c r="AP1" s="679"/>
      <c r="AQ1" s="679"/>
      <c r="AR1" s="679"/>
      <c r="AS1" s="679"/>
      <c r="AT1" s="679"/>
      <c r="AV1" s="611" t="s">
        <v>98</v>
      </c>
      <c r="AW1" s="612"/>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8" t="s">
        <v>119</v>
      </c>
      <c r="C3" s="678"/>
      <c r="D3" s="562" t="str">
        <f ca="1">IF(COUNTIF(D4:D13,"◄")=0,"","Falta preencher a linha "&amp;MATCH("◄",D4:D13,0)+ROW(D3))</f>
        <v>Falta preencher a linha 4</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1008</v>
      </c>
      <c r="D5" s="563"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1007</v>
      </c>
      <c r="D6" s="563"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8" t="s">
        <v>220</v>
      </c>
      <c r="C15" s="678"/>
      <c r="D15" s="562" t="str">
        <f ca="1">IF(COUNTIF(D16:D19,"◄")=0,"","Falta preencher a linha "&amp;MATCH("◄",D16:D19,0)+ROW(D15))</f>
        <v>Falta preencher a linha 17</v>
      </c>
      <c r="L15" s="12" t="s">
        <v>112</v>
      </c>
      <c r="AV15" t="s">
        <v>221</v>
      </c>
      <c r="AW15" t="s">
        <v>222</v>
      </c>
    </row>
    <row r="16" spans="2:49" x14ac:dyDescent="0.2">
      <c r="B16" s="24" t="s">
        <v>223</v>
      </c>
      <c r="C16" s="25" t="s">
        <v>1013</v>
      </c>
      <c r="D16" s="563" t="str">
        <f t="shared" ref="D16:D19" ca="1" si="1">IF(OFFSET(D16,0,-1)="","◄","")</f>
        <v/>
      </c>
      <c r="L16" s="12" t="s">
        <v>113</v>
      </c>
      <c r="AV16" t="s">
        <v>224</v>
      </c>
      <c r="AW16" t="s">
        <v>225</v>
      </c>
    </row>
    <row r="17" spans="2:49" x14ac:dyDescent="0.2">
      <c r="B17" s="17" t="s">
        <v>226</v>
      </c>
      <c r="C17" s="26"/>
      <c r="D17" s="563" t="str">
        <f t="shared" ca="1" si="1"/>
        <v>◄</v>
      </c>
      <c r="L17" s="12" t="s">
        <v>114</v>
      </c>
      <c r="AV17" t="s">
        <v>227</v>
      </c>
      <c r="AW17" t="s">
        <v>228</v>
      </c>
    </row>
    <row r="18" spans="2:49" x14ac:dyDescent="0.2">
      <c r="B18" s="17" t="s">
        <v>229</v>
      </c>
      <c r="C18" s="27" t="s">
        <v>965</v>
      </c>
      <c r="D18" s="563" t="str">
        <f ca="1">IF(OR(OFFSET(D18,0,-1)="",OFFSET(D18,0,-1)="(SELECIONAR)"),"◄","")</f>
        <v/>
      </c>
      <c r="L18" s="12" t="s">
        <v>115</v>
      </c>
      <c r="AV18" t="s">
        <v>230</v>
      </c>
      <c r="AW18" t="s">
        <v>231</v>
      </c>
    </row>
    <row r="19" spans="2:49" ht="13.5" thickBot="1" x14ac:dyDescent="0.25">
      <c r="B19" s="28" t="s">
        <v>232</v>
      </c>
      <c r="C19" s="29">
        <v>46054</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8" t="s">
        <v>237</v>
      </c>
      <c r="C21" s="678"/>
      <c r="D21" s="562" t="str">
        <f ca="1">IF(COUNTIF(D22:D25,"◄")=0,"","Falta preencher a linha "&amp;MATCH("◄",D22:D25,0)+ROW(D21))</f>
        <v>Falta preencher a linha 24</v>
      </c>
      <c r="L21" s="12"/>
      <c r="AV21" t="s">
        <v>238</v>
      </c>
      <c r="AW21" t="s">
        <v>239</v>
      </c>
    </row>
    <row r="22" spans="2:49" x14ac:dyDescent="0.2">
      <c r="B22" s="15" t="s">
        <v>240</v>
      </c>
      <c r="C22" s="31" t="s">
        <v>1058</v>
      </c>
      <c r="D22" s="563" t="str">
        <f t="shared" ref="D22:D24" ca="1" si="2">IF(OFFSET(D22,0,-1)="","◄","")</f>
        <v/>
      </c>
      <c r="AV22" t="s">
        <v>241</v>
      </c>
      <c r="AW22" t="s">
        <v>242</v>
      </c>
    </row>
    <row r="23" spans="2:49" x14ac:dyDescent="0.2">
      <c r="B23" s="17" t="s">
        <v>243</v>
      </c>
      <c r="C23" s="18" t="s">
        <v>1059</v>
      </c>
      <c r="D23" s="563" t="str">
        <f t="shared" ca="1" si="2"/>
        <v/>
      </c>
      <c r="AV23" t="s">
        <v>244</v>
      </c>
      <c r="AW23" t="s">
        <v>245</v>
      </c>
    </row>
    <row r="24" spans="2:49" x14ac:dyDescent="0.2">
      <c r="B24" s="17" t="s">
        <v>246</v>
      </c>
      <c r="C24" s="18"/>
      <c r="D24" s="563" t="str">
        <f t="shared" ca="1" si="2"/>
        <v>◄</v>
      </c>
      <c r="AV24" t="s">
        <v>247</v>
      </c>
      <c r="AW24" t="s">
        <v>248</v>
      </c>
    </row>
    <row r="25" spans="2:49" ht="13.5" thickBot="1" x14ac:dyDescent="0.25">
      <c r="B25" s="21" t="s">
        <v>249</v>
      </c>
      <c r="C25" s="32">
        <v>45945</v>
      </c>
      <c r="D25" s="563" t="s">
        <v>250</v>
      </c>
      <c r="AV25" t="s">
        <v>251</v>
      </c>
      <c r="AW25" t="s">
        <v>252</v>
      </c>
    </row>
    <row r="26" spans="2:49" ht="13.5" thickBot="1" x14ac:dyDescent="0.25">
      <c r="AV26" t="s">
        <v>253</v>
      </c>
      <c r="AW26" t="s">
        <v>254</v>
      </c>
    </row>
    <row r="27" spans="2:49" ht="15.75" thickBot="1" x14ac:dyDescent="0.3">
      <c r="B27" s="678" t="s">
        <v>255</v>
      </c>
      <c r="C27" s="678"/>
      <c r="D27" s="562" t="str">
        <f ca="1">IF(COUNTIF(D28:D29,"◄")=0,"","Falta preencher a linha "&amp;MATCH("◄",D28:D29,0)+ROW(D27))</f>
        <v>Falta preencher a linha 28</v>
      </c>
      <c r="AV27" t="s">
        <v>256</v>
      </c>
      <c r="AW27" t="s">
        <v>257</v>
      </c>
    </row>
    <row r="28" spans="2:49" x14ac:dyDescent="0.2">
      <c r="B28" s="13" t="s">
        <v>240</v>
      </c>
      <c r="C28" s="33"/>
      <c r="D28" s="563" t="str">
        <f t="shared" ref="D28:D29" ca="1" si="3">IF(OFFSET(D28,0,-1)="","◄","")</f>
        <v>◄</v>
      </c>
      <c r="AV28" t="s">
        <v>258</v>
      </c>
      <c r="AW28" t="s">
        <v>259</v>
      </c>
    </row>
    <row r="29" spans="2:49" ht="13.5" thickBot="1" x14ac:dyDescent="0.25">
      <c r="B29" s="21" t="s">
        <v>260</v>
      </c>
      <c r="C29" s="34"/>
      <c r="D29" s="563" t="str">
        <f t="shared" ca="1" si="3"/>
        <v>◄</v>
      </c>
      <c r="AV29" t="s">
        <v>261</v>
      </c>
      <c r="AW29" t="s">
        <v>262</v>
      </c>
    </row>
    <row r="30" spans="2:49" ht="16.5" thickBot="1" x14ac:dyDescent="0.25">
      <c r="B30" s="8"/>
      <c r="AV30" t="s">
        <v>263</v>
      </c>
      <c r="AW30" t="s">
        <v>262</v>
      </c>
    </row>
    <row r="31" spans="2:49" ht="13.5" thickBot="1" x14ac:dyDescent="0.25">
      <c r="B31" s="474" t="s">
        <v>264</v>
      </c>
      <c r="C31" s="475" t="s">
        <v>950</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8" t="s">
        <v>273</v>
      </c>
      <c r="C35" s="678"/>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8" t="s">
        <v>303</v>
      </c>
      <c r="C46" s="678"/>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8" t="s">
        <v>314</v>
      </c>
      <c r="C50" s="678"/>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8" t="s">
        <v>337</v>
      </c>
      <c r="C59" s="678"/>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SuOcUvN9PkTHpK8YhPdfMZSSRNel7FNKz9ZS4Ofxc2DYdseeyOS1EXpuE7rL4fop6zwS22+Uli52rHGrGnE3GA==" saltValue="zQSaAgXWfNqszLgAz7/pP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472" priority="2" stopIfTrue="1">
      <formula>CAIXA.Modo=FALSE</formula>
    </cfRule>
  </conditionalFormatting>
  <conditionalFormatting sqref="B59:C61">
    <cfRule type="expression" dxfId="471"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1" t="s">
        <v>644</v>
      </c>
      <c r="S1" s="681"/>
    </row>
    <row r="2" spans="1:21" x14ac:dyDescent="0.2">
      <c r="A2" s="49" t="s">
        <v>645</v>
      </c>
      <c r="B2" s="53" t="s">
        <v>646</v>
      </c>
      <c r="C2" s="49" t="str">
        <f t="shared" ref="C2:C49" si="0">CONCATENATE(A2,"-",B2)</f>
        <v>Construção e Reforma de Edifícios-AC</v>
      </c>
      <c r="E2" s="54">
        <v>0.03</v>
      </c>
      <c r="F2" s="54">
        <v>0.04</v>
      </c>
      <c r="G2" s="54">
        <v>5.5E-2</v>
      </c>
      <c r="R2" s="682" t="s">
        <v>647</v>
      </c>
      <c r="S2" s="682"/>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3" t="s">
        <v>650</v>
      </c>
      <c r="K4" s="683"/>
      <c r="L4" s="683" t="s">
        <v>651</v>
      </c>
      <c r="M4" s="683"/>
      <c r="N4" s="683" t="s">
        <v>652</v>
      </c>
      <c r="O4" s="683"/>
      <c r="P4" s="683"/>
      <c r="Q4" s="683"/>
      <c r="R4" s="683"/>
      <c r="S4" s="683"/>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0">
        <f>Import.CR</f>
        <v>0</v>
      </c>
      <c r="K5" s="680"/>
      <c r="L5" s="680">
        <f>Import.TransfereGOV</f>
        <v>0</v>
      </c>
      <c r="M5" s="680"/>
      <c r="N5" s="680" t="str">
        <f>Import.Proponente</f>
        <v>PRFEITURA MUNICIPAL DE PASSOS</v>
      </c>
      <c r="O5" s="680"/>
      <c r="P5" s="680"/>
      <c r="Q5" s="680"/>
      <c r="R5" s="680"/>
      <c r="S5" s="680"/>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09"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09"/>
      <c r="J7" s="683" t="s">
        <v>657</v>
      </c>
      <c r="K7" s="683"/>
      <c r="L7" s="683"/>
      <c r="M7" s="683"/>
      <c r="N7" s="683"/>
      <c r="O7" s="683"/>
      <c r="P7" s="683"/>
      <c r="Q7" s="683"/>
      <c r="R7" s="683"/>
      <c r="S7" s="683"/>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09"/>
      <c r="J8" s="686" t="str">
        <f>Import.Apelido&amp;" / "&amp;Import.DescLote</f>
        <v xml:space="preserve">PRAÇA SÃO FRANCISCO / </v>
      </c>
      <c r="K8" s="686"/>
      <c r="L8" s="686"/>
      <c r="M8" s="686"/>
      <c r="N8" s="686"/>
      <c r="O8" s="686"/>
      <c r="P8" s="686"/>
      <c r="Q8" s="686"/>
      <c r="R8" s="686"/>
      <c r="S8" s="686"/>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09"/>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09"/>
      <c r="J10" s="687" t="s">
        <v>659</v>
      </c>
      <c r="K10" s="687"/>
      <c r="L10" s="687"/>
      <c r="M10" s="687"/>
      <c r="N10" s="687"/>
      <c r="O10" s="687"/>
      <c r="P10" s="687"/>
      <c r="Q10" s="687"/>
      <c r="R10" s="685">
        <v>1</v>
      </c>
      <c r="S10" s="685"/>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4" t="s">
        <v>661</v>
      </c>
      <c r="K11" s="684"/>
      <c r="L11" s="684"/>
      <c r="M11" s="684"/>
      <c r="N11" s="684"/>
      <c r="O11" s="684"/>
      <c r="P11" s="684"/>
      <c r="Q11" s="684"/>
      <c r="R11" s="685">
        <v>0.03</v>
      </c>
      <c r="S11" s="685"/>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2" t="s">
        <v>663</v>
      </c>
      <c r="K14" s="692"/>
      <c r="L14" s="692"/>
      <c r="M14" s="692"/>
      <c r="N14" s="692"/>
      <c r="O14" s="692"/>
      <c r="P14" s="692"/>
      <c r="Q14" s="692"/>
      <c r="R14" s="692"/>
      <c r="S14" s="692"/>
      <c r="U14" s="521" t="str">
        <f ca="1">IF(COUNTIF(ORÇAMENTO!$V$15:$V$47,BDI_1.Título)=0,"",IF(OR(Import.BDI.Tipo1="(SELECIONAR)",Import.BDI.Tipo1="",U17&lt;&gt;"",AND($J17&lt;&gt;$A$145,OR(S21="",S22="",AND($J17&lt;&gt;$A$146,OR(S23="",S24="")),S25="",S26=""))),"Falta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3" t="s">
        <v>664</v>
      </c>
      <c r="K16" s="683"/>
      <c r="L16" s="683"/>
      <c r="M16" s="683"/>
      <c r="N16" s="683"/>
      <c r="O16" s="683"/>
      <c r="P16" s="683"/>
      <c r="Q16" s="683"/>
      <c r="R16" s="683"/>
      <c r="S16" s="683"/>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89" t="s">
        <v>658</v>
      </c>
      <c r="K17" s="689"/>
      <c r="L17" s="689"/>
      <c r="M17" s="689"/>
      <c r="N17" s="689"/>
      <c r="O17" s="689"/>
      <c r="P17" s="689"/>
      <c r="Q17" s="689"/>
      <c r="R17" s="689"/>
      <c r="S17" s="689"/>
      <c r="T17" s="563" t="str">
        <f ca="1">IF(U17="","","◄")</f>
        <v/>
      </c>
      <c r="U17" s="562" t="str">
        <f ca="1">IF(AND(OR(S29&gt;0,COUNTIF(ORÇAMENTO!$V$15:$V$47,BDI_1.Título)&gt;0),OR(Import.BDI.Tipo1="(SELECIONAR)",Import.BDI.Tipo1="")),"Selecione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1" t="s">
        <v>666</v>
      </c>
      <c r="K19" s="691"/>
      <c r="L19" s="691"/>
      <c r="M19" s="691"/>
      <c r="N19" s="691"/>
      <c r="O19" s="691"/>
      <c r="P19" s="691"/>
      <c r="Q19" s="691"/>
      <c r="R19" s="691" t="s">
        <v>667</v>
      </c>
      <c r="S19" s="690" t="s">
        <v>668</v>
      </c>
      <c r="U19" s="690" t="s">
        <v>669</v>
      </c>
      <c r="V19" s="690"/>
      <c r="W19" s="690"/>
      <c r="X19" s="688" t="s">
        <v>670</v>
      </c>
      <c r="Y19" s="688" t="s">
        <v>671</v>
      </c>
      <c r="Z19" s="688"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1"/>
      <c r="K20" s="691"/>
      <c r="L20" s="691"/>
      <c r="M20" s="691"/>
      <c r="N20" s="691"/>
      <c r="O20" s="691"/>
      <c r="P20" s="691"/>
      <c r="Q20" s="691"/>
      <c r="R20" s="691"/>
      <c r="S20" s="690"/>
      <c r="U20" s="690"/>
      <c r="V20" s="690"/>
      <c r="W20" s="690"/>
      <c r="X20" s="688"/>
      <c r="Y20" s="688"/>
      <c r="Z20" s="688"/>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3" t="str">
        <f>IF($J$17=$A$146,"Encargos Sociais incidentes sobre a mão de obra","Administração Central")</f>
        <v>Administração Central</v>
      </c>
      <c r="K21" s="693"/>
      <c r="L21" s="693"/>
      <c r="M21" s="693"/>
      <c r="N21" s="693"/>
      <c r="O21" s="693"/>
      <c r="P21" s="693"/>
      <c r="Q21" s="693"/>
      <c r="R21" s="60" t="str">
        <f>IF($J17=$A$146,"K1","AC")</f>
        <v>AC</v>
      </c>
      <c r="S21" s="61">
        <v>0.04</v>
      </c>
      <c r="T21" s="572" t="str">
        <f ca="1">IF(AND($U$14&lt;&gt;"",$U$17="",R21&lt;&gt;"",S21=""),"◄","")</f>
        <v/>
      </c>
      <c r="U21" s="694" t="str">
        <f ca="1">IFERROR(IF(T21="◄","FALTA PREENCHER",IF(AND(OR(S21&gt;=X21,X21="-"),OR(S21&lt;=Z21,Z21="-")),"OK","FORA DO INTERVALO")),"-")</f>
        <v>OK</v>
      </c>
      <c r="V21" s="694"/>
      <c r="W21" s="694"/>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3" t="str">
        <f>IF($J$17=$A$146,"Administração Central da empresa ou consultoria - overhead","Seguro e Garantia")</f>
        <v>Seguro e Garantia</v>
      </c>
      <c r="K22" s="693"/>
      <c r="L22" s="693"/>
      <c r="M22" s="693"/>
      <c r="N22" s="693"/>
      <c r="O22" s="693"/>
      <c r="P22" s="693"/>
      <c r="Q22" s="693"/>
      <c r="R22" s="60" t="str">
        <f>IF($J17=$A$146,"K2","SG")</f>
        <v>SG</v>
      </c>
      <c r="S22" s="61">
        <v>4.0000000000000001E-3</v>
      </c>
      <c r="T22" s="572" t="str">
        <f t="shared" ref="T22:T26" ca="1" si="1">IF(AND($U$14&lt;&gt;"",$U$17="",R22&lt;&gt;"",S22=""),"◄","")</f>
        <v/>
      </c>
      <c r="U22" s="694" t="str">
        <f t="shared" ref="U22:U28" ca="1" si="2">IFERROR(IF(T22="◄","FALTA PREENCHER",IF(AND(OR(S22&gt;=X22,X22="-"),OR(S22&lt;=Z22,Z22="-")),"OK","FORA DO INTERVALO")),"-")</f>
        <v>OK</v>
      </c>
      <c r="V22" s="694"/>
      <c r="W22" s="694"/>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3" t="s">
        <v>942</v>
      </c>
      <c r="K23" s="693"/>
      <c r="L23" s="693"/>
      <c r="M23" s="693"/>
      <c r="N23" s="693"/>
      <c r="O23" s="693"/>
      <c r="P23" s="693"/>
      <c r="Q23" s="693"/>
      <c r="R23" s="60" t="str">
        <f>IF($J17=$A$146,"","R")</f>
        <v>R</v>
      </c>
      <c r="S23" s="61">
        <v>5.5999999999999999E-3</v>
      </c>
      <c r="T23" s="572" t="str">
        <f t="shared" ca="1" si="1"/>
        <v/>
      </c>
      <c r="U23" s="694" t="str">
        <f t="shared" ca="1" si="2"/>
        <v>OK</v>
      </c>
      <c r="V23" s="694"/>
      <c r="W23" s="694"/>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3" t="s">
        <v>943</v>
      </c>
      <c r="K24" s="693"/>
      <c r="L24" s="693"/>
      <c r="M24" s="693"/>
      <c r="N24" s="693"/>
      <c r="O24" s="693"/>
      <c r="P24" s="693"/>
      <c r="Q24" s="693"/>
      <c r="R24" s="60" t="str">
        <f>IF($J17=$A$146,"","DF")</f>
        <v>DF</v>
      </c>
      <c r="S24" s="61">
        <v>1.0200000000000001E-2</v>
      </c>
      <c r="T24" s="572" t="str">
        <f t="shared" ca="1" si="1"/>
        <v/>
      </c>
      <c r="U24" s="694" t="str">
        <f t="shared" ca="1" si="2"/>
        <v>OK</v>
      </c>
      <c r="V24" s="694"/>
      <c r="W24" s="694"/>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3" t="str">
        <f>IF($J$17=$A$146,"Margem bruta da empresa de consultoria","Lucro")</f>
        <v>Lucro</v>
      </c>
      <c r="K25" s="693"/>
      <c r="L25" s="693"/>
      <c r="M25" s="693"/>
      <c r="N25" s="693"/>
      <c r="O25" s="693"/>
      <c r="P25" s="693"/>
      <c r="Q25" s="693"/>
      <c r="R25" s="60" t="str">
        <f>IF($J17=$A$146,"K3","L")</f>
        <v>L</v>
      </c>
      <c r="S25" s="61">
        <v>6.6500000000000004E-2</v>
      </c>
      <c r="T25" s="572" t="str">
        <f t="shared" ca="1" si="1"/>
        <v/>
      </c>
      <c r="U25" s="694" t="str">
        <f t="shared" ca="1" si="2"/>
        <v>OK</v>
      </c>
      <c r="V25" s="694"/>
      <c r="W25" s="694"/>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3" t="s">
        <v>675</v>
      </c>
      <c r="K26" s="693"/>
      <c r="L26" s="693"/>
      <c r="M26" s="693"/>
      <c r="N26" s="693"/>
      <c r="O26" s="693"/>
      <c r="P26" s="693"/>
      <c r="Q26" s="693"/>
      <c r="R26" s="60" t="s">
        <v>456</v>
      </c>
      <c r="S26" s="61">
        <v>3.6499999999999998E-2</v>
      </c>
      <c r="T26" s="572" t="str">
        <f t="shared" ca="1" si="1"/>
        <v/>
      </c>
      <c r="U26" s="694" t="str">
        <f t="shared" ca="1" si="2"/>
        <v>OK</v>
      </c>
      <c r="V26" s="694"/>
      <c r="W26" s="694"/>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3" t="s">
        <v>676</v>
      </c>
      <c r="K27" s="693"/>
      <c r="L27" s="693"/>
      <c r="M27" s="693"/>
      <c r="N27" s="693"/>
      <c r="O27" s="693"/>
      <c r="P27" s="693"/>
      <c r="Q27" s="693"/>
      <c r="R27" s="60" t="s">
        <v>677</v>
      </c>
      <c r="S27" s="62">
        <f ca="1">IF(AND($J17&lt;&gt;$A$145,COUNTA(OFFSET(S20,1,0,6))&gt;0),$R$11*$R$10,0)</f>
        <v>0.03</v>
      </c>
      <c r="U27" s="694" t="str">
        <f t="shared" ca="1" si="2"/>
        <v>OK</v>
      </c>
      <c r="V27" s="694"/>
      <c r="W27" s="694"/>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3" t="s">
        <v>678</v>
      </c>
      <c r="K28" s="693"/>
      <c r="L28" s="693"/>
      <c r="M28" s="693"/>
      <c r="N28" s="693"/>
      <c r="O28" s="693"/>
      <c r="P28" s="693"/>
      <c r="Q28" s="693"/>
      <c r="R28" s="60" t="s">
        <v>679</v>
      </c>
      <c r="S28" s="62" cm="1">
        <f t="array" aca="1" ref="S28" ca="1">IF(BDI.Opcao&lt;&gt;"Desonerado",0,IF(AND($J17&lt;&gt;$A$145,COUNTA(OFFSET(S20,1,0,6))&gt;0),IF(YEAR(Import.DataBase)&lt;2025,4.5%,IF(YEAR(Import.DataBase)=2025,3.6%,IF(YEAR(Import.DataBase)=2026,2.7%,IF(YEAR(Import.DataBase)=2027,1.8%,0%)))),0%))</f>
        <v>2.7000000000000003E-2</v>
      </c>
      <c r="U28" s="694" t="str">
        <f t="shared" ca="1" si="2"/>
        <v>OK</v>
      </c>
      <c r="V28" s="694"/>
      <c r="W28" s="694"/>
      <c r="X28" s="63">
        <f ca="1">$S28</f>
        <v>2.7000000000000003E-2</v>
      </c>
      <c r="Y28" s="63">
        <f ca="1">$S28</f>
        <v>2.7000000000000003E-2</v>
      </c>
      <c r="Z28" s="63">
        <f ca="1">$S28</f>
        <v>2.7000000000000003E-2</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3" t="s">
        <v>680</v>
      </c>
      <c r="K29" s="693"/>
      <c r="L29" s="693"/>
      <c r="M29" s="693"/>
      <c r="N29" s="693"/>
      <c r="O29" s="693"/>
      <c r="P29" s="693"/>
      <c r="Q29" s="693"/>
      <c r="R29" s="64" t="s">
        <v>656</v>
      </c>
      <c r="S29" s="62">
        <f ca="1">IF($J17=$A$145,0,ROUND((((1+S21+S22+S23)*(1+S24)*(1+S25)/(1-(S26+S27)))-1),4))</f>
        <v>0.2114</v>
      </c>
      <c r="U29" s="690" t="str">
        <f ca="1">IFERROR(IF(AND(OR(S29&gt;=X29,X29="-"),OR(S29&lt;=Z29,Z29="-")),"OK","FORA DO INTERVALO"),IF(S29=0,"OK","Selecione o Tipo de obra"))</f>
        <v>OK</v>
      </c>
      <c r="V29" s="690"/>
      <c r="W29" s="690"/>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7" t="s">
        <v>681</v>
      </c>
      <c r="K30" s="697"/>
      <c r="L30" s="697"/>
      <c r="M30" s="697"/>
      <c r="N30" s="697"/>
      <c r="O30" s="697"/>
      <c r="P30" s="697"/>
      <c r="Q30" s="697"/>
      <c r="R30" s="65" t="s">
        <v>682</v>
      </c>
      <c r="S30" s="66">
        <f ca="1">IF($J17=$A$145,0,ROUND((((1+S21+S22+S23)*(1+S24)*(1+S25)/(1-(S26+S27+S28)))-1),4))</f>
        <v>0.2475</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8" t="str">
        <f ca="1">IF(U29&lt;&gt;"ok","Anexo: Relatório Técnico Circunstanciado justificando a adoção do percentual de cada parcela do BDI.","")</f>
        <v/>
      </c>
      <c r="L32" s="698"/>
      <c r="M32" s="698"/>
      <c r="N32" s="698"/>
      <c r="O32" s="698"/>
      <c r="P32" s="698"/>
      <c r="Q32" s="698"/>
      <c r="R32" s="698"/>
      <c r="S32" s="698"/>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699" t="s">
        <v>683</v>
      </c>
      <c r="K34" s="699"/>
      <c r="L34" s="699"/>
      <c r="M34" s="699"/>
      <c r="N34" s="699"/>
      <c r="O34" s="699"/>
      <c r="P34" s="699"/>
      <c r="Q34" s="699"/>
      <c r="R34" s="699"/>
      <c r="S34" s="699"/>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0" t="s">
        <v>684</v>
      </c>
      <c r="N35" s="706" t="str">
        <f>IF($J17=$A$146,"(1+K1+K2)*(1+K3)","(1+AC + S + R + G)*(1 + DF)*(1+L)")</f>
        <v>(1+AC + S + R + G)*(1 + DF)*(1+L)</v>
      </c>
      <c r="O35" s="706"/>
      <c r="P35" s="706"/>
      <c r="Q35" s="707"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0"/>
      <c r="N36" s="695" t="s">
        <v>686</v>
      </c>
      <c r="O36" s="695"/>
      <c r="P36" s="695"/>
      <c r="Q36" s="707"/>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38" s="696"/>
      <c r="L38" s="696"/>
      <c r="M38" s="696"/>
      <c r="N38" s="696"/>
      <c r="O38" s="696"/>
      <c r="P38" s="696"/>
      <c r="Q38" s="696"/>
      <c r="R38" s="696"/>
      <c r="S38" s="696"/>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6"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96"/>
      <c r="L40" s="696"/>
      <c r="M40" s="696"/>
      <c r="N40" s="696"/>
      <c r="O40" s="696"/>
      <c r="P40" s="696"/>
      <c r="Q40" s="696"/>
      <c r="R40" s="696"/>
      <c r="S40" s="696"/>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8"/>
      <c r="K43" s="708"/>
      <c r="L43" s="708"/>
      <c r="M43" s="708"/>
      <c r="N43" s="708"/>
      <c r="O43" s="708"/>
      <c r="P43" s="708"/>
      <c r="Q43" s="708"/>
      <c r="R43" s="708"/>
      <c r="S43" s="708"/>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2" t="str">
        <f>Import.Município</f>
        <v>PASSOS MG</v>
      </c>
      <c r="K45" s="702"/>
      <c r="L45" s="702"/>
      <c r="M45" s="702"/>
      <c r="P45" s="703">
        <f>DADOS!$C$25</f>
        <v>45945</v>
      </c>
      <c r="Q45" s="703"/>
      <c r="R45" s="703"/>
      <c r="S45" s="703"/>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4" t="s">
        <v>693</v>
      </c>
      <c r="K46" s="704"/>
      <c r="L46" s="704"/>
      <c r="M46" s="704"/>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5"/>
      <c r="K48" s="705"/>
      <c r="L48" s="705"/>
      <c r="M48" s="705"/>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1" t="s">
        <v>696</v>
      </c>
      <c r="K49" s="701"/>
      <c r="L49" s="701"/>
      <c r="M49" s="701"/>
    </row>
    <row r="50" spans="1:26" ht="14.25" x14ac:dyDescent="0.2">
      <c r="B50" s="58"/>
      <c r="E50" s="54"/>
      <c r="F50" s="54"/>
      <c r="G50" s="54"/>
      <c r="I50" t="s">
        <v>536</v>
      </c>
      <c r="J50" s="77" t="s">
        <v>240</v>
      </c>
      <c r="K50" s="78" t="str">
        <f t="array" ref="K50:K52">Import.RespOrçamento</f>
        <v>Mateus Junior Rosa</v>
      </c>
      <c r="L50" s="79"/>
      <c r="M50" s="79"/>
      <c r="N50" s="76"/>
    </row>
    <row r="51" spans="1:26" ht="14.25" x14ac:dyDescent="0.2">
      <c r="A51"/>
      <c r="B51"/>
      <c r="C51"/>
      <c r="D51"/>
      <c r="E51"/>
      <c r="F51"/>
      <c r="G51"/>
      <c r="I51" t="s">
        <v>536</v>
      </c>
      <c r="J51" s="77" t="s">
        <v>243</v>
      </c>
      <c r="K51" s="78" t="str">
        <v>386.526/D</v>
      </c>
      <c r="L51" s="79"/>
      <c r="M51" s="79"/>
      <c r="N51" s="76"/>
    </row>
    <row r="52" spans="1:26" ht="14.25" x14ac:dyDescent="0.2">
      <c r="A52"/>
      <c r="B52"/>
      <c r="C52"/>
      <c r="D52"/>
      <c r="E52"/>
      <c r="F52"/>
      <c r="G52"/>
      <c r="I52" t="s">
        <v>536</v>
      </c>
      <c r="J52" s="77" t="s">
        <v>246</v>
      </c>
      <c r="K52" s="78">
        <v>0</v>
      </c>
      <c r="L52" s="79"/>
      <c r="M52" s="79"/>
      <c r="N52" s="76"/>
    </row>
    <row r="53" spans="1:26" ht="14.25" x14ac:dyDescent="0.2">
      <c r="A53"/>
      <c r="B53"/>
      <c r="C53"/>
      <c r="D53"/>
      <c r="E53"/>
      <c r="F53"/>
      <c r="G53"/>
      <c r="I53" t="s">
        <v>536</v>
      </c>
      <c r="J53" s="77"/>
      <c r="K53" s="80"/>
      <c r="L53" s="79"/>
      <c r="M53" s="79"/>
      <c r="N53" s="76"/>
    </row>
    <row r="54" spans="1:26" ht="15.75" hidden="1" x14ac:dyDescent="0.25">
      <c r="A54"/>
      <c r="B54"/>
      <c r="C54"/>
      <c r="D54"/>
      <c r="E54"/>
      <c r="F54"/>
      <c r="G54"/>
      <c r="I54" t="str">
        <f ca="1">IF($S$69=0,"","F")</f>
        <v/>
      </c>
      <c r="J54" s="692" t="s">
        <v>697</v>
      </c>
      <c r="K54" s="692"/>
      <c r="L54" s="692"/>
      <c r="M54" s="692"/>
      <c r="N54" s="692"/>
      <c r="O54" s="692"/>
      <c r="P54" s="692"/>
      <c r="Q54" s="692"/>
      <c r="R54" s="692"/>
      <c r="S54" s="692"/>
      <c r="U54" s="521" t="str">
        <f>IF(COUNTIF(ORÇAMENTO!$V$15:$V$47,BDI_2.Título)=0,"",IF(OR(Import.BDI.Tipo2="(SELECIONAR)",Import.BDI.Tipo2="",U57&lt;&gt;"",AND($J57&lt;&gt;$A$145,OR(S61="",S62="",AND($J57&lt;&gt;$A$146,OR(S63="",S64="")),S65="",S66=""))),"Falta preencher o BDI 2",""))</f>
        <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683" t="s">
        <v>664</v>
      </c>
      <c r="K56" s="683"/>
      <c r="L56" s="683"/>
      <c r="M56" s="683"/>
      <c r="N56" s="683"/>
      <c r="O56" s="683"/>
      <c r="P56" s="683"/>
      <c r="Q56" s="683"/>
      <c r="R56" s="683"/>
      <c r="S56" s="683"/>
    </row>
    <row r="57" spans="1:26" ht="15" hidden="1" x14ac:dyDescent="0.25">
      <c r="A57"/>
      <c r="B57"/>
      <c r="C57"/>
      <c r="D57"/>
      <c r="E57"/>
      <c r="F57"/>
      <c r="G57"/>
      <c r="I57" t="str">
        <f t="shared" ca="1" si="3"/>
        <v/>
      </c>
      <c r="J57" s="689" t="s">
        <v>139</v>
      </c>
      <c r="K57" s="689"/>
      <c r="L57" s="689"/>
      <c r="M57" s="689"/>
      <c r="N57" s="689"/>
      <c r="O57" s="689"/>
      <c r="P57" s="689"/>
      <c r="Q57" s="689"/>
      <c r="R57" s="689"/>
      <c r="S57" s="689"/>
      <c r="T57" s="563" t="str">
        <f ca="1">IF(U57="","","◄")</f>
        <v/>
      </c>
      <c r="U57" s="562" t="str">
        <f ca="1">IF(AND(OR(S69&gt;0,COUNTIF(ORÇAMENTO!$V$15:$V$47,BDI_2.Título)&gt;0),OR(Import.BDI.Tipo2="(SELECIONAR)",Import.BDI.Tipo2="")),"Selecione o Tipo de obra","")</f>
        <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691" t="s">
        <v>666</v>
      </c>
      <c r="K59" s="691"/>
      <c r="L59" s="691"/>
      <c r="M59" s="691"/>
      <c r="N59" s="691"/>
      <c r="O59" s="691"/>
      <c r="P59" s="691"/>
      <c r="Q59" s="691"/>
      <c r="R59" s="691" t="s">
        <v>667</v>
      </c>
      <c r="S59" s="690" t="s">
        <v>668</v>
      </c>
      <c r="U59" s="690" t="s">
        <v>669</v>
      </c>
      <c r="V59" s="690"/>
      <c r="W59" s="690"/>
      <c r="X59" s="688" t="s">
        <v>670</v>
      </c>
      <c r="Y59" s="688" t="s">
        <v>671</v>
      </c>
      <c r="Z59" s="688" t="s">
        <v>672</v>
      </c>
    </row>
    <row r="60" spans="1:26" ht="12.75" hidden="1" customHeight="1" x14ac:dyDescent="0.2">
      <c r="A60"/>
      <c r="B60"/>
      <c r="C60"/>
      <c r="D60"/>
      <c r="E60"/>
      <c r="F60"/>
      <c r="G60"/>
      <c r="I60" t="str">
        <f t="shared" ca="1" si="3"/>
        <v/>
      </c>
      <c r="J60" s="691"/>
      <c r="K60" s="691"/>
      <c r="L60" s="691"/>
      <c r="M60" s="691"/>
      <c r="N60" s="691"/>
      <c r="O60" s="691"/>
      <c r="P60" s="691"/>
      <c r="Q60" s="691"/>
      <c r="R60" s="691"/>
      <c r="S60" s="690"/>
      <c r="U60" s="690"/>
      <c r="V60" s="690"/>
      <c r="W60" s="690"/>
      <c r="X60" s="688"/>
      <c r="Y60" s="688"/>
      <c r="Z60" s="688"/>
    </row>
    <row r="61" spans="1:26" ht="15" hidden="1" customHeight="1" x14ac:dyDescent="0.2">
      <c r="A61"/>
      <c r="B61"/>
      <c r="C61"/>
      <c r="D61"/>
      <c r="E61"/>
      <c r="F61"/>
      <c r="G61"/>
      <c r="I61" t="str">
        <f t="shared" ca="1" si="3"/>
        <v/>
      </c>
      <c r="J61" s="693" t="str">
        <f>IF($J$57=$A$146,"Encargos Sociais incidentes sobre a mão de obra","Administração Central")</f>
        <v>Administração Central</v>
      </c>
      <c r="K61" s="693"/>
      <c r="L61" s="693"/>
      <c r="M61" s="693"/>
      <c r="N61" s="693"/>
      <c r="O61" s="693"/>
      <c r="P61" s="693"/>
      <c r="Q61" s="693"/>
      <c r="R61" s="60" t="str">
        <f>IF($J57=$A$146,"K1","AC")</f>
        <v>AC</v>
      </c>
      <c r="S61" s="61"/>
      <c r="T61" s="572" t="str">
        <f ca="1">IF(AND($U$54&lt;&gt;"",$U$57="",R61&lt;&gt;"",S61=""),"◄","")</f>
        <v/>
      </c>
      <c r="U61" s="694" t="str">
        <f ca="1">IFERROR(IF(T61="◄","FALTA PREENCHER",IF(AND(OR(S61&gt;=X61,X61="-"),OR(S61&lt;=Z61,Z61="-")),"OK","FORA DO INTERVALO")),"-")</f>
        <v>-</v>
      </c>
      <c r="V61" s="694"/>
      <c r="W61" s="694"/>
      <c r="X61" s="62" t="e">
        <f>VLOOKUP(CONCATENATE(J57,"-",R61),$C$2:$G$136,3,FALSE)</f>
        <v>#N/A</v>
      </c>
      <c r="Y61" s="62" t="e">
        <f>VLOOKUP(CONCATENATE(J57,"-",R61),$C$2:$G$136,4,FALSE)</f>
        <v>#N/A</v>
      </c>
      <c r="Z61" s="62" t="e">
        <f>VLOOKUP(CONCATENATE(J57,"-",R61),$C$2:$G$136,5,FALSE)</f>
        <v>#N/A</v>
      </c>
    </row>
    <row r="62" spans="1:26" ht="15" hidden="1" customHeight="1" x14ac:dyDescent="0.2">
      <c r="A62"/>
      <c r="B62"/>
      <c r="C62"/>
      <c r="D62"/>
      <c r="E62"/>
      <c r="F62"/>
      <c r="G62"/>
      <c r="I62" t="str">
        <f t="shared" ca="1" si="3"/>
        <v/>
      </c>
      <c r="J62" s="693" t="str">
        <f>IF($J$57=$A$146,"Administração Central da empresa ou consultoria - overhead","Seguro e Garantia")</f>
        <v>Seguro e Garantia</v>
      </c>
      <c r="K62" s="693"/>
      <c r="L62" s="693"/>
      <c r="M62" s="693"/>
      <c r="N62" s="693"/>
      <c r="O62" s="693"/>
      <c r="P62" s="693"/>
      <c r="Q62" s="693"/>
      <c r="R62" s="60" t="str">
        <f>IF($J57=$A$146,"K2","SG")</f>
        <v>SG</v>
      </c>
      <c r="S62" s="61"/>
      <c r="T62" s="572" t="str">
        <f t="shared" ref="T62:T66" ca="1" si="4">IF(AND($U$54&lt;&gt;"",$U$57="",R62&lt;&gt;"",S62=""),"◄","")</f>
        <v/>
      </c>
      <c r="U62" s="694" t="str">
        <f t="shared" ref="U62:U68" ca="1" si="5">IFERROR(IF(T62="◄","FALTA PREENCHER",IF(AND(OR(S62&gt;=X62,X62="-"),OR(S62&lt;=Z62,Z62="-")),"OK","FORA DO INTERVALO")),"-")</f>
        <v>-</v>
      </c>
      <c r="V62" s="694"/>
      <c r="W62" s="694"/>
      <c r="X62" s="62" t="e">
        <f>VLOOKUP(CONCATENATE(J57,"-",R62),$C$2:$G$136,3,FALSE)</f>
        <v>#N/A</v>
      </c>
      <c r="Y62" s="62" t="e">
        <f>VLOOKUP(CONCATENATE(J57,"-",R62),$C$2:$G$136,4,FALSE)</f>
        <v>#N/A</v>
      </c>
      <c r="Z62" s="62" t="e">
        <f>VLOOKUP(CONCATENATE(J57,"-",R62),$C$2:$G$136,5,FALSE)</f>
        <v>#N/A</v>
      </c>
    </row>
    <row r="63" spans="1:26" ht="15" hidden="1" customHeight="1" x14ac:dyDescent="0.2">
      <c r="A63"/>
      <c r="B63"/>
      <c r="C63"/>
      <c r="D63"/>
      <c r="E63"/>
      <c r="F63"/>
      <c r="G63"/>
      <c r="I63" t="str">
        <f t="shared" ca="1" si="3"/>
        <v/>
      </c>
      <c r="J63" s="693" t="s">
        <v>942</v>
      </c>
      <c r="K63" s="693"/>
      <c r="L63" s="693"/>
      <c r="M63" s="693"/>
      <c r="N63" s="693"/>
      <c r="O63" s="693"/>
      <c r="P63" s="693"/>
      <c r="Q63" s="693"/>
      <c r="R63" s="60" t="str">
        <f>IF($J57=$A$146,"","R")</f>
        <v>R</v>
      </c>
      <c r="S63" s="61"/>
      <c r="T63" s="572" t="str">
        <f t="shared" ca="1" si="4"/>
        <v/>
      </c>
      <c r="U63" s="694" t="str">
        <f t="shared" ca="1" si="5"/>
        <v>-</v>
      </c>
      <c r="V63" s="694"/>
      <c r="W63" s="694"/>
      <c r="X63" s="62" t="e">
        <f>VLOOKUP(CONCATENATE(J57,"-",R63),$C$2:$G$136,3,FALSE)</f>
        <v>#N/A</v>
      </c>
      <c r="Y63" s="62" t="e">
        <f>VLOOKUP(CONCATENATE(J57,"-",R63),$C$2:$G$136,4,FALSE)</f>
        <v>#N/A</v>
      </c>
      <c r="Z63" s="62" t="e">
        <f>VLOOKUP(CONCATENATE(J57,"-",R63),$C$2:$G$136,5,FALSE)</f>
        <v>#N/A</v>
      </c>
    </row>
    <row r="64" spans="1:26" ht="15" hidden="1" customHeight="1" x14ac:dyDescent="0.2">
      <c r="A64"/>
      <c r="B64"/>
      <c r="C64"/>
      <c r="D64"/>
      <c r="E64"/>
      <c r="F64"/>
      <c r="G64"/>
      <c r="I64" t="str">
        <f t="shared" ca="1" si="3"/>
        <v/>
      </c>
      <c r="J64" s="693" t="s">
        <v>943</v>
      </c>
      <c r="K64" s="693"/>
      <c r="L64" s="693"/>
      <c r="M64" s="693"/>
      <c r="N64" s="693"/>
      <c r="O64" s="693"/>
      <c r="P64" s="693"/>
      <c r="Q64" s="693"/>
      <c r="R64" s="60" t="str">
        <f>IF($J57=$A$146,"","DF")</f>
        <v>DF</v>
      </c>
      <c r="S64" s="61"/>
      <c r="T64" s="572" t="str">
        <f t="shared" ca="1" si="4"/>
        <v/>
      </c>
      <c r="U64" s="694" t="str">
        <f t="shared" ca="1" si="5"/>
        <v>-</v>
      </c>
      <c r="V64" s="694"/>
      <c r="W64" s="694"/>
      <c r="X64" s="62" t="e">
        <f>VLOOKUP(CONCATENATE(J57,"-",R64),$C$2:$G$136,3,FALSE)</f>
        <v>#N/A</v>
      </c>
      <c r="Y64" s="62" t="e">
        <f>VLOOKUP(CONCATENATE(J57,"-",R64),$C$2:$G$136,4,FALSE)</f>
        <v>#N/A</v>
      </c>
      <c r="Z64" s="62" t="e">
        <f>VLOOKUP(CONCATENATE(J57,"-",R64),$C$2:$G$136,5,FALSE)</f>
        <v>#N/A</v>
      </c>
    </row>
    <row r="65" spans="1:26" ht="15" hidden="1" customHeight="1" x14ac:dyDescent="0.2">
      <c r="A65"/>
      <c r="B65"/>
      <c r="C65"/>
      <c r="D65"/>
      <c r="E65"/>
      <c r="F65"/>
      <c r="G65"/>
      <c r="I65" t="str">
        <f t="shared" ca="1" si="3"/>
        <v/>
      </c>
      <c r="J65" s="693" t="str">
        <f>IF($J$57=$A$146,"Margem bruta da empresa de consultoria","Lucro")</f>
        <v>Lucro</v>
      </c>
      <c r="K65" s="693"/>
      <c r="L65" s="693"/>
      <c r="M65" s="693"/>
      <c r="N65" s="693"/>
      <c r="O65" s="693"/>
      <c r="P65" s="693"/>
      <c r="Q65" s="693"/>
      <c r="R65" s="60" t="str">
        <f>IF($J57=$A$146,"K3","L")</f>
        <v>L</v>
      </c>
      <c r="S65" s="61"/>
      <c r="T65" s="572" t="str">
        <f t="shared" ca="1" si="4"/>
        <v/>
      </c>
      <c r="U65" s="694" t="str">
        <f t="shared" ca="1" si="5"/>
        <v>-</v>
      </c>
      <c r="V65" s="694"/>
      <c r="W65" s="694"/>
      <c r="X65" s="62" t="e">
        <f>VLOOKUP(CONCATENATE(J57,"-",R65),$C$2:$G$136,3,FALSE)</f>
        <v>#N/A</v>
      </c>
      <c r="Y65" s="62" t="e">
        <f>VLOOKUP(CONCATENATE(J57,"-",R65),$C$2:$G$136,4,FALSE)</f>
        <v>#N/A</v>
      </c>
      <c r="Z65" s="62" t="e">
        <f>VLOOKUP(CONCATENATE(J57,"-",R65),$C$2:$G$136,5,FALSE)</f>
        <v>#N/A</v>
      </c>
    </row>
    <row r="66" spans="1:26" ht="15" hidden="1" customHeight="1" x14ac:dyDescent="0.2">
      <c r="A66"/>
      <c r="B66"/>
      <c r="C66"/>
      <c r="D66"/>
      <c r="E66"/>
      <c r="F66"/>
      <c r="G66"/>
      <c r="I66" t="str">
        <f t="shared" ca="1" si="3"/>
        <v/>
      </c>
      <c r="J66" s="693" t="s">
        <v>675</v>
      </c>
      <c r="K66" s="693"/>
      <c r="L66" s="693"/>
      <c r="M66" s="693"/>
      <c r="N66" s="693"/>
      <c r="O66" s="693"/>
      <c r="P66" s="693"/>
      <c r="Q66" s="693"/>
      <c r="R66" s="60" t="s">
        <v>456</v>
      </c>
      <c r="S66" s="61"/>
      <c r="T66" s="572" t="str">
        <f t="shared" ca="1" si="4"/>
        <v/>
      </c>
      <c r="U66" s="694" t="str">
        <f t="shared" ca="1" si="5"/>
        <v>FORA DO INTERVALO</v>
      </c>
      <c r="V66" s="694"/>
      <c r="W66" s="694"/>
      <c r="X66" s="62">
        <f>Y66</f>
        <v>3.6499999999999998E-2</v>
      </c>
      <c r="Y66" s="62">
        <f>IF($J57=$A$145,"-",3.65%)</f>
        <v>3.6499999999999998E-2</v>
      </c>
      <c r="Z66" s="62">
        <f>Y66</f>
        <v>3.6499999999999998E-2</v>
      </c>
    </row>
    <row r="67" spans="1:26" ht="15" hidden="1" customHeight="1" x14ac:dyDescent="0.2">
      <c r="A67"/>
      <c r="B67"/>
      <c r="C67"/>
      <c r="D67"/>
      <c r="E67"/>
      <c r="F67"/>
      <c r="G67"/>
      <c r="I67" t="str">
        <f t="shared" ca="1" si="3"/>
        <v/>
      </c>
      <c r="J67" s="693" t="s">
        <v>676</v>
      </c>
      <c r="K67" s="693"/>
      <c r="L67" s="693"/>
      <c r="M67" s="693"/>
      <c r="N67" s="693"/>
      <c r="O67" s="693"/>
      <c r="P67" s="693"/>
      <c r="Q67" s="693"/>
      <c r="R67" s="60" t="s">
        <v>677</v>
      </c>
      <c r="S67" s="62">
        <f ca="1">IF(AND($J57&lt;&gt;$A$145,COUNTA(OFFSET(S60,1,0,6))&gt;0),$R$11*$R$10,0)</f>
        <v>0</v>
      </c>
      <c r="U67" s="694" t="str">
        <f t="shared" ca="1" si="5"/>
        <v>OK</v>
      </c>
      <c r="V67" s="694"/>
      <c r="W67" s="694"/>
      <c r="X67" s="62">
        <v>0</v>
      </c>
      <c r="Y67" s="62">
        <v>2.5000000000000001E-2</v>
      </c>
      <c r="Z67" s="62">
        <v>0.05</v>
      </c>
    </row>
    <row r="68" spans="1:26" ht="15" hidden="1" customHeight="1" x14ac:dyDescent="0.2">
      <c r="A68"/>
      <c r="B68"/>
      <c r="C68"/>
      <c r="D68"/>
      <c r="E68"/>
      <c r="F68"/>
      <c r="G68"/>
      <c r="I68" t="str">
        <f t="shared" ca="1" si="3"/>
        <v/>
      </c>
      <c r="J68" s="693" t="s">
        <v>678</v>
      </c>
      <c r="K68" s="693"/>
      <c r="L68" s="693"/>
      <c r="M68" s="693"/>
      <c r="N68" s="693"/>
      <c r="O68" s="693"/>
      <c r="P68" s="693"/>
      <c r="Q68" s="693"/>
      <c r="R68" s="60" t="s">
        <v>679</v>
      </c>
      <c r="S68" s="62" cm="1">
        <f t="array" aca="1" ref="S68" ca="1">IF(BDI.Opcao&lt;&gt;"Desonerado",0,IF(AND($J57&lt;&gt;$A$145,COUNTA(OFFSET(S60,1,0,6))&gt;0),IF(YEAR(Import.DataBase)&lt;2025,4.5%,IF(YEAR(Import.DataBase)=2025,3.6%,IF(YEAR(Import.DataBase)=2026,2.7%,IF(YEAR(Import.DataBase)=2027,1.8%,0%)))),0%))</f>
        <v>0</v>
      </c>
      <c r="U68" s="694" t="str">
        <f t="shared" ca="1" si="5"/>
        <v>OK</v>
      </c>
      <c r="V68" s="694"/>
      <c r="W68" s="694"/>
      <c r="X68" s="63">
        <f ca="1">$S68</f>
        <v>0</v>
      </c>
      <c r="Y68" s="63">
        <f ca="1">$S68</f>
        <v>0</v>
      </c>
      <c r="Z68" s="63">
        <f ca="1">$S68</f>
        <v>0</v>
      </c>
    </row>
    <row r="69" spans="1:26" ht="15" hidden="1" customHeight="1" x14ac:dyDescent="0.2">
      <c r="A69"/>
      <c r="B69"/>
      <c r="C69"/>
      <c r="D69"/>
      <c r="E69"/>
      <c r="F69"/>
      <c r="G69"/>
      <c r="I69" t="str">
        <f t="shared" ca="1" si="3"/>
        <v/>
      </c>
      <c r="J69" s="693" t="s">
        <v>680</v>
      </c>
      <c r="K69" s="693"/>
      <c r="L69" s="693"/>
      <c r="M69" s="693"/>
      <c r="N69" s="693"/>
      <c r="O69" s="693"/>
      <c r="P69" s="693"/>
      <c r="Q69" s="693"/>
      <c r="R69" s="64" t="s">
        <v>656</v>
      </c>
      <c r="S69" s="62">
        <f ca="1">IF($J57=$A$145,0,ROUND((((1+S61+S62+S63)*(1+S64)*(1+S65)/(1-(S66+S67)))-1),4))</f>
        <v>0</v>
      </c>
      <c r="U69" s="690" t="str">
        <f ca="1">IFERROR(IF(AND(OR(S69&gt;=X69,X69="-"),OR(S69&lt;=Z69,Z69="-")),"OK","FORA DO INTERVALO"),IF(S69=0,"OK","Selecione o Tipo de obra"))</f>
        <v>OK</v>
      </c>
      <c r="V69" s="690"/>
      <c r="W69" s="690"/>
      <c r="X69" s="62" t="e">
        <f>IF($J57=$A$145,0,VLOOKUP(CONCATENATE($J57,"-",$R69),$C$2:$G$136,3,FALSE))</f>
        <v>#N/A</v>
      </c>
      <c r="Y69" s="62" t="e">
        <f>IF($J57=$A$145,0,VLOOKUP(CONCATENATE($J57,"-",$R69),$C$2:$G$136,4,FALSE))</f>
        <v>#N/A</v>
      </c>
      <c r="Z69" s="62" t="e">
        <f>IF($J57=$A$145,0,VLOOKUP(CONCATENATE($J57,"-",$R69),$C$2:$G$136,5,FALSE))</f>
        <v>#N/A</v>
      </c>
    </row>
    <row r="70" spans="1:26" ht="15" hidden="1" customHeight="1" x14ac:dyDescent="0.2">
      <c r="A70"/>
      <c r="B70"/>
      <c r="C70"/>
      <c r="D70"/>
      <c r="E70"/>
      <c r="F70"/>
      <c r="G70"/>
      <c r="I70" t="str">
        <f t="shared" ca="1" si="3"/>
        <v/>
      </c>
      <c r="J70" s="697" t="s">
        <v>681</v>
      </c>
      <c r="K70" s="697"/>
      <c r="L70" s="697"/>
      <c r="M70" s="697"/>
      <c r="N70" s="697"/>
      <c r="O70" s="697"/>
      <c r="P70" s="697"/>
      <c r="Q70" s="697"/>
      <c r="R70" s="65" t="s">
        <v>682</v>
      </c>
      <c r="S70" s="66">
        <f ca="1">IF($J57=$A$145,0,ROUND((((1+S61+S62+S63)*(1+S64)*(1+S65)/(1-(S66+S67+S68)))-1),4))</f>
        <v>0</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67" t="str">
        <f ca="1">IF(U69&lt;&gt;"ok","X","")</f>
        <v/>
      </c>
      <c r="K72" s="698" t="str">
        <f ca="1">IF(U69&lt;&gt;"ok","Anexo: Relatório Técnico Circunstanciado justificando a adoção do percentual de cada parcela do BDI.","")</f>
        <v/>
      </c>
      <c r="L72" s="698"/>
      <c r="M72" s="698"/>
      <c r="N72" s="698"/>
      <c r="O72" s="698"/>
      <c r="P72" s="698"/>
      <c r="Q72" s="698"/>
      <c r="R72" s="698"/>
      <c r="S72" s="698"/>
    </row>
    <row r="73" spans="1:26" hidden="1" x14ac:dyDescent="0.2">
      <c r="A73"/>
      <c r="B73"/>
      <c r="C73"/>
      <c r="D73"/>
      <c r="E73"/>
      <c r="F73"/>
      <c r="G73"/>
      <c r="I73" t="str">
        <f t="shared" ca="1" si="3"/>
        <v/>
      </c>
    </row>
    <row r="74" spans="1:26" hidden="1" x14ac:dyDescent="0.2">
      <c r="A74"/>
      <c r="B74"/>
      <c r="C74"/>
      <c r="D74"/>
      <c r="E74"/>
      <c r="F74"/>
      <c r="G74"/>
      <c r="I74" t="str">
        <f t="shared" ca="1" si="3"/>
        <v/>
      </c>
      <c r="J74" s="699" t="s">
        <v>683</v>
      </c>
      <c r="K74" s="699"/>
      <c r="L74" s="699"/>
      <c r="M74" s="699"/>
      <c r="N74" s="699"/>
      <c r="O74" s="699"/>
      <c r="P74" s="699"/>
      <c r="Q74" s="699"/>
      <c r="R74" s="699"/>
      <c r="S74" s="699"/>
    </row>
    <row r="75" spans="1:26" ht="15.75" hidden="1" x14ac:dyDescent="0.25">
      <c r="A75"/>
      <c r="B75"/>
      <c r="C75"/>
      <c r="D75"/>
      <c r="E75"/>
      <c r="F75"/>
      <c r="G75"/>
      <c r="I75" t="str">
        <f t="shared" ca="1" si="3"/>
        <v/>
      </c>
      <c r="J75" s="68"/>
      <c r="K75" s="68"/>
      <c r="L75" s="68"/>
      <c r="M75" s="700" t="s">
        <v>684</v>
      </c>
      <c r="N75" s="706" t="str">
        <f>IF($J57=$A$146,"(1+K1+K2)*(1+K3)","(1+AC + S + R + G)*(1 + DF)*(1+L)")</f>
        <v>(1+AC + S + R + G)*(1 + DF)*(1+L)</v>
      </c>
      <c r="O75" s="706"/>
      <c r="P75" s="706"/>
      <c r="Q75" s="707" t="s">
        <v>685</v>
      </c>
      <c r="R75" s="68"/>
      <c r="S75" s="68"/>
    </row>
    <row r="76" spans="1:26" ht="15.75" hidden="1" x14ac:dyDescent="0.2">
      <c r="A76"/>
      <c r="B76"/>
      <c r="C76"/>
      <c r="D76"/>
      <c r="E76"/>
      <c r="F76"/>
      <c r="G76"/>
      <c r="I76" t="str">
        <f t="shared" ca="1" si="3"/>
        <v/>
      </c>
      <c r="J76" s="68"/>
      <c r="K76" s="68"/>
      <c r="L76" s="68"/>
      <c r="M76" s="700"/>
      <c r="N76" s="695" t="s">
        <v>686</v>
      </c>
      <c r="O76" s="695"/>
      <c r="P76" s="695"/>
      <c r="Q76" s="707"/>
      <c r="R76" s="68"/>
      <c r="S76" s="68"/>
    </row>
    <row r="77" spans="1:26" ht="15" hidden="1" customHeight="1" x14ac:dyDescent="0.2">
      <c r="A77"/>
      <c r="B77"/>
      <c r="C77"/>
      <c r="D77"/>
      <c r="E77"/>
      <c r="F77"/>
      <c r="G77"/>
      <c r="I77" t="str">
        <f t="shared" ca="1" si="3"/>
        <v/>
      </c>
      <c r="J77" s="68"/>
      <c r="K77" s="68"/>
      <c r="L77" s="68"/>
      <c r="M77" s="69"/>
      <c r="N77" s="71"/>
      <c r="O77" s="71"/>
      <c r="P77" s="71"/>
      <c r="Q77" s="70"/>
      <c r="R77" s="68"/>
      <c r="S77" s="68"/>
    </row>
    <row r="78" spans="1:26" ht="50.1" hidden="1" customHeight="1" x14ac:dyDescent="0.2">
      <c r="A78"/>
      <c r="B78"/>
      <c r="C78"/>
      <c r="D78"/>
      <c r="E78"/>
      <c r="F78"/>
      <c r="G78"/>
      <c r="I78" t="str">
        <f t="shared" ca="1" si="3"/>
        <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78" s="696"/>
      <c r="L78" s="696"/>
      <c r="M78" s="696"/>
      <c r="N78" s="696"/>
      <c r="O78" s="696"/>
      <c r="P78" s="696"/>
      <c r="Q78" s="696"/>
      <c r="R78" s="696"/>
      <c r="S78" s="696"/>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696"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96"/>
      <c r="L80" s="696"/>
      <c r="M80" s="696"/>
      <c r="N80" s="696"/>
      <c r="O80" s="696"/>
      <c r="P80" s="696"/>
      <c r="Q80" s="696"/>
      <c r="R80" s="696"/>
      <c r="S80" s="696"/>
    </row>
    <row r="81" spans="1:21" hidden="1" x14ac:dyDescent="0.2">
      <c r="A81"/>
      <c r="B81"/>
      <c r="C81"/>
      <c r="D81"/>
      <c r="E81"/>
      <c r="F81"/>
      <c r="G81"/>
      <c r="I81" t="str">
        <f t="shared" ca="1" si="3"/>
        <v/>
      </c>
    </row>
    <row r="82" spans="1:21" hidden="1" x14ac:dyDescent="0.2">
      <c r="A82"/>
      <c r="B82"/>
      <c r="C82"/>
      <c r="D82"/>
      <c r="E82"/>
      <c r="F82"/>
      <c r="G82"/>
      <c r="I82" t="str">
        <f t="shared" ca="1" si="3"/>
        <v/>
      </c>
      <c r="J82" s="49" t="s">
        <v>689</v>
      </c>
    </row>
    <row r="83" spans="1:21" ht="99.95" hidden="1" customHeight="1" x14ac:dyDescent="0.2">
      <c r="A83"/>
      <c r="B83"/>
      <c r="C83"/>
      <c r="D83"/>
      <c r="E83"/>
      <c r="F83"/>
      <c r="G83"/>
      <c r="I83" t="str">
        <f t="shared" ca="1" si="3"/>
        <v/>
      </c>
      <c r="J83" s="708"/>
      <c r="K83" s="708"/>
      <c r="L83" s="708"/>
      <c r="M83" s="708"/>
      <c r="N83" s="708"/>
      <c r="O83" s="708"/>
      <c r="P83" s="708"/>
      <c r="Q83" s="708"/>
      <c r="R83" s="708"/>
      <c r="S83" s="708"/>
    </row>
    <row r="84" spans="1:21" hidden="1" x14ac:dyDescent="0.2">
      <c r="A84"/>
      <c r="B84"/>
      <c r="C84"/>
      <c r="D84"/>
      <c r="E84"/>
      <c r="F84"/>
      <c r="G84"/>
      <c r="I84" t="str">
        <f t="shared" ca="1" si="3"/>
        <v/>
      </c>
    </row>
    <row r="85" spans="1:21" hidden="1" x14ac:dyDescent="0.2">
      <c r="A85"/>
      <c r="B85"/>
      <c r="C85"/>
      <c r="D85"/>
      <c r="E85"/>
      <c r="F85"/>
      <c r="G85"/>
      <c r="I85" t="str">
        <f t="shared" ca="1" si="3"/>
        <v/>
      </c>
      <c r="J85" s="702" t="str">
        <f>Import.Município</f>
        <v>PASSOS MG</v>
      </c>
      <c r="K85" s="702"/>
      <c r="L85" s="702"/>
      <c r="M85" s="702"/>
      <c r="P85" s="703">
        <f>DADOS!$C$25</f>
        <v>45945</v>
      </c>
      <c r="Q85" s="703"/>
      <c r="R85" s="703"/>
      <c r="S85" s="703"/>
    </row>
    <row r="86" spans="1:21" hidden="1" x14ac:dyDescent="0.2">
      <c r="A86"/>
      <c r="B86"/>
      <c r="C86"/>
      <c r="D86"/>
      <c r="E86"/>
      <c r="F86"/>
      <c r="G86"/>
      <c r="I86" t="str">
        <f t="shared" ca="1" si="3"/>
        <v/>
      </c>
      <c r="J86" s="704" t="s">
        <v>693</v>
      </c>
      <c r="K86" s="704"/>
      <c r="L86" s="704"/>
      <c r="M86" s="704"/>
      <c r="O86" s="73"/>
      <c r="P86" s="74" t="s">
        <v>694</v>
      </c>
      <c r="Q86" s="75"/>
      <c r="R86" s="75"/>
      <c r="S86" s="75"/>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705"/>
      <c r="K88" s="705"/>
      <c r="L88" s="705"/>
      <c r="M88" s="705"/>
      <c r="N88" s="76"/>
    </row>
    <row r="89" spans="1:21" hidden="1" x14ac:dyDescent="0.2">
      <c r="A89"/>
      <c r="B89"/>
      <c r="C89"/>
      <c r="D89"/>
      <c r="E89"/>
      <c r="F89"/>
      <c r="G89"/>
      <c r="I89" t="str">
        <f t="shared" ca="1" si="3"/>
        <v/>
      </c>
      <c r="J89" s="701" t="s">
        <v>696</v>
      </c>
      <c r="K89" s="701"/>
      <c r="L89" s="701"/>
      <c r="M89" s="701"/>
    </row>
    <row r="90" spans="1:21" ht="14.25" hidden="1" x14ac:dyDescent="0.2">
      <c r="A90"/>
      <c r="B90"/>
      <c r="C90"/>
      <c r="D90"/>
      <c r="E90"/>
      <c r="F90"/>
      <c r="G90"/>
      <c r="I90" t="str">
        <f t="shared" ca="1" si="3"/>
        <v/>
      </c>
      <c r="J90" s="77" t="s">
        <v>240</v>
      </c>
      <c r="K90" s="78" t="str">
        <f t="array" ref="K90:K92">Import.RespOrçamento</f>
        <v>Mateus Junior Rosa</v>
      </c>
      <c r="L90" s="79"/>
      <c r="M90" s="79"/>
      <c r="N90" s="76"/>
    </row>
    <row r="91" spans="1:21" ht="14.25" hidden="1" x14ac:dyDescent="0.2">
      <c r="A91"/>
      <c r="B91"/>
      <c r="C91"/>
      <c r="D91"/>
      <c r="E91"/>
      <c r="F91"/>
      <c r="G91"/>
      <c r="I91" t="str">
        <f t="shared" ca="1" si="3"/>
        <v/>
      </c>
      <c r="J91" s="77" t="s">
        <v>243</v>
      </c>
      <c r="K91" s="78" t="str">
        <v>386.526/D</v>
      </c>
      <c r="L91" s="79"/>
      <c r="M91" s="79"/>
      <c r="N91" s="76"/>
    </row>
    <row r="92" spans="1:21" ht="14.25" hidden="1" x14ac:dyDescent="0.2">
      <c r="A92"/>
      <c r="B92"/>
      <c r="C92"/>
      <c r="D92"/>
      <c r="E92"/>
      <c r="F92"/>
      <c r="G92"/>
      <c r="I92" t="str">
        <f t="shared" ca="1" si="3"/>
        <v/>
      </c>
      <c r="J92" s="77" t="s">
        <v>246</v>
      </c>
      <c r="K92" s="78">
        <v>0</v>
      </c>
      <c r="L92" s="79"/>
      <c r="M92" s="79"/>
      <c r="N92" s="76"/>
    </row>
    <row r="93" spans="1:21" ht="14.25" hidden="1" x14ac:dyDescent="0.2">
      <c r="A93"/>
      <c r="B93"/>
      <c r="C93"/>
      <c r="D93"/>
      <c r="E93"/>
      <c r="F93"/>
      <c r="G93"/>
      <c r="I93" t="str">
        <f t="shared" ca="1" si="3"/>
        <v/>
      </c>
      <c r="J93" s="77"/>
      <c r="K93" s="80"/>
      <c r="L93" s="79"/>
      <c r="M93" s="79"/>
      <c r="N93" s="76"/>
    </row>
    <row r="94" spans="1:21" ht="15.75" hidden="1" x14ac:dyDescent="0.25">
      <c r="A94"/>
      <c r="B94"/>
      <c r="C94"/>
      <c r="D94"/>
      <c r="E94"/>
      <c r="F94"/>
      <c r="G94"/>
      <c r="I94" t="str">
        <f ca="1">IF($S$109=0,"","F")</f>
        <v/>
      </c>
      <c r="J94" s="692" t="s">
        <v>698</v>
      </c>
      <c r="K94" s="692"/>
      <c r="L94" s="692"/>
      <c r="M94" s="692"/>
      <c r="N94" s="692"/>
      <c r="O94" s="692"/>
      <c r="P94" s="692"/>
      <c r="Q94" s="692"/>
      <c r="R94" s="692"/>
      <c r="S94" s="692"/>
      <c r="U94" s="521" t="str">
        <f>IF(COUNTIF(ORÇAMENTO!$V$15:$V$47,BDI_3.Título)=0,"",IF(OR(Import.BDI.Tipo3="(SELECIONAR)",Import.BDI.Tipo3="",U97&lt;&gt;"",AND($J97&lt;&gt;$A$145,OR(S101="",S102="",AND($J97&lt;&gt;$A$146,OR(S103="",S104="")),S105="",S106=""))),"Falta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83" t="s">
        <v>664</v>
      </c>
      <c r="K96" s="683"/>
      <c r="L96" s="683"/>
      <c r="M96" s="683"/>
      <c r="N96" s="683"/>
      <c r="O96" s="683"/>
      <c r="P96" s="683"/>
      <c r="Q96" s="683"/>
      <c r="R96" s="683"/>
      <c r="S96" s="683"/>
    </row>
    <row r="97" spans="1:26" ht="15" hidden="1" x14ac:dyDescent="0.25">
      <c r="A97"/>
      <c r="B97"/>
      <c r="C97"/>
      <c r="D97"/>
      <c r="E97"/>
      <c r="F97"/>
      <c r="G97"/>
      <c r="I97" t="str">
        <f t="shared" ca="1" si="6"/>
        <v/>
      </c>
      <c r="J97" s="689" t="s">
        <v>139</v>
      </c>
      <c r="K97" s="689"/>
      <c r="L97" s="689"/>
      <c r="M97" s="689"/>
      <c r="N97" s="689"/>
      <c r="O97" s="689"/>
      <c r="P97" s="689"/>
      <c r="Q97" s="689"/>
      <c r="R97" s="689"/>
      <c r="S97" s="689"/>
      <c r="T97" s="563" t="str">
        <f ca="1">IF(U97="","","◄")</f>
        <v/>
      </c>
      <c r="U97" s="562" t="str">
        <f ca="1">IF(AND(OR(S109&gt;0,COUNTIF(ORÇAMENTO!$V$15:$V$47,BDI_3.Título)&gt;0),OR(Import.BDI.Tipo3="(SELECIONAR)",Import.BDI.Tipo3="")),"Selecione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691" t="s">
        <v>666</v>
      </c>
      <c r="K99" s="691"/>
      <c r="L99" s="691"/>
      <c r="M99" s="691"/>
      <c r="N99" s="691"/>
      <c r="O99" s="691"/>
      <c r="P99" s="691"/>
      <c r="Q99" s="691"/>
      <c r="R99" s="691" t="s">
        <v>667</v>
      </c>
      <c r="S99" s="690" t="s">
        <v>668</v>
      </c>
      <c r="U99" s="690" t="s">
        <v>669</v>
      </c>
      <c r="V99" s="690"/>
      <c r="W99" s="690"/>
      <c r="X99" s="688" t="s">
        <v>670</v>
      </c>
      <c r="Y99" s="688" t="s">
        <v>671</v>
      </c>
      <c r="Z99" s="688" t="s">
        <v>672</v>
      </c>
    </row>
    <row r="100" spans="1:26" ht="12.75" hidden="1" customHeight="1" x14ac:dyDescent="0.2">
      <c r="A100"/>
      <c r="B100"/>
      <c r="C100"/>
      <c r="D100"/>
      <c r="E100"/>
      <c r="F100"/>
      <c r="G100"/>
      <c r="I100" t="str">
        <f t="shared" ca="1" si="6"/>
        <v/>
      </c>
      <c r="J100" s="691"/>
      <c r="K100" s="691"/>
      <c r="L100" s="691"/>
      <c r="M100" s="691"/>
      <c r="N100" s="691"/>
      <c r="O100" s="691"/>
      <c r="P100" s="691"/>
      <c r="Q100" s="691"/>
      <c r="R100" s="691"/>
      <c r="S100" s="690"/>
      <c r="U100" s="690"/>
      <c r="V100" s="690"/>
      <c r="W100" s="690"/>
      <c r="X100" s="688"/>
      <c r="Y100" s="688"/>
      <c r="Z100" s="688"/>
    </row>
    <row r="101" spans="1:26" ht="15" hidden="1" customHeight="1" x14ac:dyDescent="0.2">
      <c r="A101"/>
      <c r="B101"/>
      <c r="C101"/>
      <c r="D101"/>
      <c r="E101"/>
      <c r="F101"/>
      <c r="G101"/>
      <c r="I101" t="str">
        <f t="shared" ca="1" si="6"/>
        <v/>
      </c>
      <c r="J101" s="693" t="str">
        <f>IF($J$97=$A$146,"Encargos Sociais incidentes sobre a mão de obra","Administração Central")</f>
        <v>Administração Central</v>
      </c>
      <c r="K101" s="693"/>
      <c r="L101" s="693"/>
      <c r="M101" s="693"/>
      <c r="N101" s="693"/>
      <c r="O101" s="693"/>
      <c r="P101" s="693"/>
      <c r="Q101" s="693"/>
      <c r="R101" s="60" t="str">
        <f>IF($J97=$A$146,"K1","AC")</f>
        <v>AC</v>
      </c>
      <c r="S101" s="61"/>
      <c r="T101" s="572" t="str">
        <f ca="1">IF(AND($U$94&lt;&gt;"",$U$97="",R101&lt;&gt;"",S101=""),"◄","")</f>
        <v/>
      </c>
      <c r="U101" s="694" t="str">
        <f ca="1">IFERROR(IF(T101="◄","FALTA PREENCHER",IF(AND(OR(S101&gt;=X101,X101="-"),OR(S101&lt;=Z101,Z101="-")),"OK","FORA DO INTERVALO")),"-")</f>
        <v>-</v>
      </c>
      <c r="V101" s="694"/>
      <c r="W101" s="694"/>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693" t="str">
        <f>IF($J$97=$A$146,"Administração Central da empresa ou consultoria - overhead","Seguro e Garantia")</f>
        <v>Seguro e Garantia</v>
      </c>
      <c r="K102" s="693"/>
      <c r="L102" s="693"/>
      <c r="M102" s="693"/>
      <c r="N102" s="693"/>
      <c r="O102" s="693"/>
      <c r="P102" s="693"/>
      <c r="Q102" s="693"/>
      <c r="R102" s="60" t="str">
        <f>IF($J97=$A$146,"K2","SG")</f>
        <v>SG</v>
      </c>
      <c r="S102" s="61"/>
      <c r="T102" s="572" t="str">
        <f t="shared" ref="T102:T106" ca="1" si="7">IF(AND($U$94&lt;&gt;"",$U$97="",R102&lt;&gt;"",S102=""),"◄","")</f>
        <v/>
      </c>
      <c r="U102" s="694" t="str">
        <f t="shared" ref="U102:U108" ca="1" si="8">IFERROR(IF(T102="◄","FALTA PREENCHER",IF(AND(OR(S102&gt;=X102,X102="-"),OR(S102&lt;=Z102,Z102="-")),"OK","FORA DO INTERVALO")),"-")</f>
        <v>-</v>
      </c>
      <c r="V102" s="694"/>
      <c r="W102" s="694"/>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693" t="s">
        <v>942</v>
      </c>
      <c r="K103" s="693"/>
      <c r="L103" s="693"/>
      <c r="M103" s="693"/>
      <c r="N103" s="693"/>
      <c r="O103" s="693"/>
      <c r="P103" s="693"/>
      <c r="Q103" s="693"/>
      <c r="R103" s="60" t="str">
        <f>IF($J97=$A$146,"","R")</f>
        <v>R</v>
      </c>
      <c r="S103" s="61"/>
      <c r="T103" s="572" t="str">
        <f t="shared" ca="1" si="7"/>
        <v/>
      </c>
      <c r="U103" s="694" t="str">
        <f t="shared" ca="1" si="8"/>
        <v>-</v>
      </c>
      <c r="V103" s="694"/>
      <c r="W103" s="694"/>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693" t="s">
        <v>943</v>
      </c>
      <c r="K104" s="693"/>
      <c r="L104" s="693"/>
      <c r="M104" s="693"/>
      <c r="N104" s="693"/>
      <c r="O104" s="693"/>
      <c r="P104" s="693"/>
      <c r="Q104" s="693"/>
      <c r="R104" s="60" t="str">
        <f>IF($J97=$A$146,"","DF")</f>
        <v>DF</v>
      </c>
      <c r="S104" s="61"/>
      <c r="T104" s="572" t="str">
        <f t="shared" ca="1" si="7"/>
        <v/>
      </c>
      <c r="U104" s="694" t="str">
        <f t="shared" ca="1" si="8"/>
        <v>-</v>
      </c>
      <c r="V104" s="694"/>
      <c r="W104" s="694"/>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693" t="str">
        <f>IF($J$57=$A$146,"Margem bruta da empresa de consultoria","Lucro")</f>
        <v>Lucro</v>
      </c>
      <c r="K105" s="693"/>
      <c r="L105" s="693"/>
      <c r="M105" s="693"/>
      <c r="N105" s="693"/>
      <c r="O105" s="693"/>
      <c r="P105" s="693"/>
      <c r="Q105" s="693"/>
      <c r="R105" s="60" t="str">
        <f>IF($J97=$A$146,"K3","L")</f>
        <v>L</v>
      </c>
      <c r="S105" s="61"/>
      <c r="T105" s="572" t="str">
        <f t="shared" ca="1" si="7"/>
        <v/>
      </c>
      <c r="U105" s="694" t="str">
        <f t="shared" ca="1" si="8"/>
        <v>-</v>
      </c>
      <c r="V105" s="694"/>
      <c r="W105" s="694"/>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693" t="s">
        <v>675</v>
      </c>
      <c r="K106" s="693"/>
      <c r="L106" s="693"/>
      <c r="M106" s="693"/>
      <c r="N106" s="693"/>
      <c r="O106" s="693"/>
      <c r="P106" s="693"/>
      <c r="Q106" s="693"/>
      <c r="R106" s="60" t="s">
        <v>456</v>
      </c>
      <c r="S106" s="61"/>
      <c r="T106" s="572" t="str">
        <f t="shared" ca="1" si="7"/>
        <v/>
      </c>
      <c r="U106" s="694" t="str">
        <f t="shared" ca="1" si="8"/>
        <v>FORA DO INTERVALO</v>
      </c>
      <c r="V106" s="694"/>
      <c r="W106" s="694"/>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693" t="s">
        <v>676</v>
      </c>
      <c r="K107" s="693"/>
      <c r="L107" s="693"/>
      <c r="M107" s="693"/>
      <c r="N107" s="693"/>
      <c r="O107" s="693"/>
      <c r="P107" s="693"/>
      <c r="Q107" s="693"/>
      <c r="R107" s="60" t="s">
        <v>677</v>
      </c>
      <c r="S107" s="62">
        <f ca="1">IF(AND($J97&lt;&gt;$A$145,COUNTA(OFFSET(S100,1,0,6))&gt;0),$R$11*$R$10,0)</f>
        <v>0</v>
      </c>
      <c r="U107" s="694" t="str">
        <f t="shared" ca="1" si="8"/>
        <v>OK</v>
      </c>
      <c r="V107" s="694"/>
      <c r="W107" s="694"/>
      <c r="X107" s="62">
        <v>0</v>
      </c>
      <c r="Y107" s="62">
        <v>2.5000000000000001E-2</v>
      </c>
      <c r="Z107" s="62">
        <v>0.05</v>
      </c>
    </row>
    <row r="108" spans="1:26" ht="15" hidden="1" customHeight="1" x14ac:dyDescent="0.2">
      <c r="A108"/>
      <c r="B108"/>
      <c r="C108"/>
      <c r="D108"/>
      <c r="E108"/>
      <c r="F108"/>
      <c r="G108"/>
      <c r="I108" t="str">
        <f t="shared" ca="1" si="6"/>
        <v/>
      </c>
      <c r="J108" s="693" t="s">
        <v>678</v>
      </c>
      <c r="K108" s="693"/>
      <c r="L108" s="693"/>
      <c r="M108" s="693"/>
      <c r="N108" s="693"/>
      <c r="O108" s="693"/>
      <c r="P108" s="693"/>
      <c r="Q108" s="693"/>
      <c r="R108" s="60" t="s">
        <v>679</v>
      </c>
      <c r="S108" s="62" cm="1">
        <f t="array" aca="1" ref="S108" ca="1">IF(BDI.Opcao&lt;&gt;"Desonerado",0,IF(AND($J97&lt;&gt;$A$145,COUNTA(OFFSET(S100,1,0,6))&gt;0),IF(YEAR(Import.DataBase)&lt;2025,4.5%,IF(YEAR(Import.DataBase)=2025,3.6%,IF(YEAR(Import.DataBase)=2026,2.7%,IF(YEAR(Import.DataBase)=2027,1.8%,0%)))),0%))</f>
        <v>0</v>
      </c>
      <c r="U108" s="694" t="str">
        <f t="shared" ca="1" si="8"/>
        <v>OK</v>
      </c>
      <c r="V108" s="694"/>
      <c r="W108" s="694"/>
      <c r="X108" s="63">
        <f ca="1">$S108</f>
        <v>0</v>
      </c>
      <c r="Y108" s="63">
        <f ca="1">$S108</f>
        <v>0</v>
      </c>
      <c r="Z108" s="63">
        <f ca="1">$S108</f>
        <v>0</v>
      </c>
    </row>
    <row r="109" spans="1:26" ht="15" hidden="1" customHeight="1" x14ac:dyDescent="0.2">
      <c r="A109"/>
      <c r="B109"/>
      <c r="C109"/>
      <c r="D109"/>
      <c r="E109"/>
      <c r="F109"/>
      <c r="G109"/>
      <c r="I109" t="str">
        <f t="shared" ca="1" si="6"/>
        <v/>
      </c>
      <c r="J109" s="693" t="s">
        <v>680</v>
      </c>
      <c r="K109" s="693"/>
      <c r="L109" s="693"/>
      <c r="M109" s="693"/>
      <c r="N109" s="693"/>
      <c r="O109" s="693"/>
      <c r="P109" s="693"/>
      <c r="Q109" s="693"/>
      <c r="R109" s="64" t="s">
        <v>656</v>
      </c>
      <c r="S109" s="62">
        <f ca="1">IF($J97=$A$145,0,ROUND((((1+S101+S102+S103)*(1+S104)*(1+S105)/(1-(S106+S107)))-1),4))</f>
        <v>0</v>
      </c>
      <c r="U109" s="690" t="str">
        <f ca="1">IFERROR(IF(AND(OR(S109&gt;=X109,X109="-"),OR(S109&lt;=Z109,Z109="-")),"OK","FORA DO INTERVALO"),IF(S109=0,"OK","Selecione o Tipo de obra"))</f>
        <v>OK</v>
      </c>
      <c r="V109" s="690"/>
      <c r="W109" s="690"/>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697" t="s">
        <v>681</v>
      </c>
      <c r="K110" s="697"/>
      <c r="L110" s="697"/>
      <c r="M110" s="697"/>
      <c r="N110" s="697"/>
      <c r="O110" s="697"/>
      <c r="P110" s="697"/>
      <c r="Q110" s="697"/>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698" t="str">
        <f ca="1">IF(U109&lt;&gt;"ok","Anexo: Relatório Técnico Circunstanciado justificando a adoção do percentual de cada parcela do BDI.","")</f>
        <v/>
      </c>
      <c r="L112" s="698"/>
      <c r="M112" s="698"/>
      <c r="N112" s="698"/>
      <c r="O112" s="698"/>
      <c r="P112" s="698"/>
      <c r="Q112" s="698"/>
      <c r="R112" s="698"/>
      <c r="S112" s="698"/>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699" t="s">
        <v>683</v>
      </c>
      <c r="K114" s="699"/>
      <c r="L114" s="699"/>
      <c r="M114" s="699"/>
      <c r="N114" s="699"/>
      <c r="O114" s="699"/>
      <c r="P114" s="699"/>
      <c r="Q114" s="699"/>
      <c r="R114" s="699"/>
      <c r="S114" s="699"/>
    </row>
    <row r="115" spans="1:19" ht="15.75" hidden="1" x14ac:dyDescent="0.25">
      <c r="A115"/>
      <c r="B115"/>
      <c r="C115"/>
      <c r="D115"/>
      <c r="E115"/>
      <c r="F115"/>
      <c r="G115"/>
      <c r="I115" t="str">
        <f t="shared" ca="1" si="6"/>
        <v/>
      </c>
      <c r="J115" s="68"/>
      <c r="K115" s="68"/>
      <c r="L115" s="68"/>
      <c r="M115" s="700" t="s">
        <v>684</v>
      </c>
      <c r="N115" s="706" t="str">
        <f>IF($J97=$A$146,"(1+K1+K2)*(1+K3)","(1+AC + S + R + G)*(1 + DF)*(1+L)")</f>
        <v>(1+AC + S + R + G)*(1 + DF)*(1+L)</v>
      </c>
      <c r="O115" s="706"/>
      <c r="P115" s="706"/>
      <c r="Q115" s="707" t="s">
        <v>685</v>
      </c>
      <c r="R115" s="68"/>
      <c r="S115" s="68"/>
    </row>
    <row r="116" spans="1:19" ht="15.75" hidden="1" x14ac:dyDescent="0.2">
      <c r="A116"/>
      <c r="B116"/>
      <c r="C116"/>
      <c r="D116"/>
      <c r="E116"/>
      <c r="F116"/>
      <c r="G116"/>
      <c r="I116" t="str">
        <f t="shared" ca="1" si="6"/>
        <v/>
      </c>
      <c r="J116" s="68"/>
      <c r="K116" s="68"/>
      <c r="L116" s="68"/>
      <c r="M116" s="700"/>
      <c r="N116" s="695" t="s">
        <v>686</v>
      </c>
      <c r="O116" s="695"/>
      <c r="P116" s="695"/>
      <c r="Q116" s="707"/>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3%.</v>
      </c>
      <c r="K118" s="696"/>
      <c r="L118" s="696"/>
      <c r="M118" s="696"/>
      <c r="N118" s="696"/>
      <c r="O118" s="696"/>
      <c r="P118" s="696"/>
      <c r="Q118" s="696"/>
      <c r="R118" s="696"/>
      <c r="S118" s="696"/>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696"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96"/>
      <c r="L120" s="696"/>
      <c r="M120" s="696"/>
      <c r="N120" s="696"/>
      <c r="O120" s="696"/>
      <c r="P120" s="696"/>
      <c r="Q120" s="696"/>
      <c r="R120" s="696"/>
      <c r="S120" s="696"/>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08"/>
      <c r="K123" s="708"/>
      <c r="L123" s="708"/>
      <c r="M123" s="708"/>
      <c r="N123" s="708"/>
      <c r="O123" s="708"/>
      <c r="P123" s="708"/>
      <c r="Q123" s="708"/>
      <c r="R123" s="708"/>
      <c r="S123" s="708"/>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02" t="str">
        <f>Import.Município</f>
        <v>PASSOS MG</v>
      </c>
      <c r="K125" s="702"/>
      <c r="L125" s="702"/>
      <c r="M125" s="702"/>
      <c r="P125" s="703">
        <f>DADOS!$C$25</f>
        <v>45945</v>
      </c>
      <c r="Q125" s="703"/>
      <c r="R125" s="703"/>
      <c r="S125" s="703"/>
    </row>
    <row r="126" spans="1:19" hidden="1" x14ac:dyDescent="0.2">
      <c r="A126"/>
      <c r="B126"/>
      <c r="C126"/>
      <c r="D126"/>
      <c r="E126"/>
      <c r="F126"/>
      <c r="G126"/>
      <c r="I126" t="str">
        <f t="shared" ca="1" si="6"/>
        <v/>
      </c>
      <c r="J126" s="704" t="s">
        <v>693</v>
      </c>
      <c r="K126" s="704"/>
      <c r="L126" s="704"/>
      <c r="M126" s="704"/>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05"/>
      <c r="K128" s="705"/>
      <c r="L128" s="705"/>
      <c r="M128" s="705"/>
      <c r="N128" s="76"/>
    </row>
    <row r="129" spans="1:14" hidden="1" x14ac:dyDescent="0.2">
      <c r="A129"/>
      <c r="B129"/>
      <c r="C129"/>
      <c r="D129"/>
      <c r="E129"/>
      <c r="F129"/>
      <c r="G129"/>
      <c r="I129" t="str">
        <f t="shared" ca="1" si="6"/>
        <v/>
      </c>
      <c r="J129" s="701" t="s">
        <v>696</v>
      </c>
      <c r="K129" s="701"/>
      <c r="L129" s="701"/>
      <c r="M129" s="701"/>
    </row>
    <row r="130" spans="1:14" ht="14.25" hidden="1" x14ac:dyDescent="0.2">
      <c r="A130"/>
      <c r="B130"/>
      <c r="C130"/>
      <c r="D130"/>
      <c r="E130"/>
      <c r="F130"/>
      <c r="G130"/>
      <c r="I130" t="str">
        <f t="shared" ca="1" si="6"/>
        <v/>
      </c>
      <c r="J130" s="77" t="s">
        <v>240</v>
      </c>
      <c r="K130" s="78" t="str">
        <f t="array" ref="K130:K132">Import.RespOrçamento</f>
        <v>Mateus Junior Rosa</v>
      </c>
      <c r="L130" s="79"/>
      <c r="M130" s="79"/>
      <c r="N130" s="76"/>
    </row>
    <row r="131" spans="1:14" ht="14.25" hidden="1" x14ac:dyDescent="0.2">
      <c r="A131"/>
      <c r="B131"/>
      <c r="C131"/>
      <c r="D131"/>
      <c r="E131"/>
      <c r="F131"/>
      <c r="G131"/>
      <c r="I131" t="str">
        <f t="shared" ca="1" si="6"/>
        <v/>
      </c>
      <c r="J131" s="77" t="s">
        <v>243</v>
      </c>
      <c r="K131" s="78" t="str">
        <v>386.526/D</v>
      </c>
      <c r="L131" s="79"/>
      <c r="M131" s="79"/>
      <c r="N131" s="76"/>
    </row>
    <row r="132" spans="1:14" ht="14.25" hidden="1" x14ac:dyDescent="0.2">
      <c r="A132"/>
      <c r="B132"/>
      <c r="C132"/>
      <c r="D132"/>
      <c r="E132"/>
      <c r="F132"/>
      <c r="G132"/>
      <c r="I132" t="str">
        <f t="shared" ca="1" si="6"/>
        <v/>
      </c>
      <c r="J132" s="77" t="s">
        <v>246</v>
      </c>
      <c r="K132" s="78">
        <v>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74XOFNhp0NX38fF/7s1SwWbMPm7zY4amIC/wtswrF3FmeGGvO1yV4YJT63x4AKHFDRO4Q9LExHx0RnkDC1VKlg==" saltValue="SXuMSMNFUaODhEQzsUipZg==" spinCount="100000" sheet="1" objects="1" scenarios="1" autoFilter="0"/>
  <autoFilter ref="I11:I132" xr:uid="{00000000-0009-0000-0000-000003000000}">
    <filterColumn colId="0">
      <customFilters>
        <customFilter operator="notEqual" val=" "/>
      </custom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470" priority="11" stopIfTrue="1">
      <formula>DESONERACAO="não"</formula>
    </cfRule>
  </conditionalFormatting>
  <conditionalFormatting sqref="U69:W69 U29:W29 U109:W109">
    <cfRule type="expression" dxfId="469" priority="12" stopIfTrue="1">
      <formula>AND(U29&lt;&gt;"OK",U29&lt;&gt;"-",U29&lt;&gt;"")</formula>
    </cfRule>
    <cfRule type="cellIs" dxfId="468" priority="13" stopIfTrue="1" operator="equal">
      <formula>"OK"</formula>
    </cfRule>
  </conditionalFormatting>
  <conditionalFormatting sqref="S29 S69 S109">
    <cfRule type="expression" dxfId="467" priority="14" stopIfTrue="1">
      <formula>DESONERACAO="não"</formula>
    </cfRule>
  </conditionalFormatting>
  <conditionalFormatting sqref="J23:S24">
    <cfRule type="expression" dxfId="466" priority="9">
      <formula>$J$17=$A$146</formula>
    </cfRule>
  </conditionalFormatting>
  <conditionalFormatting sqref="S21:S26">
    <cfRule type="expression" dxfId="465" priority="8">
      <formula>$J$17=$A$145</formula>
    </cfRule>
  </conditionalFormatting>
  <conditionalFormatting sqref="J63:S64">
    <cfRule type="expression" dxfId="464" priority="7">
      <formula>$J$57=$A$146</formula>
    </cfRule>
  </conditionalFormatting>
  <conditionalFormatting sqref="S61:S66">
    <cfRule type="expression" dxfId="463" priority="6">
      <formula>$J$57=$A$145</formula>
    </cfRule>
  </conditionalFormatting>
  <conditionalFormatting sqref="J103:S104">
    <cfRule type="expression" dxfId="462" priority="5">
      <formula>$J$97=$A$146</formula>
    </cfRule>
  </conditionalFormatting>
  <conditionalFormatting sqref="S101:S106">
    <cfRule type="expression" dxfId="461" priority="4">
      <formula>$J$97=$A$145</formula>
    </cfRule>
  </conditionalFormatting>
  <conditionalFormatting sqref="U21:W28">
    <cfRule type="cellIs" dxfId="460" priority="3" operator="notEqual">
      <formula>"OK"</formula>
    </cfRule>
  </conditionalFormatting>
  <conditionalFormatting sqref="U61:W68">
    <cfRule type="cellIs" dxfId="459" priority="2" operator="notEqual">
      <formula>"OK"</formula>
    </cfRule>
  </conditionalFormatting>
  <conditionalFormatting sqref="U101:W108">
    <cfRule type="cellIs" dxfId="458"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77"/>
  <sheetViews>
    <sheetView showGridLines="0" topLeftCell="L7" zoomScale="90" zoomScaleNormal="90" zoomScaleSheetLayoutView="90" zoomScalePageLayoutView="60" workbookViewId="0">
      <selection activeCell="R18" sqref="R18"/>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62" t="s">
        <v>700</v>
      </c>
      <c r="E2" s="662" t="s">
        <v>701</v>
      </c>
      <c r="F2" s="662" t="s">
        <v>702</v>
      </c>
      <c r="G2" s="662" t="s">
        <v>703</v>
      </c>
      <c r="H2" s="662" t="s">
        <v>704</v>
      </c>
      <c r="I2" s="662"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7"/>
      <c r="E3" s="662" t="s">
        <v>750</v>
      </c>
      <c r="F3" s="662" t="s">
        <v>954</v>
      </c>
      <c r="G3" s="662" t="s">
        <v>955</v>
      </c>
      <c r="H3" s="662" t="s">
        <v>956</v>
      </c>
      <c r="I3" s="662" t="s">
        <v>957</v>
      </c>
      <c r="R3" s="86"/>
    </row>
    <row r="4" spans="1:40" x14ac:dyDescent="0.2">
      <c r="A4" s="660" t="s">
        <v>706</v>
      </c>
      <c r="D4" s="7"/>
      <c r="E4" s="7"/>
      <c r="F4" s="662" t="s">
        <v>663</v>
      </c>
      <c r="G4" s="662" t="s">
        <v>697</v>
      </c>
      <c r="H4" s="662" t="s">
        <v>698</v>
      </c>
      <c r="I4" s="663">
        <v>0</v>
      </c>
      <c r="O4" s="683" t="s">
        <v>650</v>
      </c>
      <c r="P4" s="683"/>
      <c r="Q4" s="87" t="s">
        <v>707</v>
      </c>
      <c r="R4" s="87" t="s">
        <v>652</v>
      </c>
      <c r="S4" s="683" t="s">
        <v>708</v>
      </c>
      <c r="T4" s="683"/>
      <c r="U4" s="683"/>
      <c r="V4" s="683"/>
      <c r="W4" s="683"/>
      <c r="X4" s="683"/>
      <c r="Y4" s="77"/>
      <c r="Z4" s="77"/>
      <c r="AA4" s="77"/>
      <c r="AB4" s="77"/>
    </row>
    <row r="5" spans="1:40" ht="12.75" customHeight="1" x14ac:dyDescent="0.2">
      <c r="A5" s="450">
        <f ca="1">MAX($C$15:$C$47)</f>
        <v>2</v>
      </c>
      <c r="B5" s="7"/>
      <c r="C5" s="7"/>
      <c r="D5" s="7"/>
      <c r="E5" s="7"/>
      <c r="F5" s="663">
        <f ca="1">IF(BDI.Opcao="DESONERADO",BDI!$S$30,BDI!$S$29)</f>
        <v>0.2475</v>
      </c>
      <c r="G5" s="663">
        <f ca="1">IF(BDI.Opcao="DESONERADO",BDI!$S$70,BDI!$S$69)</f>
        <v>0</v>
      </c>
      <c r="H5" s="663">
        <f ca="1">IF(BDI.Opcao="DESONERADO",BDI!$S$110,BDI!$S$109)</f>
        <v>0</v>
      </c>
      <c r="I5" s="7"/>
      <c r="O5" s="680">
        <f>Import.CR</f>
        <v>0</v>
      </c>
      <c r="P5" s="680"/>
      <c r="Q5" s="90" cm="1">
        <f t="array" ref="Q5">Import.TransfereGOV</f>
        <v>0</v>
      </c>
      <c r="R5" s="91" t="str">
        <f>Import.Proponente</f>
        <v>PRFEITURA MUNICIPAL DE PASSOS</v>
      </c>
      <c r="S5" s="680" t="str">
        <f>Import.Apelido</f>
        <v>PRAÇA SÃO FRANCISCO</v>
      </c>
      <c r="T5" s="680"/>
      <c r="U5" s="680"/>
      <c r="V5" s="680"/>
      <c r="W5" s="680"/>
      <c r="X5" s="680"/>
      <c r="Y5" s="92"/>
      <c r="Z5" s="92"/>
      <c r="AA5" s="92"/>
      <c r="AB5" s="92"/>
      <c r="AE5" s="720" t="s">
        <v>709</v>
      </c>
      <c r="AF5" s="720"/>
    </row>
    <row r="6" spans="1:40" ht="5.0999999999999996" customHeight="1" x14ac:dyDescent="0.2">
      <c r="A6" s="7"/>
      <c r="B6" s="7"/>
      <c r="C6" s="7"/>
      <c r="D6" s="7"/>
      <c r="E6" s="7"/>
      <c r="F6" s="7"/>
      <c r="G6" s="7"/>
      <c r="H6" s="664"/>
      <c r="I6" s="7"/>
      <c r="O6" s="93"/>
      <c r="P6" s="93"/>
      <c r="Q6" s="94"/>
      <c r="R6" s="94"/>
      <c r="S6" s="93"/>
      <c r="T6" s="93"/>
      <c r="U6" s="93"/>
      <c r="V6" s="93"/>
      <c r="W6" s="93"/>
      <c r="X6" s="93"/>
      <c r="Y6" s="92"/>
      <c r="Z6" s="92"/>
      <c r="AA6" s="92"/>
      <c r="AB6" s="92"/>
      <c r="AC6" s="95"/>
      <c r="AE6" s="88"/>
      <c r="AF6" s="89"/>
    </row>
    <row r="7" spans="1:40" ht="12.75" customHeight="1" x14ac:dyDescent="0.2">
      <c r="D7" s="7"/>
      <c r="E7" s="7"/>
      <c r="F7" s="662" t="s">
        <v>751</v>
      </c>
      <c r="G7" s="662" t="s">
        <v>958</v>
      </c>
      <c r="H7" s="662" t="s">
        <v>456</v>
      </c>
      <c r="I7" s="662" t="s">
        <v>794</v>
      </c>
      <c r="O7" s="683" t="s">
        <v>710</v>
      </c>
      <c r="P7" s="683"/>
      <c r="Q7" s="87" t="s">
        <v>711</v>
      </c>
      <c r="R7" s="87" t="str" cm="1">
        <f t="array" ref="R7">IF(TIPOORCAMENTO="Licitado","NOME DA EMPRESA","DESCRIÇÃO DO LOTE")</f>
        <v>DESCRIÇÃO DO LOTE</v>
      </c>
      <c r="S7" s="721" t="str" cm="1">
        <f t="array" ref="S7">IF(TIPOORCAMENTO="Licitado","REGIME DE EXECUÇÃO","MUNICÍPIO / UF")</f>
        <v>MUNICÍPIO / UF</v>
      </c>
      <c r="T7" s="721"/>
      <c r="U7" s="72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IF(COUNTIFS($L$15:$L$47,"F",$AC$15:$AC$47,"JUSTIFICAR BDI")&gt;0,"JUSTIFICAR BDI","")</f>
        <v/>
      </c>
      <c r="AE7" s="88" t="s">
        <v>712</v>
      </c>
      <c r="AF7" s="89" t="b">
        <v>1</v>
      </c>
      <c r="AJ7" s="724" t="s">
        <v>713</v>
      </c>
      <c r="AL7" s="722" t="s">
        <v>714</v>
      </c>
    </row>
    <row r="8" spans="1:40" ht="12.75" customHeight="1" x14ac:dyDescent="0.2">
      <c r="A8" s="7"/>
      <c r="B8" s="7"/>
      <c r="C8" s="7"/>
      <c r="E8" s="506" t="s">
        <v>996</v>
      </c>
      <c r="F8" s="718" t="str" cm="1">
        <f t="array" aca="1" ref="F8" ca="1">IF(LEN(INFO("release"))&gt;5,"'Referência "&amp;Excel_BuiltIn_Database&amp;".xlsm'#Banco.$a5:$a$65536","'[Referência "&amp;Excel_BuiltIn_Database&amp;".xlsm]Banco'!$a5:$a$65536")</f>
        <v>'[Referência 02-Sunday.xlsm]Banco'!$a5:$a$65536</v>
      </c>
      <c r="G8" s="718"/>
      <c r="H8" s="718"/>
      <c r="I8" s="718"/>
      <c r="J8" s="718"/>
      <c r="K8" s="718"/>
      <c r="L8" s="709" t="s">
        <v>655</v>
      </c>
      <c r="O8" s="680" t="str" cm="1">
        <f t="array" aca="1" ref="O8" ca="1">IF(ISERROR(INDIRECT($F$9)),"(N/D: 'Referência "&amp;Excel_BuiltIn_Database&amp;".xlsm)",INDIRECT($F$9))</f>
        <v>(N/D: 'Referência 02-Sunday.xlsm)</v>
      </c>
      <c r="P8" s="680"/>
      <c r="Q8" s="99" t="str" cm="1">
        <f t="array" aca="1" ref="Q8" ca="1">TEXT(Import.DataBase,"mm-aa")&amp;IF(DESONERACAO="Sim"," (DES.)"," (N DES.)")</f>
        <v>02-aa (DES.)</v>
      </c>
      <c r="R8" s="91" cm="1">
        <f t="array" ref="R8">IF(TIPOORCAMENTO="Licitado",Import.empresa,Import.DescLote)</f>
        <v>0</v>
      </c>
      <c r="S8" s="719" t="str" cm="1">
        <f t="array" ref="S8">IF(TIPOORCAMENTO="Licitado",Import.RegimeExecução,Import.Município)</f>
        <v>PASSOS MG</v>
      </c>
      <c r="T8" s="719"/>
      <c r="U8" s="719"/>
      <c r="V8" s="100" t="str" cm="1">
        <f t="array" aca="1" ref="V8" ca="1">IF(TIPOORCAMENTO="Licitado","",TEXT(F5,"0,00%"))</f>
        <v>025%</v>
      </c>
      <c r="W8" s="100" t="str" cm="1">
        <f t="array" aca="1" ref="W8" ca="1">IF(TIPOORCAMENTO="Licitado","",TEXT(G5,"0,00%"))</f>
        <v>000%</v>
      </c>
      <c r="X8" s="101" t="str" cm="1">
        <f t="array" aca="1" ref="X8" ca="1">IF(TIPOORCAMENTO="Licitado",Import.CTEF,TEXT(H5,"0,00%"))</f>
        <v>000%</v>
      </c>
      <c r="Y8" s="709" t="s">
        <v>715</v>
      </c>
      <c r="Z8" s="709" t="s">
        <v>716</v>
      </c>
      <c r="AA8" s="102"/>
      <c r="AB8" s="102"/>
      <c r="AE8" s="88" t="s">
        <v>717</v>
      </c>
      <c r="AF8" s="89" t="b">
        <v>1</v>
      </c>
      <c r="AJ8" s="724"/>
      <c r="AL8" s="722"/>
    </row>
    <row r="9" spans="1:40" ht="12.75" customHeight="1" x14ac:dyDescent="0.2">
      <c r="E9" s="506" t="s">
        <v>994</v>
      </c>
      <c r="F9" s="718" t="str" cm="1">
        <f t="array" aca="1" ref="F9" ca="1">IF(LEN(INFO("release"))&gt;5,"'Referência "&amp;Excel_BuiltIn_Database&amp;".xlsm'#Banco.$d$3","'[Referência "&amp;Excel_BuiltIn_Database&amp;".xlsm]Banco'!$d$3")</f>
        <v>'[Referência 02-Sunday.xlsm]Banco'!$d$3</v>
      </c>
      <c r="G9" s="718"/>
      <c r="H9" s="718"/>
      <c r="I9" s="718"/>
      <c r="J9" s="718"/>
      <c r="K9" s="718"/>
      <c r="L9" s="709"/>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09"/>
      <c r="Z9" s="709"/>
      <c r="AE9" s="88" t="s">
        <v>23</v>
      </c>
      <c r="AF9" s="89" t="b">
        <v>1</v>
      </c>
      <c r="AJ9" s="724"/>
      <c r="AL9" s="722"/>
    </row>
    <row r="10" spans="1:40" x14ac:dyDescent="0.2">
      <c r="E10" s="506" t="s">
        <v>995</v>
      </c>
      <c r="F10" s="718" t="str" cm="1">
        <f t="array" aca="1" ref="F10" ca="1">IF(LEN(INFO("release"))&gt;5,"'Referência "&amp;Excel_BuiltIn_Database&amp;".xlsm'#Banco.$B$3","'[Referência "&amp;Excel_BuiltIn_Database&amp;".xlsm]Banco'!$B$3")</f>
        <v>'[Referência 02-Sunday.xlsm]Banco'!$B$3</v>
      </c>
      <c r="G10" s="718"/>
      <c r="H10" s="718"/>
      <c r="I10" s="718"/>
      <c r="J10" s="718"/>
      <c r="K10" s="718"/>
      <c r="L10" s="709"/>
      <c r="Y10" s="709"/>
      <c r="Z10" s="709"/>
      <c r="AC10" s="103" t="s">
        <v>718</v>
      </c>
      <c r="AE10" s="88" t="s">
        <v>719</v>
      </c>
      <c r="AF10" s="89" t="b">
        <v>1</v>
      </c>
      <c r="AJ10" s="724"/>
      <c r="AL10" s="722"/>
    </row>
    <row r="11" spans="1:40" x14ac:dyDescent="0.2">
      <c r="F11" s="661" t="str" cm="1">
        <f t="array" aca="1" ref="F11" ca="1">IFERROR(INDIRECT(F10),"")</f>
        <v/>
      </c>
      <c r="G11" s="665" t="str" cm="1">
        <f t="array" aca="1" ref="G11" ca="1">IFERROR(TEXT(Import.DataBase,"mm/aaaa"),"")</f>
        <v>02/Sunday</v>
      </c>
      <c r="H11" s="104"/>
      <c r="L11" s="709"/>
      <c r="Y11" s="709"/>
      <c r="Z11" s="709"/>
      <c r="AC11" s="105" t="str">
        <f ca="1">IF(COUNTIFS($L$15:$L$47,"F",$AC$15:$AC$47,"&lt;&gt;"&amp;" ",$AC$15:$AC$47,"&lt;&gt;"&amp;"JUSTIFICAR BDI")&gt;0,"NÃO OK","OK")</f>
        <v>OK</v>
      </c>
      <c r="AE11" s="88" t="s">
        <v>720</v>
      </c>
      <c r="AF11" s="89" t="b">
        <v>1</v>
      </c>
      <c r="AJ11" s="724"/>
      <c r="AL11" s="722"/>
    </row>
    <row r="12" spans="1:40" ht="20.100000000000001" customHeight="1" x14ac:dyDescent="0.2">
      <c r="G12" s="85"/>
      <c r="H12" s="85"/>
      <c r="L12" s="709"/>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IF(COUNTIF($AC$15:$AC$47,"FONTE")&gt;0,"Falta preencher a Fonte (coluna P) na Linha "&amp;(14+MATCH("FONTE",$AC$15:$AC$47,0)),
 IF(COUNTIF($AC$15:$AC$47,"CÓDIGO")&gt;0,"Falta preencher o Código (coluna Q) na Linha "&amp;(14+MATCH("CÓDIGO",$AC$15:$AC$47,0)),
 IF(COUNTIF($AC$15:$AC$47,"CÓDIGO N/ID")&gt;0,"Código (coluna Q) não identificado na Linha "&amp;(14+MATCH("CÓDIGO N/ID",$AC$15:$AC$47,0))&amp;". Verifique se o código está correto ou busque outro código",
 IF(COUNTIF($AC$15:$AC$47,"DESCRIÇÃO")&gt;0,"Falta preencher a Descrição (coluna R) na Linha "&amp;(14+MATCH("DESCRIÇÃO",$AC$15:$AC$47,0)),
 IF(COUNTIF($AC$15:$AC$47,"UNIDADE")&gt;0,"Falta preencher a Unidade (coluna S) na Linha "&amp;(14+MATCH("UNIDADE",$AC$15:$AC$47,0)),
 IF(COUNTIF($AC$15:$AC$47,"SEM CUSTO")&gt;0,"Falta preencher o Custo Unitário (coluna U) na Linha "&amp;(14+MATCH("SEM CUSTO",$AC$15:$AC$47,0)),
 IF(COUNTIF($AC$15:$AC$47,"SEM PREÇO")&gt;0,"Falta preencher o Preço Unitário licitado (coluna AL) na Linha "&amp;(14+MATCH("SEM CUSTO",$AC$15:$AC$47,0)),
 IF(COUNTIF($AC$15:$AC$47,"BDI")&gt;0,"Falta definir o BDI (coluna V) na Linha "&amp;(14+MATCH("BDI",$AC$15:$AC$47,0)),
 IF(COUNTIF($AC$15:$AC$47,"ACIMA REF.")&gt;0,
         IF(TIPOORCAMENTO="Proposto","O custo unitário (coluna U) na Linha "&amp;(14+MATCH("ACIMA REF.",$AC$15:$AC$47,0))&amp;" está acima do custo referencial (coluna AG)",
            "O preço unitário licitado (coluna AL) na Linha "&amp;(14+MATCH("ACIMA REF.",$AC$15:$AC$47,0))&amp;" está acima do preço referencial do edital (coluna AN)"),
 IF(COUNTIF($AC$15:$AC$47,"QUANT.")&gt;0,"Falta a Quantidade do serviço na Linha "&amp;(14+MATCH("QUANT.",$AC$15:$AC$47,0))&amp;IF(ACOMPANHAMENTO="PLE",". Preencher na aba CÁLCULO",". Preencher na coluna AJ"),
 IF(COUNTIF($AC$15:$AC$47,"Código &gt;13")&gt;0,"O tamanho do código do serviço no TransfereGOV é limitado a 13 caracteres. Resuma o código (coluna Q) na Linha "&amp;(14+MATCH("Código &gt;13",$AC$15:$AC$47,0)),
 IF(COUNTIF($AC$15:$AC$47,"Descrição &gt;100")&gt;0,"O tamanho da descrição de macrosserviço no TransfereGOV é limitado a 100 caracteres. Resuma a descrição (coluna R) na Linha "&amp;(14+MATCH("Descrição &gt;100",$AC$15:$AC$47,0)),
 IF(COUNTIF($AC$15:$AC$47,"Descrição &gt;500")&gt;0,"O tamanho da descrição de serviço no TransfereGOV é limitado a 500 caracteres. Resuma a descrição (coluna R) na Linha "&amp;(14+MATCH("Descrição &gt;500",$AC$15:$AC$47,0)),
 IF(COUNTIF($AC$15:$AC$47,"Unid. Não Disp")&gt;0,"Unidade não disponível na lista do TransfereGOV. Reveja a unidade (coluna S) na Linha "&amp;(14+MATCH("Unid. Não Disp",$AC$15:$AC$47,0)),
 IF(AND(TIPOORCAMENTO="Proposto",LEFT($O$8,5)="(N/D:"),"Abra o arquivo Referência "&amp;Excel_BuiltIn_Database&amp;".xlsm","")))))))))))))))))</f>
        <v>Código (coluna Q) não identificado na Linha 18. Verifique se o código está correto ou busque outro código</v>
      </c>
      <c r="Y12" s="709"/>
      <c r="Z12" s="709"/>
      <c r="AA12" s="723" t="s">
        <v>721</v>
      </c>
      <c r="AB12" s="72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IF(OR($C14="S",$C14=0),0,MATCH(0,OFFSET($D14,1,$C14,ROW($C$47)-ROW($C14)),0))</f>
        <v>0</v>
      </c>
      <c r="K14">
        <f ca="1">IF(OR($C14="S",$C14=0),0,MATCH(OFFSET($D14,0,$C14)+IF($C14&lt;&gt;1,1,COUNTIF(QCI!$A$13:$A$24,ORÇAMENTO!E14)),OFFSET($D14,1,$C14,ROW($C$47)-ROW($C14)),0))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0.2475</v>
      </c>
      <c r="AJ14" s="431"/>
      <c r="AL14" s="439"/>
      <c r="AM14" s="336">
        <f t="shared" ref="AM14:AM46" ca="1" si="0">$X14</f>
        <v>0</v>
      </c>
      <c r="AN14" s="470" cm="1">
        <f t="array" aca="1" ref="AN14" ca="1">ROUND(ORÇAMENTO.CustoUnitario*(1+$AH14),2)</f>
        <v>0</v>
      </c>
    </row>
    <row r="15" spans="1:40" ht="12.75" customHeight="1" x14ac:dyDescent="0.2">
      <c r="A15">
        <v>0</v>
      </c>
      <c r="C15" t="s">
        <v>654</v>
      </c>
      <c r="D15">
        <f ca="1">COUNTA(OFFSET(D15,1,0):D$47)</f>
        <v>31</v>
      </c>
      <c r="E15">
        <v>0</v>
      </c>
      <c r="L15" s="114" t="s">
        <v>536</v>
      </c>
      <c r="M15" s="130" t="str" cm="1">
        <f t="array" ref="M15">IF(TIPOORCAMENTO="LICITADO","CTEF","LOTE")</f>
        <v>LOTE</v>
      </c>
      <c r="N15" s="130" t="str" cm="1">
        <f t="array" ref="N15">IF(TIPOORCAMENTO="LICITADO","CTEF","LOTE")</f>
        <v>LOTE</v>
      </c>
      <c r="O15" s="711">
        <f>Import.DescLote</f>
        <v>0</v>
      </c>
      <c r="P15" s="712"/>
      <c r="Q15" s="712"/>
      <c r="R15" s="712"/>
      <c r="S15" s="613"/>
      <c r="T15" s="614"/>
      <c r="U15" s="614"/>
      <c r="V15" s="615"/>
      <c r="W15" s="614"/>
      <c r="X15" s="131">
        <f ca="1">SUMIF(OFFSET($C15,1,0,ROW(X47)-ROW(X15)-1),"S",OFFSET(X15,1,0,ROW(X47)-ROW(X15)-1))</f>
        <v>0</v>
      </c>
      <c r="Y15" s="7"/>
      <c r="Z15" t="str">
        <f ca="1">IF(AND($C15="S",$X15&gt;0),LEFT($Y15,2),"")</f>
        <v/>
      </c>
      <c r="AA15" s="426">
        <f ca="1">SUMIF(OFFSET($C15,1,0,ROW(AA47)-ROW(AA15)-1),"S",OFFSET(AA15,1,0,ROW(AA47)-ROW(AA15)-1))</f>
        <v>0</v>
      </c>
      <c r="AB15" s="132">
        <f ca="1">SUMIF(OFFSET($C15,1,0,ROW(AB47)-ROW(AB15)-1),"S",OFFSET(AB15,1,0,ROW(AB47)-ROW(AB15)-1))</f>
        <v>0</v>
      </c>
      <c r="AC15" s="565" t="s">
        <v>752</v>
      </c>
      <c r="AG15" s="441"/>
      <c r="AH15" s="442"/>
      <c r="AJ15" s="430"/>
      <c r="AL15" s="440"/>
      <c r="AM15" s="471">
        <f t="shared" ca="1" si="0"/>
        <v>0</v>
      </c>
      <c r="AN15" s="472"/>
    </row>
    <row r="16" spans="1:40" x14ac:dyDescent="0.2">
      <c r="A16">
        <f t="shared" ref="A16:A44" si="1">CHOOSE(1+LOG(1+2*(ORÇAMENTO.Nivel="Meta")+4*(ORÇAMENTO.Nivel="Nível 2")+8*(ORÇAMENTO.Nivel="Nível 3")+16*(ORÇAMENTO.Nivel="Nível 4")+32*(ORÇAMENTO.Nivel="Serviço"),2),0,1,2,3,4,"S")</f>
        <v>1</v>
      </c>
      <c r="B16">
        <f t="shared" ref="B16:B44" ca="1" si="2">IF(OR(C16="s",C16=0),OFFSET(B16,-1,0),C16)</f>
        <v>1</v>
      </c>
      <c r="C16">
        <f t="shared" ref="C16:C44" ca="1" si="3">IF(OFFSET(C16,-1,0)="L",1,IF(OFFSET(C16,-1,0)=1,2,IF(OR(A16="s",A16=0),"S",IF(AND(OFFSET(C16,-1,0)=2,A16=4),3,IF(AND(OR(OFFSET(C16,-1,0)="s",OFFSET(C16,-1,0)=0),A16&lt;&gt;"s",A16&gt;OFFSET(B16,-1,0)),OFFSET(B16,-1,0),A16)))))</f>
        <v>1</v>
      </c>
      <c r="D16">
        <f t="shared" ref="D16:D44" ca="1" si="4">IF(OR(C16="S",C16=0),0,IF(ISERROR(K16),J16,SMALL(J16:K16,1)))</f>
        <v>31</v>
      </c>
      <c r="E16">
        <f ca="1">IF($C16=1,OFFSET(E16,-1,0)+MAX(1,COUNTIF(QCI!$A$13:$A$24,OFFSET(ORÇAMENTO!E16,-1,0))),OFFSET(E16,-1,0))</f>
        <v>1</v>
      </c>
      <c r="F16">
        <f t="shared" ref="F16:F44" ca="1" si="5">IF($C16=1,0,IF($C16=2,OFFSET(F16,-1,0)+1,OFFSET(F16,-1,0)))</f>
        <v>0</v>
      </c>
      <c r="G16">
        <f t="shared" ref="G16:G44" ca="1" si="6">IF(AND($C16&lt;=2,$C16&lt;&gt;0),0,IF($C16=3,OFFSET(G16,-1,0)+1,OFFSET(G16,-1,0)))</f>
        <v>0</v>
      </c>
      <c r="H16">
        <f t="shared" ref="H16:H44" ca="1" si="7">IF(AND($C16&lt;=3,$C16&lt;&gt;0),0,IF($C16=4,OFFSET(H16,-1,0)+1,OFFSET(H16,-1,0)))</f>
        <v>0</v>
      </c>
      <c r="I16">
        <f t="shared" ref="I16:I44" ca="1" si="8">IF(AND($C16&lt;=4,$C16&lt;&gt;0),0,IF(AND($C16="S",$X16&gt;0),OFFSET(I16,-1,0)+1,OFFSET(I16,-1,0)))</f>
        <v>0</v>
      </c>
      <c r="J16">
        <f t="shared" ref="J16:J44" ca="1" si="9">IF(OR($C16="S",$C16=0),0,MATCH(0,OFFSET($D16,1,$C16,ROW($C$47)-ROW($C16)),0))</f>
        <v>31</v>
      </c>
      <c r="K16" t="e">
        <f ca="1">IF(OR($C16="S",$C16=0),0,MATCH(OFFSET($D16,0,$C16)+IF($C16&lt;&gt;1,1,COUNTIF(QCI!$A$13:$A$24,ORÇAMENTO!E16)),OFFSET($D16,1,$C16,ROW($C$47)-ROW($C16)),0))</f>
        <v>#N/A</v>
      </c>
      <c r="L16" s="114" t="str">
        <f t="shared" ref="L16:L44" ca="1" si="10">IF(OR($X16&gt;0,$C16=1,$C16=2,$C16=3,$C16=4),"F","")</f>
        <v>F</v>
      </c>
      <c r="M16" s="115" t="s">
        <v>701</v>
      </c>
      <c r="N16" s="116" t="str">
        <f t="shared" ref="N16:N44" ca="1" si="11">CHOOSE(1+LOG(1+2*(C16=1)+4*(C16=2)+8*(C16=3)+16*(C16=4)+32*(C16="S"),2),"","Meta","Nível 2","Nível 3","Nível 4","Serviço")</f>
        <v>Meta</v>
      </c>
      <c r="O16" s="117" t="str">
        <f t="shared" ref="O16:O44" ca="1" si="12">IF(OR($C16=0,$L16=""),"-",CONCATENATE(E16&amp;".",IF(AND($A$5&gt;=2,$C16&gt;=2),F16&amp;".",""),IF(AND($A$5&gt;=3,$C16&gt;=3),G16&amp;".",""),IF(AND($A$5&gt;=4,$C16&gt;=4),H16&amp;".",""),IF($C16="S",I16&amp;".","")))</f>
        <v>1.</v>
      </c>
      <c r="P16" s="118" t="s">
        <v>750</v>
      </c>
      <c r="Q16" s="119"/>
      <c r="R16" s="120" t="s">
        <v>1014</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0</v>
      </c>
      <c r="Y16" s="126" t="s">
        <v>751</v>
      </c>
      <c r="Z16" t="str">
        <f t="shared" ref="Z16:Z44" ca="1" si="13">IF(AND($C16="S",$X16&gt;0),IF(ISBLANK($Y16),"RA",LEFT($Y16,2)),"")</f>
        <v/>
      </c>
      <c r="AA16" s="127" cm="1">
        <f t="array" aca="1" ref="AA16" ca="1">IF($C16="S",IF($Z16="CP",$X16,IF($Z16="RA",(($X16)*QCI!$AA$3),0)),SomaAgrup)</f>
        <v>0</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44" ca="1" si="14">ROUND(IF(ISNUMBER(ORÇAMENTO.OpcaoBDI),ORÇAMENTO.OpcaoBDI,IF(LEFT(ORÇAMENTO.OpcaoBDI,3)="BDI",HLOOKUP(ORÇAMENTO.OpcaoBDI,$F$4:$H$5,2,FALSE),0)),15-11*$AF$9)</f>
        <v>0.2475</v>
      </c>
      <c r="AJ16" s="431"/>
      <c r="AL16" s="439"/>
      <c r="AM16" s="336">
        <f t="shared" ca="1" si="0"/>
        <v>0</v>
      </c>
      <c r="AN16" s="470" cm="1">
        <f t="array" aca="1" ref="AN16" ca="1">ROUND(ORÇAMENTO.CustoUnitario*(1+$AH16),2)</f>
        <v>0</v>
      </c>
    </row>
    <row r="17" spans="1:40" x14ac:dyDescent="0.2">
      <c r="A17">
        <f t="shared" si="1"/>
        <v>2</v>
      </c>
      <c r="B17">
        <f t="shared" ca="1" si="2"/>
        <v>2</v>
      </c>
      <c r="C17">
        <f t="shared" ca="1" si="3"/>
        <v>2</v>
      </c>
      <c r="D17">
        <f t="shared" ca="1" si="4"/>
        <v>2</v>
      </c>
      <c r="E17">
        <f ca="1">IF($C17=1,OFFSET(E17,-1,0)+MAX(1,COUNTIF(QCI!$A$13:$A$24,OFFSET(ORÇAMENTO!E17,-1,0))),OFFSET(E17,-1,0))</f>
        <v>1</v>
      </c>
      <c r="F17">
        <f t="shared" ca="1" si="5"/>
        <v>1</v>
      </c>
      <c r="G17">
        <f t="shared" ca="1" si="6"/>
        <v>0</v>
      </c>
      <c r="H17">
        <f t="shared" ca="1" si="7"/>
        <v>0</v>
      </c>
      <c r="I17">
        <f t="shared" ca="1" si="8"/>
        <v>0</v>
      </c>
      <c r="J17">
        <f t="shared" ca="1" si="9"/>
        <v>30</v>
      </c>
      <c r="K17">
        <f ca="1">IF(OR($C17="S",$C17=0),0,MATCH(OFFSET($D17,0,$C17)+IF($C17&lt;&gt;1,1,COUNTIF(QCI!$A$13:$A$24,ORÇAMENTO!E17)),OFFSET($D17,1,$C17,ROW($C$47)-ROW($C17)),0))</f>
        <v>2</v>
      </c>
      <c r="L17" s="114" t="str">
        <f t="shared" ca="1" si="10"/>
        <v>F</v>
      </c>
      <c r="M17" s="115" t="s">
        <v>702</v>
      </c>
      <c r="N17" s="116" t="str">
        <f t="shared" ca="1" si="11"/>
        <v>Nível 2</v>
      </c>
      <c r="O17" s="117" t="str">
        <f t="shared" ca="1" si="12"/>
        <v>1.1.</v>
      </c>
      <c r="P17" s="118" t="s">
        <v>750</v>
      </c>
      <c r="Q17" s="119"/>
      <c r="R17" s="120" t="s">
        <v>1015</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0</v>
      </c>
      <c r="Y17" s="126" t="s">
        <v>751</v>
      </c>
      <c r="Z17" t="str">
        <f t="shared" ca="1" si="13"/>
        <v/>
      </c>
      <c r="AA17" s="127" cm="1">
        <f t="array" aca="1" ref="AA17" ca="1">IF($C17="S",IF($Z17="CP",$X17,IF($Z17="RA",(($X17)*QCI!$AA$3),0)),SomaAgrup)</f>
        <v>0</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0.2475</v>
      </c>
      <c r="AJ17" s="431"/>
      <c r="AL17" s="439"/>
      <c r="AM17" s="336">
        <f t="shared" ca="1" si="0"/>
        <v>0</v>
      </c>
      <c r="AN17" s="470" cm="1">
        <f t="array" aca="1" ref="AN17" ca="1">ROUND(ORÇAMENTO.CustoUnitario*(1+$AH17),2)</f>
        <v>0</v>
      </c>
    </row>
    <row r="18" spans="1:40" ht="76.5" x14ac:dyDescent="0.2">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0</v>
      </c>
      <c r="J18">
        <f t="shared" ca="1" si="9"/>
        <v>0</v>
      </c>
      <c r="K18">
        <f ca="1">IF(OR($C18="S",$C18=0),0,MATCH(OFFSET($D18,0,$C18)+IF($C18&lt;&gt;1,1,COUNTIF(QCI!$A$13:$A$24,ORÇAMENTO!E18)),OFFSET($D18,1,$C18,ROW($C$47)-ROW($C18)),0))</f>
        <v>0</v>
      </c>
      <c r="L18" s="114" t="str">
        <f t="shared" ca="1" si="10"/>
        <v/>
      </c>
      <c r="M18" s="115" t="s">
        <v>705</v>
      </c>
      <c r="N18" s="116" t="str">
        <f t="shared" ca="1" si="11"/>
        <v>Serviço</v>
      </c>
      <c r="O18" s="117" t="str">
        <f t="shared" ca="1" si="12"/>
        <v>-</v>
      </c>
      <c r="P18" s="118" t="s">
        <v>1009</v>
      </c>
      <c r="Q18" s="119" t="s">
        <v>1010</v>
      </c>
      <c r="R18" s="120" t="str" cm="1">
        <f t="array" aca="1" ref="R18" ca="1">IF($C18="S",REFERENCIA.Descricao,"(digite a descrição aqui)")</f>
        <v>(Código não identificado nas referências)</v>
      </c>
      <c r="S18" s="121" t="str" cm="1">
        <f t="array" aca="1" ref="S18" ca="1">REFERENCIA.Unidade</f>
        <v>-</v>
      </c>
      <c r="T18" s="122">
        <f ca="1">OFFSET(CÁLCULO!H$15,ROW($T18)-ROW(T$15),0)</f>
        <v>1.5</v>
      </c>
      <c r="U18" s="123">
        <f ca="1">AG18</f>
        <v>0</v>
      </c>
      <c r="V18" s="124" t="s">
        <v>663</v>
      </c>
      <c r="W18" s="122" cm="1">
        <f t="array" aca="1" ref="W18"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0</v>
      </c>
      <c r="Y18" s="126" t="s">
        <v>751</v>
      </c>
      <c r="Z18" t="str">
        <f t="shared" ca="1" si="13"/>
        <v/>
      </c>
      <c r="AA18" s="127" cm="1">
        <f t="array" aca="1" ref="AA18" ca="1">IF($C18="S",IF($Z18="CP",$X18,IF($Z18="RA",(($X18)*QCI!$AA$3),0)),SomaAgrup)</f>
        <v>0</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CÓDIGO N/ID</v>
      </c>
      <c r="AD18" t="str">
        <f ca="1">IF(C18&lt;=CRONO.NivelExibicao,MAX($AD$15:OFFSET(AD18,-1,0))+IF($C18&lt;&gt;1,1,MAX(1,COUNTIF(QCI!$A$13:$A$24,OFFSET($E18,-1,0)))),"")</f>
        <v/>
      </c>
      <c r="AE18" s="7" t="str" cm="1">
        <f t="array" aca="1" ref="AE18" ca="1">IF(AND($C18="S",ORÇAMENTO.CodBarra&lt;&gt;""),IF(ORÇAMENTO.Fonte="",ORÇAMENTO.CodBarra,CONCATENATE(ORÇAMENTO.Fonte," ",ORÇAMENTO.CodBarra)))</f>
        <v>SICOR ED-16660</v>
      </c>
      <c r="AF18" s="12" t="str"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(Código não identificado nas referências)</v>
      </c>
      <c r="AG18" s="428" cm="1">
        <f t="array" aca="1" ref="AG18" ca="1">ROUND(IF(DESONERACAO="sim",REFERENCIA.Desonerado,REFERENCIA.NaoDesonerado),2)</f>
        <v>0</v>
      </c>
      <c r="AH18" s="429">
        <f t="shared" ca="1" si="14"/>
        <v>0.2475</v>
      </c>
      <c r="AJ18" s="431">
        <f>1*1.5</f>
        <v>1.5</v>
      </c>
      <c r="AL18" s="439"/>
      <c r="AM18" s="336">
        <f t="shared" ca="1" si="0"/>
        <v>0</v>
      </c>
      <c r="AN18" s="470" cm="1">
        <f t="array" aca="1" ref="AN18" ca="1">ROUND(ORÇAMENTO.CustoUnitario*(1+$AH18),2)</f>
        <v>0</v>
      </c>
    </row>
    <row r="19" spans="1:40" x14ac:dyDescent="0.2">
      <c r="A19">
        <f>CHOOSE(1+LOG(1+2*(ORÇAMENTO.Nivel="Meta")+4*(ORÇAMENTO.Nivel="Nível 2")+8*(ORÇAMENTO.Nivel="Nível 3")+16*(ORÇAMENTO.Nivel="Nível 4")+32*(ORÇAMENTO.Nivel="Serviço"),2),0,1,2,3,4,"S")</f>
        <v>2</v>
      </c>
      <c r="B19">
        <f ca="1">IF(OR(C19="s",C19=0),OFFSET(B19,-1,0),C19)</f>
        <v>2</v>
      </c>
      <c r="C19">
        <f ca="1">IF(OFFSET(C19,-1,0)="L",1,IF(OFFSET(C19,-1,0)=1,2,IF(OR(A19="s",A19=0),"S",IF(AND(OFFSET(C19,-1,0)=2,A19=4),3,IF(AND(OR(OFFSET(C19,-1,0)="s",OFFSET(C19,-1,0)=0),A19&lt;&gt;"s",A19&gt;OFFSET(B19,-1,0)),OFFSET(B19,-1,0),A19)))))</f>
        <v>2</v>
      </c>
      <c r="D19">
        <f ca="1">IF(OR(C19="S",C19=0),0,IF(ISERROR(K19),J19,SMALL(J19:K19,1)))</f>
        <v>6</v>
      </c>
      <c r="E19">
        <f ca="1">IF($C19=1,OFFSET(E19,-1,0)+MAX(1,COUNTIF(QCI!$A$13:$A$24,OFFSET(ORÇAMENTO!E19,-1,0))),OFFSET(E19,-1,0))</f>
        <v>1</v>
      </c>
      <c r="F19">
        <f ca="1">IF($C19=1,0,IF($C19=2,OFFSET(F19,-1,0)+1,OFFSET(F19,-1,0)))</f>
        <v>2</v>
      </c>
      <c r="G19">
        <f ca="1">IF(AND($C19&lt;=2,$C19&lt;&gt;0),0,IF($C19=3,OFFSET(G19,-1,0)+1,OFFSET(G19,-1,0)))</f>
        <v>0</v>
      </c>
      <c r="H19">
        <f ca="1">IF(AND($C19&lt;=3,$C19&lt;&gt;0),0,IF($C19=4,OFFSET(H19,-1,0)+1,OFFSET(H19,-1,0)))</f>
        <v>0</v>
      </c>
      <c r="I19">
        <f ca="1">IF(AND($C19&lt;=4,$C19&lt;&gt;0),0,IF(AND($C19="S",$X19&gt;0),OFFSET(I19,-1,0)+1,OFFSET(I19,-1,0)))</f>
        <v>0</v>
      </c>
      <c r="J19">
        <f ca="1">IF(OR($C19="S",$C19=0),0,MATCH(0,OFFSET($D19,1,$C19,ROW($C$47)-ROW($C19)),0))</f>
        <v>28</v>
      </c>
      <c r="K19">
        <f ca="1">IF(OR($C19="S",$C19=0),0,MATCH(OFFSET($D19,0,$C19)+IF($C19&lt;&gt;1,1,COUNTIF(QCI!$A$13:$A$24,ORÇAMENTO!E19)),OFFSET($D19,1,$C19,ROW($C$47)-ROW($C19)),0))</f>
        <v>6</v>
      </c>
      <c r="L19" s="114" t="str">
        <f ca="1">IF(OR($X19&gt;0,$C19=1,$C19=2,$C19=3,$C19=4),"F","")</f>
        <v>F</v>
      </c>
      <c r="M19" s="115" t="s">
        <v>702</v>
      </c>
      <c r="N19" s="116" t="str">
        <f ca="1">CHOOSE(1+LOG(1+2*(C19=1)+4*(C19=2)+8*(C19=3)+16*(C19=4)+32*(C19="S"),2),"","Meta","Nível 2","Nível 3","Nível 4","Serviço")</f>
        <v>Nível 2</v>
      </c>
      <c r="O19" s="117" t="str">
        <f ca="1">IF(OR($C19=0,$L19=""),"-",CONCATENATE(E19&amp;".",IF(AND($A$5&gt;=2,$C19&gt;=2),F19&amp;".",""),IF(AND($A$5&gt;=3,$C19&gt;=3),G19&amp;".",""),IF(AND($A$5&gt;=4,$C19&gt;=4),H19&amp;".",""),IF($C19="S",I19&amp;".","")))</f>
        <v>1.2.</v>
      </c>
      <c r="P19" s="118" t="s">
        <v>750</v>
      </c>
      <c r="Q19" s="119"/>
      <c r="R19" s="120" t="s">
        <v>1016</v>
      </c>
      <c r="S19" s="121" t="str" cm="1">
        <f t="array" aca="1" ref="S19" ca="1">REFERENCIA.Unidade</f>
        <v>-</v>
      </c>
      <c r="T19" s="122">
        <f ca="1">OFFSET(CÁLCULO!H$15,ROW($T19)-ROW(T$15),0)</f>
        <v>0</v>
      </c>
      <c r="U19" s="123"/>
      <c r="V19" s="124" t="s">
        <v>663</v>
      </c>
      <c r="W19" s="122" cm="1">
        <f t="array" aca="1" ref="W19" ca="1">IF($C19="S",ROUND(IF(TIPOORCAMENTO="Proposto",ORÇAMENTO.CustoUnitario*(1+$AH19),ORÇAMENTO.PrecoUnitarioLicitado),15-13*$AF$10),0)</f>
        <v>0</v>
      </c>
      <c r="X19" s="125" cm="1">
        <f t="array" aca="1" ref="X19" ca="1">IF($C19="S",IF(OR(Import.TipoArredondamento&lt;&gt;"TransfereGOV",ACOMPANHAMENTO="BM"),VTOTAL1,SUM(OFFSET(CÁLCULO!$AA$15,ROW($X19)-ROW($X$15),1):OFFSET(CÁLCULO!$AL$15,ROW($X19)-ROW($X$15),-1))),IF($C19=0,0,ROUND(SomaAgrup,15-13*$AF$11)))</f>
        <v>0</v>
      </c>
      <c r="Y19" s="126" t="s">
        <v>751</v>
      </c>
      <c r="Z19" t="str">
        <f ca="1">IF(AND($C19="S",$X19&gt;0),IF(ISBLANK($Y19),"RA",LEFT($Y19,2)),"")</f>
        <v/>
      </c>
      <c r="AA19" s="127" cm="1">
        <f t="array" aca="1" ref="AA19" ca="1">IF($C19="S",IF($Z19="CP",$X19,IF($Z19="RA",(($X19)*QCI!$AA$3),0)),SomaAgrup)</f>
        <v>0</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IF(C19&lt;=CRONO.NivelExibicao,MAX($AD$15:OFFSET(AD19,-1,0))+IF($C19&lt;&gt;1,1,MAX(1,COUNTIF(QCI!$A$13:$A$24,OFFSET($E19,-1,0)))),"")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8" cm="1">
        <f t="array" aca="1" ref="AG19" ca="1">ROUND(IF(DESONERACAO="sim",REFERENCIA.Desonerado,REFERENCIA.NaoDesonerado),2)</f>
        <v>0</v>
      </c>
      <c r="AH19" s="429">
        <f ca="1">ROUND(IF(ISNUMBER(ORÇAMENTO.OpcaoBDI),ORÇAMENTO.OpcaoBDI,IF(LEFT(ORÇAMENTO.OpcaoBDI,3)="BDI",HLOOKUP(ORÇAMENTO.OpcaoBDI,$F$4:$H$5,2,FALSE),0)),15-11*$AF$9)</f>
        <v>0.2475</v>
      </c>
      <c r="AJ19" s="431"/>
      <c r="AL19" s="439"/>
      <c r="AM19" s="336">
        <f t="shared" ca="1" si="0"/>
        <v>0</v>
      </c>
      <c r="AN19" s="470" cm="1">
        <f t="array" aca="1" ref="AN19" ca="1">ROUND(ORÇAMENTO.CustoUnitario*(1+$AH19),2)</f>
        <v>0</v>
      </c>
    </row>
    <row r="20" spans="1:40" ht="89.25" x14ac:dyDescent="0.2">
      <c r="A20" t="str">
        <f t="shared" si="1"/>
        <v>S</v>
      </c>
      <c r="B20">
        <f t="shared" ca="1" si="2"/>
        <v>2</v>
      </c>
      <c r="C20" t="str">
        <f t="shared" ca="1" si="3"/>
        <v>S</v>
      </c>
      <c r="D20">
        <f t="shared" ca="1" si="4"/>
        <v>0</v>
      </c>
      <c r="E20">
        <f ca="1">IF($C20=1,OFFSET(E20,-1,0)+MAX(1,COUNTIF(QCI!$A$13:$A$24,OFFSET(ORÇAMENTO!E20,-1,0))),OFFSET(E20,-1,0))</f>
        <v>1</v>
      </c>
      <c r="F20">
        <f t="shared" ca="1" si="5"/>
        <v>2</v>
      </c>
      <c r="G20">
        <f t="shared" ca="1" si="6"/>
        <v>0</v>
      </c>
      <c r="H20">
        <f t="shared" ca="1" si="7"/>
        <v>0</v>
      </c>
      <c r="I20">
        <f t="shared" ca="1" si="8"/>
        <v>0</v>
      </c>
      <c r="J20">
        <f t="shared" ca="1" si="9"/>
        <v>0</v>
      </c>
      <c r="K20">
        <f ca="1">IF(OR($C20="S",$C20=0),0,MATCH(OFFSET($D20,0,$C20)+IF($C20&lt;&gt;1,1,COUNTIF(QCI!$A$13:$A$24,ORÇAMENTO!E20)),OFFSET($D20,1,$C20,ROW($C$47)-ROW($C20)),0))</f>
        <v>0</v>
      </c>
      <c r="L20" s="114" t="str">
        <f t="shared" ca="1" si="10"/>
        <v/>
      </c>
      <c r="M20" s="115" t="s">
        <v>705</v>
      </c>
      <c r="N20" s="116" t="str">
        <f t="shared" ca="1" si="11"/>
        <v>Serviço</v>
      </c>
      <c r="O20" s="117" t="str">
        <f t="shared" ca="1" si="12"/>
        <v>-</v>
      </c>
      <c r="P20" s="118" t="s">
        <v>1009</v>
      </c>
      <c r="Q20" s="119" t="s">
        <v>1011</v>
      </c>
      <c r="R20" s="120" t="str" cm="1">
        <f t="array" aca="1" ref="R20" ca="1">IF($C20="S",REFERENCIA.Descricao,"(digite a descrição aqui)")</f>
        <v>(Código não identificado nas referências)</v>
      </c>
      <c r="S20" s="121" t="str" cm="1">
        <f t="array" aca="1" ref="S20" ca="1">REFERENCIA.Unidade</f>
        <v>-</v>
      </c>
      <c r="T20" s="122">
        <f ca="1">OFFSET(CÁLCULO!H$15,ROW($T20)-ROW(T$15),0)</f>
        <v>3</v>
      </c>
      <c r="U20" s="123">
        <f t="shared" ref="U20:U24" ca="1" si="15">AG20</f>
        <v>0</v>
      </c>
      <c r="V20" s="124" t="s">
        <v>663</v>
      </c>
      <c r="W20" s="122" cm="1">
        <f t="array" aca="1" ref="W20" ca="1">IF($C20="S",ROUND(IF(TIPOORCAMENTO="Proposto",ORÇAMENTO.CustoUnitario*(1+$AH20),ORÇAMENTO.PrecoUnitarioLicitado),15-13*$AF$10),0)</f>
        <v>0</v>
      </c>
      <c r="X20" s="125" cm="1">
        <f t="array" aca="1" ref="X20" ca="1">IF($C20="S",IF(OR(Import.TipoArredondamento&lt;&gt;"TransfereGOV",ACOMPANHAMENTO="BM"),VTOTAL1,SUM(OFFSET(CÁLCULO!$AA$15,ROW($X20)-ROW($X$15),1):OFFSET(CÁLCULO!$AL$15,ROW($X20)-ROW($X$15),-1))),IF($C20=0,0,ROUND(SomaAgrup,15-13*$AF$11)))</f>
        <v>0</v>
      </c>
      <c r="Y20" s="126" t="s">
        <v>751</v>
      </c>
      <c r="Z20" t="str">
        <f t="shared" ca="1" si="13"/>
        <v/>
      </c>
      <c r="AA20" s="127" cm="1">
        <f t="array" aca="1" ref="AA20" ca="1">IF($C20="S",IF($Z20="CP",$X20,IF($Z20="RA",(($X20)*QCI!$AA$3),0)),SomaAgrup)</f>
        <v>0</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CÓDIGO N/ID</v>
      </c>
      <c r="AD20" t="str">
        <f ca="1">IF(C20&lt;=CRONO.NivelExibicao,MAX($AD$15:OFFSET(AD20,-1,0))+IF($C20&lt;&gt;1,1,MAX(1,COUNTIF(QCI!$A$13:$A$24,OFFSET($E20,-1,0)))),"")</f>
        <v/>
      </c>
      <c r="AE20" s="7" t="str" cm="1">
        <f t="array" aca="1" ref="AE20" ca="1">IF(AND($C20="S",ORÇAMENTO.CodBarra&lt;&gt;""),IF(ORÇAMENTO.Fonte="",ORÇAMENTO.CodBarra,CONCATENATE(ORÇAMENTO.Fonte," ",ORÇAMENTO.CodBarra)))</f>
        <v>SICOR ED-16350</v>
      </c>
      <c r="AF20" s="12" t="str"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(Código não identificado nas referências)</v>
      </c>
      <c r="AG20" s="428" cm="1">
        <f t="array" aca="1" ref="AG20" ca="1">ROUND(IF(DESONERACAO="sim",REFERENCIA.Desonerado,REFERENCIA.NaoDesonerado),2)</f>
        <v>0</v>
      </c>
      <c r="AH20" s="429">
        <f t="shared" ca="1" si="14"/>
        <v>0.2475</v>
      </c>
      <c r="AJ20" s="431">
        <v>3</v>
      </c>
      <c r="AL20" s="439"/>
      <c r="AM20" s="336">
        <f t="shared" ca="1" si="0"/>
        <v>0</v>
      </c>
      <c r="AN20" s="470" cm="1">
        <f t="array" aca="1" ref="AN20" ca="1">ROUND(ORÇAMENTO.CustoUnitario*(1+$AH20),2)</f>
        <v>0</v>
      </c>
    </row>
    <row r="21" spans="1:40" ht="25.5" x14ac:dyDescent="0.2">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0</v>
      </c>
      <c r="J21">
        <f t="shared" ca="1" si="9"/>
        <v>0</v>
      </c>
      <c r="K21">
        <f ca="1">IF(OR($C21="S",$C21=0),0,MATCH(OFFSET($D21,0,$C21)+IF($C21&lt;&gt;1,1,COUNTIF(QCI!$A$13:$A$24,ORÇAMENTO!E21)),OFFSET($D21,1,$C21,ROW($C$47)-ROW($C21)),0))</f>
        <v>0</v>
      </c>
      <c r="L21" s="114" t="str">
        <f t="shared" ca="1" si="10"/>
        <v/>
      </c>
      <c r="M21" s="115" t="s">
        <v>705</v>
      </c>
      <c r="N21" s="116" t="str">
        <f t="shared" ca="1" si="11"/>
        <v>Serviço</v>
      </c>
      <c r="O21" s="117" t="str">
        <f t="shared" ca="1" si="12"/>
        <v>-</v>
      </c>
      <c r="P21" s="118" t="s">
        <v>1009</v>
      </c>
      <c r="Q21" s="119" t="s">
        <v>1017</v>
      </c>
      <c r="R21" s="120" t="str" cm="1">
        <f t="array" aca="1" ref="R21" ca="1">IF($C21="S",REFERENCIA.Descricao,"(digite a descrição aqui)")</f>
        <v>(Código não identificado nas referências)</v>
      </c>
      <c r="S21" s="121" t="str" cm="1">
        <f t="array" aca="1" ref="S21" ca="1">REFERENCIA.Unidade</f>
        <v>-</v>
      </c>
      <c r="T21" s="122">
        <f ca="1">OFFSET(CÁLCULO!H$15,ROW($T21)-ROW(T$15),0)</f>
        <v>1</v>
      </c>
      <c r="U21" s="123">
        <f t="shared" ca="1" si="15"/>
        <v>0</v>
      </c>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0</v>
      </c>
      <c r="Y21" s="126" t="s">
        <v>751</v>
      </c>
      <c r="Z21" t="str">
        <f t="shared" ca="1" si="13"/>
        <v/>
      </c>
      <c r="AA21" s="127" cm="1">
        <f t="array" aca="1" ref="AA21" ca="1">IF($C21="S",IF($Z21="CP",$X21,IF($Z21="RA",(($X21)*QCI!$AA$3),0)),SomaAgrup)</f>
        <v>0</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CÓDIGO N/ID</v>
      </c>
      <c r="AD21" t="str">
        <f ca="1">IF(C21&lt;=CRONO.NivelExibicao,MAX($AD$15:OFFSET(AD21,-1,0))+IF($C21&lt;&gt;1,1,MAX(1,COUNTIF(QCI!$A$13:$A$24,OFFSET($E21,-1,0)))),"")</f>
        <v/>
      </c>
      <c r="AE21" s="7" t="str" cm="1">
        <f t="array" aca="1" ref="AE21" ca="1">IF(AND($C21="S",ORÇAMENTO.CodBarra&lt;&gt;""),IF(ORÇAMENTO.Fonte="",ORÇAMENTO.CodBarra,CONCATENATE(ORÇAMENTO.Fonte," ",ORÇAMENTO.CodBarra)))</f>
        <v>SICOR ED-16358</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(Código não identificado nas referências)</v>
      </c>
      <c r="AG21" s="428" cm="1">
        <f t="array" aca="1" ref="AG21" ca="1">ROUND(IF(DESONERACAO="sim",REFERENCIA.Desonerado,REFERENCIA.NaoDesonerado),2)</f>
        <v>0</v>
      </c>
      <c r="AH21" s="429">
        <f t="shared" ca="1" si="14"/>
        <v>0.2475</v>
      </c>
      <c r="AJ21" s="431">
        <v>1</v>
      </c>
      <c r="AL21" s="439"/>
      <c r="AM21" s="336">
        <f t="shared" ca="1" si="0"/>
        <v>0</v>
      </c>
      <c r="AN21" s="470" cm="1">
        <f t="array" aca="1" ref="AN21" ca="1">ROUND(ORÇAMENTO.CustoUnitario*(1+$AH21),2)</f>
        <v>0</v>
      </c>
    </row>
    <row r="22" spans="1:40" ht="102" x14ac:dyDescent="0.2">
      <c r="A22" t="str">
        <f>CHOOSE(1+LOG(1+2*(ORÇAMENTO.Nivel="Meta")+4*(ORÇAMENTO.Nivel="Nível 2")+8*(ORÇAMENTO.Nivel="Nível 3")+16*(ORÇAMENTO.Nivel="Nível 4")+32*(ORÇAMENTO.Nivel="Serviço"),2),0,1,2,3,4,"S")</f>
        <v>S</v>
      </c>
      <c r="B22">
        <f ca="1">IF(OR(C22="s",C22=0),OFFSET(B22,-1,0),C22)</f>
        <v>2</v>
      </c>
      <c r="C22" t="str">
        <f ca="1">IF(OFFSET(C22,-1,0)="L",1,IF(OFFSET(C22,-1,0)=1,2,IF(OR(A22="s",A22=0),"S",IF(AND(OFFSET(C22,-1,0)=2,A22=4),3,IF(AND(OR(OFFSET(C22,-1,0)="s",OFFSET(C22,-1,0)=0),A22&lt;&gt;"s",A22&gt;OFFSET(B22,-1,0)),OFFSET(B22,-1,0),A22)))))</f>
        <v>S</v>
      </c>
      <c r="D22">
        <f ca="1">IF(OR(C22="S",C22=0),0,IF(ISERROR(K22),J22,SMALL(J22:K22,1)))</f>
        <v>0</v>
      </c>
      <c r="E22">
        <f ca="1">IF($C22=1,OFFSET(E22,-1,0)+MAX(1,COUNTIF(QCI!$A$13:$A$24,OFFSET(ORÇAMENTO!E22,-1,0))),OFFSET(E22,-1,0))</f>
        <v>1</v>
      </c>
      <c r="F22">
        <f ca="1">IF($C22=1,0,IF($C22=2,OFFSET(F22,-1,0)+1,OFFSET(F22,-1,0)))</f>
        <v>2</v>
      </c>
      <c r="G22">
        <f ca="1">IF(AND($C22&lt;=2,$C22&lt;&gt;0),0,IF($C22=3,OFFSET(G22,-1,0)+1,OFFSET(G22,-1,0)))</f>
        <v>0</v>
      </c>
      <c r="H22">
        <f ca="1">IF(AND($C22&lt;=3,$C22&lt;&gt;0),0,IF($C22=4,OFFSET(H22,-1,0)+1,OFFSET(H22,-1,0)))</f>
        <v>0</v>
      </c>
      <c r="I22">
        <f ca="1">IF(AND($C22&lt;=4,$C22&lt;&gt;0),0,IF(AND($C22="S",$X22&gt;0),OFFSET(I22,-1,0)+1,OFFSET(I22,-1,0)))</f>
        <v>0</v>
      </c>
      <c r="J22">
        <f t="shared" ca="1" si="9"/>
        <v>0</v>
      </c>
      <c r="K22">
        <f ca="1">IF(OR($C22="S",$C22=0),0,MATCH(OFFSET($D22,0,$C22)+IF($C22&lt;&gt;1,1,COUNTIF(QCI!$A$13:$A$24,ORÇAMENTO!E22)),OFFSET($D22,1,$C22,ROW($C$47)-ROW($C22)),0))</f>
        <v>0</v>
      </c>
      <c r="L22" s="114" t="str">
        <f ca="1">IF(OR($X22&gt;0,$C22=1,$C22=2,$C22=3,$C22=4),"F","")</f>
        <v/>
      </c>
      <c r="M22" s="115" t="s">
        <v>705</v>
      </c>
      <c r="N22" s="116" t="str">
        <f ca="1">CHOOSE(1+LOG(1+2*(C22=1)+4*(C22=2)+8*(C22=3)+16*(C22=4)+32*(C22="S"),2),"","Meta","Nível 2","Nível 3","Nível 4","Serviço")</f>
        <v>Serviço</v>
      </c>
      <c r="O22" s="117" t="str">
        <f ca="1">IF(OR($C22=0,$L22=""),"-",CONCATENATE(E22&amp;".",IF(AND($A$5&gt;=2,$C22&gt;=2),F22&amp;".",""),IF(AND($A$5&gt;=3,$C22&gt;=3),G22&amp;".",""),IF(AND($A$5&gt;=4,$C22&gt;=4),H22&amp;".",""),IF($C22="S",I22&amp;".","")))</f>
        <v>-</v>
      </c>
      <c r="P22" s="118" t="s">
        <v>1009</v>
      </c>
      <c r="Q22" s="119" t="s">
        <v>1018</v>
      </c>
      <c r="R22" s="120" t="str" cm="1">
        <f t="array" aca="1" ref="R22" ca="1">IF($C22="S",REFERENCIA.Descricao,"(digite a descrição aqui)")</f>
        <v>(Código não identificado nas referências)</v>
      </c>
      <c r="S22" s="121" t="str" cm="1">
        <f t="array" aca="1" ref="S22" ca="1">REFERENCIA.Unidade</f>
        <v>-</v>
      </c>
      <c r="T22" s="122">
        <f ca="1">OFFSET(CÁLCULO!H$15,ROW($T22)-ROW(T$15),0)</f>
        <v>3</v>
      </c>
      <c r="U22" s="123">
        <f t="shared" ca="1" si="15"/>
        <v>0</v>
      </c>
      <c r="V22" s="124" t="s">
        <v>663</v>
      </c>
      <c r="W22" s="122" cm="1">
        <f t="array" aca="1" ref="W22" ca="1">IF($C22="S",ROUND(IF(TIPOORCAMENTO="Proposto",ORÇAMENTO.CustoUnitario*(1+$AH22),ORÇAMENTO.PrecoUnitarioLicitado),15-13*$AF$10),0)</f>
        <v>0</v>
      </c>
      <c r="X22" s="125" cm="1">
        <f t="array" aca="1" ref="X22" ca="1">IF($C22="S",IF(OR(Import.TipoArredondamento&lt;&gt;"TransfereGOV",ACOMPANHAMENTO="BM"),VTOTAL1,SUM(OFFSET(CÁLCULO!$AA$15,ROW($X22)-ROW($X$15),1):OFFSET(CÁLCULO!$AL$15,ROW($X22)-ROW($X$15),-1))),IF($C22=0,0,ROUND(SomaAgrup,15-13*$AF$11)))</f>
        <v>0</v>
      </c>
      <c r="Y22" s="126" t="s">
        <v>751</v>
      </c>
      <c r="Z22" t="str">
        <f ca="1">IF(AND($C22="S",$X22&gt;0),IF(ISBLANK($Y22),"RA",LEFT($Y22,2)),"")</f>
        <v/>
      </c>
      <c r="AA22" s="127" cm="1">
        <f t="array" aca="1" ref="AA22" ca="1">IF($C22="S",IF($Z22="CP",$X22,IF($Z22="RA",(($X22)*QCI!$AA$3),0)),SomaAgrup)</f>
        <v>0</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CÓDIGO N/ID</v>
      </c>
      <c r="AD22" t="str">
        <f ca="1">IF(C22&lt;=CRONO.NivelExibicao,MAX($AD$15:OFFSET(AD22,-1,0))+IF($C22&lt;&gt;1,1,MAX(1,COUNTIF(QCI!$A$13:$A$24,OFFSET($E22,-1,0)))),"")</f>
        <v/>
      </c>
      <c r="AE22" s="7" t="str" cm="1">
        <f t="array" aca="1" ref="AE22" ca="1">IF(AND($C22="S",ORÇAMENTO.CodBarra&lt;&gt;""),IF(ORÇAMENTO.Fonte="",ORÇAMENTO.CodBarra,CONCATENATE(ORÇAMENTO.Fonte," ",ORÇAMENTO.CodBarra)))</f>
        <v>SICOR ED-16353</v>
      </c>
      <c r="AF22" s="12" t="str"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(Código não identificado nas referências)</v>
      </c>
      <c r="AG22" s="428" cm="1">
        <f t="array" aca="1" ref="AG22" ca="1">ROUND(IF(DESONERACAO="sim",REFERENCIA.Desonerado,REFERENCIA.NaoDesonerado),2)</f>
        <v>0</v>
      </c>
      <c r="AH22" s="429">
        <f ca="1">ROUND(IF(ISNUMBER(ORÇAMENTO.OpcaoBDI),ORÇAMENTO.OpcaoBDI,IF(LEFT(ORÇAMENTO.OpcaoBDI,3)="BDI",HLOOKUP(ORÇAMENTO.OpcaoBDI,$F$4:$H$5,2,FALSE),0)),15-11*$AF$9)</f>
        <v>0.2475</v>
      </c>
      <c r="AJ22" s="431">
        <v>3</v>
      </c>
      <c r="AL22" s="439"/>
      <c r="AM22" s="336">
        <f t="shared" ca="1" si="0"/>
        <v>0</v>
      </c>
      <c r="AN22" s="470" cm="1">
        <f t="array" aca="1" ref="AN22" ca="1">ROUND(ORÇAMENTO.CustoUnitario*(1+$AH22),2)</f>
        <v>0</v>
      </c>
    </row>
    <row r="23" spans="1:40" ht="25.5" x14ac:dyDescent="0.2">
      <c r="A23" t="str">
        <f>CHOOSE(1+LOG(1+2*(ORÇAMENTO.Nivel="Meta")+4*(ORÇAMENTO.Nivel="Nível 2")+8*(ORÇAMENTO.Nivel="Nível 3")+16*(ORÇAMENTO.Nivel="Nível 4")+32*(ORÇAMENTO.Nivel="Serviço"),2),0,1,2,3,4,"S")</f>
        <v>S</v>
      </c>
      <c r="B23">
        <f t="shared" ref="B23:B24" ca="1" si="16">IF(OR(C23="s",C23=0),OFFSET(B23,-1,0),C23)</f>
        <v>2</v>
      </c>
      <c r="C23" t="str">
        <f t="shared" ref="C23:C24" ca="1" si="17">IF(OFFSET(C23,-1,0)="L",1,IF(OFFSET(C23,-1,0)=1,2,IF(OR(A23="s",A23=0),"S",IF(AND(OFFSET(C23,-1,0)=2,A23=4),3,IF(AND(OR(OFFSET(C23,-1,0)="s",OFFSET(C23,-1,0)=0),A23&lt;&gt;"s",A23&gt;OFFSET(B23,-1,0)),OFFSET(B23,-1,0),A23)))))</f>
        <v>S</v>
      </c>
      <c r="D23">
        <f t="shared" ref="D23:D24" ca="1" si="18">IF(OR(C23="S",C23=0),0,IF(ISERROR(K23),J23,SMALL(J23:K23,1)))</f>
        <v>0</v>
      </c>
      <c r="E23">
        <f ca="1">IF($C23=1,OFFSET(E23,-1,0)+MAX(1,COUNTIF(QCI!$A$13:$A$24,OFFSET(ORÇAMENTO!E23,-1,0))),OFFSET(E23,-1,0))</f>
        <v>1</v>
      </c>
      <c r="F23">
        <f t="shared" ref="F23:F24" ca="1" si="19">IF($C23=1,0,IF($C23=2,OFFSET(F23,-1,0)+1,OFFSET(F23,-1,0)))</f>
        <v>2</v>
      </c>
      <c r="G23">
        <f t="shared" ref="G23:G24" ca="1" si="20">IF(AND($C23&lt;=2,$C23&lt;&gt;0),0,IF($C23=3,OFFSET(G23,-1,0)+1,OFFSET(G23,-1,0)))</f>
        <v>0</v>
      </c>
      <c r="H23">
        <f t="shared" ref="H23:H24" ca="1" si="21">IF(AND($C23&lt;=3,$C23&lt;&gt;0),0,IF($C23=4,OFFSET(H23,-1,0)+1,OFFSET(H23,-1,0)))</f>
        <v>0</v>
      </c>
      <c r="I23">
        <f t="shared" ref="I23:I24" ca="1" si="22">IF(AND($C23&lt;=4,$C23&lt;&gt;0),0,IF(AND($C23="S",$X23&gt;0),OFFSET(I23,-1,0)+1,OFFSET(I23,-1,0)))</f>
        <v>0</v>
      </c>
      <c r="J23">
        <f t="shared" ca="1" si="9"/>
        <v>0</v>
      </c>
      <c r="K23">
        <f ca="1">IF(OR($C23="S",$C23=0),0,MATCH(OFFSET($D23,0,$C23)+IF($C23&lt;&gt;1,1,COUNTIF(QCI!$A$13:$A$24,ORÇAMENTO!E23)),OFFSET($D23,1,$C23,ROW($C$47)-ROW($C23)),0))</f>
        <v>0</v>
      </c>
      <c r="L23" s="114" t="str">
        <f t="shared" ref="L23:L24" ca="1" si="23">IF(OR($X23&gt;0,$C23=1,$C23=2,$C23=3,$C23=4),"F","")</f>
        <v/>
      </c>
      <c r="M23" s="115" t="s">
        <v>705</v>
      </c>
      <c r="N23" s="116" t="str">
        <f t="shared" ref="N23:N24" ca="1" si="24">CHOOSE(1+LOG(1+2*(C23=1)+4*(C23=2)+8*(C23=3)+16*(C23=4)+32*(C23="S"),2),"","Meta","Nível 2","Nível 3","Nível 4","Serviço")</f>
        <v>Serviço</v>
      </c>
      <c r="O23" s="117" t="str">
        <f t="shared" ref="O23:O24" ca="1" si="25">IF(OR($C23=0,$L23=""),"-",CONCATENATE(E23&amp;".",IF(AND($A$5&gt;=2,$C23&gt;=2),F23&amp;".",""),IF(AND($A$5&gt;=3,$C23&gt;=3),G23&amp;".",""),IF(AND($A$5&gt;=4,$C23&gt;=4),H23&amp;".",""),IF($C23="S",I23&amp;".","")))</f>
        <v>-</v>
      </c>
      <c r="P23" s="118" t="s">
        <v>1009</v>
      </c>
      <c r="Q23" s="119" t="s">
        <v>1019</v>
      </c>
      <c r="R23" s="120" t="str" cm="1">
        <f t="array" aca="1" ref="R23" ca="1">IF($C23="S",REFERENCIA.Descricao,"(digite a descrição aqui)")</f>
        <v>(Código não identificado nas referências)</v>
      </c>
      <c r="S23" s="121" t="str" cm="1">
        <f t="array" aca="1" ref="S23" ca="1">REFERENCIA.Unidade</f>
        <v>-</v>
      </c>
      <c r="T23" s="122">
        <f ca="1">OFFSET(CÁLCULO!H$15,ROW($T23)-ROW(T$15),0)</f>
        <v>1</v>
      </c>
      <c r="U23" s="123">
        <f t="shared" ca="1" si="15"/>
        <v>0</v>
      </c>
      <c r="V23" s="124" t="s">
        <v>663</v>
      </c>
      <c r="W23" s="122" cm="1">
        <f t="array" aca="1" ref="W23" ca="1">IF($C23="S",ROUND(IF(TIPOORCAMENTO="Proposto",ORÇAMENTO.CustoUnitario*(1+$AH23),ORÇAMENTO.PrecoUnitarioLicitado),15-13*$AF$10),0)</f>
        <v>0</v>
      </c>
      <c r="X23" s="125" cm="1">
        <f t="array" aca="1" ref="X23" ca="1">IF($C23="S",IF(OR(Import.TipoArredondamento&lt;&gt;"TransfereGOV",ACOMPANHAMENTO="BM"),VTOTAL1,SUM(OFFSET(CÁLCULO!$AA$15,ROW($X23)-ROW($X$15),1):OFFSET(CÁLCULO!$AL$15,ROW($X23)-ROW($X$15),-1))),IF($C23=0,0,ROUND(SomaAgrup,15-13*$AF$11)))</f>
        <v>0</v>
      </c>
      <c r="Y23" s="126" t="s">
        <v>751</v>
      </c>
      <c r="Z23" t="str">
        <f t="shared" ref="Z23:Z24" ca="1" si="26">IF(AND($C23="S",$X23&gt;0),IF(ISBLANK($Y23),"RA",LEFT($Y23,2)),"")</f>
        <v/>
      </c>
      <c r="AA23" s="127" cm="1">
        <f t="array" aca="1" ref="AA23" ca="1">IF($C23="S",IF($Z23="CP",$X23,IF($Z23="RA",(($X23)*QCI!$AA$3),0)),SomaAgrup)</f>
        <v>0</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CÓDIGO N/ID</v>
      </c>
      <c r="AD23" t="str">
        <f ca="1">IF(C23&lt;=CRONO.NivelExibicao,MAX($AD$15:OFFSET(AD23,-1,0))+IF($C23&lt;&gt;1,1,MAX(1,COUNTIF(QCI!$A$13:$A$24,OFFSET($E23,-1,0)))),"")</f>
        <v/>
      </c>
      <c r="AE23" s="7" t="str" cm="1">
        <f t="array" aca="1" ref="AE23" ca="1">IF(AND($C23="S",ORÇAMENTO.CodBarra&lt;&gt;""),IF(ORÇAMENTO.Fonte="",ORÇAMENTO.CodBarra,CONCATENATE(ORÇAMENTO.Fonte," ",ORÇAMENTO.CodBarra)))</f>
        <v>SICOR ED-16361</v>
      </c>
      <c r="AF23" s="12" t="str"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(Código não identificado nas referências)</v>
      </c>
      <c r="AG23" s="428" cm="1">
        <f t="array" aca="1" ref="AG23" ca="1">ROUND(IF(DESONERACAO="sim",REFERENCIA.Desonerado,REFERENCIA.NaoDesonerado),2)</f>
        <v>0</v>
      </c>
      <c r="AH23" s="429">
        <f ca="1">ROUND(IF(ISNUMBER(ORÇAMENTO.OpcaoBDI),ORÇAMENTO.OpcaoBDI,IF(LEFT(ORÇAMENTO.OpcaoBDI,3)="BDI",HLOOKUP(ORÇAMENTO.OpcaoBDI,$F$4:$H$5,2,FALSE),0)),15-11*$AF$9)</f>
        <v>0.2475</v>
      </c>
      <c r="AJ23" s="431">
        <v>1</v>
      </c>
      <c r="AL23" s="439"/>
      <c r="AM23" s="336">
        <f t="shared" ca="1" si="0"/>
        <v>0</v>
      </c>
      <c r="AN23" s="470" cm="1">
        <f t="array" aca="1" ref="AN23" ca="1">ROUND(ORÇAMENTO.CustoUnitario*(1+$AH23),2)</f>
        <v>0</v>
      </c>
    </row>
    <row r="24" spans="1:40" ht="38.25" x14ac:dyDescent="0.2">
      <c r="A24" t="str">
        <f>CHOOSE(1+LOG(1+2*(ORÇAMENTO.Nivel="Meta")+4*(ORÇAMENTO.Nivel="Nível 2")+8*(ORÇAMENTO.Nivel="Nível 3")+16*(ORÇAMENTO.Nivel="Nível 4")+32*(ORÇAMENTO.Nivel="Serviço"),2),0,1,2,3,4,"S")</f>
        <v>S</v>
      </c>
      <c r="B24">
        <f t="shared" ca="1" si="16"/>
        <v>2</v>
      </c>
      <c r="C24" t="str">
        <f t="shared" ca="1" si="17"/>
        <v>S</v>
      </c>
      <c r="D24">
        <f t="shared" ca="1" si="18"/>
        <v>0</v>
      </c>
      <c r="E24">
        <f ca="1">IF($C24=1,OFFSET(E24,-1,0)+MAX(1,COUNTIF(QCI!$A$13:$A$24,OFFSET(ORÇAMENTO!E24,-1,0))),OFFSET(E24,-1,0))</f>
        <v>1</v>
      </c>
      <c r="F24">
        <f t="shared" ca="1" si="19"/>
        <v>2</v>
      </c>
      <c r="G24">
        <f t="shared" ca="1" si="20"/>
        <v>0</v>
      </c>
      <c r="H24">
        <f t="shared" ca="1" si="21"/>
        <v>0</v>
      </c>
      <c r="I24">
        <f t="shared" ca="1" si="22"/>
        <v>0</v>
      </c>
      <c r="J24">
        <f t="shared" ca="1" si="9"/>
        <v>0</v>
      </c>
      <c r="K24">
        <f ca="1">IF(OR($C24="S",$C24=0),0,MATCH(OFFSET($D24,0,$C24)+IF($C24&lt;&gt;1,1,COUNTIF(QCI!$A$13:$A$24,ORÇAMENTO!E24)),OFFSET($D24,1,$C24,ROW($C$47)-ROW($C24)),0))</f>
        <v>0</v>
      </c>
      <c r="L24" s="114" t="str">
        <f t="shared" ca="1" si="23"/>
        <v/>
      </c>
      <c r="M24" s="115" t="s">
        <v>705</v>
      </c>
      <c r="N24" s="116" t="str">
        <f t="shared" ca="1" si="24"/>
        <v>Serviço</v>
      </c>
      <c r="O24" s="117" t="str">
        <f t="shared" ca="1" si="25"/>
        <v>-</v>
      </c>
      <c r="P24" s="118" t="s">
        <v>1009</v>
      </c>
      <c r="Q24" s="119" t="s">
        <v>1012</v>
      </c>
      <c r="R24" s="120" t="str" cm="1">
        <f t="array" aca="1" ref="R24" ca="1">IF($C24="S",REFERENCIA.Descricao,"(digite a descrição aqui)")</f>
        <v>(Código não identificado nas referências)</v>
      </c>
      <c r="S24" s="121" t="str" cm="1">
        <f t="array" aca="1" ref="S24" ca="1">REFERENCIA.Unidade</f>
        <v>-</v>
      </c>
      <c r="T24" s="122">
        <f ca="1">OFFSET(CÁLCULO!H$15,ROW($T24)-ROW(T$15),0)</f>
        <v>2</v>
      </c>
      <c r="U24" s="123">
        <f t="shared" ca="1" si="15"/>
        <v>0</v>
      </c>
      <c r="V24" s="124" t="s">
        <v>663</v>
      </c>
      <c r="W24" s="122" cm="1">
        <f t="array" aca="1" ref="W24"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0</v>
      </c>
      <c r="Y24" s="126" t="s">
        <v>751</v>
      </c>
      <c r="Z24" t="str">
        <f t="shared" ca="1" si="26"/>
        <v/>
      </c>
      <c r="AA24" s="127" cm="1">
        <f t="array" aca="1" ref="AA24" ca="1">IF($C24="S",IF($Z24="CP",$X24,IF($Z24="RA",(($X24)*QCI!$AA$3),0)),SomaAgrup)</f>
        <v>0</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CÓDIGO N/ID</v>
      </c>
      <c r="AD24" t="str">
        <f ca="1">IF(C24&lt;=CRONO.NivelExibicao,MAX($AD$15:OFFSET(AD24,-1,0))+IF($C24&lt;&gt;1,1,MAX(1,COUNTIF(QCI!$A$13:$A$24,OFFSET($E24,-1,0)))),"")</f>
        <v/>
      </c>
      <c r="AE24" s="7" t="str" cm="1">
        <f t="array" aca="1" ref="AE24" ca="1">IF(AND($C24="S",ORÇAMENTO.CodBarra&lt;&gt;""),IF(ORÇAMENTO.Fonte="",ORÇAMENTO.CodBarra,CONCATENATE(ORÇAMENTO.Fonte," ",ORÇAMENTO.CodBarra)))</f>
        <v>SICOR ED-50137</v>
      </c>
      <c r="AF24" s="12" t="str"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(Código não identificado nas referências)</v>
      </c>
      <c r="AG24" s="428" cm="1">
        <f t="array" aca="1" ref="AG24" ca="1">ROUND(IF(DESONERACAO="sim",REFERENCIA.Desonerado,REFERENCIA.NaoDesonerado),2)</f>
        <v>0</v>
      </c>
      <c r="AH24" s="429">
        <f ca="1">ROUND(IF(ISNUMBER(ORÇAMENTO.OpcaoBDI),ORÇAMENTO.OpcaoBDI,IF(LEFT(ORÇAMENTO.OpcaoBDI,3)="BDI",HLOOKUP(ORÇAMENTO.OpcaoBDI,$F$4:$H$5,2,FALSE),0)),15-11*$AF$9)</f>
        <v>0.2475</v>
      </c>
      <c r="AJ24" s="431">
        <v>2</v>
      </c>
      <c r="AL24" s="439"/>
      <c r="AM24" s="336">
        <f t="shared" ca="1" si="0"/>
        <v>0</v>
      </c>
      <c r="AN24" s="470" cm="1">
        <f t="array" aca="1" ref="AN24" ca="1">ROUND(ORÇAMENTO.CustoUnitario*(1+$AH24),2)</f>
        <v>0</v>
      </c>
    </row>
    <row r="25" spans="1:40" x14ac:dyDescent="0.2">
      <c r="A25">
        <f t="shared" si="1"/>
        <v>2</v>
      </c>
      <c r="B25">
        <f t="shared" ca="1" si="2"/>
        <v>2</v>
      </c>
      <c r="C25">
        <f t="shared" ca="1" si="3"/>
        <v>2</v>
      </c>
      <c r="D25">
        <f t="shared" ca="1" si="4"/>
        <v>10</v>
      </c>
      <c r="E25">
        <f ca="1">IF($C25=1,OFFSET(E25,-1,0)+MAX(1,COUNTIF(QCI!$A$13:$A$24,OFFSET(ORÇAMENTO!E25,-1,0))),OFFSET(E25,-1,0))</f>
        <v>1</v>
      </c>
      <c r="F25">
        <f t="shared" ca="1" si="5"/>
        <v>3</v>
      </c>
      <c r="G25">
        <f t="shared" ca="1" si="6"/>
        <v>0</v>
      </c>
      <c r="H25">
        <f t="shared" ca="1" si="7"/>
        <v>0</v>
      </c>
      <c r="I25">
        <f t="shared" ca="1" si="8"/>
        <v>0</v>
      </c>
      <c r="J25">
        <f t="shared" ca="1" si="9"/>
        <v>22</v>
      </c>
      <c r="K25">
        <f ca="1">IF(OR($C25="S",$C25=0),0,MATCH(OFFSET($D25,0,$C25)+IF($C25&lt;&gt;1,1,COUNTIF(QCI!$A$13:$A$24,ORÇAMENTO!E25)),OFFSET($D25,1,$C25,ROW($C$47)-ROW($C25)),0))</f>
        <v>10</v>
      </c>
      <c r="L25" s="114" t="str">
        <f t="shared" ca="1" si="10"/>
        <v>F</v>
      </c>
      <c r="M25" s="115" t="s">
        <v>702</v>
      </c>
      <c r="N25" s="116" t="str">
        <f t="shared" ca="1" si="11"/>
        <v>Nível 2</v>
      </c>
      <c r="O25" s="117" t="str">
        <f t="shared" ca="1" si="12"/>
        <v>1.3.</v>
      </c>
      <c r="P25" s="118" t="s">
        <v>750</v>
      </c>
      <c r="Q25" s="119"/>
      <c r="R25" s="120" t="s">
        <v>1020</v>
      </c>
      <c r="S25" s="121" t="str" cm="1">
        <f t="array" aca="1" ref="S25" ca="1">REFERENCIA.Unidade</f>
        <v>-</v>
      </c>
      <c r="T25" s="122">
        <f ca="1">OFFSET(CÁLCULO!H$15,ROW($T25)-ROW(T$15),0)</f>
        <v>0</v>
      </c>
      <c r="U25" s="123"/>
      <c r="V25" s="124" t="s">
        <v>663</v>
      </c>
      <c r="W25" s="122" cm="1">
        <f t="array" aca="1" ref="W25" ca="1">IF($C25="S",ROUND(IF(TIPOORCAMENTO="Proposto",ORÇAMENTO.CustoUnitario*(1+$AH25),ORÇAMENTO.PrecoUnitarioLicitado),15-13*$AF$10),0)</f>
        <v>0</v>
      </c>
      <c r="X25" s="125" cm="1">
        <f t="array" aca="1" ref="X25" ca="1">IF($C25="S",IF(OR(Import.TipoArredondamento&lt;&gt;"TransfereGOV",ACOMPANHAMENTO="BM"),VTOTAL1,SUM(OFFSET(CÁLCULO!$AA$15,ROW($X25)-ROW($X$15),1):OFFSET(CÁLCULO!$AL$15,ROW($X25)-ROW($X$15),-1))),IF($C25=0,0,ROUND(SomaAgrup,15-13*$AF$11)))</f>
        <v>0</v>
      </c>
      <c r="Y25" s="126" t="s">
        <v>751</v>
      </c>
      <c r="Z25" t="str">
        <f t="shared" ca="1" si="13"/>
        <v/>
      </c>
      <c r="AA25" s="127" cm="1">
        <f t="array" aca="1" ref="AA25" ca="1">IF($C25="S",IF($Z25="CP",$X25,IF($Z25="RA",(($X25)*QCI!$AA$3),0)),SomaAgrup)</f>
        <v>0</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f ca="1">IF(C25&lt;=CRONO.NivelExibicao,MAX($AD$15:OFFSET(AD25,-1,0))+IF($C25&lt;&gt;1,1,MAX(1,COUNTIF(QCI!$A$13:$A$24,OFFSET($E25,-1,0)))),"")</f>
        <v>4</v>
      </c>
      <c r="AE25" s="7" t="b" cm="1">
        <f t="array" aca="1" ref="AE25" ca="1">IF(AND($C25="S",ORÇAMENTO.CodBarra&lt;&gt;""),IF(ORÇAMENTO.Fonte="",ORÇAMENTO.CodBarra,CONCATENATE(ORÇAMENTO.Fonte," ",ORÇAMENTO.CodBarra)))</f>
        <v>0</v>
      </c>
      <c r="AF25" s="12" t="str"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(Sem Código)</v>
      </c>
      <c r="AG25" s="428" cm="1">
        <f t="array" aca="1" ref="AG25" ca="1">ROUND(IF(DESONERACAO="sim",REFERENCIA.Desonerado,REFERENCIA.NaoDesonerado),2)</f>
        <v>0</v>
      </c>
      <c r="AH25" s="429">
        <f t="shared" ca="1" si="14"/>
        <v>0.2475</v>
      </c>
      <c r="AJ25" s="431"/>
      <c r="AL25" s="439"/>
      <c r="AM25" s="336">
        <f t="shared" ca="1" si="0"/>
        <v>0</v>
      </c>
      <c r="AN25" s="470" cm="1">
        <f t="array" aca="1" ref="AN25" ca="1">ROUND(ORÇAMENTO.CustoUnitario*(1+$AH25),2)</f>
        <v>0</v>
      </c>
    </row>
    <row r="26" spans="1:40" ht="38.25" x14ac:dyDescent="0.2">
      <c r="A26" t="str">
        <f t="shared" si="1"/>
        <v>S</v>
      </c>
      <c r="B26">
        <f t="shared" ca="1" si="2"/>
        <v>2</v>
      </c>
      <c r="C26" t="str">
        <f t="shared" ca="1" si="3"/>
        <v>S</v>
      </c>
      <c r="D26">
        <f t="shared" ca="1" si="4"/>
        <v>0</v>
      </c>
      <c r="E26">
        <f ca="1">IF($C26=1,OFFSET(E26,-1,0)+MAX(1,COUNTIF(QCI!$A$13:$A$24,OFFSET(ORÇAMENTO!E26,-1,0))),OFFSET(E26,-1,0))</f>
        <v>1</v>
      </c>
      <c r="F26">
        <f t="shared" ca="1" si="5"/>
        <v>3</v>
      </c>
      <c r="G26">
        <f t="shared" ca="1" si="6"/>
        <v>0</v>
      </c>
      <c r="H26">
        <f t="shared" ca="1" si="7"/>
        <v>0</v>
      </c>
      <c r="I26">
        <f t="shared" ca="1" si="8"/>
        <v>0</v>
      </c>
      <c r="J26">
        <f t="shared" ca="1" si="9"/>
        <v>0</v>
      </c>
      <c r="K26">
        <f ca="1">IF(OR($C26="S",$C26=0),0,MATCH(OFFSET($D26,0,$C26)+IF($C26&lt;&gt;1,1,COUNTIF(QCI!$A$13:$A$24,ORÇAMENTO!E26)),OFFSET($D26,1,$C26,ROW($C$47)-ROW($C26)),0))</f>
        <v>0</v>
      </c>
      <c r="L26" s="114" t="str">
        <f t="shared" ca="1" si="10"/>
        <v/>
      </c>
      <c r="M26" s="115" t="s">
        <v>705</v>
      </c>
      <c r="N26" s="116" t="str">
        <f t="shared" ca="1" si="11"/>
        <v>Serviço</v>
      </c>
      <c r="O26" s="117" t="str">
        <f t="shared" ca="1" si="12"/>
        <v>-</v>
      </c>
      <c r="P26" s="118" t="s">
        <v>750</v>
      </c>
      <c r="Q26" s="119" t="s">
        <v>1067</v>
      </c>
      <c r="R26" s="120" t="str" cm="1">
        <f t="array" aca="1" ref="R26" ca="1">IF($C26="S",REFERENCIA.Descricao,"(digite a descrição aqui)")</f>
        <v>(Código não identificado nas referências)</v>
      </c>
      <c r="S26" s="121" t="str" cm="1">
        <f t="array" aca="1" ref="S26" ca="1">REFERENCIA.Unidade</f>
        <v>-</v>
      </c>
      <c r="T26" s="122">
        <f ca="1">OFFSET(CÁLCULO!H$15,ROW($T26)-ROW(T$15),0)</f>
        <v>1545</v>
      </c>
      <c r="U26" s="123">
        <f ca="1">AG26</f>
        <v>0</v>
      </c>
      <c r="V26" s="124" t="s">
        <v>663</v>
      </c>
      <c r="W26" s="122" cm="1">
        <f t="array" aca="1" ref="W26" ca="1">IF($C26="S",ROUND(IF(TIPOORCAMENTO="Proposto",ORÇAMENTO.CustoUnitario*(1+$AH26),ORÇAMENTO.PrecoUnitarioLicitado),15-13*$AF$10),0)</f>
        <v>0</v>
      </c>
      <c r="X26" s="125" cm="1">
        <f t="array" aca="1" ref="X26" ca="1">IF($C26="S",IF(OR(Import.TipoArredondamento&lt;&gt;"TransfereGOV",ACOMPANHAMENTO="BM"),VTOTAL1,SUM(OFFSET(CÁLCULO!$AA$15,ROW($X26)-ROW($X$15),1):OFFSET(CÁLCULO!$AL$15,ROW($X26)-ROW($X$15),-1))),IF($C26=0,0,ROUND(SomaAgrup,15-13*$AF$11)))</f>
        <v>0</v>
      </c>
      <c r="Y26" s="126" t="s">
        <v>751</v>
      </c>
      <c r="Z26" t="str">
        <f t="shared" ca="1" si="13"/>
        <v/>
      </c>
      <c r="AA26" s="127" cm="1">
        <f t="array" aca="1" ref="AA26" ca="1">IF($C26="S",IF($Z26="CP",$X26,IF($Z26="RA",(($X26)*QCI!$AA$3),0)),SomaAgrup)</f>
        <v>0</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CÓDIGO N/ID</v>
      </c>
      <c r="AD26" t="str">
        <f ca="1">IF(C26&lt;=CRONO.NivelExibicao,MAX($AD$15:OFFSET(AD26,-1,0))+IF($C26&lt;&gt;1,1,MAX(1,COUNTIF(QCI!$A$13:$A$24,OFFSET($E26,-1,0)))),"")</f>
        <v/>
      </c>
      <c r="AE26" s="7" t="str" cm="1">
        <f t="array" aca="1" ref="AE26" ca="1">IF(AND($C26="S",ORÇAMENTO.CodBarra&lt;&gt;""),IF(ORÇAMENTO.Fonte="",ORÇAMENTO.CodBarra,CONCATENATE(ORÇAMENTO.Fonte," ",ORÇAMENTO.CodBarra)))</f>
        <v>SINAPI 98525</v>
      </c>
      <c r="AF26" s="12" t="str"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(Código não identificado nas referências)</v>
      </c>
      <c r="AG26" s="428" cm="1">
        <f t="array" aca="1" ref="AG26" ca="1">ROUND(IF(DESONERACAO="sim",REFERENCIA.Desonerado,REFERENCIA.NaoDesonerado),2)</f>
        <v>0</v>
      </c>
      <c r="AH26" s="429">
        <f t="shared" ca="1" si="14"/>
        <v>0.2475</v>
      </c>
      <c r="AJ26" s="431">
        <f>460+445+320+320</f>
        <v>1545</v>
      </c>
      <c r="AL26" s="439"/>
      <c r="AM26" s="336">
        <f t="shared" ca="1" si="0"/>
        <v>0</v>
      </c>
      <c r="AN26" s="470" cm="1">
        <f t="array" aca="1" ref="AN26" ca="1">ROUND(ORÇAMENTO.CustoUnitario*(1+$AH26),2)</f>
        <v>0</v>
      </c>
    </row>
    <row r="27" spans="1:40" ht="38.25" x14ac:dyDescent="0.2">
      <c r="A27" t="str">
        <f t="shared" si="1"/>
        <v>S</v>
      </c>
      <c r="B27">
        <f t="shared" ca="1" si="2"/>
        <v>2</v>
      </c>
      <c r="C27" t="str">
        <f t="shared" ca="1" si="3"/>
        <v>S</v>
      </c>
      <c r="D27">
        <f t="shared" ca="1" si="4"/>
        <v>0</v>
      </c>
      <c r="E27">
        <f ca="1">IF($C27=1,OFFSET(E27,-1,0)+MAX(1,COUNTIF(QCI!$A$13:$A$24,OFFSET(ORÇAMENTO!E27,-1,0))),OFFSET(E27,-1,0))</f>
        <v>1</v>
      </c>
      <c r="F27">
        <f t="shared" ca="1" si="5"/>
        <v>3</v>
      </c>
      <c r="G27">
        <f t="shared" ca="1" si="6"/>
        <v>0</v>
      </c>
      <c r="H27">
        <f t="shared" ca="1" si="7"/>
        <v>0</v>
      </c>
      <c r="I27">
        <f t="shared" ca="1" si="8"/>
        <v>0</v>
      </c>
      <c r="J27">
        <f t="shared" ca="1" si="9"/>
        <v>0</v>
      </c>
      <c r="K27">
        <f ca="1">IF(OR($C27="S",$C27=0),0,MATCH(OFFSET($D27,0,$C27)+IF($C27&lt;&gt;1,1,COUNTIF(QCI!$A$13:$A$24,ORÇAMENTO!E27)),OFFSET($D27,1,$C27,ROW($C$47)-ROW($C27)),0))</f>
        <v>0</v>
      </c>
      <c r="L27" s="114" t="str">
        <f t="shared" ca="1" si="10"/>
        <v/>
      </c>
      <c r="M27" s="115" t="s">
        <v>705</v>
      </c>
      <c r="N27" s="116" t="str">
        <f t="shared" ca="1" si="11"/>
        <v>Serviço</v>
      </c>
      <c r="O27" s="117" t="str">
        <f t="shared" ca="1" si="12"/>
        <v>-</v>
      </c>
      <c r="P27" s="118" t="s">
        <v>1009</v>
      </c>
      <c r="Q27" s="119" t="s">
        <v>1021</v>
      </c>
      <c r="R27" s="120" t="str" cm="1">
        <f t="array" aca="1" ref="R27" ca="1">IF($C27="S",REFERENCIA.Descricao,"(digite a descrição aqui)")</f>
        <v>(Código não identificado nas referências)</v>
      </c>
      <c r="S27" s="121" t="str" cm="1">
        <f t="array" aca="1" ref="S27" ca="1">REFERENCIA.Unidade</f>
        <v>-</v>
      </c>
      <c r="T27" s="122">
        <f ca="1">OFFSET(CÁLCULO!H$15,ROW($T27)-ROW(T$15),0)</f>
        <v>1619</v>
      </c>
      <c r="U27" s="123">
        <f t="shared" ref="U27:U35" ca="1" si="27">AG27</f>
        <v>0</v>
      </c>
      <c r="V27" s="124" t="s">
        <v>663</v>
      </c>
      <c r="W27" s="122" cm="1">
        <f t="array" aca="1" ref="W27" ca="1">IF($C27="S",ROUND(IF(TIPOORCAMENTO="Proposto",ORÇAMENTO.CustoUnitario*(1+$AH27),ORÇAMENTO.PrecoUnitarioLicitado),15-13*$AF$10),0)</f>
        <v>0</v>
      </c>
      <c r="X27" s="125" cm="1">
        <f t="array" aca="1" ref="X27" ca="1">IF($C27="S",IF(OR(Import.TipoArredondamento&lt;&gt;"TransfereGOV",ACOMPANHAMENTO="BM"),VTOTAL1,SUM(OFFSET(CÁLCULO!$AA$15,ROW($X27)-ROW($X$15),1):OFFSET(CÁLCULO!$AL$15,ROW($X27)-ROW($X$15),-1))),IF($C27=0,0,ROUND(SomaAgrup,15-13*$AF$11)))</f>
        <v>0</v>
      </c>
      <c r="Y27" s="126" t="s">
        <v>751</v>
      </c>
      <c r="Z27" t="str">
        <f t="shared" ca="1" si="13"/>
        <v/>
      </c>
      <c r="AA27" s="127" cm="1">
        <f t="array" aca="1" ref="AA27" ca="1">IF($C27="S",IF($Z27="CP",$X27,IF($Z27="RA",(($X27)*QCI!$AA$3),0)),SomaAgrup)</f>
        <v>0</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CÓDIGO N/ID</v>
      </c>
      <c r="AD27" t="str">
        <f ca="1">IF(C27&lt;=CRONO.NivelExibicao,MAX($AD$15:OFFSET(AD27,-1,0))+IF($C27&lt;&gt;1,1,MAX(1,COUNTIF(QCI!$A$13:$A$24,OFFSET($E27,-1,0)))),"")</f>
        <v/>
      </c>
      <c r="AE27" s="7" t="str" cm="1">
        <f t="array" aca="1" ref="AE27" ca="1">IF(AND($C27="S",ORÇAMENTO.CodBarra&lt;&gt;""),IF(ORÇAMENTO.Fonte="",ORÇAMENTO.CodBarra,CONCATENATE(ORÇAMENTO.Fonte," ",ORÇAMENTO.CodBarra)))</f>
        <v>SICOR ED-51123</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(Código não identificado nas referências)</v>
      </c>
      <c r="AG27" s="428" cm="1">
        <f t="array" aca="1" ref="AG27" ca="1">ROUND(IF(DESONERACAO="sim",REFERENCIA.Desonerado,REFERENCIA.NaoDesonerado),2)</f>
        <v>0</v>
      </c>
      <c r="AH27" s="429">
        <f t="shared" ca="1" si="14"/>
        <v>0.2475</v>
      </c>
      <c r="AJ27" s="431">
        <f>1545+74</f>
        <v>1619</v>
      </c>
      <c r="AL27" s="439"/>
      <c r="AM27" s="336">
        <f t="shared" ca="1" si="0"/>
        <v>0</v>
      </c>
      <c r="AN27" s="470" cm="1">
        <f t="array" aca="1" ref="AN27" ca="1">ROUND(ORÇAMENTO.CustoUnitario*(1+$AH27),2)</f>
        <v>0</v>
      </c>
    </row>
    <row r="28" spans="1:40" ht="38.25" x14ac:dyDescent="0.2">
      <c r="A28" t="str">
        <f t="shared" si="1"/>
        <v>S</v>
      </c>
      <c r="B28">
        <f t="shared" ca="1" si="2"/>
        <v>2</v>
      </c>
      <c r="C28" t="str">
        <f t="shared" ca="1" si="3"/>
        <v>S</v>
      </c>
      <c r="D28">
        <f t="shared" ca="1" si="4"/>
        <v>0</v>
      </c>
      <c r="E28">
        <f ca="1">IF($C28=1,OFFSET(E28,-1,0)+MAX(1,COUNTIF(QCI!$A$13:$A$24,OFFSET(ORÇAMENTO!E28,-1,0))),OFFSET(E28,-1,0))</f>
        <v>1</v>
      </c>
      <c r="F28">
        <f t="shared" ca="1" si="5"/>
        <v>3</v>
      </c>
      <c r="G28">
        <f t="shared" ca="1" si="6"/>
        <v>0</v>
      </c>
      <c r="H28">
        <f t="shared" ca="1" si="7"/>
        <v>0</v>
      </c>
      <c r="I28">
        <f t="shared" ca="1" si="8"/>
        <v>0</v>
      </c>
      <c r="J28">
        <f t="shared" ca="1" si="9"/>
        <v>0</v>
      </c>
      <c r="K28">
        <f ca="1">IF(OR($C28="S",$C28=0),0,MATCH(OFFSET($D28,0,$C28)+IF($C28&lt;&gt;1,1,COUNTIF(QCI!$A$13:$A$24,ORÇAMENTO!E28)),OFFSET($D28,1,$C28,ROW($C$47)-ROW($C28)),0))</f>
        <v>0</v>
      </c>
      <c r="L28" s="114" t="str">
        <f t="shared" ca="1" si="10"/>
        <v/>
      </c>
      <c r="M28" s="115" t="s">
        <v>705</v>
      </c>
      <c r="N28" s="116" t="str">
        <f t="shared" ca="1" si="11"/>
        <v>Serviço</v>
      </c>
      <c r="O28" s="117" t="str">
        <f t="shared" ca="1" si="12"/>
        <v>-</v>
      </c>
      <c r="P28" s="118" t="s">
        <v>750</v>
      </c>
      <c r="Q28" s="119" t="s">
        <v>1022</v>
      </c>
      <c r="R28" s="120" t="str" cm="1">
        <f t="array" aca="1" ref="R28" ca="1">IF($C28="S",REFERENCIA.Descricao,"(digite a descrição aqui)")</f>
        <v>(Código não identificado nas referências)</v>
      </c>
      <c r="S28" s="121" t="str" cm="1">
        <f t="array" aca="1" ref="S28" ca="1">REFERENCIA.Unidade</f>
        <v>-</v>
      </c>
      <c r="T28" s="122">
        <f ca="1">OFFSET(CÁLCULO!H$15,ROW($T28)-ROW(T$15),0)</f>
        <v>37.200000000000003</v>
      </c>
      <c r="U28" s="123">
        <f t="shared" ca="1" si="27"/>
        <v>0</v>
      </c>
      <c r="V28" s="124" t="s">
        <v>663</v>
      </c>
      <c r="W28" s="122" cm="1">
        <f t="array" aca="1" ref="W28"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0</v>
      </c>
      <c r="Y28" s="126" t="s">
        <v>751</v>
      </c>
      <c r="Z28" t="str">
        <f t="shared" ca="1" si="13"/>
        <v/>
      </c>
      <c r="AA28" s="127" cm="1">
        <f t="array" aca="1" ref="AA28" ca="1">IF($C28="S",IF($Z28="CP",$X28,IF($Z28="RA",(($X28)*QCI!$AA$3),0)),SomaAgrup)</f>
        <v>0</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CÓDIGO N/ID</v>
      </c>
      <c r="AD28" t="str">
        <f ca="1">IF(C28&lt;=CRONO.NivelExibicao,MAX($AD$15:OFFSET(AD28,-1,0))+IF($C28&lt;&gt;1,1,MAX(1,COUNTIF(QCI!$A$13:$A$24,OFFSET($E28,-1,0)))),"")</f>
        <v/>
      </c>
      <c r="AE28" s="7" t="str" cm="1">
        <f t="array" aca="1" ref="AE28" ca="1">IF(AND($C28="S",ORÇAMENTO.CodBarra&lt;&gt;""),IF(ORÇAMENTO.Fonte="",ORÇAMENTO.CodBarra,CONCATENATE(ORÇAMENTO.Fonte," ",ORÇAMENTO.CodBarra)))</f>
        <v>SINAPI 104790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t="shared" ca="1" si="14"/>
        <v>0.2475</v>
      </c>
      <c r="AJ28" s="431">
        <f>(330+42)*0.1</f>
        <v>37.200000000000003</v>
      </c>
      <c r="AL28" s="439"/>
      <c r="AM28" s="336">
        <f t="shared" ca="1" si="0"/>
        <v>0</v>
      </c>
      <c r="AN28" s="470" cm="1">
        <f t="array" aca="1" ref="AN28" ca="1">ROUND(ORÇAMENTO.CustoUnitario*(1+$AH28),2)</f>
        <v>0</v>
      </c>
    </row>
    <row r="29" spans="1:40" ht="63.75" x14ac:dyDescent="0.2">
      <c r="A29" t="str">
        <f t="shared" si="1"/>
        <v>S</v>
      </c>
      <c r="B29">
        <f t="shared" ca="1" si="2"/>
        <v>2</v>
      </c>
      <c r="C29" t="str">
        <f t="shared" ca="1" si="3"/>
        <v>S</v>
      </c>
      <c r="D29">
        <f t="shared" ca="1" si="4"/>
        <v>0</v>
      </c>
      <c r="E29">
        <f ca="1">IF($C29=1,OFFSET(E29,-1,0)+MAX(1,COUNTIF(QCI!$A$13:$A$24,OFFSET(ORÇAMENTO!E29,-1,0))),OFFSET(E29,-1,0))</f>
        <v>1</v>
      </c>
      <c r="F29">
        <f t="shared" ca="1" si="5"/>
        <v>3</v>
      </c>
      <c r="G29">
        <f t="shared" ca="1" si="6"/>
        <v>0</v>
      </c>
      <c r="H29">
        <f t="shared" ca="1" si="7"/>
        <v>0</v>
      </c>
      <c r="I29">
        <f t="shared" ca="1" si="8"/>
        <v>0</v>
      </c>
      <c r="J29">
        <f t="shared" ca="1" si="9"/>
        <v>0</v>
      </c>
      <c r="K29">
        <f ca="1">IF(OR($C29="S",$C29=0),0,MATCH(OFFSET($D29,0,$C29)+IF($C29&lt;&gt;1,1,COUNTIF(QCI!$A$13:$A$24,ORÇAMENTO!E29)),OFFSET($D29,1,$C29,ROW($C$47)-ROW($C29)),0))</f>
        <v>0</v>
      </c>
      <c r="L29" s="114" t="str">
        <f t="shared" ca="1" si="10"/>
        <v/>
      </c>
      <c r="M29" s="115" t="s">
        <v>705</v>
      </c>
      <c r="N29" s="116" t="str">
        <f t="shared" ca="1" si="11"/>
        <v>Serviço</v>
      </c>
      <c r="O29" s="117" t="str">
        <f t="shared" ca="1" si="12"/>
        <v>-</v>
      </c>
      <c r="P29" s="118" t="s">
        <v>1009</v>
      </c>
      <c r="Q29" s="119" t="s">
        <v>1023</v>
      </c>
      <c r="R29" s="120" t="str" cm="1">
        <f t="array" aca="1" ref="R29" ca="1">IF($C29="S",REFERENCIA.Descricao,"(digite a descrição aqui)")</f>
        <v>(Código não identificado nas referências)</v>
      </c>
      <c r="S29" s="121" t="str" cm="1">
        <f t="array" aca="1" ref="S29" ca="1">REFERENCIA.Unidade</f>
        <v>-</v>
      </c>
      <c r="T29" s="122">
        <f ca="1">OFFSET(CÁLCULO!H$15,ROW($T29)-ROW(T$15),0)</f>
        <v>75</v>
      </c>
      <c r="U29" s="123">
        <f t="shared" ca="1" si="27"/>
        <v>0</v>
      </c>
      <c r="V29" s="124" t="s">
        <v>663</v>
      </c>
      <c r="W29" s="122" cm="1">
        <f t="array" aca="1" ref="W29" ca="1">IF($C29="S",ROUND(IF(TIPOORCAMENTO="Proposto",ORÇAMENTO.CustoUnitario*(1+$AH29),ORÇAMENTO.PrecoUnitarioLicitado),15-13*$AF$10),0)</f>
        <v>0</v>
      </c>
      <c r="X29" s="125" cm="1">
        <f t="array" aca="1" ref="X29" ca="1">IF($C29="S",IF(OR(Import.TipoArredondamento&lt;&gt;"TransfereGOV",ACOMPANHAMENTO="BM"),VTOTAL1,SUM(OFFSET(CÁLCULO!$AA$15,ROW($X29)-ROW($X$15),1):OFFSET(CÁLCULO!$AL$15,ROW($X29)-ROW($X$15),-1))),IF($C29=0,0,ROUND(SomaAgrup,15-13*$AF$11)))</f>
        <v>0</v>
      </c>
      <c r="Y29" s="126" t="s">
        <v>751</v>
      </c>
      <c r="Z29" t="str">
        <f t="shared" ca="1" si="13"/>
        <v/>
      </c>
      <c r="AA29" s="127" cm="1">
        <f t="array" aca="1" ref="AA29" ca="1">IF($C29="S",IF($Z29="CP",$X29,IF($Z29="RA",(($X29)*QCI!$AA$3),0)),SomaAgrup)</f>
        <v>0</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CÓDIGO N/ID</v>
      </c>
      <c r="AD29" t="str">
        <f ca="1">IF(C29&lt;=CRONO.NivelExibicao,MAX($AD$15:OFFSET(AD29,-1,0))+IF($C29&lt;&gt;1,1,MAX(1,COUNTIF(QCI!$A$13:$A$24,OFFSET($E29,-1,0)))),"")</f>
        <v/>
      </c>
      <c r="AE29" s="7" t="str" cm="1">
        <f t="array" aca="1" ref="AE29" ca="1">IF(AND($C29="S",ORÇAMENTO.CodBarra&lt;&gt;""),IF(ORÇAMENTO.Fonte="",ORÇAMENTO.CodBarra,CONCATENATE(ORÇAMENTO.Fonte," ",ORÇAMENTO.CodBarra)))</f>
        <v>SICOR ED-48476</v>
      </c>
      <c r="AF29" s="12"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t="shared" ca="1" si="14"/>
        <v>0.2475</v>
      </c>
      <c r="AJ29" s="431">
        <v>75</v>
      </c>
      <c r="AL29" s="439"/>
      <c r="AM29" s="336">
        <f t="shared" ca="1" si="0"/>
        <v>0</v>
      </c>
      <c r="AN29" s="470" cm="1">
        <f t="array" aca="1" ref="AN29" ca="1">ROUND(ORÇAMENTO.CustoUnitario*(1+$AH29),2)</f>
        <v>0</v>
      </c>
    </row>
    <row r="30" spans="1:40" ht="51" x14ac:dyDescent="0.2">
      <c r="A30" t="str">
        <f t="shared" si="1"/>
        <v>S</v>
      </c>
      <c r="B30">
        <f t="shared" ca="1" si="2"/>
        <v>2</v>
      </c>
      <c r="C30" t="str">
        <f t="shared" ca="1" si="3"/>
        <v>S</v>
      </c>
      <c r="D30">
        <f t="shared" ca="1" si="4"/>
        <v>0</v>
      </c>
      <c r="E30">
        <f ca="1">IF($C30=1,OFFSET(E30,-1,0)+MAX(1,COUNTIF(QCI!$A$13:$A$24,OFFSET(ORÇAMENTO!E30,-1,0))),OFFSET(E30,-1,0))</f>
        <v>1</v>
      </c>
      <c r="F30">
        <f t="shared" ca="1" si="5"/>
        <v>3</v>
      </c>
      <c r="G30">
        <f t="shared" ca="1" si="6"/>
        <v>0</v>
      </c>
      <c r="H30">
        <f t="shared" ca="1" si="7"/>
        <v>0</v>
      </c>
      <c r="I30">
        <f t="shared" ca="1" si="8"/>
        <v>0</v>
      </c>
      <c r="J30">
        <f t="shared" ca="1" si="9"/>
        <v>0</v>
      </c>
      <c r="K30">
        <f ca="1">IF(OR($C30="S",$C30=0),0,MATCH(OFFSET($D30,0,$C30)+IF($C30&lt;&gt;1,1,COUNTIF(QCI!$A$13:$A$24,ORÇAMENTO!E30)),OFFSET($D30,1,$C30,ROW($C$47)-ROW($C30)),0))</f>
        <v>0</v>
      </c>
      <c r="L30" s="114" t="str">
        <f t="shared" ca="1" si="10"/>
        <v/>
      </c>
      <c r="M30" s="115" t="s">
        <v>705</v>
      </c>
      <c r="N30" s="116" t="str">
        <f t="shared" ca="1" si="11"/>
        <v>Serviço</v>
      </c>
      <c r="O30" s="117" t="str">
        <f t="shared" ca="1" si="12"/>
        <v>-</v>
      </c>
      <c r="P30" s="118" t="s">
        <v>750</v>
      </c>
      <c r="Q30" s="119" t="s">
        <v>1024</v>
      </c>
      <c r="R30" s="120" t="str" cm="1">
        <f t="array" aca="1" ref="R30" ca="1">IF($C30="S",REFERENCIA.Descricao,"(digite a descrição aqui)")</f>
        <v>(Código não identificado nas referências)</v>
      </c>
      <c r="S30" s="121" t="str" cm="1">
        <f t="array" aca="1" ref="S30" ca="1">REFERENCIA.Unidade</f>
        <v>-</v>
      </c>
      <c r="T30" s="122">
        <f ca="1">OFFSET(CÁLCULO!H$15,ROW($T30)-ROW(T$15),0)</f>
        <v>198.9</v>
      </c>
      <c r="U30" s="123">
        <f t="shared" ca="1" si="27"/>
        <v>0</v>
      </c>
      <c r="V30" s="124" t="s">
        <v>663</v>
      </c>
      <c r="W30" s="122" cm="1">
        <f t="array" aca="1" ref="W30" ca="1">IF($C30="S",ROUND(IF(TIPOORCAMENTO="Proposto",ORÇAMENTO.CustoUnitario*(1+$AH30),ORÇAMENTO.PrecoUnitarioLicitado),15-13*$AF$10),0)</f>
        <v>0</v>
      </c>
      <c r="X30" s="125" cm="1">
        <f t="array" aca="1" ref="X30" ca="1">IF($C30="S",IF(OR(Import.TipoArredondamento&lt;&gt;"TransfereGOV",ACOMPANHAMENTO="BM"),VTOTAL1,SUM(OFFSET(CÁLCULO!$AA$15,ROW($X30)-ROW($X$15),1):OFFSET(CÁLCULO!$AL$15,ROW($X30)-ROW($X$15),-1))),IF($C30=0,0,ROUND(SomaAgrup,15-13*$AF$11)))</f>
        <v>0</v>
      </c>
      <c r="Y30" s="126" t="s">
        <v>751</v>
      </c>
      <c r="Z30" t="str">
        <f t="shared" ca="1" si="13"/>
        <v/>
      </c>
      <c r="AA30" s="127" cm="1">
        <f t="array" aca="1" ref="AA30" ca="1">IF($C30="S",IF($Z30="CP",$X30,IF($Z30="RA",(($X30)*QCI!$AA$3),0)),SomaAgrup)</f>
        <v>0</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CÓDIGO N/ID</v>
      </c>
      <c r="AD30" t="str">
        <f ca="1">IF(C30&lt;=CRONO.NivelExibicao,MAX($AD$15:OFFSET(AD30,-1,0))+IF($C30&lt;&gt;1,1,MAX(1,COUNTIF(QCI!$A$13:$A$24,OFFSET($E30,-1,0)))),"")</f>
        <v/>
      </c>
      <c r="AE30" s="7" t="str" cm="1">
        <f t="array" aca="1" ref="AE30" ca="1">IF(AND($C30="S",ORÇAMENTO.CodBarra&lt;&gt;""),IF(ORÇAMENTO.Fonte="",ORÇAMENTO.CodBarra,CONCATENATE(ORÇAMENTO.Fonte," ",ORÇAMENTO.CodBarra)))</f>
        <v>SINAPI 100975</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(Código não identificado nas referências)</v>
      </c>
      <c r="AG30" s="428" cm="1">
        <f t="array" aca="1" ref="AG30" ca="1">ROUND(IF(DESONERACAO="sim",REFERENCIA.Desonerado,REFERENCIA.NaoDesonerado),2)</f>
        <v>0</v>
      </c>
      <c r="AH30" s="429">
        <f t="shared" ca="1" si="14"/>
        <v>0.2475</v>
      </c>
      <c r="AJ30" s="431">
        <f>37+(1619*0.1)</f>
        <v>198.9</v>
      </c>
      <c r="AL30" s="439"/>
      <c r="AM30" s="336">
        <f t="shared" ca="1" si="0"/>
        <v>0</v>
      </c>
      <c r="AN30" s="470" cm="1">
        <f t="array" aca="1" ref="AN30" ca="1">ROUND(ORÇAMENTO.CustoUnitario*(1+$AH30),2)</f>
        <v>0</v>
      </c>
    </row>
    <row r="31" spans="1:40" ht="38.25" x14ac:dyDescent="0.2">
      <c r="A31" t="str">
        <f t="shared" si="1"/>
        <v>S</v>
      </c>
      <c r="B31">
        <f t="shared" ca="1" si="2"/>
        <v>2</v>
      </c>
      <c r="C31" t="str">
        <f t="shared" ca="1" si="3"/>
        <v>S</v>
      </c>
      <c r="D31">
        <f t="shared" ca="1" si="4"/>
        <v>0</v>
      </c>
      <c r="E31">
        <f ca="1">IF($C31=1,OFFSET(E31,-1,0)+MAX(1,COUNTIF(QCI!$A$13:$A$24,OFFSET(ORÇAMENTO!E31,-1,0))),OFFSET(E31,-1,0))</f>
        <v>1</v>
      </c>
      <c r="F31">
        <f t="shared" ca="1" si="5"/>
        <v>3</v>
      </c>
      <c r="G31">
        <f t="shared" ca="1" si="6"/>
        <v>0</v>
      </c>
      <c r="H31">
        <f t="shared" ca="1" si="7"/>
        <v>0</v>
      </c>
      <c r="I31">
        <f t="shared" ca="1" si="8"/>
        <v>0</v>
      </c>
      <c r="J31">
        <f t="shared" ca="1" si="9"/>
        <v>0</v>
      </c>
      <c r="K31">
        <f ca="1">IF(OR($C31="S",$C31=0),0,MATCH(OFFSET($D31,0,$C31)+IF($C31&lt;&gt;1,1,COUNTIF(QCI!$A$13:$A$24,ORÇAMENTO!E31)),OFFSET($D31,1,$C31,ROW($C$47)-ROW($C31)),0))</f>
        <v>0</v>
      </c>
      <c r="L31" s="114" t="str">
        <f t="shared" ca="1" si="10"/>
        <v/>
      </c>
      <c r="M31" s="115" t="s">
        <v>705</v>
      </c>
      <c r="N31" s="116" t="str">
        <f t="shared" ca="1" si="11"/>
        <v>Serviço</v>
      </c>
      <c r="O31" s="117" t="str">
        <f t="shared" ca="1" si="12"/>
        <v>-</v>
      </c>
      <c r="P31" s="118" t="s">
        <v>750</v>
      </c>
      <c r="Q31" s="119" t="s">
        <v>1025</v>
      </c>
      <c r="R31" s="120" t="str" cm="1">
        <f t="array" aca="1" ref="R31" ca="1">IF($C31="S",REFERENCIA.Descricao,"(digite a descrição aqui)")</f>
        <v>(Código não identificado nas referências)</v>
      </c>
      <c r="S31" s="121" t="str" cm="1">
        <f t="array" aca="1" ref="S31" ca="1">REFERENCIA.Unidade</f>
        <v>-</v>
      </c>
      <c r="T31" s="122">
        <f ca="1">OFFSET(CÁLCULO!H$15,ROW($T31)-ROW(T$15),0)</f>
        <v>2983.5</v>
      </c>
      <c r="U31" s="123">
        <f t="shared" ca="1" si="27"/>
        <v>0</v>
      </c>
      <c r="V31" s="124" t="s">
        <v>663</v>
      </c>
      <c r="W31" s="122" cm="1">
        <f t="array" aca="1" ref="W31" ca="1">IF($C31="S",ROUND(IF(TIPOORCAMENTO="Proposto",ORÇAMENTO.CustoUnitario*(1+$AH31),ORÇAMENTO.PrecoUnitarioLicitado),15-13*$AF$10),0)</f>
        <v>0</v>
      </c>
      <c r="X31" s="125" cm="1">
        <f t="array" aca="1" ref="X31" ca="1">IF($C31="S",IF(OR(Import.TipoArredondamento&lt;&gt;"TransfereGOV",ACOMPANHAMENTO="BM"),VTOTAL1,SUM(OFFSET(CÁLCULO!$AA$15,ROW($X31)-ROW($X$15),1):OFFSET(CÁLCULO!$AL$15,ROW($X31)-ROW($X$15),-1))),IF($C31=0,0,ROUND(SomaAgrup,15-13*$AF$11)))</f>
        <v>0</v>
      </c>
      <c r="Y31" s="126" t="s">
        <v>751</v>
      </c>
      <c r="Z31" t="str">
        <f t="shared" ca="1" si="13"/>
        <v/>
      </c>
      <c r="AA31" s="127" cm="1">
        <f t="array" aca="1" ref="AA31" ca="1">IF($C31="S",IF($Z31="CP",$X31,IF($Z31="RA",(($X31)*QCI!$AA$3),0)),SomaAgrup)</f>
        <v>0</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CÓDIGO N/ID</v>
      </c>
      <c r="AD31" t="str">
        <f ca="1">IF(C31&lt;=CRONO.NivelExibicao,MAX($AD$15:OFFSET(AD31,-1,0))+IF($C31&lt;&gt;1,1,MAX(1,COUNTIF(QCI!$A$13:$A$24,OFFSET($E31,-1,0)))),"")</f>
        <v/>
      </c>
      <c r="AE31" s="7" t="str" cm="1">
        <f t="array" aca="1" ref="AE31" ca="1">IF(AND($C31="S",ORÇAMENTO.CodBarra&lt;&gt;""),IF(ORÇAMENTO.Fonte="",ORÇAMENTO.CodBarra,CONCATENATE(ORÇAMENTO.Fonte," ",ORÇAMENTO.CodBarra)))</f>
        <v>SINAPI 95876</v>
      </c>
      <c r="AF31" s="12" t="str"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(Código não identificado nas referências)</v>
      </c>
      <c r="AG31" s="428" cm="1">
        <f t="array" aca="1" ref="AG31" ca="1">ROUND(IF(DESONERACAO="sim",REFERENCIA.Desonerado,REFERENCIA.NaoDesonerado),2)</f>
        <v>0</v>
      </c>
      <c r="AH31" s="429">
        <f t="shared" ca="1" si="14"/>
        <v>0.2475</v>
      </c>
      <c r="AJ31" s="431">
        <f>AJ30*15</f>
        <v>2983.5</v>
      </c>
      <c r="AL31" s="439"/>
      <c r="AM31" s="336">
        <f t="shared" ca="1" si="0"/>
        <v>0</v>
      </c>
      <c r="AN31" s="470" cm="1">
        <f t="array" aca="1" ref="AN31" ca="1">ROUND(ORÇAMENTO.CustoUnitario*(1+$AH31),2)</f>
        <v>0</v>
      </c>
    </row>
    <row r="32" spans="1:40" x14ac:dyDescent="0.2">
      <c r="A32" t="str">
        <f t="shared" si="1"/>
        <v>S</v>
      </c>
      <c r="B32">
        <f t="shared" ca="1" si="2"/>
        <v>2</v>
      </c>
      <c r="C32" t="str">
        <f t="shared" ca="1" si="3"/>
        <v>S</v>
      </c>
      <c r="D32">
        <f t="shared" ca="1" si="4"/>
        <v>0</v>
      </c>
      <c r="E32">
        <f ca="1">IF($C32=1,OFFSET(E32,-1,0)+MAX(1,COUNTIF(QCI!$A$13:$A$24,OFFSET(ORÇAMENTO!E32,-1,0))),OFFSET(E32,-1,0))</f>
        <v>1</v>
      </c>
      <c r="F32">
        <f t="shared" ca="1" si="5"/>
        <v>3</v>
      </c>
      <c r="G32">
        <f t="shared" ca="1" si="6"/>
        <v>0</v>
      </c>
      <c r="H32">
        <f t="shared" ca="1" si="7"/>
        <v>0</v>
      </c>
      <c r="I32">
        <f t="shared" ca="1" si="8"/>
        <v>0</v>
      </c>
      <c r="J32">
        <f t="shared" ca="1" si="9"/>
        <v>0</v>
      </c>
      <c r="K32">
        <f ca="1">IF(OR($C32="S",$C32=0),0,MATCH(OFFSET($D32,0,$C32)+IF($C32&lt;&gt;1,1,COUNTIF(QCI!$A$13:$A$24,ORÇAMENTO!E32)),OFFSET($D32,1,$C32,ROW($C$47)-ROW($C32)),0))</f>
        <v>0</v>
      </c>
      <c r="L32" s="114" t="str">
        <f t="shared" ca="1" si="10"/>
        <v/>
      </c>
      <c r="M32" s="115" t="s">
        <v>705</v>
      </c>
      <c r="N32" s="116" t="str">
        <f t="shared" ca="1" si="11"/>
        <v>Serviço</v>
      </c>
      <c r="O32" s="117" t="str">
        <f t="shared" ca="1" si="12"/>
        <v>-</v>
      </c>
      <c r="P32" s="118" t="s">
        <v>956</v>
      </c>
      <c r="Q32" s="119" t="s">
        <v>1026</v>
      </c>
      <c r="R32" s="120" t="str" cm="1">
        <f t="array" aca="1" ref="R32" ca="1">IF($C32="S",REFERENCIA.Descricao,"(digite a descrição aqui)")</f>
        <v>(Código não identificado nas referências)</v>
      </c>
      <c r="S32" s="121" t="str" cm="1">
        <f t="array" aca="1" ref="S32" ca="1">REFERENCIA.Unidade</f>
        <v>-</v>
      </c>
      <c r="T32" s="122">
        <f ca="1">OFFSET(CÁLCULO!H$15,ROW($T32)-ROW(T$15),0)</f>
        <v>344</v>
      </c>
      <c r="U32" s="123">
        <f t="shared" ca="1" si="27"/>
        <v>0</v>
      </c>
      <c r="V32" s="124" t="s">
        <v>663</v>
      </c>
      <c r="W32" s="122" cm="1">
        <f t="array" aca="1" ref="W32" ca="1">IF($C32="S",ROUND(IF(TIPOORCAMENTO="Proposto",ORÇAMENTO.CustoUnitario*(1+$AH32),ORÇAMENTO.PrecoUnitarioLicitado),15-13*$AF$10),0)</f>
        <v>0</v>
      </c>
      <c r="X32" s="125" cm="1">
        <f t="array" aca="1" ref="X32" ca="1">IF($C32="S",IF(OR(Import.TipoArredondamento&lt;&gt;"TransfereGOV",ACOMPANHAMENTO="BM"),VTOTAL1,SUM(OFFSET(CÁLCULO!$AA$15,ROW($X32)-ROW($X$15),1):OFFSET(CÁLCULO!$AL$15,ROW($X32)-ROW($X$15),-1))),IF($C32=0,0,ROUND(SomaAgrup,15-13*$AF$11)))</f>
        <v>0</v>
      </c>
      <c r="Y32" s="126" t="s">
        <v>751</v>
      </c>
      <c r="Z32" t="str">
        <f t="shared" ca="1" si="13"/>
        <v/>
      </c>
      <c r="AA32" s="127" cm="1">
        <f t="array" aca="1" ref="AA32" ca="1">IF($C32="S",IF($Z32="CP",$X32,IF($Z32="RA",(($X32)*QCI!$AA$3),0)),SomaAgrup)</f>
        <v>0</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CÓDIGO N/ID</v>
      </c>
      <c r="AD32" t="str">
        <f ca="1">IF(C32&lt;=CRONO.NivelExibicao,MAX($AD$15:OFFSET(AD32,-1,0))+IF($C32&lt;&gt;1,1,MAX(1,COUNTIF(QCI!$A$13:$A$24,OFFSET($E32,-1,0)))),"")</f>
        <v/>
      </c>
      <c r="AE32" s="7" t="str" cm="1">
        <f t="array" aca="1" ref="AE32" ca="1">IF(AND($C32="S",ORÇAMENTO.CodBarra&lt;&gt;""),IF(ORÇAMENTO.Fonte="",ORÇAMENTO.CodBarra,CONCATENATE(ORÇAMENTO.Fonte," ",ORÇAMENTO.CodBarra)))</f>
        <v>Composição COMP01</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t="shared" ca="1" si="14"/>
        <v>0.2475</v>
      </c>
      <c r="AJ32" s="431">
        <v>344</v>
      </c>
      <c r="AL32" s="439"/>
      <c r="AM32" s="336">
        <f t="shared" ca="1" si="0"/>
        <v>0</v>
      </c>
      <c r="AN32" s="470" cm="1">
        <f t="array" aca="1" ref="AN32" ca="1">ROUND(ORÇAMENTO.CustoUnitario*(1+$AH32),2)</f>
        <v>0</v>
      </c>
    </row>
    <row r="33" spans="1:40" ht="51" x14ac:dyDescent="0.2">
      <c r="A33" t="str">
        <f t="shared" si="1"/>
        <v>S</v>
      </c>
      <c r="B33">
        <f t="shared" ca="1" si="2"/>
        <v>2</v>
      </c>
      <c r="C33" t="str">
        <f t="shared" ca="1" si="3"/>
        <v>S</v>
      </c>
      <c r="D33">
        <f t="shared" ca="1" si="4"/>
        <v>0</v>
      </c>
      <c r="E33">
        <f ca="1">IF($C33=1,OFFSET(E33,-1,0)+MAX(1,COUNTIF(QCI!$A$13:$A$24,OFFSET(ORÇAMENTO!E33,-1,0))),OFFSET(E33,-1,0))</f>
        <v>1</v>
      </c>
      <c r="F33">
        <f t="shared" ca="1" si="5"/>
        <v>3</v>
      </c>
      <c r="G33">
        <f t="shared" ca="1" si="6"/>
        <v>0</v>
      </c>
      <c r="H33">
        <f t="shared" ca="1" si="7"/>
        <v>0</v>
      </c>
      <c r="I33">
        <f t="shared" ca="1" si="8"/>
        <v>0</v>
      </c>
      <c r="J33">
        <f t="shared" ca="1" si="9"/>
        <v>0</v>
      </c>
      <c r="K33">
        <f ca="1">IF(OR($C33="S",$C33=0),0,MATCH(OFFSET($D33,0,$C33)+IF($C33&lt;&gt;1,1,COUNTIF(QCI!$A$13:$A$24,ORÇAMENTO!E33)),OFFSET($D33,1,$C33,ROW($C$47)-ROW($C33)),0))</f>
        <v>0</v>
      </c>
      <c r="L33" s="114" t="str">
        <f t="shared" ca="1" si="10"/>
        <v/>
      </c>
      <c r="M33" s="115" t="s">
        <v>705</v>
      </c>
      <c r="N33" s="116" t="str">
        <f t="shared" ca="1" si="11"/>
        <v>Serviço</v>
      </c>
      <c r="O33" s="117" t="str">
        <f t="shared" ca="1" si="12"/>
        <v>-</v>
      </c>
      <c r="P33" s="118" t="s">
        <v>1009</v>
      </c>
      <c r="Q33" s="119" t="s">
        <v>1027</v>
      </c>
      <c r="R33" s="120" t="str" cm="1">
        <f t="array" aca="1" ref="R33" ca="1">IF($C33="S",REFERENCIA.Descricao,"(digite a descrição aqui)")</f>
        <v>(Código não identificado nas referências)</v>
      </c>
      <c r="S33" s="121" t="str" cm="1">
        <f t="array" aca="1" ref="S33" ca="1">REFERENCIA.Unidade</f>
        <v>-</v>
      </c>
      <c r="T33" s="122">
        <f ca="1">OFFSET(CÁLCULO!H$15,ROW($T33)-ROW(T$15),0)</f>
        <v>23</v>
      </c>
      <c r="U33" s="123">
        <f t="shared" ca="1" si="27"/>
        <v>0</v>
      </c>
      <c r="V33" s="124" t="s">
        <v>663</v>
      </c>
      <c r="W33" s="122" cm="1">
        <f t="array" aca="1" ref="W33" ca="1">IF($C33="S",ROUND(IF(TIPOORCAMENTO="Proposto",ORÇAMENTO.CustoUnitario*(1+$AH33),ORÇAMENTO.PrecoUnitarioLicitado),15-13*$AF$10),0)</f>
        <v>0</v>
      </c>
      <c r="X33" s="125" cm="1">
        <f t="array" aca="1" ref="X33" ca="1">IF($C33="S",IF(OR(Import.TipoArredondamento&lt;&gt;"TransfereGOV",ACOMPANHAMENTO="BM"),VTOTAL1,SUM(OFFSET(CÁLCULO!$AA$15,ROW($X33)-ROW($X$15),1):OFFSET(CÁLCULO!$AL$15,ROW($X33)-ROW($X$15),-1))),IF($C33=0,0,ROUND(SomaAgrup,15-13*$AF$11)))</f>
        <v>0</v>
      </c>
      <c r="Y33" s="126" t="s">
        <v>751</v>
      </c>
      <c r="Z33" t="str">
        <f t="shared" ca="1" si="13"/>
        <v/>
      </c>
      <c r="AA33" s="127" cm="1">
        <f t="array" aca="1" ref="AA33" ca="1">IF($C33="S",IF($Z33="CP",$X33,IF($Z33="RA",(($X33)*QCI!$AA$3),0)),SomaAgrup)</f>
        <v>0</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CÓDIGO N/ID</v>
      </c>
      <c r="AD33" t="str">
        <f ca="1">IF(C33&lt;=CRONO.NivelExibicao,MAX($AD$15:OFFSET(AD33,-1,0))+IF($C33&lt;&gt;1,1,MAX(1,COUNTIF(QCI!$A$13:$A$24,OFFSET($E33,-1,0)))),"")</f>
        <v/>
      </c>
      <c r="AE33" s="7" t="str" cm="1">
        <f t="array" aca="1" ref="AE33" ca="1">IF(AND($C33="S",ORÇAMENTO.CodBarra&lt;&gt;""),IF(ORÇAMENTO.Fonte="",ORÇAMENTO.CodBarra,CONCATENATE(ORÇAMENTO.Fonte," ",ORÇAMENTO.CodBarra)))</f>
        <v>SICOR ED-48472</v>
      </c>
      <c r="AF33" s="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t="shared" ca="1" si="14"/>
        <v>0.2475</v>
      </c>
      <c r="AJ33" s="431">
        <v>23</v>
      </c>
      <c r="AL33" s="439"/>
      <c r="AM33" s="336">
        <f t="shared" ca="1" si="0"/>
        <v>0</v>
      </c>
      <c r="AN33" s="470" cm="1">
        <f t="array" aca="1" ref="AN33" ca="1">ROUND(ORÇAMENTO.CustoUnitario*(1+$AH33),2)</f>
        <v>0</v>
      </c>
    </row>
    <row r="34" spans="1:40" x14ac:dyDescent="0.2">
      <c r="A34" t="str">
        <f t="shared" si="1"/>
        <v>S</v>
      </c>
      <c r="B34">
        <f t="shared" ca="1" si="2"/>
        <v>2</v>
      </c>
      <c r="C34" t="str">
        <f t="shared" ca="1" si="3"/>
        <v>S</v>
      </c>
      <c r="D34">
        <f t="shared" ca="1" si="4"/>
        <v>0</v>
      </c>
      <c r="E34">
        <f ca="1">IF($C34=1,OFFSET(E34,-1,0)+MAX(1,COUNTIF(QCI!$A$13:$A$24,OFFSET(ORÇAMENTO!E34,-1,0))),OFFSET(E34,-1,0))</f>
        <v>1</v>
      </c>
      <c r="F34">
        <f t="shared" ca="1" si="5"/>
        <v>3</v>
      </c>
      <c r="G34">
        <f t="shared" ca="1" si="6"/>
        <v>0</v>
      </c>
      <c r="H34">
        <f t="shared" ca="1" si="7"/>
        <v>0</v>
      </c>
      <c r="I34">
        <f t="shared" ca="1" si="8"/>
        <v>0</v>
      </c>
      <c r="J34">
        <f t="shared" ca="1" si="9"/>
        <v>0</v>
      </c>
      <c r="K34">
        <f ca="1">IF(OR($C34="S",$C34=0),0,MATCH(OFFSET($D34,0,$C34)+IF($C34&lt;&gt;1,1,COUNTIF(QCI!$A$13:$A$24,ORÇAMENTO!E34)),OFFSET($D34,1,$C34,ROW($C$47)-ROW($C34)),0))</f>
        <v>0</v>
      </c>
      <c r="L34" s="114" t="str">
        <f t="shared" ca="1" si="10"/>
        <v/>
      </c>
      <c r="M34" s="115" t="s">
        <v>705</v>
      </c>
      <c r="N34" s="116" t="str">
        <f t="shared" ca="1" si="11"/>
        <v>Serviço</v>
      </c>
      <c r="O34" s="117" t="str">
        <f t="shared" ca="1" si="12"/>
        <v>-</v>
      </c>
      <c r="P34" s="118" t="s">
        <v>956</v>
      </c>
      <c r="Q34" s="119" t="s">
        <v>1028</v>
      </c>
      <c r="R34" s="120" t="str" cm="1">
        <f t="array" aca="1" ref="R34" ca="1">IF($C34="S",REFERENCIA.Descricao,"(digite a descrição aqui)")</f>
        <v>(Código não identificado nas referências)</v>
      </c>
      <c r="S34" s="121" t="str" cm="1">
        <f t="array" aca="1" ref="S34" ca="1">REFERENCIA.Unidade</f>
        <v>-</v>
      </c>
      <c r="T34" s="122">
        <f ca="1">OFFSET(CÁLCULO!H$15,ROW($T34)-ROW(T$15),0)</f>
        <v>27</v>
      </c>
      <c r="U34" s="123">
        <f t="shared" ca="1" si="27"/>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0</v>
      </c>
      <c r="Y34" s="126" t="s">
        <v>751</v>
      </c>
      <c r="Z34" t="str">
        <f t="shared" ca="1" si="13"/>
        <v/>
      </c>
      <c r="AA34" s="127" cm="1">
        <f t="array" aca="1" ref="AA34" ca="1">IF($C34="S",IF($Z34="CP",$X34,IF($Z34="RA",(($X34)*QCI!$AA$3),0)),SomaAgrup)</f>
        <v>0</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CÓDIGO N/ID</v>
      </c>
      <c r="AD34" t="str">
        <f ca="1">IF(C34&lt;=CRONO.NivelExibicao,MAX($AD$15:OFFSET(AD34,-1,0))+IF($C34&lt;&gt;1,1,MAX(1,COUNTIF(QCI!$A$13:$A$24,OFFSET($E34,-1,0)))),"")</f>
        <v/>
      </c>
      <c r="AE34" s="7" t="str" cm="1">
        <f t="array" aca="1" ref="AE34" ca="1">IF(AND($C34="S",ORÇAMENTO.CodBarra&lt;&gt;""),IF(ORÇAMENTO.Fonte="",ORÇAMENTO.CodBarra,CONCATENATE(ORÇAMENTO.Fonte," ",ORÇAMENTO.CodBarra)))</f>
        <v>Composição COMP02</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(Código não identificado nas referências)</v>
      </c>
      <c r="AG34" s="428" cm="1">
        <f t="array" aca="1" ref="AG34" ca="1">ROUND(IF(DESONERACAO="sim",REFERENCIA.Desonerado,REFERENCIA.NaoDesonerado),2)</f>
        <v>0</v>
      </c>
      <c r="AH34" s="429">
        <f t="shared" ca="1" si="14"/>
        <v>0.2475</v>
      </c>
      <c r="AJ34" s="431">
        <v>27</v>
      </c>
      <c r="AL34" s="439"/>
      <c r="AM34" s="336">
        <f t="shared" ca="1" si="0"/>
        <v>0</v>
      </c>
      <c r="AN34" s="470" cm="1">
        <f t="array" aca="1" ref="AN34" ca="1">ROUND(ORÇAMENTO.CustoUnitario*(1+$AH34),2)</f>
        <v>0</v>
      </c>
    </row>
    <row r="35" spans="1:40" x14ac:dyDescent="0.2">
      <c r="A35">
        <f t="shared" si="1"/>
        <v>2</v>
      </c>
      <c r="B35">
        <f t="shared" ca="1" si="2"/>
        <v>2</v>
      </c>
      <c r="C35">
        <f t="shared" ca="1" si="3"/>
        <v>2</v>
      </c>
      <c r="D35">
        <f t="shared" ca="1" si="4"/>
        <v>7</v>
      </c>
      <c r="E35">
        <f ca="1">IF($C35=1,OFFSET(E35,-1,0)+MAX(1,COUNTIF(QCI!$A$13:$A$24,OFFSET(ORÇAMENTO!E35,-1,0))),OFFSET(E35,-1,0))</f>
        <v>1</v>
      </c>
      <c r="F35">
        <f t="shared" ca="1" si="5"/>
        <v>4</v>
      </c>
      <c r="G35">
        <f t="shared" ca="1" si="6"/>
        <v>0</v>
      </c>
      <c r="H35">
        <f t="shared" ca="1" si="7"/>
        <v>0</v>
      </c>
      <c r="I35">
        <f t="shared" ca="1" si="8"/>
        <v>0</v>
      </c>
      <c r="J35">
        <f t="shared" ca="1" si="9"/>
        <v>12</v>
      </c>
      <c r="K35">
        <f ca="1">IF(OR($C35="S",$C35=0),0,MATCH(OFFSET($D35,0,$C35)+IF($C35&lt;&gt;1,1,COUNTIF(QCI!$A$13:$A$24,ORÇAMENTO!E35)),OFFSET($D35,1,$C35,ROW($C$47)-ROW($C35)),0))</f>
        <v>7</v>
      </c>
      <c r="L35" s="114" t="str">
        <f t="shared" ca="1" si="10"/>
        <v>F</v>
      </c>
      <c r="M35" s="115" t="s">
        <v>702</v>
      </c>
      <c r="N35" s="116" t="str">
        <f t="shared" ca="1" si="11"/>
        <v>Nível 2</v>
      </c>
      <c r="O35" s="117" t="str">
        <f t="shared" ca="1" si="12"/>
        <v>1.4.</v>
      </c>
      <c r="P35" s="118" t="s">
        <v>1009</v>
      </c>
      <c r="Q35" s="119"/>
      <c r="R35" s="120" t="s">
        <v>1029</v>
      </c>
      <c r="S35" s="121" t="str" cm="1">
        <f t="array" aca="1" ref="S35" ca="1">REFERENCIA.Unidade</f>
        <v>-</v>
      </c>
      <c r="T35" s="122">
        <f ca="1">OFFSET(CÁLCULO!H$15,ROW($T35)-ROW(T$15),0)</f>
        <v>0</v>
      </c>
      <c r="U35" s="123">
        <f t="shared" ca="1" si="27"/>
        <v>0</v>
      </c>
      <c r="V35" s="124" t="s">
        <v>663</v>
      </c>
      <c r="W35" s="122" cm="1">
        <f t="array" aca="1" ref="W35" ca="1">IF($C35="S",ROUND(IF(TIPOORCAMENTO="Proposto",ORÇAMENTO.CustoUnitario*(1+$AH35),ORÇAMENTO.PrecoUnitarioLicitado),15-13*$AF$10),0)</f>
        <v>0</v>
      </c>
      <c r="X35" s="125" cm="1">
        <f t="array" aca="1" ref="X35" ca="1">IF($C35="S",IF(OR(Import.TipoArredondamento&lt;&gt;"TransfereGOV",ACOMPANHAMENTO="BM"),VTOTAL1,SUM(OFFSET(CÁLCULO!$AA$15,ROW($X35)-ROW($X$15),1):OFFSET(CÁLCULO!$AL$15,ROW($X35)-ROW($X$15),-1))),IF($C35=0,0,ROUND(SomaAgrup,15-13*$AF$11)))</f>
        <v>0</v>
      </c>
      <c r="Y35" s="126" t="s">
        <v>751</v>
      </c>
      <c r="Z35" t="str">
        <f t="shared" ca="1" si="13"/>
        <v/>
      </c>
      <c r="AA35" s="127" cm="1">
        <f t="array" aca="1" ref="AA35" ca="1">IF($C35="S",IF($Z35="CP",$X35,IF($Z35="RA",(($X35)*QCI!$AA$3),0)),SomaAgrup)</f>
        <v>0</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f ca="1">IF(C35&lt;=CRONO.NivelExibicao,MAX($AD$15:OFFSET(AD35,-1,0))+IF($C35&lt;&gt;1,1,MAX(1,COUNTIF(QCI!$A$13:$A$24,OFFSET($E35,-1,0)))),"")</f>
        <v>5</v>
      </c>
      <c r="AE35" s="7" t="b" cm="1">
        <f t="array" aca="1" ref="AE35" ca="1">IF(AND($C35="S",ORÇAMENTO.CodBarra&lt;&gt;""),IF(ORÇAMENTO.Fonte="",ORÇAMENTO.CodBarra,CONCATENATE(ORÇAMENTO.Fonte," ",ORÇAMENTO.CodBarra)))</f>
        <v>0</v>
      </c>
      <c r="AF35" s="12" t="str"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(Sem Código)</v>
      </c>
      <c r="AG35" s="428" cm="1">
        <f t="array" aca="1" ref="AG35" ca="1">ROUND(IF(DESONERACAO="sim",REFERENCIA.Desonerado,REFERENCIA.NaoDesonerado),2)</f>
        <v>0</v>
      </c>
      <c r="AH35" s="429">
        <f t="shared" ca="1" si="14"/>
        <v>0.2475</v>
      </c>
      <c r="AJ35" s="431"/>
      <c r="AL35" s="439"/>
      <c r="AM35" s="336">
        <f t="shared" ca="1" si="0"/>
        <v>0</v>
      </c>
      <c r="AN35" s="470" cm="1">
        <f t="array" aca="1" ref="AN35" ca="1">ROUND(ORÇAMENTO.CustoUnitario*(1+$AH35),2)</f>
        <v>0</v>
      </c>
    </row>
    <row r="36" spans="1:40" ht="38.25" x14ac:dyDescent="0.2">
      <c r="A36" t="str">
        <f t="shared" si="1"/>
        <v>S</v>
      </c>
      <c r="B36">
        <f t="shared" ca="1" si="2"/>
        <v>2</v>
      </c>
      <c r="C36" t="str">
        <f t="shared" ca="1" si="3"/>
        <v>S</v>
      </c>
      <c r="D36">
        <f t="shared" ca="1" si="4"/>
        <v>0</v>
      </c>
      <c r="E36">
        <f ca="1">IF($C36=1,OFFSET(E36,-1,0)+MAX(1,COUNTIF(QCI!$A$13:$A$24,OFFSET(ORÇAMENTO!E36,-1,0))),OFFSET(E36,-1,0))</f>
        <v>1</v>
      </c>
      <c r="F36">
        <f t="shared" ca="1" si="5"/>
        <v>4</v>
      </c>
      <c r="G36">
        <f t="shared" ca="1" si="6"/>
        <v>0</v>
      </c>
      <c r="H36">
        <f t="shared" ca="1" si="7"/>
        <v>0</v>
      </c>
      <c r="I36">
        <f t="shared" ca="1" si="8"/>
        <v>0</v>
      </c>
      <c r="J36">
        <f t="shared" ca="1" si="9"/>
        <v>0</v>
      </c>
      <c r="K36">
        <f ca="1">IF(OR($C36="S",$C36=0),0,MATCH(OFFSET($D36,0,$C36)+IF($C36&lt;&gt;1,1,COUNTIF(QCI!$A$13:$A$24,ORÇAMENTO!E36)),OFFSET($D36,1,$C36,ROW($C$47)-ROW($C36)),0))</f>
        <v>0</v>
      </c>
      <c r="L36" s="114" t="str">
        <f t="shared" ca="1" si="10"/>
        <v/>
      </c>
      <c r="M36" s="115" t="s">
        <v>705</v>
      </c>
      <c r="N36" s="116" t="str">
        <f t="shared" ca="1" si="11"/>
        <v>Serviço</v>
      </c>
      <c r="O36" s="117" t="str">
        <f t="shared" ca="1" si="12"/>
        <v>-</v>
      </c>
      <c r="P36" s="118" t="s">
        <v>750</v>
      </c>
      <c r="Q36" s="119" t="s">
        <v>1061</v>
      </c>
      <c r="R36" s="120" t="str" cm="1">
        <f t="array" aca="1" ref="R36" ca="1">IF($C36="S",REFERENCIA.Descricao,"(digite a descrição aqui)")</f>
        <v>(Código não identificado nas referências)</v>
      </c>
      <c r="S36" s="121" t="str" cm="1">
        <f t="array" aca="1" ref="S36" ca="1">REFERENCIA.Unidade</f>
        <v>-</v>
      </c>
      <c r="T36" s="122">
        <f ca="1">OFFSET(CÁLCULO!H$15,ROW($T36)-ROW(T$15),0)</f>
        <v>20.7</v>
      </c>
      <c r="U36" s="123">
        <f ca="1">AG36</f>
        <v>0</v>
      </c>
      <c r="V36" s="124" t="s">
        <v>663</v>
      </c>
      <c r="W36" s="122" cm="1">
        <f t="array" aca="1" ref="W36" ca="1">IF($C36="S",ROUND(IF(TIPOORCAMENTO="Proposto",ORÇAMENTO.CustoUnitario*(1+$AH36),ORÇAMENTO.PrecoUnitarioLicitado),15-13*$AF$10),0)</f>
        <v>0</v>
      </c>
      <c r="X36" s="125" cm="1">
        <f t="array" aca="1" ref="X36" ca="1">IF($C36="S",IF(OR(Import.TipoArredondamento&lt;&gt;"TransfereGOV",ACOMPANHAMENTO="BM"),VTOTAL1,SUM(OFFSET(CÁLCULO!$AA$15,ROW($X36)-ROW($X$15),1):OFFSET(CÁLCULO!$AL$15,ROW($X36)-ROW($X$15),-1))),IF($C36=0,0,ROUND(SomaAgrup,15-13*$AF$11)))</f>
        <v>0</v>
      </c>
      <c r="Y36" s="126" t="s">
        <v>751</v>
      </c>
      <c r="Z36" t="str">
        <f t="shared" ca="1" si="13"/>
        <v/>
      </c>
      <c r="AA36" s="127" cm="1">
        <f t="array" aca="1" ref="AA36" ca="1">IF($C36="S",IF($Z36="CP",$X36,IF($Z36="RA",(($X36)*QCI!$AA$3),0)),SomaAgrup)</f>
        <v>0</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CÓDIGO N/ID</v>
      </c>
      <c r="AD36" t="str">
        <f ca="1">IF(C36&lt;=CRONO.NivelExibicao,MAX($AD$15:OFFSET(AD36,-1,0))+IF($C36&lt;&gt;1,1,MAX(1,COUNTIF(QCI!$A$13:$A$24,OFFSET($E36,-1,0)))),"")</f>
        <v/>
      </c>
      <c r="AE36" s="7" t="str" cm="1">
        <f t="array" aca="1" ref="AE36" ca="1">IF(AND($C36="S",ORÇAMENTO.CodBarra&lt;&gt;""),IF(ORÇAMENTO.Fonte="",ORÇAMENTO.CodBarra,CONCATENATE(ORÇAMENTO.Fonte," ",ORÇAMENTO.CodBarra)))</f>
        <v>SINAPI 94991</v>
      </c>
      <c r="AF36" s="12" t="str"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(Código não identificado nas referências)</v>
      </c>
      <c r="AG36" s="428" cm="1">
        <f t="array" aca="1" ref="AG36" ca="1">ROUND(IF(DESONERACAO="sim",REFERENCIA.Desonerado,REFERENCIA.NaoDesonerado),2)</f>
        <v>0</v>
      </c>
      <c r="AH36" s="429">
        <f t="shared" ca="1" si="14"/>
        <v>0.2475</v>
      </c>
      <c r="AJ36" s="431">
        <f>(352+(74-12))*0.05</f>
        <v>20.700000000000003</v>
      </c>
      <c r="AL36" s="439"/>
      <c r="AM36" s="336">
        <f t="shared" ca="1" si="0"/>
        <v>0</v>
      </c>
      <c r="AN36" s="470" cm="1">
        <f t="array" aca="1" ref="AN36" ca="1">ROUND(ORÇAMENTO.CustoUnitario*(1+$AH36),2)</f>
        <v>0</v>
      </c>
    </row>
    <row r="37" spans="1:40" ht="63.75" x14ac:dyDescent="0.2">
      <c r="A37" t="str">
        <f t="shared" si="1"/>
        <v>S</v>
      </c>
      <c r="B37">
        <f t="shared" ca="1" si="2"/>
        <v>2</v>
      </c>
      <c r="C37" t="str">
        <f t="shared" ca="1" si="3"/>
        <v>S</v>
      </c>
      <c r="D37">
        <f t="shared" ca="1" si="4"/>
        <v>0</v>
      </c>
      <c r="E37">
        <f ca="1">IF($C37=1,OFFSET(E37,-1,0)+MAX(1,COUNTIF(QCI!$A$13:$A$24,OFFSET(ORÇAMENTO!E37,-1,0))),OFFSET(E37,-1,0))</f>
        <v>1</v>
      </c>
      <c r="F37">
        <f t="shared" ca="1" si="5"/>
        <v>4</v>
      </c>
      <c r="G37">
        <f t="shared" ca="1" si="6"/>
        <v>0</v>
      </c>
      <c r="H37">
        <f t="shared" ca="1" si="7"/>
        <v>0</v>
      </c>
      <c r="I37">
        <f t="shared" ca="1" si="8"/>
        <v>0</v>
      </c>
      <c r="J37">
        <f t="shared" ca="1" si="9"/>
        <v>0</v>
      </c>
      <c r="K37">
        <f ca="1">IF(OR($C37="S",$C37=0),0,MATCH(OFFSET($D37,0,$C37)+IF($C37&lt;&gt;1,1,COUNTIF(QCI!$A$13:$A$24,ORÇAMENTO!E37)),OFFSET($D37,1,$C37,ROW($C$47)-ROW($C37)),0))</f>
        <v>0</v>
      </c>
      <c r="L37" s="114" t="str">
        <f t="shared" ca="1" si="10"/>
        <v/>
      </c>
      <c r="M37" s="115" t="s">
        <v>705</v>
      </c>
      <c r="N37" s="116" t="str">
        <f t="shared" ca="1" si="11"/>
        <v>Serviço</v>
      </c>
      <c r="O37" s="117" t="str">
        <f t="shared" ca="1" si="12"/>
        <v>-</v>
      </c>
      <c r="P37" s="118" t="s">
        <v>1009</v>
      </c>
      <c r="Q37" s="119" t="s">
        <v>1030</v>
      </c>
      <c r="R37" s="120" t="str" cm="1">
        <f t="array" aca="1" ref="R37" ca="1">IF($C37="S",REFERENCIA.Descricao,"(digite a descrição aqui)")</f>
        <v>(Código não identificado nas referências)</v>
      </c>
      <c r="S37" s="121" t="str" cm="1">
        <f t="array" aca="1" ref="S37" ca="1">REFERENCIA.Unidade</f>
        <v>-</v>
      </c>
      <c r="T37" s="122">
        <f ca="1">OFFSET(CÁLCULO!H$15,ROW($T37)-ROW(T$15),0)</f>
        <v>594</v>
      </c>
      <c r="U37" s="123">
        <f t="shared" ref="U37:U45" ca="1" si="28">AG37</f>
        <v>0</v>
      </c>
      <c r="V37" s="124" t="s">
        <v>663</v>
      </c>
      <c r="W37" s="122" cm="1">
        <f t="array" aca="1" ref="W37"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0</v>
      </c>
      <c r="Y37" s="126" t="s">
        <v>751</v>
      </c>
      <c r="Z37" t="str">
        <f t="shared" ca="1" si="13"/>
        <v/>
      </c>
      <c r="AA37" s="127" cm="1">
        <f t="array" aca="1" ref="AA37" ca="1">IF($C37="S",IF($Z37="CP",$X37,IF($Z37="RA",(($X37)*QCI!$AA$3),0)),SomaAgrup)</f>
        <v>0</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CÓDIGO N/ID</v>
      </c>
      <c r="AD37" t="str">
        <f ca="1">IF(C37&lt;=CRONO.NivelExibicao,MAX($AD$15:OFFSET(AD37,-1,0))+IF($C37&lt;&gt;1,1,MAX(1,COUNTIF(QCI!$A$13:$A$24,OFFSET($E37,-1,0)))),"")</f>
        <v/>
      </c>
      <c r="AE37" s="7" t="str" cm="1">
        <f t="array" aca="1" ref="AE37" ca="1">IF(AND($C37="S",ORÇAMENTO.CodBarra&lt;&gt;""),IF(ORÇAMENTO.Fonte="",ORÇAMENTO.CodBarra,CONCATENATE(ORÇAMENTO.Fonte," ",ORÇAMENTO.CodBarra)))</f>
        <v>SICOR ED-8915</v>
      </c>
      <c r="AF37" s="12" t="str"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(Código não identificado nas referências)</v>
      </c>
      <c r="AG37" s="428" cm="1">
        <f t="array" aca="1" ref="AG37" ca="1">ROUND(IF(DESONERACAO="sim",REFERENCIA.Desonerado,REFERENCIA.NaoDesonerado),2)</f>
        <v>0</v>
      </c>
      <c r="AH37" s="429">
        <f t="shared" ca="1" si="14"/>
        <v>0.2475</v>
      </c>
      <c r="AJ37" s="431">
        <f>240+354</f>
        <v>594</v>
      </c>
      <c r="AL37" s="439"/>
      <c r="AM37" s="336">
        <f t="shared" ca="1" si="0"/>
        <v>0</v>
      </c>
      <c r="AN37" s="470" cm="1">
        <f t="array" aca="1" ref="AN37" ca="1">ROUND(ORÇAMENTO.CustoUnitario*(1+$AH37),2)</f>
        <v>0</v>
      </c>
    </row>
    <row r="38" spans="1:40" ht="25.5" x14ac:dyDescent="0.2">
      <c r="A38" t="str">
        <f t="shared" si="1"/>
        <v>S</v>
      </c>
      <c r="B38">
        <f t="shared" ca="1" si="2"/>
        <v>2</v>
      </c>
      <c r="C38" t="str">
        <f t="shared" ca="1" si="3"/>
        <v>S</v>
      </c>
      <c r="D38">
        <f t="shared" ca="1" si="4"/>
        <v>0</v>
      </c>
      <c r="E38">
        <f ca="1">IF($C38=1,OFFSET(E38,-1,0)+MAX(1,COUNTIF(QCI!$A$13:$A$24,OFFSET(ORÇAMENTO!E38,-1,0))),OFFSET(E38,-1,0))</f>
        <v>1</v>
      </c>
      <c r="F38">
        <f t="shared" ca="1" si="5"/>
        <v>4</v>
      </c>
      <c r="G38">
        <f t="shared" ca="1" si="6"/>
        <v>0</v>
      </c>
      <c r="H38">
        <f t="shared" ca="1" si="7"/>
        <v>0</v>
      </c>
      <c r="I38">
        <f t="shared" ca="1" si="8"/>
        <v>0</v>
      </c>
      <c r="J38">
        <f t="shared" ca="1" si="9"/>
        <v>0</v>
      </c>
      <c r="K38">
        <f ca="1">IF(OR($C38="S",$C38=0),0,MATCH(OFFSET($D38,0,$C38)+IF($C38&lt;&gt;1,1,COUNTIF(QCI!$A$13:$A$24,ORÇAMENTO!E38)),OFFSET($D38,1,$C38,ROW($C$47)-ROW($C38)),0))</f>
        <v>0</v>
      </c>
      <c r="L38" s="114" t="str">
        <f t="shared" ca="1" si="10"/>
        <v/>
      </c>
      <c r="M38" s="115" t="s">
        <v>705</v>
      </c>
      <c r="N38" s="116" t="str">
        <f t="shared" ca="1" si="11"/>
        <v>Serviço</v>
      </c>
      <c r="O38" s="117" t="str">
        <f t="shared" ca="1" si="12"/>
        <v>-</v>
      </c>
      <c r="P38" s="118" t="s">
        <v>1009</v>
      </c>
      <c r="Q38" s="119" t="s">
        <v>1031</v>
      </c>
      <c r="R38" s="120" t="str" cm="1">
        <f t="array" aca="1" ref="R38" ca="1">IF($C38="S",REFERENCIA.Descricao,"(digite a descrição aqui)")</f>
        <v>(Código não identificado nas referências)</v>
      </c>
      <c r="S38" s="121" t="str" cm="1">
        <f t="array" aca="1" ref="S38" ca="1">REFERENCIA.Unidade</f>
        <v>-</v>
      </c>
      <c r="T38" s="122">
        <f ca="1">OFFSET(CÁLCULO!H$15,ROW($T38)-ROW(T$15),0)</f>
        <v>948</v>
      </c>
      <c r="U38" s="123">
        <f t="shared" ca="1" si="28"/>
        <v>0</v>
      </c>
      <c r="V38" s="124" t="s">
        <v>663</v>
      </c>
      <c r="W38" s="122" cm="1">
        <f t="array" aca="1" ref="W38"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0</v>
      </c>
      <c r="Y38" s="126" t="s">
        <v>751</v>
      </c>
      <c r="Z38" t="str">
        <f t="shared" ca="1" si="13"/>
        <v/>
      </c>
      <c r="AA38" s="127" cm="1">
        <f t="array" aca="1" ref="AA38" ca="1">IF($C38="S",IF($Z38="CP",$X38,IF($Z38="RA",(($X38)*QCI!$AA$3),0)),SomaAgrup)</f>
        <v>0</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CÓDIGO N/ID</v>
      </c>
      <c r="AD38" t="str">
        <f ca="1">IF(C38&lt;=CRONO.NivelExibicao,MAX($AD$15:OFFSET(AD38,-1,0))+IF($C38&lt;&gt;1,1,MAX(1,COUNTIF(QCI!$A$13:$A$24,OFFSET($E38,-1,0)))),"")</f>
        <v/>
      </c>
      <c r="AE38" s="7" t="str" cm="1">
        <f t="array" aca="1" ref="AE38" ca="1">IF(AND($C38="S",ORÇAMENTO.CodBarra&lt;&gt;""),IF(ORÇAMENTO.Fonte="",ORÇAMENTO.CodBarra,CONCATENATE(ORÇAMENTO.Fonte," ",ORÇAMENTO.CodBarra)))</f>
        <v>SICOR ED-50435</v>
      </c>
      <c r="AF38" s="12" t="str"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(Código não identificado nas referências)</v>
      </c>
      <c r="AG38" s="428" cm="1">
        <f t="array" aca="1" ref="AG38" ca="1">ROUND(IF(DESONERACAO="sim",REFERENCIA.Desonerado,REFERENCIA.NaoDesonerado),2)</f>
        <v>0</v>
      </c>
      <c r="AH38" s="429">
        <f t="shared" ca="1" si="14"/>
        <v>0.2475</v>
      </c>
      <c r="AJ38" s="431">
        <f>230+351+367</f>
        <v>948</v>
      </c>
      <c r="AL38" s="439"/>
      <c r="AM38" s="336">
        <f t="shared" ca="1" si="0"/>
        <v>0</v>
      </c>
      <c r="AN38" s="470" cm="1">
        <f t="array" aca="1" ref="AN38" ca="1">ROUND(ORÇAMENTO.CustoUnitario*(1+$AH38),2)</f>
        <v>0</v>
      </c>
    </row>
    <row r="39" spans="1:40" ht="51" x14ac:dyDescent="0.2">
      <c r="A39" t="str">
        <f t="shared" si="1"/>
        <v>S</v>
      </c>
      <c r="B39">
        <f t="shared" ca="1" si="2"/>
        <v>2</v>
      </c>
      <c r="C39" t="str">
        <f t="shared" ca="1" si="3"/>
        <v>S</v>
      </c>
      <c r="D39">
        <f t="shared" ca="1" si="4"/>
        <v>0</v>
      </c>
      <c r="E39">
        <f ca="1">IF($C39=1,OFFSET(E39,-1,0)+MAX(1,COUNTIF(QCI!$A$13:$A$24,OFFSET(ORÇAMENTO!E39,-1,0))),OFFSET(E39,-1,0))</f>
        <v>1</v>
      </c>
      <c r="F39">
        <f t="shared" ca="1" si="5"/>
        <v>4</v>
      </c>
      <c r="G39">
        <f t="shared" ca="1" si="6"/>
        <v>0</v>
      </c>
      <c r="H39">
        <f t="shared" ca="1" si="7"/>
        <v>0</v>
      </c>
      <c r="I39">
        <f t="shared" ca="1" si="8"/>
        <v>0</v>
      </c>
      <c r="J39">
        <f t="shared" ca="1" si="9"/>
        <v>0</v>
      </c>
      <c r="K39">
        <f ca="1">IF(OR($C39="S",$C39=0),0,MATCH(OFFSET($D39,0,$C39)+IF($C39&lt;&gt;1,1,COUNTIF(QCI!$A$13:$A$24,ORÇAMENTO!E39)),OFFSET($D39,1,$C39,ROW($C$47)-ROW($C39)),0))</f>
        <v>0</v>
      </c>
      <c r="L39" s="114" t="str">
        <f t="shared" ca="1" si="10"/>
        <v/>
      </c>
      <c r="M39" s="115" t="s">
        <v>705</v>
      </c>
      <c r="N39" s="116" t="str">
        <f t="shared" ca="1" si="11"/>
        <v>Serviço</v>
      </c>
      <c r="O39" s="117" t="str">
        <f t="shared" ca="1" si="12"/>
        <v>-</v>
      </c>
      <c r="P39" s="118" t="s">
        <v>1009</v>
      </c>
      <c r="Q39" s="119" t="s">
        <v>1032</v>
      </c>
      <c r="R39" s="120" t="str" cm="1">
        <f t="array" aca="1" ref="R39" ca="1">IF($C39="S",REFERENCIA.Descricao,"(digite a descrição aqui)")</f>
        <v>(Código não identificado nas referências)</v>
      </c>
      <c r="S39" s="121" t="str" cm="1">
        <f t="array" aca="1" ref="S39" ca="1">REFERENCIA.Unidade</f>
        <v>-</v>
      </c>
      <c r="T39" s="122">
        <f ca="1">OFFSET(CÁLCULO!H$15,ROW($T39)-ROW(T$15),0)</f>
        <v>16</v>
      </c>
      <c r="U39" s="123">
        <f t="shared" ca="1" si="28"/>
        <v>0</v>
      </c>
      <c r="V39" s="124" t="s">
        <v>663</v>
      </c>
      <c r="W39" s="122" cm="1">
        <f t="array" aca="1" ref="W39" ca="1">IF($C39="S",ROUND(IF(TIPOORCAMENTO="Proposto",ORÇAMENTO.CustoUnitario*(1+$AH39),ORÇAMENTO.PrecoUnitarioLicitado),15-13*$AF$10),0)</f>
        <v>0</v>
      </c>
      <c r="X39" s="125" cm="1">
        <f t="array" aca="1" ref="X39" ca="1">IF($C39="S",IF(OR(Import.TipoArredondamento&lt;&gt;"TransfereGOV",ACOMPANHAMENTO="BM"),VTOTAL1,SUM(OFFSET(CÁLCULO!$AA$15,ROW($X39)-ROW($X$15),1):OFFSET(CÁLCULO!$AL$15,ROW($X39)-ROW($X$15),-1))),IF($C39=0,0,ROUND(SomaAgrup,15-13*$AF$11)))</f>
        <v>0</v>
      </c>
      <c r="Y39" s="126" t="s">
        <v>751</v>
      </c>
      <c r="Z39" t="str">
        <f t="shared" ca="1" si="13"/>
        <v/>
      </c>
      <c r="AA39" s="127" cm="1">
        <f t="array" aca="1" ref="AA39" ca="1">IF($C39="S",IF($Z39="CP",$X39,IF($Z39="RA",(($X39)*QCI!$AA$3),0)),SomaAgrup)</f>
        <v>0</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CÓDIGO N/ID</v>
      </c>
      <c r="AD39" t="str">
        <f ca="1">IF(C39&lt;=CRONO.NivelExibicao,MAX($AD$15:OFFSET(AD39,-1,0))+IF($C39&lt;&gt;1,1,MAX(1,COUNTIF(QCI!$A$13:$A$24,OFFSET($E39,-1,0)))),"")</f>
        <v/>
      </c>
      <c r="AE39" s="7" t="str" cm="1">
        <f t="array" aca="1" ref="AE39" ca="1">IF(AND($C39="S",ORÇAMENTO.CodBarra&lt;&gt;""),IF(ORÇAMENTO.Fonte="",ORÇAMENTO.CodBarra,CONCATENATE(ORÇAMENTO.Fonte," ",ORÇAMENTO.CodBarra)))</f>
        <v>SICOR ED-15450</v>
      </c>
      <c r="AF39" s="12" t="str"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(Código não identificado nas referências)</v>
      </c>
      <c r="AG39" s="428" cm="1">
        <f t="array" aca="1" ref="AG39" ca="1">ROUND(IF(DESONERACAO="sim",REFERENCIA.Desonerado,REFERENCIA.NaoDesonerado),2)</f>
        <v>0</v>
      </c>
      <c r="AH39" s="429">
        <f t="shared" ca="1" si="14"/>
        <v>0.2475</v>
      </c>
      <c r="AJ39" s="431">
        <v>16</v>
      </c>
      <c r="AL39" s="439"/>
      <c r="AM39" s="336">
        <f t="shared" ca="1" si="0"/>
        <v>0</v>
      </c>
      <c r="AN39" s="470" cm="1">
        <f t="array" aca="1" ref="AN39" ca="1">ROUND(ORÇAMENTO.CustoUnitario*(1+$AH39),2)</f>
        <v>0</v>
      </c>
    </row>
    <row r="40" spans="1:40" ht="38.25" x14ac:dyDescent="0.2">
      <c r="A40" t="str">
        <f t="shared" si="1"/>
        <v>S</v>
      </c>
      <c r="B40">
        <f t="shared" ca="1" si="2"/>
        <v>2</v>
      </c>
      <c r="C40" t="str">
        <f t="shared" ca="1" si="3"/>
        <v>S</v>
      </c>
      <c r="D40">
        <f t="shared" ca="1" si="4"/>
        <v>0</v>
      </c>
      <c r="E40">
        <f ca="1">IF($C40=1,OFFSET(E40,-1,0)+MAX(1,COUNTIF(QCI!$A$13:$A$24,OFFSET(ORÇAMENTO!E40,-1,0))),OFFSET(E40,-1,0))</f>
        <v>1</v>
      </c>
      <c r="F40">
        <f t="shared" ca="1" si="5"/>
        <v>4</v>
      </c>
      <c r="G40">
        <f t="shared" ca="1" si="6"/>
        <v>0</v>
      </c>
      <c r="H40">
        <f t="shared" ca="1" si="7"/>
        <v>0</v>
      </c>
      <c r="I40">
        <f t="shared" ca="1" si="8"/>
        <v>0</v>
      </c>
      <c r="J40">
        <f t="shared" ca="1" si="9"/>
        <v>0</v>
      </c>
      <c r="K40">
        <f ca="1">IF(OR($C40="S",$C40=0),0,MATCH(OFFSET($D40,0,$C40)+IF($C40&lt;&gt;1,1,COUNTIF(QCI!$A$13:$A$24,ORÇAMENTO!E40)),OFFSET($D40,1,$C40,ROW($C$47)-ROW($C40)),0))</f>
        <v>0</v>
      </c>
      <c r="L40" s="114" t="str">
        <f t="shared" ca="1" si="10"/>
        <v/>
      </c>
      <c r="M40" s="115" t="s">
        <v>705</v>
      </c>
      <c r="N40" s="116" t="str">
        <f t="shared" ca="1" si="11"/>
        <v>Serviço</v>
      </c>
      <c r="O40" s="117" t="str">
        <f t="shared" ca="1" si="12"/>
        <v>-</v>
      </c>
      <c r="P40" s="118" t="s">
        <v>1009</v>
      </c>
      <c r="Q40" s="119" t="s">
        <v>1033</v>
      </c>
      <c r="R40" s="120" t="str" cm="1">
        <f t="array" aca="1" ref="R40" ca="1">IF($C40="S",REFERENCIA.Descricao,"(digite a descrição aqui)")</f>
        <v>(Código não identificado nas referências)</v>
      </c>
      <c r="S40" s="121" t="str" cm="1">
        <f t="array" aca="1" ref="S40" ca="1">REFERENCIA.Unidade</f>
        <v>-</v>
      </c>
      <c r="T40" s="122">
        <f ca="1">OFFSET(CÁLCULO!H$15,ROW($T40)-ROW(T$15),0)</f>
        <v>5</v>
      </c>
      <c r="U40" s="123">
        <f t="shared" ca="1" si="28"/>
        <v>0</v>
      </c>
      <c r="V40" s="124" t="s">
        <v>663</v>
      </c>
      <c r="W40" s="122" cm="1">
        <f t="array" aca="1" ref="W40" ca="1">IF($C40="S",ROUND(IF(TIPOORCAMENTO="Proposto",ORÇAMENTO.CustoUnitario*(1+$AH40),ORÇAMENTO.PrecoUnitarioLicitado),15-13*$AF$10),0)</f>
        <v>0</v>
      </c>
      <c r="X40" s="125" cm="1">
        <f t="array" aca="1" ref="X40" ca="1">IF($C40="S",IF(OR(Import.TipoArredondamento&lt;&gt;"TransfereGOV",ACOMPANHAMENTO="BM"),VTOTAL1,SUM(OFFSET(CÁLCULO!$AA$15,ROW($X40)-ROW($X$15),1):OFFSET(CÁLCULO!$AL$15,ROW($X40)-ROW($X$15),-1))),IF($C40=0,0,ROUND(SomaAgrup,15-13*$AF$11)))</f>
        <v>0</v>
      </c>
      <c r="Y40" s="126" t="s">
        <v>751</v>
      </c>
      <c r="Z40" t="str">
        <f t="shared" ca="1" si="13"/>
        <v/>
      </c>
      <c r="AA40" s="127" cm="1">
        <f t="array" aca="1" ref="AA40" ca="1">IF($C40="S",IF($Z40="CP",$X40,IF($Z40="RA",(($X40)*QCI!$AA$3),0)),SomaAgrup)</f>
        <v>0</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CÓDIGO N/ID</v>
      </c>
      <c r="AD40" t="str">
        <f ca="1">IF(C40&lt;=CRONO.NivelExibicao,MAX($AD$15:OFFSET(AD40,-1,0))+IF($C40&lt;&gt;1,1,MAX(1,COUNTIF(QCI!$A$13:$A$24,OFFSET($E40,-1,0)))),"")</f>
        <v/>
      </c>
      <c r="AE40" s="7" t="str" cm="1">
        <f t="array" aca="1" ref="AE40" ca="1">IF(AND($C40="S",ORÇAMENTO.CodBarra&lt;&gt;""),IF(ORÇAMENTO.Fonte="",ORÇAMENTO.CodBarra,CONCATENATE(ORÇAMENTO.Fonte," ",ORÇAMENTO.CodBarra)))</f>
        <v>SICOR ED-48360</v>
      </c>
      <c r="AF40" s="12"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t="shared" ca="1" si="14"/>
        <v>0.2475</v>
      </c>
      <c r="AJ40" s="431">
        <v>5</v>
      </c>
      <c r="AL40" s="439"/>
      <c r="AM40" s="336">
        <f t="shared" ca="1" si="0"/>
        <v>0</v>
      </c>
      <c r="AN40" s="470" cm="1">
        <f t="array" aca="1" ref="AN40" ca="1">ROUND(ORÇAMENTO.CustoUnitario*(1+$AH40),2)</f>
        <v>0</v>
      </c>
    </row>
    <row r="41" spans="1:40" ht="51" x14ac:dyDescent="0.2">
      <c r="A41" t="str">
        <f t="shared" si="1"/>
        <v>S</v>
      </c>
      <c r="B41">
        <f t="shared" ca="1" si="2"/>
        <v>2</v>
      </c>
      <c r="C41" t="str">
        <f t="shared" ca="1" si="3"/>
        <v>S</v>
      </c>
      <c r="D41">
        <f t="shared" ca="1" si="4"/>
        <v>0</v>
      </c>
      <c r="E41">
        <f ca="1">IF($C41=1,OFFSET(E41,-1,0)+MAX(1,COUNTIF(QCI!$A$13:$A$24,OFFSET(ORÇAMENTO!E41,-1,0))),OFFSET(E41,-1,0))</f>
        <v>1</v>
      </c>
      <c r="F41">
        <f t="shared" ca="1" si="5"/>
        <v>4</v>
      </c>
      <c r="G41">
        <f t="shared" ca="1" si="6"/>
        <v>0</v>
      </c>
      <c r="H41">
        <f t="shared" ca="1" si="7"/>
        <v>0</v>
      </c>
      <c r="I41">
        <f t="shared" ca="1" si="8"/>
        <v>0</v>
      </c>
      <c r="J41">
        <f t="shared" ca="1" si="9"/>
        <v>0</v>
      </c>
      <c r="K41">
        <f ca="1">IF(OR($C41="S",$C41=0),0,MATCH(OFFSET($D41,0,$C41)+IF($C41&lt;&gt;1,1,COUNTIF(QCI!$A$13:$A$24,ORÇAMENTO!E41)),OFFSET($D41,1,$C41,ROW($C$47)-ROW($C41)),0))</f>
        <v>0</v>
      </c>
      <c r="L41" s="114" t="str">
        <f t="shared" ca="1" si="10"/>
        <v/>
      </c>
      <c r="M41" s="115" t="s">
        <v>705</v>
      </c>
      <c r="N41" s="116" t="str">
        <f t="shared" ca="1" si="11"/>
        <v>Serviço</v>
      </c>
      <c r="O41" s="117" t="str">
        <f t="shared" ca="1" si="12"/>
        <v>-</v>
      </c>
      <c r="P41" s="118" t="s">
        <v>750</v>
      </c>
      <c r="Q41" s="119" t="s">
        <v>1062</v>
      </c>
      <c r="R41" s="120" t="str" cm="1">
        <f t="array" aca="1" ref="R41" ca="1">IF($C41="S",REFERENCIA.Descricao,"(digite a descrição aqui)")</f>
        <v>(Código não identificado nas referências)</v>
      </c>
      <c r="S41" s="121" t="str" cm="1">
        <f t="array" aca="1" ref="S41" ca="1">REFERENCIA.Unidade</f>
        <v>-</v>
      </c>
      <c r="T41" s="122">
        <f ca="1">OFFSET(CÁLCULO!H$15,ROW($T41)-ROW(T$15),0)</f>
        <v>113</v>
      </c>
      <c r="U41" s="123">
        <f t="shared" ca="1" si="28"/>
        <v>0</v>
      </c>
      <c r="V41" s="124" t="s">
        <v>663</v>
      </c>
      <c r="W41" s="122" cm="1">
        <f t="array" aca="1" ref="W41" ca="1">IF($C41="S",ROUND(IF(TIPOORCAMENTO="Proposto",ORÇAMENTO.CustoUnitario*(1+$AH41),ORÇAMENTO.PrecoUnitarioLicitado),15-13*$AF$10),0)</f>
        <v>0</v>
      </c>
      <c r="X41" s="125" cm="1">
        <f t="array" aca="1" ref="X41" ca="1">IF($C41="S",IF(OR(Import.TipoArredondamento&lt;&gt;"TransfereGOV",ACOMPANHAMENTO="BM"),VTOTAL1,SUM(OFFSET(CÁLCULO!$AA$15,ROW($X41)-ROW($X$15),1):OFFSET(CÁLCULO!$AL$15,ROW($X41)-ROW($X$15),-1))),IF($C41=0,0,ROUND(SomaAgrup,15-13*$AF$11)))</f>
        <v>0</v>
      </c>
      <c r="Y41" s="126" t="s">
        <v>751</v>
      </c>
      <c r="Z41" t="str">
        <f t="shared" ca="1" si="13"/>
        <v/>
      </c>
      <c r="AA41" s="127" cm="1">
        <f t="array" aca="1" ref="AA41" ca="1">IF($C41="S",IF($Z41="CP",$X41,IF($Z41="RA",(($X41)*QCI!$AA$3),0)),SomaAgrup)</f>
        <v>0</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CÓDIGO N/ID</v>
      </c>
      <c r="AD41" t="str">
        <f ca="1">IF(C41&lt;=CRONO.NivelExibicao,MAX($AD$15:OFFSET(AD41,-1,0))+IF($C41&lt;&gt;1,1,MAX(1,COUNTIF(QCI!$A$13:$A$24,OFFSET($E41,-1,0)))),"")</f>
        <v/>
      </c>
      <c r="AE41" s="7" t="str" cm="1">
        <f t="array" aca="1" ref="AE41" ca="1">IF(AND($C41="S",ORÇAMENTO.CodBarra&lt;&gt;""),IF(ORÇAMENTO.Fonte="",ORÇAMENTO.CodBarra,CONCATENATE(ORÇAMENTO.Fonte," ",ORÇAMENTO.CodBarra)))</f>
        <v>SINAPI 94277</v>
      </c>
      <c r="AF41" s="12"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t="shared" ca="1" si="14"/>
        <v>0.2475</v>
      </c>
      <c r="AJ41" s="431">
        <v>113</v>
      </c>
      <c r="AL41" s="439"/>
      <c r="AM41" s="336">
        <f t="shared" ca="1" si="0"/>
        <v>0</v>
      </c>
      <c r="AN41" s="470" cm="1">
        <f t="array" aca="1" ref="AN41" ca="1">ROUND(ORÇAMENTO.CustoUnitario*(1+$AH41),2)</f>
        <v>0</v>
      </c>
    </row>
    <row r="42" spans="1:40" x14ac:dyDescent="0.2">
      <c r="A42">
        <f t="shared" si="1"/>
        <v>2</v>
      </c>
      <c r="B42">
        <f t="shared" ca="1" si="2"/>
        <v>2</v>
      </c>
      <c r="C42">
        <f t="shared" ca="1" si="3"/>
        <v>2</v>
      </c>
      <c r="D42">
        <f t="shared" ca="1" si="4"/>
        <v>3</v>
      </c>
      <c r="E42">
        <f ca="1">IF($C42=1,OFFSET(E42,-1,0)+MAX(1,COUNTIF(QCI!$A$13:$A$24,OFFSET(ORÇAMENTO!E42,-1,0))),OFFSET(E42,-1,0))</f>
        <v>1</v>
      </c>
      <c r="F42">
        <f t="shared" ca="1" si="5"/>
        <v>5</v>
      </c>
      <c r="G42">
        <f t="shared" ca="1" si="6"/>
        <v>0</v>
      </c>
      <c r="H42">
        <f t="shared" ca="1" si="7"/>
        <v>0</v>
      </c>
      <c r="I42">
        <f t="shared" ca="1" si="8"/>
        <v>0</v>
      </c>
      <c r="J42">
        <f t="shared" ca="1" si="9"/>
        <v>5</v>
      </c>
      <c r="K42">
        <f ca="1">IF(OR($C42="S",$C42=0),0,MATCH(OFFSET($D42,0,$C42)+IF($C42&lt;&gt;1,1,COUNTIF(QCI!$A$13:$A$24,ORÇAMENTO!E42)),OFFSET($D42,1,$C42,ROW($C$47)-ROW($C42)),0))</f>
        <v>3</v>
      </c>
      <c r="L42" s="114" t="str">
        <f t="shared" ca="1" si="10"/>
        <v>F</v>
      </c>
      <c r="M42" s="115" t="s">
        <v>702</v>
      </c>
      <c r="N42" s="116" t="str">
        <f t="shared" ca="1" si="11"/>
        <v>Nível 2</v>
      </c>
      <c r="O42" s="117" t="str">
        <f t="shared" ca="1" si="12"/>
        <v>1.5.</v>
      </c>
      <c r="P42" s="118" t="s">
        <v>750</v>
      </c>
      <c r="Q42" s="119"/>
      <c r="R42" s="120" t="s">
        <v>1034</v>
      </c>
      <c r="S42" s="121" t="str" cm="1">
        <f t="array" aca="1" ref="S42" ca="1">REFERENCIA.Unidade</f>
        <v>-</v>
      </c>
      <c r="T42" s="122">
        <f ca="1">OFFSET(CÁLCULO!H$15,ROW($T42)-ROW(T$15),0)</f>
        <v>0</v>
      </c>
      <c r="U42" s="123">
        <f t="shared" ca="1" si="28"/>
        <v>0</v>
      </c>
      <c r="V42" s="124" t="s">
        <v>663</v>
      </c>
      <c r="W42" s="122" cm="1">
        <f t="array" aca="1" ref="W42" ca="1">IF($C42="S",ROUND(IF(TIPOORCAMENTO="Proposto",ORÇAMENTO.CustoUnitario*(1+$AH42),ORÇAMENTO.PrecoUnitarioLicitado),15-13*$AF$10),0)</f>
        <v>0</v>
      </c>
      <c r="X42" s="125" cm="1">
        <f t="array" aca="1" ref="X42" ca="1">IF($C42="S",IF(OR(Import.TipoArredondamento&lt;&gt;"TransfereGOV",ACOMPANHAMENTO="BM"),VTOTAL1,SUM(OFFSET(CÁLCULO!$AA$15,ROW($X42)-ROW($X$15),1):OFFSET(CÁLCULO!$AL$15,ROW($X42)-ROW($X$15),-1))),IF($C42=0,0,ROUND(SomaAgrup,15-13*$AF$11)))</f>
        <v>0</v>
      </c>
      <c r="Y42" s="126" t="s">
        <v>751</v>
      </c>
      <c r="Z42" t="str">
        <f t="shared" ca="1" si="13"/>
        <v/>
      </c>
      <c r="AA42" s="127" cm="1">
        <f t="array" aca="1" ref="AA42" ca="1">IF($C42="S",IF($Z42="CP",$X42,IF($Z42="RA",(($X42)*QCI!$AA$3),0)),SomaAgrup)</f>
        <v>0</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f ca="1">IF(C42&lt;=CRONO.NivelExibicao,MAX($AD$15:OFFSET(AD42,-1,0))+IF($C42&lt;&gt;1,1,MAX(1,COUNTIF(QCI!$A$13:$A$24,OFFSET($E42,-1,0)))),"")</f>
        <v>6</v>
      </c>
      <c r="AE42" s="7" t="b" cm="1">
        <f t="array" aca="1" ref="AE42" ca="1">IF(AND($C42="S",ORÇAMENTO.CodBarra&lt;&gt;""),IF(ORÇAMENTO.Fonte="",ORÇAMENTO.CodBarra,CONCATENATE(ORÇAMENTO.Fonte," ",ORÇAMENTO.CodBarra)))</f>
        <v>0</v>
      </c>
      <c r="AF42" s="12"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cm="1">
        <f t="array" aca="1" ref="AG42" ca="1">ROUND(IF(DESONERACAO="sim",REFERENCIA.Desonerado,REFERENCIA.NaoDesonerado),2)</f>
        <v>0</v>
      </c>
      <c r="AH42" s="429">
        <f t="shared" ca="1" si="14"/>
        <v>0.2475</v>
      </c>
      <c r="AJ42" s="431"/>
      <c r="AL42" s="439"/>
      <c r="AM42" s="336">
        <f t="shared" ca="1" si="0"/>
        <v>0</v>
      </c>
      <c r="AN42" s="470" cm="1">
        <f t="array" aca="1" ref="AN42" ca="1">ROUND(ORÇAMENTO.CustoUnitario*(1+$AH42),2)</f>
        <v>0</v>
      </c>
    </row>
    <row r="43" spans="1:40" x14ac:dyDescent="0.2">
      <c r="A43" t="str">
        <f t="shared" si="1"/>
        <v>S</v>
      </c>
      <c r="B43">
        <f t="shared" ca="1" si="2"/>
        <v>2</v>
      </c>
      <c r="C43" t="str">
        <f t="shared" ca="1" si="3"/>
        <v>S</v>
      </c>
      <c r="D43">
        <f t="shared" ca="1" si="4"/>
        <v>0</v>
      </c>
      <c r="E43">
        <f ca="1">IF($C43=1,OFFSET(E43,-1,0)+MAX(1,COUNTIF(QCI!$A$13:$A$24,OFFSET(ORÇAMENTO!E43,-1,0))),OFFSET(E43,-1,0))</f>
        <v>1</v>
      </c>
      <c r="F43">
        <f t="shared" ca="1" si="5"/>
        <v>5</v>
      </c>
      <c r="G43">
        <f t="shared" ca="1" si="6"/>
        <v>0</v>
      </c>
      <c r="H43">
        <f t="shared" ca="1" si="7"/>
        <v>0</v>
      </c>
      <c r="I43">
        <f t="shared" ca="1" si="8"/>
        <v>0</v>
      </c>
      <c r="J43">
        <f t="shared" ca="1" si="9"/>
        <v>0</v>
      </c>
      <c r="K43">
        <f ca="1">IF(OR($C43="S",$C43=0),0,MATCH(OFFSET($D43,0,$C43)+IF($C43&lt;&gt;1,1,COUNTIF(QCI!$A$13:$A$24,ORÇAMENTO!E43)),OFFSET($D43,1,$C43,ROW($C$47)-ROW($C43)),0))</f>
        <v>0</v>
      </c>
      <c r="L43" s="114" t="str">
        <f t="shared" ca="1" si="10"/>
        <v/>
      </c>
      <c r="M43" s="115" t="s">
        <v>705</v>
      </c>
      <c r="N43" s="116" t="str">
        <f t="shared" ca="1" si="11"/>
        <v>Serviço</v>
      </c>
      <c r="O43" s="117" t="str">
        <f t="shared" ca="1" si="12"/>
        <v>-</v>
      </c>
      <c r="P43" s="118" t="s">
        <v>956</v>
      </c>
      <c r="Q43" s="119" t="s">
        <v>1035</v>
      </c>
      <c r="R43" s="120" t="str" cm="1">
        <f t="array" aca="1" ref="R43" ca="1">IF($C43="S",REFERENCIA.Descricao,"(digite a descrição aqui)")</f>
        <v>(Código não identificado nas referências)</v>
      </c>
      <c r="S43" s="121" t="str" cm="1">
        <f t="array" aca="1" ref="S43" ca="1">REFERENCIA.Unidade</f>
        <v>-</v>
      </c>
      <c r="T43" s="122">
        <f ca="1">OFFSET(CÁLCULO!H$15,ROW($T43)-ROW(T$15),0)</f>
        <v>4</v>
      </c>
      <c r="U43" s="123">
        <f t="shared" ca="1" si="28"/>
        <v>0</v>
      </c>
      <c r="V43" s="124" t="s">
        <v>663</v>
      </c>
      <c r="W43" s="122" cm="1">
        <f t="array" aca="1" ref="W43" ca="1">IF($C43="S",ROUND(IF(TIPOORCAMENTO="Proposto",ORÇAMENTO.CustoUnitario*(1+$AH43),ORÇAMENTO.PrecoUnitarioLicitado),15-13*$AF$10),0)</f>
        <v>0</v>
      </c>
      <c r="X43" s="125" cm="1">
        <f t="array" aca="1" ref="X43" ca="1">IF($C43="S",IF(OR(Import.TipoArredondamento&lt;&gt;"TransfereGOV",ACOMPANHAMENTO="BM"),VTOTAL1,SUM(OFFSET(CÁLCULO!$AA$15,ROW($X43)-ROW($X$15),1):OFFSET(CÁLCULO!$AL$15,ROW($X43)-ROW($X$15),-1))),IF($C43=0,0,ROUND(SomaAgrup,15-13*$AF$11)))</f>
        <v>0</v>
      </c>
      <c r="Y43" s="126" t="s">
        <v>751</v>
      </c>
      <c r="Z43" t="str">
        <f t="shared" ca="1" si="13"/>
        <v/>
      </c>
      <c r="AA43" s="127" cm="1">
        <f t="array" aca="1" ref="AA43" ca="1">IF($C43="S",IF($Z43="CP",$X43,IF($Z43="RA",(($X43)*QCI!$AA$3),0)),SomaAgrup)</f>
        <v>0</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CÓDIGO N/ID</v>
      </c>
      <c r="AD43" t="str">
        <f ca="1">IF(C43&lt;=CRONO.NivelExibicao,MAX($AD$15:OFFSET(AD43,-1,0))+IF($C43&lt;&gt;1,1,MAX(1,COUNTIF(QCI!$A$13:$A$24,OFFSET($E43,-1,0)))),"")</f>
        <v/>
      </c>
      <c r="AE43" s="7" t="str" cm="1">
        <f t="array" aca="1" ref="AE43" ca="1">IF(AND($C43="S",ORÇAMENTO.CodBarra&lt;&gt;""),IF(ORÇAMENTO.Fonte="",ORÇAMENTO.CodBarra,CONCATENATE(ORÇAMENTO.Fonte," ",ORÇAMENTO.CodBarra)))</f>
        <v>Composição COMP03</v>
      </c>
      <c r="AF43" s="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t="shared" ca="1" si="14"/>
        <v>0.2475</v>
      </c>
      <c r="AJ43" s="431">
        <v>4</v>
      </c>
      <c r="AL43" s="439"/>
      <c r="AM43" s="336">
        <f t="shared" ca="1" si="0"/>
        <v>0</v>
      </c>
      <c r="AN43" s="470" cm="1">
        <f t="array" aca="1" ref="AN43" ca="1">ROUND(ORÇAMENTO.CustoUnitario*(1+$AH43),2)</f>
        <v>0</v>
      </c>
    </row>
    <row r="44" spans="1:40" ht="51" x14ac:dyDescent="0.2">
      <c r="A44" t="str">
        <f t="shared" si="1"/>
        <v>S</v>
      </c>
      <c r="B44">
        <f t="shared" ca="1" si="2"/>
        <v>2</v>
      </c>
      <c r="C44" t="str">
        <f t="shared" ca="1" si="3"/>
        <v>S</v>
      </c>
      <c r="D44">
        <f t="shared" ca="1" si="4"/>
        <v>0</v>
      </c>
      <c r="E44">
        <f ca="1">IF($C44=1,OFFSET(E44,-1,0)+MAX(1,COUNTIF(QCI!$A$13:$A$24,OFFSET(ORÇAMENTO!E44,-1,0))),OFFSET(E44,-1,0))</f>
        <v>1</v>
      </c>
      <c r="F44">
        <f t="shared" ca="1" si="5"/>
        <v>5</v>
      </c>
      <c r="G44">
        <f t="shared" ca="1" si="6"/>
        <v>0</v>
      </c>
      <c r="H44">
        <f t="shared" ca="1" si="7"/>
        <v>0</v>
      </c>
      <c r="I44">
        <f t="shared" ca="1" si="8"/>
        <v>0</v>
      </c>
      <c r="J44">
        <f t="shared" ca="1" si="9"/>
        <v>0</v>
      </c>
      <c r="K44">
        <f ca="1">IF(OR($C44="S",$C44=0),0,MATCH(OFFSET($D44,0,$C44)+IF($C44&lt;&gt;1,1,COUNTIF(QCI!$A$13:$A$24,ORÇAMENTO!E44)),OFFSET($D44,1,$C44,ROW($C$47)-ROW($C44)),0))</f>
        <v>0</v>
      </c>
      <c r="L44" s="114" t="str">
        <f t="shared" ca="1" si="10"/>
        <v/>
      </c>
      <c r="M44" s="115" t="s">
        <v>705</v>
      </c>
      <c r="N44" s="116" t="str">
        <f t="shared" ca="1" si="11"/>
        <v>Serviço</v>
      </c>
      <c r="O44" s="117" t="str">
        <f t="shared" ca="1" si="12"/>
        <v>-</v>
      </c>
      <c r="P44" s="118" t="s">
        <v>1009</v>
      </c>
      <c r="Q44" s="119" t="s">
        <v>1036</v>
      </c>
      <c r="R44" s="120" t="str" cm="1">
        <f t="array" aca="1" ref="R44" ca="1">IF($C44="S",REFERENCIA.Descricao,"(digite a descrição aqui)")</f>
        <v>(Código não identificado nas referências)</v>
      </c>
      <c r="S44" s="121" t="str" cm="1">
        <f t="array" aca="1" ref="S44" ca="1">REFERENCIA.Unidade</f>
        <v>-</v>
      </c>
      <c r="T44" s="122">
        <f ca="1">OFFSET(CÁLCULO!H$15,ROW($T44)-ROW(T$15),0)</f>
        <v>1</v>
      </c>
      <c r="U44" s="123">
        <f t="shared" ca="1" si="28"/>
        <v>0</v>
      </c>
      <c r="V44" s="124" t="s">
        <v>663</v>
      </c>
      <c r="W44" s="122" cm="1">
        <f t="array" aca="1" ref="W44" ca="1">IF($C44="S",ROUND(IF(TIPOORCAMENTO="Proposto",ORÇAMENTO.CustoUnitario*(1+$AH44),ORÇAMENTO.PrecoUnitarioLicitado),15-13*$AF$10),0)</f>
        <v>0</v>
      </c>
      <c r="X44" s="125" cm="1">
        <f t="array" aca="1" ref="X44" ca="1">IF($C44="S",IF(OR(Import.TipoArredondamento&lt;&gt;"TransfereGOV",ACOMPANHAMENTO="BM"),VTOTAL1,SUM(OFFSET(CÁLCULO!$AA$15,ROW($X44)-ROW($X$15),1):OFFSET(CÁLCULO!$AL$15,ROW($X44)-ROW($X$15),-1))),IF($C44=0,0,ROUND(SomaAgrup,15-13*$AF$11)))</f>
        <v>0</v>
      </c>
      <c r="Y44" s="126" t="s">
        <v>751</v>
      </c>
      <c r="Z44" t="str">
        <f t="shared" ca="1" si="13"/>
        <v/>
      </c>
      <c r="AA44" s="127" cm="1">
        <f t="array" aca="1" ref="AA44" ca="1">IF($C44="S",IF($Z44="CP",$X44,IF($Z44="RA",(($X44)*QCI!$AA$3),0)),SomaAgrup)</f>
        <v>0</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CÓDIGO N/ID</v>
      </c>
      <c r="AD44" t="str">
        <f ca="1">IF(C44&lt;=CRONO.NivelExibicao,MAX($AD$15:OFFSET(AD44,-1,0))+IF($C44&lt;&gt;1,1,MAX(1,COUNTIF(QCI!$A$13:$A$24,OFFSET($E44,-1,0)))),"")</f>
        <v/>
      </c>
      <c r="AE44" s="7" t="str" cm="1">
        <f t="array" aca="1" ref="AE44" ca="1">IF(AND($C44="S",ORÇAMENTO.CodBarra&lt;&gt;""),IF(ORÇAMENTO.Fonte="",ORÇAMENTO.CodBarra,CONCATENATE(ORÇAMENTO.Fonte," ",ORÇAMENTO.CodBarra)))</f>
        <v>SICOR ED-22216</v>
      </c>
      <c r="AF44" s="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t="shared" ca="1" si="14"/>
        <v>0.2475</v>
      </c>
      <c r="AJ44" s="431">
        <v>1</v>
      </c>
      <c r="AL44" s="439"/>
      <c r="AM44" s="336">
        <f t="shared" ca="1" si="0"/>
        <v>0</v>
      </c>
      <c r="AN44" s="470" cm="1">
        <f t="array" aca="1" ref="AN44" ca="1">ROUND(ORÇAMENTO.CustoUnitario*(1+$AH44),2)</f>
        <v>0</v>
      </c>
    </row>
    <row r="45" spans="1:40" x14ac:dyDescent="0.2">
      <c r="A45">
        <f>CHOOSE(1+LOG(1+2*(ORÇAMENTO.Nivel="Meta")+4*(ORÇAMENTO.Nivel="Nível 2")+8*(ORÇAMENTO.Nivel="Nível 3")+16*(ORÇAMENTO.Nivel="Nível 4")+32*(ORÇAMENTO.Nivel="Serviço"),2),0,1,2,3,4,"S")</f>
        <v>2</v>
      </c>
      <c r="B45">
        <f ca="1">IF(OR(C45="s",C45=0),OFFSET(B45,-1,0),C45)</f>
        <v>2</v>
      </c>
      <c r="C45">
        <f ca="1">IF(OFFSET(C45,-1,0)="L",1,IF(OFFSET(C45,-1,0)=1,2,IF(OR(A45="s",A45=0),"S",IF(AND(OFFSET(C45,-1,0)=2,A45=4),3,IF(AND(OR(OFFSET(C45,-1,0)="s",OFFSET(C45,-1,0)=0),A45&lt;&gt;"s",A45&gt;OFFSET(B45,-1,0)),OFFSET(B45,-1,0),A45)))))</f>
        <v>2</v>
      </c>
      <c r="D45">
        <f ca="1">IF(OR(C45="S",C45=0),0,IF(ISERROR(K45),J45,SMALL(J45:K45,1)))</f>
        <v>2</v>
      </c>
      <c r="E45">
        <f ca="1">IF($C45=1,OFFSET(E45,-1,0)+MAX(1,COUNTIF(QCI!$A$13:$A$24,OFFSET(ORÇAMENTO!E45,-1,0))),OFFSET(E45,-1,0))</f>
        <v>1</v>
      </c>
      <c r="F45">
        <f ca="1">IF($C45=1,0,IF($C45=2,OFFSET(F45,-1,0)+1,OFFSET(F45,-1,0)))</f>
        <v>6</v>
      </c>
      <c r="G45">
        <f ca="1">IF(AND($C45&lt;=2,$C45&lt;&gt;0),0,IF($C45=3,OFFSET(G45,-1,0)+1,OFFSET(G45,-1,0)))</f>
        <v>0</v>
      </c>
      <c r="H45">
        <f ca="1">IF(AND($C45&lt;=3,$C45&lt;&gt;0),0,IF($C45=4,OFFSET(H45,-1,0)+1,OFFSET(H45,-1,0)))</f>
        <v>0</v>
      </c>
      <c r="I45">
        <f ca="1">IF(AND($C45&lt;=4,$C45&lt;&gt;0),0,IF(AND($C45="S",$X45&gt;0),OFFSET(I45,-1,0)+1,OFFSET(I45,-1,0)))</f>
        <v>0</v>
      </c>
      <c r="J45">
        <f ca="1">IF(OR($C45="S",$C45=0),0,MATCH(0,OFFSET($D45,1,$C45,ROW($C$47)-ROW($C45)),0))</f>
        <v>2</v>
      </c>
      <c r="K45" t="e">
        <f ca="1">IF(OR($C45="S",$C45=0),0,MATCH(OFFSET($D45,0,$C45)+IF($C45&lt;&gt;1,1,COUNTIF(QCI!$A$13:$A$24,ORÇAMENTO!E45)),OFFSET($D45,1,$C45,ROW($C$47)-ROW($C45)),0))</f>
        <v>#N/A</v>
      </c>
      <c r="L45" s="114" t="str">
        <f ca="1">IF(OR($X45&gt;0,$C45=1,$C45=2,$C45=3,$C45=4),"F","")</f>
        <v>F</v>
      </c>
      <c r="M45" s="115" t="s">
        <v>702</v>
      </c>
      <c r="N45" s="116" t="str">
        <f ca="1">CHOOSE(1+LOG(1+2*(C45=1)+4*(C45=2)+8*(C45=3)+16*(C45=4)+32*(C45="S"),2),"","Meta","Nível 2","Nível 3","Nível 4","Serviço")</f>
        <v>Nível 2</v>
      </c>
      <c r="O45" s="117" t="str">
        <f ca="1">IF(OR($C45=0,$L45=""),"-",CONCATENATE(E45&amp;".",IF(AND($A$5&gt;=2,$C45&gt;=2),F45&amp;".",""),IF(AND($A$5&gt;=3,$C45&gt;=3),G45&amp;".",""),IF(AND($A$5&gt;=4,$C45&gt;=4),H45&amp;".",""),IF($C45="S",I45&amp;".","")))</f>
        <v>1.6.</v>
      </c>
      <c r="P45" s="118" t="s">
        <v>750</v>
      </c>
      <c r="Q45" s="119"/>
      <c r="R45" s="120" t="s">
        <v>1037</v>
      </c>
      <c r="S45" s="121" t="str" cm="1">
        <f t="array" aca="1" ref="S45" ca="1">REFERENCIA.Unidade</f>
        <v>-</v>
      </c>
      <c r="T45" s="122">
        <f ca="1">OFFSET(CÁLCULO!H$15,ROW($T45)-ROW(T$15),0)</f>
        <v>0</v>
      </c>
      <c r="U45" s="123">
        <f t="shared" ca="1" si="28"/>
        <v>0</v>
      </c>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0</v>
      </c>
      <c r="Y45" s="126" t="s">
        <v>751</v>
      </c>
      <c r="Z45" t="str">
        <f ca="1">IF(AND($C45="S",$X45&gt;0),IF(ISBLANK($Y45),"RA",LEFT($Y45,2)),"")</f>
        <v/>
      </c>
      <c r="AA45" s="127" cm="1">
        <f t="array" aca="1" ref="AA45" ca="1">IF($C45="S",IF($Z45="CP",$X45,IF($Z45="RA",(($X45)*QCI!$AA$3),0)),SomaAgrup)</f>
        <v>0</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f ca="1">IF(C45&lt;=CRONO.NivelExibicao,MAX($AD$15:OFFSET(AD45,-1,0))+IF($C45&lt;&gt;1,1,MAX(1,COUNTIF(QCI!$A$13:$A$24,OFFSET($E45,-1,0)))),"")</f>
        <v>7</v>
      </c>
      <c r="AE45" s="7" t="b" cm="1">
        <f t="array" aca="1" ref="AE45" ca="1">IF(AND($C45="S",ORÇAMENTO.CodBarra&lt;&gt;""),IF(ORÇAMENTO.Fonte="",ORÇAMENTO.CodBarra,CONCATENATE(ORÇAMENTO.Fonte," ",ORÇAMENTO.CodBarra)))</f>
        <v>0</v>
      </c>
      <c r="AF45" s="12"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ca="1">ROUND(IF(ISNUMBER(ORÇAMENTO.OpcaoBDI),ORÇAMENTO.OpcaoBDI,IF(LEFT(ORÇAMENTO.OpcaoBDI,3)="BDI",HLOOKUP(ORÇAMENTO.OpcaoBDI,$F$4:$H$5,2,FALSE),0)),15-11*$AF$9)</f>
        <v>0.2475</v>
      </c>
      <c r="AJ45" s="431"/>
      <c r="AL45" s="439"/>
      <c r="AM45" s="336">
        <f t="shared" ca="1" si="0"/>
        <v>0</v>
      </c>
      <c r="AN45" s="470" cm="1">
        <f t="array" aca="1" ref="AN45" ca="1">ROUND(ORÇAMENTO.CustoUnitario*(1+$AH45),2)</f>
        <v>0</v>
      </c>
    </row>
    <row r="46" spans="1:40" x14ac:dyDescent="0.2">
      <c r="A46" t="str">
        <f>CHOOSE(1+LOG(1+2*(ORÇAMENTO.Nivel="Meta")+4*(ORÇAMENTO.Nivel="Nível 2")+8*(ORÇAMENTO.Nivel="Nível 3")+16*(ORÇAMENTO.Nivel="Nível 4")+32*(ORÇAMENTO.Nivel="Serviço"),2),0,1,2,3,4,"S")</f>
        <v>S</v>
      </c>
      <c r="B46">
        <f ca="1">IF(OR(C46="s",C46=0),OFFSET(B46,-1,0),C46)</f>
        <v>2</v>
      </c>
      <c r="C46" t="str">
        <f ca="1">IF(OFFSET(C46,-1,0)="L",1,IF(OFFSET(C46,-1,0)=1,2,IF(OR(A46="s",A46=0),"S",IF(AND(OFFSET(C46,-1,0)=2,A46=4),3,IF(AND(OR(OFFSET(C46,-1,0)="s",OFFSET(C46,-1,0)=0),A46&lt;&gt;"s",A46&gt;OFFSET(B46,-1,0)),OFFSET(B46,-1,0),A46)))))</f>
        <v>S</v>
      </c>
      <c r="D46">
        <f ca="1">IF(OR(C46="S",C46=0),0,IF(ISERROR(K46),J46,SMALL(J46:K46,1)))</f>
        <v>0</v>
      </c>
      <c r="E46">
        <f ca="1">IF($C46=1,OFFSET(E46,-1,0)+MAX(1,COUNTIF(QCI!$A$13:$A$24,OFFSET(ORÇAMENTO!E46,-1,0))),OFFSET(E46,-1,0))</f>
        <v>1</v>
      </c>
      <c r="F46">
        <f ca="1">IF($C46=1,0,IF($C46=2,OFFSET(F46,-1,0)+1,OFFSET(F46,-1,0)))</f>
        <v>6</v>
      </c>
      <c r="G46">
        <f ca="1">IF(AND($C46&lt;=2,$C46&lt;&gt;0),0,IF($C46=3,OFFSET(G46,-1,0)+1,OFFSET(G46,-1,0)))</f>
        <v>0</v>
      </c>
      <c r="H46">
        <f ca="1">IF(AND($C46&lt;=3,$C46&lt;&gt;0),0,IF($C46=4,OFFSET(H46,-1,0)+1,OFFSET(H46,-1,0)))</f>
        <v>0</v>
      </c>
      <c r="I46">
        <f ca="1">IF(AND($C46&lt;=4,$C46&lt;&gt;0),0,IF(AND($C46="S",$X46&gt;0),OFFSET(I46,-1,0)+1,OFFSET(I46,-1,0)))</f>
        <v>0</v>
      </c>
      <c r="J46">
        <f ca="1">IF(OR($C46="S",$C46=0),0,MATCH(0,OFFSET($D46,1,$C46,ROW($C$47)-ROW($C46)),0))</f>
        <v>0</v>
      </c>
      <c r="K46">
        <f ca="1">IF(OR($C46="S",$C46=0),0,MATCH(OFFSET($D46,0,$C46)+IF($C46&lt;&gt;1,1,COUNTIF(QCI!$A$13:$A$24,ORÇAMENTO!E46)),OFFSET($D46,1,$C46,ROW($C$47)-ROW($C46)),0))</f>
        <v>0</v>
      </c>
      <c r="L46" s="114" t="str">
        <f ca="1">IF(OR($X46&gt;0,$C46=1,$C46=2,$C46=3,$C46=4),"F","")</f>
        <v/>
      </c>
      <c r="M46" s="115" t="s">
        <v>705</v>
      </c>
      <c r="N46" s="116" t="str">
        <f ca="1">CHOOSE(1+LOG(1+2*(C46=1)+4*(C46=2)+8*(C46=3)+16*(C46=4)+32*(C46="S"),2),"","Meta","Nível 2","Nível 3","Nível 4","Serviço")</f>
        <v>Serviço</v>
      </c>
      <c r="O46" s="117" t="str">
        <f ca="1">IF(OR($C46=0,$L46=""),"-",CONCATENATE(E46&amp;".",IF(AND($A$5&gt;=2,$C46&gt;=2),F46&amp;".",""),IF(AND($A$5&gt;=3,$C46&gt;=3),G46&amp;".",""),IF(AND($A$5&gt;=4,$C46&gt;=4),H46&amp;".",""),IF($C46="S",I46&amp;".","")))</f>
        <v>-</v>
      </c>
      <c r="P46" s="118" t="s">
        <v>1009</v>
      </c>
      <c r="Q46" s="119" t="s">
        <v>1038</v>
      </c>
      <c r="R46" s="120" t="str" cm="1">
        <f t="array" aca="1" ref="R46" ca="1">IF($C46="S",REFERENCIA.Descricao,"(digite a descrição aqui)")</f>
        <v>(Código não identificado nas referências)</v>
      </c>
      <c r="S46" s="121" t="str" cm="1">
        <f t="array" aca="1" ref="S46" ca="1">REFERENCIA.Unidade</f>
        <v>-</v>
      </c>
      <c r="T46" s="122">
        <f ca="1">OFFSET(CÁLCULO!H$15,ROW($T46)-ROW(T$15),0)</f>
        <v>3</v>
      </c>
      <c r="U46" s="123">
        <f ca="1">AG46</f>
        <v>0</v>
      </c>
      <c r="V46" s="124" t="s">
        <v>663</v>
      </c>
      <c r="W46" s="122" cm="1">
        <f t="array" aca="1" ref="W46"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0</v>
      </c>
      <c r="Y46" s="126" t="s">
        <v>751</v>
      </c>
      <c r="Z46" t="str">
        <f ca="1">IF(AND($C46="S",$X46&gt;0),IF(ISBLANK($Y46),"RA",LEFT($Y46,2)),"")</f>
        <v/>
      </c>
      <c r="AA46" s="127" cm="1">
        <f t="array" aca="1" ref="AA46" ca="1">IF($C46="S",IF($Z46="CP",$X46,IF($Z46="RA",(($X46)*QCI!$AA$3),0)),SomaAgrup)</f>
        <v>0</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CÓDIGO N/ID</v>
      </c>
      <c r="AD46" t="str">
        <f ca="1">IF(C46&lt;=CRONO.NivelExibicao,MAX($AD$15:OFFSET(AD46,-1,0))+IF($C46&lt;&gt;1,1,MAX(1,COUNTIF(QCI!$A$13:$A$24,OFFSET($E46,-1,0)))),"")</f>
        <v/>
      </c>
      <c r="AE46" s="7" t="str" cm="1">
        <f t="array" aca="1" ref="AE46" ca="1">IF(AND($C46="S",ORÇAMENTO.CodBarra&lt;&gt;""),IF(ORÇAMENTO.Fonte="",ORÇAMENTO.CodBarra,CONCATENATE(ORÇAMENTO.Fonte," ",ORÇAMENTO.CodBarra)))</f>
        <v>SICOR ED-50270</v>
      </c>
      <c r="AF46" s="12"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ca="1">ROUND(IF(ISNUMBER(ORÇAMENTO.OpcaoBDI),ORÇAMENTO.OpcaoBDI,IF(LEFT(ORÇAMENTO.OpcaoBDI,3)="BDI",HLOOKUP(ORÇAMENTO.OpcaoBDI,$F$4:$H$5,2,FALSE),0)),15-11*$AF$9)</f>
        <v>0.2475</v>
      </c>
      <c r="AJ46" s="431">
        <v>3</v>
      </c>
      <c r="AL46" s="439"/>
      <c r="AM46" s="336">
        <f t="shared" ca="1" si="0"/>
        <v>0</v>
      </c>
      <c r="AN46" s="470" cm="1">
        <f t="array" aca="1" ref="AN46" ca="1">ROUND(ORÇAMENTO.CustoUnitario*(1+$AH46),2)</f>
        <v>0</v>
      </c>
    </row>
    <row r="47" spans="1:40" ht="5.0999999999999996" customHeight="1" x14ac:dyDescent="0.2">
      <c r="A47">
        <v>-1</v>
      </c>
      <c r="C47">
        <v>-1</v>
      </c>
      <c r="E47">
        <v>0</v>
      </c>
      <c r="F47">
        <v>0</v>
      </c>
      <c r="G47">
        <v>0</v>
      </c>
      <c r="H47">
        <v>0</v>
      </c>
      <c r="I47">
        <v>0</v>
      </c>
      <c r="L47" s="114" t="s">
        <v>536</v>
      </c>
      <c r="M47" s="616"/>
      <c r="N47" s="424"/>
      <c r="O47" s="616"/>
      <c r="P47" s="617"/>
      <c r="Q47" s="617"/>
      <c r="R47" s="617"/>
      <c r="S47" s="617"/>
      <c r="T47" s="617"/>
      <c r="U47" s="617"/>
      <c r="V47" s="617"/>
      <c r="W47" s="617"/>
      <c r="X47" s="424"/>
      <c r="Y47" s="424"/>
      <c r="AC47" s="565" t="str" cm="1">
        <f t="array" ref="AC47">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F47" s="12"/>
      <c r="AG47" s="618"/>
      <c r="AH47" s="419"/>
      <c r="AJ47" s="425"/>
      <c r="AL47" s="618"/>
      <c r="AM47" s="619"/>
      <c r="AN47" s="419"/>
    </row>
    <row r="48" spans="1:40" x14ac:dyDescent="0.2">
      <c r="AF48" s="12"/>
    </row>
    <row r="49" spans="15:32" x14ac:dyDescent="0.2">
      <c r="AF49" s="12"/>
    </row>
    <row r="50" spans="15:32" ht="14.25" x14ac:dyDescent="0.2">
      <c r="O50" s="134" t="s">
        <v>753</v>
      </c>
      <c r="Q50" s="713" t="s">
        <v>754</v>
      </c>
      <c r="R50" s="713"/>
      <c r="S50" s="713"/>
      <c r="T50" s="713"/>
      <c r="U50" s="713"/>
      <c r="V50" s="713"/>
      <c r="W50" s="713"/>
      <c r="X50" s="713"/>
      <c r="AF50" s="12"/>
    </row>
    <row r="51" spans="15:32" x14ac:dyDescent="0.2">
      <c r="AF51" s="12"/>
    </row>
    <row r="52" spans="15:32" ht="14.25" x14ac:dyDescent="0.2">
      <c r="O52" s="135" t="s">
        <v>689</v>
      </c>
      <c r="X52" s="4"/>
      <c r="AF52" s="12"/>
    </row>
    <row r="53" spans="15:32" ht="12.75" customHeight="1" x14ac:dyDescent="0.2">
      <c r="O53" s="714"/>
      <c r="P53" s="714"/>
      <c r="Q53" s="714"/>
      <c r="R53" s="714"/>
      <c r="S53" s="714"/>
      <c r="T53" s="714"/>
      <c r="U53" s="714"/>
      <c r="V53" s="714"/>
      <c r="W53" s="714"/>
      <c r="X53" s="714"/>
      <c r="AF53" s="12"/>
    </row>
    <row r="54" spans="15:32" x14ac:dyDescent="0.2">
      <c r="O54" s="714"/>
      <c r="P54" s="714"/>
      <c r="Q54" s="714"/>
      <c r="R54" s="714"/>
      <c r="S54" s="714"/>
      <c r="T54" s="714"/>
      <c r="U54" s="714"/>
      <c r="V54" s="714"/>
      <c r="W54" s="714"/>
      <c r="X54" s="714"/>
      <c r="AF54" s="12"/>
    </row>
    <row r="55" spans="15:32" x14ac:dyDescent="0.2">
      <c r="O55" s="714"/>
      <c r="P55" s="714"/>
      <c r="Q55" s="714"/>
      <c r="R55" s="714"/>
      <c r="S55" s="714"/>
      <c r="T55" s="714"/>
      <c r="U55" s="714"/>
      <c r="V55" s="714"/>
      <c r="W55" s="714"/>
      <c r="X55" s="714"/>
      <c r="AF55" s="12"/>
    </row>
    <row r="56" spans="15:32" ht="14.25" x14ac:dyDescent="0.2">
      <c r="O56" s="443"/>
      <c r="P56" s="443"/>
      <c r="Q56" s="443"/>
      <c r="R56" s="443"/>
      <c r="S56" s="443"/>
      <c r="T56" s="443"/>
      <c r="U56" s="443"/>
      <c r="V56" s="443"/>
      <c r="W56" s="443"/>
      <c r="X56" s="443"/>
      <c r="Y56" s="443"/>
      <c r="Z56" s="136"/>
      <c r="AA56" s="136"/>
      <c r="AB56" s="136"/>
      <c r="AF56" s="12"/>
    </row>
    <row r="57" spans="15:32" ht="15" x14ac:dyDescent="0.25">
      <c r="O57" s="71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57" s="715"/>
      <c r="Q57" s="715"/>
      <c r="R57" s="715"/>
      <c r="S57" s="715"/>
      <c r="T57" s="715"/>
      <c r="U57" s="715"/>
      <c r="V57" s="715"/>
      <c r="W57" s="715"/>
      <c r="X57" s="715"/>
      <c r="Y57" s="137"/>
      <c r="Z57" s="137"/>
      <c r="AA57" s="137"/>
      <c r="AB57" s="137"/>
      <c r="AF57" s="12"/>
    </row>
    <row r="58" spans="15:32" ht="15" customHeight="1" x14ac:dyDescent="0.25">
      <c r="O58" s="717" t="s">
        <v>755</v>
      </c>
      <c r="P58" s="717"/>
      <c r="Q58" s="717"/>
      <c r="R58" s="717"/>
      <c r="S58" s="717"/>
      <c r="T58" s="717"/>
      <c r="U58" s="717"/>
      <c r="V58" s="717"/>
      <c r="W58" s="717"/>
      <c r="X58" s="717"/>
      <c r="Y58" s="137"/>
      <c r="Z58" s="137"/>
      <c r="AA58" s="137"/>
      <c r="AB58" s="137"/>
      <c r="AF58" s="12"/>
    </row>
    <row r="59" spans="15:32" x14ac:dyDescent="0.2">
      <c r="AF59" s="12"/>
    </row>
    <row r="60" spans="15:32" ht="30" customHeight="1" x14ac:dyDescent="0.2">
      <c r="O60" s="716" t="str">
        <f>Import.Município</f>
        <v>PASSOS MG</v>
      </c>
      <c r="P60" s="716"/>
      <c r="Q60" s="716"/>
      <c r="S60" s="460"/>
      <c r="T60" s="460"/>
      <c r="U60" s="460"/>
      <c r="V60" s="460"/>
      <c r="W60" s="417"/>
      <c r="AF60" s="12"/>
    </row>
    <row r="61" spans="15:32" x14ac:dyDescent="0.2">
      <c r="O61" s="9" t="s">
        <v>693</v>
      </c>
      <c r="S61" s="181" t="s">
        <v>696</v>
      </c>
      <c r="T61" s="181"/>
      <c r="U61" s="181"/>
      <c r="V61" s="181"/>
      <c r="AF61" s="12"/>
    </row>
    <row r="62" spans="15:32" x14ac:dyDescent="0.2">
      <c r="S62" s="77" t="s">
        <v>240</v>
      </c>
      <c r="T62" s="78" t="str">
        <f t="array" ref="T62:T64">Import.RespOrçamento</f>
        <v>Mateus Junior Rosa</v>
      </c>
      <c r="V62" s="79"/>
      <c r="AF62" s="12"/>
    </row>
    <row r="63" spans="15:32" x14ac:dyDescent="0.2">
      <c r="O63" s="710">
        <f>DADOS!$C$25</f>
        <v>45945</v>
      </c>
      <c r="P63" s="710"/>
      <c r="Q63" s="710"/>
      <c r="S63" s="77" t="s">
        <v>243</v>
      </c>
      <c r="T63" s="78" t="str">
        <v>386.526/D</v>
      </c>
      <c r="U63" s="79"/>
      <c r="V63" s="79"/>
      <c r="AF63" s="12"/>
    </row>
    <row r="64" spans="15:32" x14ac:dyDescent="0.2">
      <c r="O64" s="140" t="s">
        <v>694</v>
      </c>
      <c r="P64" s="1"/>
      <c r="Q64" s="1"/>
      <c r="S64" s="77" t="s">
        <v>246</v>
      </c>
      <c r="T64" s="78">
        <v>0</v>
      </c>
      <c r="U64" s="79"/>
      <c r="V64" s="79"/>
      <c r="AF64" s="12"/>
    </row>
    <row r="65" spans="32:32" x14ac:dyDescent="0.2">
      <c r="AF65" s="12"/>
    </row>
    <row r="66" spans="32:32" x14ac:dyDescent="0.2">
      <c r="AF66" s="12"/>
    </row>
    <row r="67" spans="32:32" x14ac:dyDescent="0.2">
      <c r="AF67" s="12"/>
    </row>
    <row r="68" spans="32:32" x14ac:dyDescent="0.2">
      <c r="AF68" s="12"/>
    </row>
    <row r="69" spans="32:32" x14ac:dyDescent="0.2">
      <c r="AF69" s="12"/>
    </row>
    <row r="70" spans="32:32" x14ac:dyDescent="0.2">
      <c r="AF70" s="12"/>
    </row>
    <row r="71" spans="32:32" x14ac:dyDescent="0.2">
      <c r="AF71" s="12"/>
    </row>
    <row r="72" spans="32:32" x14ac:dyDescent="0.2">
      <c r="AF72" s="12"/>
    </row>
    <row r="73" spans="32:32" x14ac:dyDescent="0.2">
      <c r="AF73" s="12"/>
    </row>
    <row r="74" spans="32:32" x14ac:dyDescent="0.2">
      <c r="AF74" s="12"/>
    </row>
    <row r="75" spans="32:32" x14ac:dyDescent="0.2">
      <c r="AF75" s="12"/>
    </row>
    <row r="76" spans="32:32" x14ac:dyDescent="0.2">
      <c r="AF76" s="12"/>
    </row>
    <row r="77" spans="32:32" x14ac:dyDescent="0.2">
      <c r="AF77" s="12"/>
    </row>
    <row r="78" spans="32:32" x14ac:dyDescent="0.2">
      <c r="AF78" s="12"/>
    </row>
    <row r="79" spans="32:32" x14ac:dyDescent="0.2">
      <c r="AF79" s="12"/>
    </row>
    <row r="80" spans="32:32" x14ac:dyDescent="0.2">
      <c r="AF80" s="12"/>
    </row>
    <row r="81" spans="32:32" x14ac:dyDescent="0.2">
      <c r="AF81" s="12"/>
    </row>
    <row r="82" spans="32:32" x14ac:dyDescent="0.2">
      <c r="AF82" s="12"/>
    </row>
    <row r="83" spans="32:32" x14ac:dyDescent="0.2">
      <c r="AF83" s="12"/>
    </row>
    <row r="84" spans="32:32" x14ac:dyDescent="0.2">
      <c r="AF84" s="12"/>
    </row>
    <row r="85" spans="32:32" x14ac:dyDescent="0.2">
      <c r="AF85" s="12"/>
    </row>
    <row r="86" spans="32:32" x14ac:dyDescent="0.2">
      <c r="AF86" s="12"/>
    </row>
    <row r="87" spans="32:32" x14ac:dyDescent="0.2">
      <c r="AF87" s="12"/>
    </row>
    <row r="88" spans="32:32" x14ac:dyDescent="0.2">
      <c r="AF88" s="12"/>
    </row>
    <row r="89" spans="32:32" x14ac:dyDescent="0.2">
      <c r="AF89" s="12"/>
    </row>
    <row r="90" spans="32:32" x14ac:dyDescent="0.2">
      <c r="AF90" s="12"/>
    </row>
    <row r="91" spans="32:32" x14ac:dyDescent="0.2">
      <c r="AF91" s="12"/>
    </row>
    <row r="92" spans="32:32" x14ac:dyDescent="0.2">
      <c r="AF92" s="12"/>
    </row>
    <row r="93" spans="32:32" x14ac:dyDescent="0.2">
      <c r="AF93" s="12"/>
    </row>
    <row r="94" spans="32:32" x14ac:dyDescent="0.2">
      <c r="AF94" s="12"/>
    </row>
    <row r="95" spans="32:32" x14ac:dyDescent="0.2">
      <c r="AF95" s="12"/>
    </row>
    <row r="96" spans="32:32" x14ac:dyDescent="0.2">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sheetData>
  <sheetProtection algorithmName="SHA-512" hashValue="TJrGqdczZWT7Lh5nyMclOfoYrK4qtJ5XmdX1Ts3Dt0R39yBQm0EJobXNTFu+LFHws7u4oqogWqbCs3FfvapQ5g==" saltValue="YrlugTRC/15JS+SZmIXmIw==" spinCount="100000" sheet="1" objects="1" scenarios="1" autoFilter="0"/>
  <autoFilter ref="L15:L47"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63:Q63"/>
    <mergeCell ref="O15:R15"/>
    <mergeCell ref="Q50:X50"/>
    <mergeCell ref="O53:X55"/>
    <mergeCell ref="O57:X57"/>
    <mergeCell ref="O60:Q60"/>
    <mergeCell ref="O58:X58"/>
  </mergeCells>
  <phoneticPr fontId="38" type="noConversion"/>
  <conditionalFormatting sqref="M14 M16:M18 M20:M22 M25:M35">
    <cfRule type="cellIs" dxfId="457" priority="43183" stopIfTrue="1" operator="notEqual">
      <formula>$N14</formula>
    </cfRule>
  </conditionalFormatting>
  <conditionalFormatting sqref="N14:O14 W14 W16:X18 R16:R18 W22 N16:O18 W25:X35 R25:R35 N20:O22 R20:R21 W20:X21 N25:O35">
    <cfRule type="expression" dxfId="456" priority="43184" stopIfTrue="1">
      <formula>$C14=1</formula>
    </cfRule>
    <cfRule type="expression" dxfId="455" priority="43185" stopIfTrue="1">
      <formula>OR($C14=0,$C14=2,$C14=3,$C14=4)</formula>
    </cfRule>
  </conditionalFormatting>
  <conditionalFormatting sqref="U14:V14 U16:V18 U20:V22 U25:V35 U23:U24">
    <cfRule type="expression" dxfId="454" priority="43186" stopIfTrue="1">
      <formula>$C14=1</formula>
    </cfRule>
    <cfRule type="expression" dxfId="453" priority="43187" stopIfTrue="1">
      <formula>OR($C14=0,$C14=2,$C14=3,$C14=4)</formula>
    </cfRule>
    <cfRule type="expression" dxfId="452" priority="43188" stopIfTrue="1">
      <formula>AND(TIPOORCAMENTO="Licitado",$C14&lt;&gt;"L",$C14&lt;&gt;-1)</formula>
    </cfRule>
  </conditionalFormatting>
  <conditionalFormatting sqref="P14:Q14 S14:T14 Y14 AG14:AH14 P16:Q18 S16:T18 Y16:Y18 AG16:AH18 AG20:AH22 Y20:Y22 S20:T22 P20:Q22 P25:Q35 S25:T35 Y25:Y35 AG25:AH35">
    <cfRule type="expression" dxfId="451" priority="43189" stopIfTrue="1">
      <formula>$C14=1</formula>
    </cfRule>
    <cfRule type="expression" dxfId="450" priority="43190" stopIfTrue="1">
      <formula>OR($C14=0,$C14=2,$C14=3,$C14=4)</formula>
    </cfRule>
  </conditionalFormatting>
  <conditionalFormatting sqref="AJ7:AJ18 AJ20:AJ22 AJ25:AJ35 AJ47">
    <cfRule type="expression" dxfId="449" priority="43191" stopIfTrue="1">
      <formula>OR(ACOMPANHAMENTO&lt;&gt;"BM",TIPOORCAMENTO="Licitado")</formula>
    </cfRule>
    <cfRule type="expression" dxfId="448" priority="43192" stopIfTrue="1">
      <formula>$C7=1</formula>
    </cfRule>
    <cfRule type="expression" dxfId="447" priority="43193" stopIfTrue="1">
      <formula>OR(AND(ISNUMBER($C7),$C7=0),$C7=2,$C7=3,$C7=4)</formula>
    </cfRule>
  </conditionalFormatting>
  <conditionalFormatting sqref="AL7:AL18 AL20:AL22 AL25:AL35 AL47">
    <cfRule type="expression" dxfId="446" priority="43194" stopIfTrue="1">
      <formula>TIPOORCAMENTO="PROPOSTO"</formula>
    </cfRule>
    <cfRule type="expression" dxfId="445" priority="43195" stopIfTrue="1">
      <formula>$C7=1</formula>
    </cfRule>
    <cfRule type="expression" dxfId="444" priority="43196" stopIfTrue="1">
      <formula>OR(AND(ISNUMBER($C7),$C7=0),$C7=2,$C7=3,$C7=4)</formula>
    </cfRule>
  </conditionalFormatting>
  <conditionalFormatting sqref="O8:P8">
    <cfRule type="expression" dxfId="443" priority="43200" stopIfTrue="1">
      <formula>ISERROR(INDIRECT($F$9))</formula>
    </cfRule>
  </conditionalFormatting>
  <conditionalFormatting sqref="S7:V8">
    <cfRule type="expression" dxfId="442" priority="43201" stopIfTrue="1">
      <formula>TIPOORCAMENTO="Proposto"</formula>
    </cfRule>
  </conditionalFormatting>
  <conditionalFormatting sqref="S9:X9">
    <cfRule type="expression" dxfId="441" priority="43148" stopIfTrue="1">
      <formula>TIPOORCAMENTO="Proposto"</formula>
    </cfRule>
  </conditionalFormatting>
  <conditionalFormatting sqref="AM7:AN18 AM20:AN22 AM25:AN35 AM47:AN47">
    <cfRule type="expression" dxfId="440" priority="43197" stopIfTrue="1">
      <formula>TIPOORCAMENTO="PROPOSTO"</formula>
    </cfRule>
    <cfRule type="expression" dxfId="439" priority="43198" stopIfTrue="1">
      <formula>$C7=1</formula>
    </cfRule>
    <cfRule type="expression" dxfId="438" priority="43199" stopIfTrue="1">
      <formula>OR(AND(ISNUMBER($C7),$C7=0),$C7=2,$C7=3,$C7=4)</formula>
    </cfRule>
  </conditionalFormatting>
  <conditionalFormatting sqref="X14">
    <cfRule type="expression" dxfId="437" priority="28773" stopIfTrue="1">
      <formula>$C14=1</formula>
    </cfRule>
    <cfRule type="expression" dxfId="436" priority="28774" stopIfTrue="1">
      <formula>OR($C14=0,$C14=2,$C14=3,$C14=4)</formula>
    </cfRule>
  </conditionalFormatting>
  <conditionalFormatting sqref="AC11">
    <cfRule type="cellIs" dxfId="435" priority="19608" operator="equal">
      <formula>"OK"</formula>
    </cfRule>
  </conditionalFormatting>
  <conditionalFormatting sqref="R14">
    <cfRule type="expression" dxfId="434" priority="4540" stopIfTrue="1">
      <formula>$C14=1</formula>
    </cfRule>
    <cfRule type="expression" dxfId="433" priority="4541" stopIfTrue="1">
      <formula>OR($C14=0,$C14=2,$C14=3,$C14=4)</formula>
    </cfRule>
  </conditionalFormatting>
  <conditionalFormatting sqref="R14">
    <cfRule type="beginsWith" dxfId="432" priority="4539" operator="beginsWith" text="(">
      <formula>LEFT(R14,LEN("("))="("</formula>
    </cfRule>
  </conditionalFormatting>
  <conditionalFormatting sqref="R16:R18 R25:R27 R20:R21">
    <cfRule type="beginsWith" dxfId="431" priority="467" operator="beginsWith" text="(">
      <formula>LEFT(R16,LEN("("))="("</formula>
    </cfRule>
  </conditionalFormatting>
  <conditionalFormatting sqref="R28:R35">
    <cfRule type="beginsWith" dxfId="430" priority="454" operator="beginsWith" text="(">
      <formula>LEFT(R28,LEN("("))="("</formula>
    </cfRule>
  </conditionalFormatting>
  <conditionalFormatting sqref="X22">
    <cfRule type="expression" dxfId="429" priority="114" stopIfTrue="1">
      <formula>$C22=1</formula>
    </cfRule>
    <cfRule type="expression" dxfId="428" priority="115" stopIfTrue="1">
      <formula>OR($C22=0,$C22=2,$C22=3,$C22=4)</formula>
    </cfRule>
  </conditionalFormatting>
  <conditionalFormatting sqref="R22">
    <cfRule type="expression" dxfId="427" priority="112" stopIfTrue="1">
      <formula>$C22=1</formula>
    </cfRule>
    <cfRule type="expression" dxfId="426" priority="113" stopIfTrue="1">
      <formula>OR($C22=0,$C22=2,$C22=3,$C22=4)</formula>
    </cfRule>
  </conditionalFormatting>
  <conditionalFormatting sqref="R22">
    <cfRule type="beginsWith" dxfId="425" priority="111" operator="beginsWith" text="(">
      <formula>LEFT(R22,LEN("("))="("</formula>
    </cfRule>
  </conditionalFormatting>
  <conditionalFormatting sqref="M19">
    <cfRule type="cellIs" dxfId="424" priority="94" stopIfTrue="1" operator="notEqual">
      <formula>$N19</formula>
    </cfRule>
  </conditionalFormatting>
  <conditionalFormatting sqref="N19:O19 W19">
    <cfRule type="expression" dxfId="423" priority="95" stopIfTrue="1">
      <formula>$C19=1</formula>
    </cfRule>
    <cfRule type="expression" dxfId="422" priority="96" stopIfTrue="1">
      <formula>OR($C19=0,$C19=2,$C19=3,$C19=4)</formula>
    </cfRule>
  </conditionalFormatting>
  <conditionalFormatting sqref="U19:V19">
    <cfRule type="expression" dxfId="421" priority="97" stopIfTrue="1">
      <formula>$C19=1</formula>
    </cfRule>
    <cfRule type="expression" dxfId="420" priority="98" stopIfTrue="1">
      <formula>OR($C19=0,$C19=2,$C19=3,$C19=4)</formula>
    </cfRule>
    <cfRule type="expression" dxfId="419" priority="99" stopIfTrue="1">
      <formula>AND(TIPOORCAMENTO="Licitado",$C19&lt;&gt;"L",$C19&lt;&gt;-1)</formula>
    </cfRule>
  </conditionalFormatting>
  <conditionalFormatting sqref="P19:Q19 S19:T19 Y19 AG19:AH19">
    <cfRule type="expression" dxfId="418" priority="100" stopIfTrue="1">
      <formula>$C19=1</formula>
    </cfRule>
    <cfRule type="expression" dxfId="417" priority="101" stopIfTrue="1">
      <formula>OR($C19=0,$C19=2,$C19=3,$C19=4)</formula>
    </cfRule>
  </conditionalFormatting>
  <conditionalFormatting sqref="AJ19">
    <cfRule type="expression" dxfId="416" priority="102" stopIfTrue="1">
      <formula>OR(ACOMPANHAMENTO&lt;&gt;"BM",TIPOORCAMENTO="Licitado")</formula>
    </cfRule>
    <cfRule type="expression" dxfId="415" priority="103" stopIfTrue="1">
      <formula>$C19=1</formula>
    </cfRule>
    <cfRule type="expression" dxfId="414" priority="104" stopIfTrue="1">
      <formula>OR(AND(ISNUMBER($C19),$C19=0),$C19=2,$C19=3,$C19=4)</formula>
    </cfRule>
  </conditionalFormatting>
  <conditionalFormatting sqref="AL19">
    <cfRule type="expression" dxfId="413" priority="105" stopIfTrue="1">
      <formula>TIPOORCAMENTO="PROPOSTO"</formula>
    </cfRule>
    <cfRule type="expression" dxfId="412" priority="106" stopIfTrue="1">
      <formula>$C19=1</formula>
    </cfRule>
    <cfRule type="expression" dxfId="411" priority="107" stopIfTrue="1">
      <formula>OR(AND(ISNUMBER($C19),$C19=0),$C19=2,$C19=3,$C19=4)</formula>
    </cfRule>
  </conditionalFormatting>
  <conditionalFormatting sqref="AM19:AN19">
    <cfRule type="expression" dxfId="410" priority="108" stopIfTrue="1">
      <formula>TIPOORCAMENTO="PROPOSTO"</formula>
    </cfRule>
    <cfRule type="expression" dxfId="409" priority="109" stopIfTrue="1">
      <formula>$C19=1</formula>
    </cfRule>
    <cfRule type="expression" dxfId="408" priority="110" stopIfTrue="1">
      <formula>OR(AND(ISNUMBER($C19),$C19=0),$C19=2,$C19=3,$C19=4)</formula>
    </cfRule>
  </conditionalFormatting>
  <conditionalFormatting sqref="X19">
    <cfRule type="expression" dxfId="407" priority="92" stopIfTrue="1">
      <formula>$C19=1</formula>
    </cfRule>
    <cfRule type="expression" dxfId="406" priority="93" stopIfTrue="1">
      <formula>OR($C19=0,$C19=2,$C19=3,$C19=4)</formula>
    </cfRule>
  </conditionalFormatting>
  <conditionalFormatting sqref="R19">
    <cfRule type="expression" dxfId="405" priority="90" stopIfTrue="1">
      <formula>$C19=1</formula>
    </cfRule>
    <cfRule type="expression" dxfId="404" priority="91" stopIfTrue="1">
      <formula>OR($C19=0,$C19=2,$C19=3,$C19=4)</formula>
    </cfRule>
  </conditionalFormatting>
  <conditionalFormatting sqref="R19">
    <cfRule type="beginsWith" dxfId="403" priority="89" operator="beginsWith" text="(">
      <formula>LEFT(R19,LEN("("))="("</formula>
    </cfRule>
  </conditionalFormatting>
  <conditionalFormatting sqref="M23:M24">
    <cfRule type="cellIs" dxfId="402" priority="72" stopIfTrue="1" operator="notEqual">
      <formula>$N23</formula>
    </cfRule>
  </conditionalFormatting>
  <conditionalFormatting sqref="N23:O24 W23:W24">
    <cfRule type="expression" dxfId="401" priority="73" stopIfTrue="1">
      <formula>$C23=1</formula>
    </cfRule>
    <cfRule type="expression" dxfId="400" priority="74" stopIfTrue="1">
      <formula>OR($C23=0,$C23=2,$C23=3,$C23=4)</formula>
    </cfRule>
  </conditionalFormatting>
  <conditionalFormatting sqref="V23:V24">
    <cfRule type="expression" dxfId="399" priority="75" stopIfTrue="1">
      <formula>$C23=1</formula>
    </cfRule>
    <cfRule type="expression" dxfId="398" priority="76" stopIfTrue="1">
      <formula>OR($C23=0,$C23=2,$C23=3,$C23=4)</formula>
    </cfRule>
    <cfRule type="expression" dxfId="397" priority="77" stopIfTrue="1">
      <formula>AND(TIPOORCAMENTO="Licitado",$C23&lt;&gt;"L",$C23&lt;&gt;-1)</formula>
    </cfRule>
  </conditionalFormatting>
  <conditionalFormatting sqref="P23:Q24 S23:T24 Y23:Y24 AG23:AH24">
    <cfRule type="expression" dxfId="396" priority="78" stopIfTrue="1">
      <formula>$C23=1</formula>
    </cfRule>
    <cfRule type="expression" dxfId="395" priority="79" stopIfTrue="1">
      <formula>OR($C23=0,$C23=2,$C23=3,$C23=4)</formula>
    </cfRule>
  </conditionalFormatting>
  <conditionalFormatting sqref="AJ23:AJ24">
    <cfRule type="expression" dxfId="394" priority="80" stopIfTrue="1">
      <formula>OR(ACOMPANHAMENTO&lt;&gt;"BM",TIPOORCAMENTO="Licitado")</formula>
    </cfRule>
    <cfRule type="expression" dxfId="393" priority="81" stopIfTrue="1">
      <formula>$C23=1</formula>
    </cfRule>
    <cfRule type="expression" dxfId="392" priority="82" stopIfTrue="1">
      <formula>OR(AND(ISNUMBER($C23),$C23=0),$C23=2,$C23=3,$C23=4)</formula>
    </cfRule>
  </conditionalFormatting>
  <conditionalFormatting sqref="AL23:AL24">
    <cfRule type="expression" dxfId="391" priority="83" stopIfTrue="1">
      <formula>TIPOORCAMENTO="PROPOSTO"</formula>
    </cfRule>
    <cfRule type="expression" dxfId="390" priority="84" stopIfTrue="1">
      <formula>$C23=1</formula>
    </cfRule>
    <cfRule type="expression" dxfId="389" priority="85" stopIfTrue="1">
      <formula>OR(AND(ISNUMBER($C23),$C23=0),$C23=2,$C23=3,$C23=4)</formula>
    </cfRule>
  </conditionalFormatting>
  <conditionalFormatting sqref="AM23:AN24">
    <cfRule type="expression" dxfId="388" priority="86" stopIfTrue="1">
      <formula>TIPOORCAMENTO="PROPOSTO"</formula>
    </cfRule>
    <cfRule type="expression" dxfId="387" priority="87" stopIfTrue="1">
      <formula>$C23=1</formula>
    </cfRule>
    <cfRule type="expression" dxfId="386" priority="88" stopIfTrue="1">
      <formula>OR(AND(ISNUMBER($C23),$C23=0),$C23=2,$C23=3,$C23=4)</formula>
    </cfRule>
  </conditionalFormatting>
  <conditionalFormatting sqref="X23:X24">
    <cfRule type="expression" dxfId="385" priority="70" stopIfTrue="1">
      <formula>$C23=1</formula>
    </cfRule>
    <cfRule type="expression" dxfId="384" priority="71" stopIfTrue="1">
      <formula>OR($C23=0,$C23=2,$C23=3,$C23=4)</formula>
    </cfRule>
  </conditionalFormatting>
  <conditionalFormatting sqref="R23:R24">
    <cfRule type="expression" dxfId="383" priority="68" stopIfTrue="1">
      <formula>$C23=1</formula>
    </cfRule>
    <cfRule type="expression" dxfId="382" priority="69" stopIfTrue="1">
      <formula>OR($C23=0,$C23=2,$C23=3,$C23=4)</formula>
    </cfRule>
  </conditionalFormatting>
  <conditionalFormatting sqref="R23:R24">
    <cfRule type="beginsWith" dxfId="381" priority="67" operator="beginsWith" text="(">
      <formula>LEFT(R23,LEN("("))="("</formula>
    </cfRule>
  </conditionalFormatting>
  <conditionalFormatting sqref="M36:M44">
    <cfRule type="cellIs" dxfId="380" priority="50" stopIfTrue="1" operator="notEqual">
      <formula>$N36</formula>
    </cfRule>
  </conditionalFormatting>
  <conditionalFormatting sqref="N36:O44 W36:W44">
    <cfRule type="expression" dxfId="379" priority="51" stopIfTrue="1">
      <formula>$C36=1</formula>
    </cfRule>
    <cfRule type="expression" dxfId="378" priority="52" stopIfTrue="1">
      <formula>OR($C36=0,$C36=2,$C36=3,$C36=4)</formula>
    </cfRule>
  </conditionalFormatting>
  <conditionalFormatting sqref="U36:V36 V37:V44 U37:U45">
    <cfRule type="expression" dxfId="377" priority="53" stopIfTrue="1">
      <formula>$C36=1</formula>
    </cfRule>
    <cfRule type="expression" dxfId="376" priority="54" stopIfTrue="1">
      <formula>OR($C36=0,$C36=2,$C36=3,$C36=4)</formula>
    </cfRule>
    <cfRule type="expression" dxfId="375" priority="55" stopIfTrue="1">
      <formula>AND(TIPOORCAMENTO="Licitado",$C36&lt;&gt;"L",$C36&lt;&gt;-1)</formula>
    </cfRule>
  </conditionalFormatting>
  <conditionalFormatting sqref="P36:Q44 S36:T44 Y36:Y44 AG36:AH44">
    <cfRule type="expression" dxfId="374" priority="56" stopIfTrue="1">
      <formula>$C36=1</formula>
    </cfRule>
    <cfRule type="expression" dxfId="373" priority="57" stopIfTrue="1">
      <formula>OR($C36=0,$C36=2,$C36=3,$C36=4)</formula>
    </cfRule>
  </conditionalFormatting>
  <conditionalFormatting sqref="AJ36:AJ44">
    <cfRule type="expression" dxfId="372" priority="58" stopIfTrue="1">
      <formula>OR(ACOMPANHAMENTO&lt;&gt;"BM",TIPOORCAMENTO="Licitado")</formula>
    </cfRule>
    <cfRule type="expression" dxfId="371" priority="59" stopIfTrue="1">
      <formula>$C36=1</formula>
    </cfRule>
    <cfRule type="expression" dxfId="370" priority="60" stopIfTrue="1">
      <formula>OR(AND(ISNUMBER($C36),$C36=0),$C36=2,$C36=3,$C36=4)</formula>
    </cfRule>
  </conditionalFormatting>
  <conditionalFormatting sqref="AL36:AL44">
    <cfRule type="expression" dxfId="369" priority="61" stopIfTrue="1">
      <formula>TIPOORCAMENTO="PROPOSTO"</formula>
    </cfRule>
    <cfRule type="expression" dxfId="368" priority="62" stopIfTrue="1">
      <formula>$C36=1</formula>
    </cfRule>
    <cfRule type="expression" dxfId="367" priority="63" stopIfTrue="1">
      <formula>OR(AND(ISNUMBER($C36),$C36=0),$C36=2,$C36=3,$C36=4)</formula>
    </cfRule>
  </conditionalFormatting>
  <conditionalFormatting sqref="AM36:AN44">
    <cfRule type="expression" dxfId="366" priority="64" stopIfTrue="1">
      <formula>TIPOORCAMENTO="PROPOSTO"</formula>
    </cfRule>
    <cfRule type="expression" dxfId="365" priority="65" stopIfTrue="1">
      <formula>$C36=1</formula>
    </cfRule>
    <cfRule type="expression" dxfId="364" priority="66" stopIfTrue="1">
      <formula>OR(AND(ISNUMBER($C36),$C36=0),$C36=2,$C36=3,$C36=4)</formula>
    </cfRule>
  </conditionalFormatting>
  <conditionalFormatting sqref="X36:X44">
    <cfRule type="expression" dxfId="363" priority="48" stopIfTrue="1">
      <formula>$C36=1</formula>
    </cfRule>
    <cfRule type="expression" dxfId="362" priority="49" stopIfTrue="1">
      <formula>OR($C36=0,$C36=2,$C36=3,$C36=4)</formula>
    </cfRule>
  </conditionalFormatting>
  <conditionalFormatting sqref="R36:R44">
    <cfRule type="expression" dxfId="361" priority="46" stopIfTrue="1">
      <formula>$C36=1</formula>
    </cfRule>
    <cfRule type="expression" dxfId="360" priority="47" stopIfTrue="1">
      <formula>OR($C36=0,$C36=2,$C36=3,$C36=4)</formula>
    </cfRule>
  </conditionalFormatting>
  <conditionalFormatting sqref="R36:R44">
    <cfRule type="beginsWith" dxfId="359" priority="45" operator="beginsWith" text="(">
      <formula>LEFT(R36,LEN("("))="("</formula>
    </cfRule>
  </conditionalFormatting>
  <conditionalFormatting sqref="M45">
    <cfRule type="cellIs" dxfId="358" priority="28" stopIfTrue="1" operator="notEqual">
      <formula>$N45</formula>
    </cfRule>
  </conditionalFormatting>
  <conditionalFormatting sqref="N45:O45 W45">
    <cfRule type="expression" dxfId="357" priority="29" stopIfTrue="1">
      <formula>$C45=1</formula>
    </cfRule>
    <cfRule type="expression" dxfId="356" priority="30" stopIfTrue="1">
      <formula>OR($C45=0,$C45=2,$C45=3,$C45=4)</formula>
    </cfRule>
  </conditionalFormatting>
  <conditionalFormatting sqref="V45">
    <cfRule type="expression" dxfId="355" priority="31" stopIfTrue="1">
      <formula>$C45=1</formula>
    </cfRule>
    <cfRule type="expression" dxfId="354" priority="32" stopIfTrue="1">
      <formula>OR($C45=0,$C45=2,$C45=3,$C45=4)</formula>
    </cfRule>
    <cfRule type="expression" dxfId="353" priority="33" stopIfTrue="1">
      <formula>AND(TIPOORCAMENTO="Licitado",$C45&lt;&gt;"L",$C45&lt;&gt;-1)</formula>
    </cfRule>
  </conditionalFormatting>
  <conditionalFormatting sqref="P45:Q45 S45:T45 Y45 AG45:AH45">
    <cfRule type="expression" dxfId="352" priority="34" stopIfTrue="1">
      <formula>$C45=1</formula>
    </cfRule>
    <cfRule type="expression" dxfId="351" priority="35" stopIfTrue="1">
      <formula>OR($C45=0,$C45=2,$C45=3,$C45=4)</formula>
    </cfRule>
  </conditionalFormatting>
  <conditionalFormatting sqref="AJ45">
    <cfRule type="expression" dxfId="350" priority="36" stopIfTrue="1">
      <formula>OR(ACOMPANHAMENTO&lt;&gt;"BM",TIPOORCAMENTO="Licitado")</formula>
    </cfRule>
    <cfRule type="expression" dxfId="349" priority="37" stopIfTrue="1">
      <formula>$C45=1</formula>
    </cfRule>
    <cfRule type="expression" dxfId="348" priority="38" stopIfTrue="1">
      <formula>OR(AND(ISNUMBER($C45),$C45=0),$C45=2,$C45=3,$C45=4)</formula>
    </cfRule>
  </conditionalFormatting>
  <conditionalFormatting sqref="AL45">
    <cfRule type="expression" dxfId="347" priority="39" stopIfTrue="1">
      <formula>TIPOORCAMENTO="PROPOSTO"</formula>
    </cfRule>
    <cfRule type="expression" dxfId="346" priority="40" stopIfTrue="1">
      <formula>$C45=1</formula>
    </cfRule>
    <cfRule type="expression" dxfId="345" priority="41" stopIfTrue="1">
      <formula>OR(AND(ISNUMBER($C45),$C45=0),$C45=2,$C45=3,$C45=4)</formula>
    </cfRule>
  </conditionalFormatting>
  <conditionalFormatting sqref="AM45:AN45">
    <cfRule type="expression" dxfId="344" priority="42" stopIfTrue="1">
      <formula>TIPOORCAMENTO="PROPOSTO"</formula>
    </cfRule>
    <cfRule type="expression" dxfId="343" priority="43" stopIfTrue="1">
      <formula>$C45=1</formula>
    </cfRule>
    <cfRule type="expression" dxfId="342" priority="44" stopIfTrue="1">
      <formula>OR(AND(ISNUMBER($C45),$C45=0),$C45=2,$C45=3,$C45=4)</formula>
    </cfRule>
  </conditionalFormatting>
  <conditionalFormatting sqref="X45">
    <cfRule type="expression" dxfId="341" priority="26" stopIfTrue="1">
      <formula>$C45=1</formula>
    </cfRule>
    <cfRule type="expression" dxfId="340" priority="27" stopIfTrue="1">
      <formula>OR($C45=0,$C45=2,$C45=3,$C45=4)</formula>
    </cfRule>
  </conditionalFormatting>
  <conditionalFormatting sqref="R45">
    <cfRule type="expression" dxfId="339" priority="24" stopIfTrue="1">
      <formula>$C45=1</formula>
    </cfRule>
    <cfRule type="expression" dxfId="338" priority="25" stopIfTrue="1">
      <formula>OR($C45=0,$C45=2,$C45=3,$C45=4)</formula>
    </cfRule>
  </conditionalFormatting>
  <conditionalFormatting sqref="R45">
    <cfRule type="beginsWith" dxfId="337" priority="23" operator="beginsWith" text="(">
      <formula>LEFT(R45,LEN("("))="("</formula>
    </cfRule>
  </conditionalFormatting>
  <conditionalFormatting sqref="M46">
    <cfRule type="cellIs" dxfId="336" priority="6" stopIfTrue="1" operator="notEqual">
      <formula>$N46</formula>
    </cfRule>
  </conditionalFormatting>
  <conditionalFormatting sqref="N46:O46 W46">
    <cfRule type="expression" dxfId="335" priority="7" stopIfTrue="1">
      <formula>$C46=1</formula>
    </cfRule>
    <cfRule type="expression" dxfId="334" priority="8" stopIfTrue="1">
      <formula>OR($C46=0,$C46=2,$C46=3,$C46=4)</formula>
    </cfRule>
  </conditionalFormatting>
  <conditionalFormatting sqref="U46:V46">
    <cfRule type="expression" dxfId="333" priority="9" stopIfTrue="1">
      <formula>$C46=1</formula>
    </cfRule>
    <cfRule type="expression" dxfId="332" priority="10" stopIfTrue="1">
      <formula>OR($C46=0,$C46=2,$C46=3,$C46=4)</formula>
    </cfRule>
    <cfRule type="expression" dxfId="331" priority="11" stopIfTrue="1">
      <formula>AND(TIPOORCAMENTO="Licitado",$C46&lt;&gt;"L",$C46&lt;&gt;-1)</formula>
    </cfRule>
  </conditionalFormatting>
  <conditionalFormatting sqref="P46:Q46 S46:T46 Y46 AG46:AH46">
    <cfRule type="expression" dxfId="330" priority="12" stopIfTrue="1">
      <formula>$C46=1</formula>
    </cfRule>
    <cfRule type="expression" dxfId="329" priority="13" stopIfTrue="1">
      <formula>OR($C46=0,$C46=2,$C46=3,$C46=4)</formula>
    </cfRule>
  </conditionalFormatting>
  <conditionalFormatting sqref="AJ46">
    <cfRule type="expression" dxfId="328" priority="14" stopIfTrue="1">
      <formula>OR(ACOMPANHAMENTO&lt;&gt;"BM",TIPOORCAMENTO="Licitado")</formula>
    </cfRule>
    <cfRule type="expression" dxfId="327" priority="15" stopIfTrue="1">
      <formula>$C46=1</formula>
    </cfRule>
    <cfRule type="expression" dxfId="326" priority="16" stopIfTrue="1">
      <formula>OR(AND(ISNUMBER($C46),$C46=0),$C46=2,$C46=3,$C46=4)</formula>
    </cfRule>
  </conditionalFormatting>
  <conditionalFormatting sqref="AL46">
    <cfRule type="expression" dxfId="325" priority="17" stopIfTrue="1">
      <formula>TIPOORCAMENTO="PROPOSTO"</formula>
    </cfRule>
    <cfRule type="expression" dxfId="324" priority="18" stopIfTrue="1">
      <formula>$C46=1</formula>
    </cfRule>
    <cfRule type="expression" dxfId="323" priority="19" stopIfTrue="1">
      <formula>OR(AND(ISNUMBER($C46),$C46=0),$C46=2,$C46=3,$C46=4)</formula>
    </cfRule>
  </conditionalFormatting>
  <conditionalFormatting sqref="AM46:AN46">
    <cfRule type="expression" dxfId="322" priority="20" stopIfTrue="1">
      <formula>TIPOORCAMENTO="PROPOSTO"</formula>
    </cfRule>
    <cfRule type="expression" dxfId="321" priority="21" stopIfTrue="1">
      <formula>$C46=1</formula>
    </cfRule>
    <cfRule type="expression" dxfId="320" priority="22" stopIfTrue="1">
      <formula>OR(AND(ISNUMBER($C46),$C46=0),$C46=2,$C46=3,$C46=4)</formula>
    </cfRule>
  </conditionalFormatting>
  <conditionalFormatting sqref="X46">
    <cfRule type="expression" dxfId="319" priority="4" stopIfTrue="1">
      <formula>$C46=1</formula>
    </cfRule>
    <cfRule type="expression" dxfId="318" priority="5" stopIfTrue="1">
      <formula>OR($C46=0,$C46=2,$C46=3,$C46=4)</formula>
    </cfRule>
  </conditionalFormatting>
  <conditionalFormatting sqref="R46">
    <cfRule type="expression" dxfId="317" priority="2" stopIfTrue="1">
      <formula>$C46=1</formula>
    </cfRule>
    <cfRule type="expression" dxfId="316" priority="3" stopIfTrue="1">
      <formula>OR($C46=0,$C46=2,$C46=3,$C46=4)</formula>
    </cfRule>
  </conditionalFormatting>
  <conditionalFormatting sqref="R46">
    <cfRule type="beginsWith" dxfId="315" priority="1" operator="beginsWith" text="(">
      <formula>LEFT(R46,LEN("("))="("</formula>
    </cfRule>
  </conditionalFormatting>
  <dataValidations count="8">
    <dataValidation type="decimal" operator="greaterThan" allowBlank="1" showErrorMessage="1" error="Apenas números decimais maiores que zero." sqref="U14 AL14 AJ14 AJ16:AJ46 AL16:AL46 U16:U46"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46"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46" xr:uid="{00000000-0002-0000-0400-000006000000}"/>
    <dataValidation type="list" errorStyle="information" allowBlank="1" showInputMessage="1" prompt="Selecione uma sigla de unidade na lista suspensa." sqref="S14 S16:S46"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46"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46"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46"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46" xr:uid="{7F4C8CDB-8629-420F-A038-80BFCBFA3325}">
      <formula1>ORÇAMENTO.Lista.Nível</formula1>
    </dataValidation>
  </dataValidations>
  <pageMargins left="0.78740157480314965" right="0.78740157480314965" top="0.78740157480314965" bottom="0.78740157480314965" header="0.59055118110236227" footer="0.59055118110236227"/>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IF(AUTOEVENTO="Manual",ROUND(SUMPRODUCT((CÁLCULO!$M$15:$M$47=EVENTOS!$C1)*(OFFSET(CÁLCULO!$AA$15:$AA$47,0,E$13))),2),0)</f>
        <v>0</v>
      </c>
      <c r="F1" s="183">
        <f ca="1">IF(AUTOEVENTO="Manual",ROUND(SUMPRODUCT((CÁLCULO!$M$15:$M$47=EVENTOS!$C1)*(OFFSET(CÁLCULO!$AA$15,0,1):OFFSET(CÁLCULO!$AL$47,0,-1))),2),0)</f>
        <v>0</v>
      </c>
      <c r="G1" s="621" t="str">
        <f ca="1">IF(AND(D1=0,F1&gt;0),"NOME",
 IF(AND(D1&lt;&gt;0,$F$14&gt;0,F1=0),"VALOR",
 IF(AND(Import.TipoArredondamento="TransfereGOV",$A1="F",LEN(D1)&gt;100),"Nome &gt;100","")))</f>
        <v/>
      </c>
      <c r="H1" s="620" cm="1">
        <f t="array" aca="1" ref="H1" ca="1">IF(AUTOEVENTO="Manual",ROUND(SUMPRODUCT((CÁLCULO!$M$15:$M$47=EVENTOS!$C1)*(OFFSET(CÁLCULO!$AA$15:$AA$47,0,H$13))),2),0)</f>
        <v>0</v>
      </c>
      <c r="I1" s="620" cm="1">
        <f t="array" aca="1" ref="I1" ca="1">IF(AUTOEVENTO="Manual",ROUND(SUMPRODUCT((CÁLCULO!$M$15:$M$47=EVENTOS!$C1)*(OFFSET(CÁLCULO!$AA$15:$AA$47,0,I$13))),2),0)</f>
        <v>0</v>
      </c>
      <c r="J1" s="620" cm="1">
        <f t="array" aca="1" ref="J1" ca="1">IF(AUTOEVENTO="Manual",ROUND(SUMPRODUCT((CÁLCULO!$M$15:$M$47=EVENTOS!$C1)*(OFFSET(CÁLCULO!$AA$15:$AA$47,0,J$13))),2),0)</f>
        <v>0</v>
      </c>
      <c r="K1" s="620" cm="1">
        <f t="array" aca="1" ref="K1" ca="1">IF(AUTOEVENTO="Manual",ROUND(SUMPRODUCT((CÁLCULO!$M$15:$M$47=EVENTOS!$C1)*(OFFSET(CÁLCULO!$AA$15:$AA$47,0,K$13))),2),0)</f>
        <v>0</v>
      </c>
      <c r="L1" s="620" cm="1">
        <f t="array" aca="1" ref="L1" ca="1">IF(AUTOEVENTO="Manual",ROUND(SUMPRODUCT((CÁLCULO!$M$15:$M$47=EVENTOS!$C1)*(OFFSET(CÁLCULO!$AA$15:$AA$47,0,L$13))),2),0)</f>
        <v>0</v>
      </c>
      <c r="M1" s="620" cm="1">
        <f t="array" aca="1" ref="M1" ca="1">IF(AUTOEVENTO="Manual",ROUND(SUMPRODUCT((CÁLCULO!$M$15:$M$47=EVENTOS!$C1)*(OFFSET(CÁLCULO!$AA$15:$AA$47,0,M$13))),2),0)</f>
        <v>0</v>
      </c>
      <c r="N1" s="620" cm="1">
        <f t="array" aca="1" ref="N1" ca="1">IF(AUTOEVENTO="Manual",ROUND(SUMPRODUCT((CÁLCULO!$M$15:$M$47=EVENTOS!$C1)*(OFFSET(CÁLCULO!$AA$15:$AA$47,0,N$13))),2),0)</f>
        <v>0</v>
      </c>
      <c r="O1" s="620" cm="1">
        <f t="array" aca="1" ref="O1" ca="1">IF(AUTOEVENTO="Manual",ROUND(SUMPRODUCT((CÁLCULO!$M$15:$M$47=EVENTOS!$C1)*(OFFSET(CÁLCULO!$AA$15:$AA$47,0,O$13))),2),0)</f>
        <v>0</v>
      </c>
      <c r="P1" s="620" cm="1">
        <f t="array" aca="1" ref="P1" ca="1">IF(AUTOEVENTO="Manual",ROUND(SUMPRODUCT((CÁLCULO!$M$15:$M$47=EVENTOS!$C1)*(OFFSET(CÁLCULO!$AA$15:$AA$47,0,P$13))),2),0)</f>
        <v>0</v>
      </c>
      <c r="Q1" s="620" cm="1">
        <f t="array" aca="1" ref="Q1" ca="1">IF(AUTOEVENTO="Manual",ROUND(SUMPRODUCT((CÁLCULO!$M$15:$M$47=EVENTOS!$C1)*(OFFSET(CÁLCULO!$AA$15:$AA$47,0,Q$13))),2),0)</f>
        <v>0</v>
      </c>
      <c r="R1" s="620" cm="1">
        <f t="array" aca="1" ref="R1" ca="1">IF(AUTOEVENTO="Manual",ROUND(SUMPRODUCT((CÁLCULO!$M$15:$M$47=EVENTOS!$C1)*(OFFSET(CÁLCULO!$AA$15:$AA$47,0,R$13))),2),0)</f>
        <v>0</v>
      </c>
      <c r="S1" s="620" cm="1">
        <f t="array" aca="1" ref="S1" ca="1">IF(AUTOEVENTO="Manual",ROUND(SUMPRODUCT((CÁLCULO!$M$15:$M$47=EVENTOS!$C1)*(OFFSET(CÁLCULO!$AA$15:$AA$47,0,S$13))),2),0)</f>
        <v>0</v>
      </c>
      <c r="T1" s="620" cm="1">
        <f t="array" aca="1" ref="T1" ca="1">IF(AUTOEVENTO="Manual",ROUND(SUMPRODUCT((CÁLCULO!$M$15:$M$47=EVENTOS!$C1)*(OFFSET(CÁLCULO!$AA$15:$AA$47,0,T$13))),2),0)</f>
        <v>0</v>
      </c>
      <c r="U1" s="620" cm="1">
        <f t="array" aca="1" ref="U1" ca="1">IF(AUTOEVENTO="Manual",ROUND(SUMPRODUCT((CÁLCULO!$M$15:$M$47=EVENTOS!$C1)*(OFFSET(CÁLCULO!$AA$15:$AA$47,0,U$13))),2),0)</f>
        <v>0</v>
      </c>
      <c r="V1" s="620" cm="1">
        <f t="array" aca="1" ref="V1" ca="1">IF(AUTOEVENTO="Manual",ROUND(SUMPRODUCT((CÁLCULO!$M$15:$M$47=EVENTOS!$C1)*(OFFSET(CÁLCULO!$AA$15:$AA$47,0,V$13))),2),0)</f>
        <v>0</v>
      </c>
      <c r="W1" s="620" cm="1">
        <f t="array" aca="1" ref="W1" ca="1">IF(AUTOEVENTO="Manual",ROUND(SUMPRODUCT((CÁLCULO!$M$15:$M$47=EVENTOS!$C1)*(OFFSET(CÁLCULO!$AA$15:$AA$47,0,W$13))),2),0)</f>
        <v>0</v>
      </c>
      <c r="X1" s="620" cm="1">
        <f t="array" aca="1" ref="X1" ca="1">IF(AUTOEVENTO="Manual",ROUND(SUMPRODUCT((CÁLCULO!$M$15:$M$47=EVENTOS!$C1)*(OFFSET(CÁLCULO!$AA$15:$AA$47,0,X$13))),2),0)</f>
        <v>0</v>
      </c>
      <c r="Y1" s="620" cm="1">
        <f t="array" aca="1" ref="Y1" ca="1">IF(AUTOEVENTO="Manual",ROUND(SUMPRODUCT((CÁLCULO!$M$15:$M$47=EVENTOS!$C1)*(OFFSET(CÁLCULO!$AA$15:$AA$47,0,Y$13))),2),0)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PRFEITURA MUNICIPAL DE PASSOS</v>
      </c>
      <c r="D5" s="503"/>
      <c r="E5" s="503"/>
      <c r="F5" s="732" t="str">
        <f>Import.Apelido</f>
        <v>PRAÇA SÃO FRANCISCO</v>
      </c>
      <c r="G5" s="733"/>
      <c r="H5" s="733"/>
      <c r="I5" s="733"/>
      <c r="J5" s="733"/>
      <c r="K5" s="733"/>
      <c r="L5" s="733"/>
      <c r="M5" s="734"/>
      <c r="N5" s="56">
        <f>Import.CR</f>
        <v>0</v>
      </c>
      <c r="O5" s="56">
        <f>Import.SICONV</f>
        <v>0</v>
      </c>
      <c r="P5" s="732" t="str">
        <f>Import.Apelido</f>
        <v>PRAÇA SÃO FRANCISCO</v>
      </c>
      <c r="Q5" s="733"/>
      <c r="R5" s="733"/>
      <c r="S5" s="733"/>
      <c r="T5" s="733"/>
      <c r="U5" s="733"/>
      <c r="V5" s="733"/>
      <c r="W5" s="734"/>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t="s">
        <v>940</v>
      </c>
    </row>
    <row r="8" spans="1:26" ht="16.5" thickBot="1" x14ac:dyDescent="0.3">
      <c r="B8" t="s">
        <v>941</v>
      </c>
      <c r="C8" s="728" t="s">
        <v>937</v>
      </c>
      <c r="D8" s="729"/>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30">
        <f ca="1">OFFSET(CÁLCULO!$P$12,0,EVENTOS!E$13)</f>
        <v>0</v>
      </c>
      <c r="F10" t="s">
        <v>752</v>
      </c>
      <c r="G10" s="725"/>
      <c r="H10" s="730">
        <f ca="1">OFFSET(CÁLCULO!$P$12,0,EVENTOS!H$13)</f>
        <v>0</v>
      </c>
      <c r="I10" s="730" t="str">
        <f ca="1">OFFSET(CÁLCULO!$P$12,0,EVENTOS!I$13)</f>
        <v>.</v>
      </c>
      <c r="J10" s="730" t="str">
        <f ca="1">OFFSET(CÁLCULO!$P$12,0,EVENTOS!J$13)</f>
        <v>.</v>
      </c>
      <c r="K10" s="725" t="str">
        <f ca="1">OFFSET(CÁLCULO!$P$12,0,EVENTOS!K$13)</f>
        <v>.</v>
      </c>
      <c r="L10" s="725" t="str">
        <f ca="1">OFFSET(CÁLCULO!$P$12,0,EVENTOS!L$13)</f>
        <v>.</v>
      </c>
      <c r="M10" s="725" t="str">
        <f ca="1">OFFSET(CÁLCULO!$P$12,0,EVENTOS!M$13)</f>
        <v>.</v>
      </c>
      <c r="N10" s="725" t="str">
        <f ca="1">OFFSET(CÁLCULO!$P$12,0,EVENTOS!N$13)</f>
        <v>.</v>
      </c>
      <c r="O10" s="725" t="str">
        <f ca="1">OFFSET(CÁLCULO!$P$12,0,EVENTOS!O$13)</f>
        <v>.</v>
      </c>
      <c r="P10" s="725" t="str">
        <f ca="1">OFFSET(CÁLCULO!$P$12,0,EVENTOS!P$13)</f>
        <v>.</v>
      </c>
      <c r="Q10" s="725" t="str">
        <f ca="1">OFFSET(CÁLCULO!$P$12,0,EVENTOS!Q$13)</f>
        <v>.</v>
      </c>
      <c r="R10" s="725" t="str">
        <f ca="1">OFFSET(CÁLCULO!$P$12,0,EVENTOS!R$13)</f>
        <v>.</v>
      </c>
      <c r="S10" s="725" t="str">
        <f ca="1">OFFSET(CÁLCULO!$P$12,0,EVENTOS!S$13)</f>
        <v>.</v>
      </c>
      <c r="T10" s="725" t="str">
        <f ca="1">OFFSET(CÁLCULO!$P$12,0,EVENTOS!T$13)</f>
        <v>.</v>
      </c>
      <c r="U10" s="725" t="str">
        <f ca="1">OFFSET(CÁLCULO!$P$12,0,EVENTOS!U$13)</f>
        <v>.</v>
      </c>
      <c r="V10" s="725" t="str">
        <f ca="1">OFFSET(CÁLCULO!$P$12,0,EVENTOS!V$13)</f>
        <v>.</v>
      </c>
      <c r="W10" s="725" t="str">
        <f ca="1">OFFSET(CÁLCULO!$P$12,0,EVENTOS!W$13)</f>
        <v>.</v>
      </c>
      <c r="X10" s="725" t="str">
        <f ca="1">OFFSET(CÁLCULO!$P$12,0,EVENTOS!X$13)</f>
        <v>.</v>
      </c>
      <c r="Y10" s="725" t="str">
        <f ca="1">OFFSET(CÁLCULO!$P$12,0,EVENTOS!Y$13)</f>
        <v>.</v>
      </c>
    </row>
    <row r="11" spans="1:26" ht="35.1" customHeight="1" x14ac:dyDescent="0.2">
      <c r="A11" s="507" t="s">
        <v>655</v>
      </c>
      <c r="C11" s="73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1"/>
      <c r="E11" s="730"/>
      <c r="F11" s="497"/>
      <c r="G11" s="726"/>
      <c r="H11" s="730"/>
      <c r="I11" s="730"/>
      <c r="J11" s="730"/>
      <c r="K11" s="726"/>
      <c r="L11" s="726"/>
      <c r="M11" s="726"/>
      <c r="N11" s="726"/>
      <c r="O11" s="726"/>
      <c r="P11" s="726"/>
      <c r="Q11" s="726"/>
      <c r="R11" s="726"/>
      <c r="S11" s="726"/>
      <c r="T11" s="726"/>
      <c r="U11" s="726"/>
      <c r="V11" s="726"/>
      <c r="W11" s="726"/>
      <c r="X11" s="726"/>
      <c r="Y11" s="726"/>
    </row>
    <row r="12" spans="1:26" ht="12" customHeight="1" x14ac:dyDescent="0.2">
      <c r="A12" s="508" t="s">
        <v>660</v>
      </c>
      <c r="E12" s="730"/>
      <c r="G12" s="727"/>
      <c r="H12" s="730"/>
      <c r="I12" s="730"/>
      <c r="J12" s="730"/>
      <c r="K12" s="727"/>
      <c r="L12" s="727"/>
      <c r="M12" s="727"/>
      <c r="N12" s="727"/>
      <c r="O12" s="727"/>
      <c r="P12" s="727"/>
      <c r="Q12" s="727"/>
      <c r="R12" s="727"/>
      <c r="S12" s="727"/>
      <c r="T12" s="727"/>
      <c r="U12" s="727"/>
      <c r="V12" s="727"/>
      <c r="W12" s="727"/>
      <c r="X12" s="727"/>
      <c r="Y12" s="727"/>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IF($C$15=0,0,ROUND(SUMPRODUCT((CÁLCULO!$M$15:$M$47=EVENTOS!$C15)*(ORÇAMENTO!$X$15:'ORÇAMENTO'!$X$47)),2))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x14ac:dyDescent="0.2">
      <c r="A16" s="506" t="str">
        <f t="shared" si="3"/>
        <v/>
      </c>
      <c r="B16"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IF(AUTOEVENTO="Manual",ROUND(SUMPRODUCT((CÁLCULO!$M$15:$M$47=EVENTOS!$C16)*(OFFSET(CÁLCULO!$AA$15:$AA$47,0,E$13))),2),0)</f>
        <v>0</v>
      </c>
      <c r="F16" s="183">
        <f ca="1">IF(AUTOEVENTO="Manual",ROUND(SUMPRODUCT((CÁLCULO!$M$15:$M$47=EVENTOS!$C16)*(OFFSET(CÁLCULO!$AA$15,0,1):OFFSET(CÁLCULO!$AL$47,0,-1))),2),0)</f>
        <v>0</v>
      </c>
      <c r="G16" s="621" t="str">
        <f t="shared" ref="G16:G47" ca="1" si="5">IF(AND(D16=0,F16&gt;0),"NOME",
 IF(AND(D16&lt;&gt;0,$F$14&gt;0,F16=0),"VALOR",
 IF(AND(Import.TipoArredondamento="TransfereGOV",$A16="F",LEN(D16)&gt;100),"Nome &gt;100","")))</f>
        <v/>
      </c>
      <c r="H16" s="620" cm="1">
        <f t="array" aca="1" ref="H16" ca="1">IF(AUTOEVENTO="Manual",ROUND(SUMPRODUCT((CÁLCULO!$M$15:$M$47=EVENTOS!$C16)*(OFFSET(CÁLCULO!$AA$15:$AA$47,0,H$13))),2),0)</f>
        <v>0</v>
      </c>
      <c r="I16" s="620" cm="1">
        <f t="array" aca="1" ref="I16" ca="1">IF(AUTOEVENTO="Manual",ROUND(SUMPRODUCT((CÁLCULO!$M$15:$M$47=EVENTOS!$C16)*(OFFSET(CÁLCULO!$AA$15:$AA$47,0,I$13))),2),0)</f>
        <v>0</v>
      </c>
      <c r="J16" s="620" cm="1">
        <f t="array" aca="1" ref="J16" ca="1">IF(AUTOEVENTO="Manual",ROUND(SUMPRODUCT((CÁLCULO!$M$15:$M$47=EVENTOS!$C16)*(OFFSET(CÁLCULO!$AA$15:$AA$47,0,J$13))),2),0)</f>
        <v>0</v>
      </c>
      <c r="K16" s="620" cm="1">
        <f t="array" aca="1" ref="K16" ca="1">IF(AUTOEVENTO="Manual",ROUND(SUMPRODUCT((CÁLCULO!$M$15:$M$47=EVENTOS!$C16)*(OFFSET(CÁLCULO!$AA$15:$AA$47,0,K$13))),2),0)</f>
        <v>0</v>
      </c>
      <c r="L16" s="620" cm="1">
        <f t="array" aca="1" ref="L16" ca="1">IF(AUTOEVENTO="Manual",ROUND(SUMPRODUCT((CÁLCULO!$M$15:$M$47=EVENTOS!$C16)*(OFFSET(CÁLCULO!$AA$15:$AA$47,0,L$13))),2),0)</f>
        <v>0</v>
      </c>
      <c r="M16" s="620" cm="1">
        <f t="array" aca="1" ref="M16" ca="1">IF(AUTOEVENTO="Manual",ROUND(SUMPRODUCT((CÁLCULO!$M$15:$M$47=EVENTOS!$C16)*(OFFSET(CÁLCULO!$AA$15:$AA$47,0,M$13))),2),0)</f>
        <v>0</v>
      </c>
      <c r="N16" s="620" cm="1">
        <f t="array" aca="1" ref="N16" ca="1">IF(AUTOEVENTO="Manual",ROUND(SUMPRODUCT((CÁLCULO!$M$15:$M$47=EVENTOS!$C16)*(OFFSET(CÁLCULO!$AA$15:$AA$47,0,N$13))),2),0)</f>
        <v>0</v>
      </c>
      <c r="O16" s="620" cm="1">
        <f t="array" aca="1" ref="O16" ca="1">IF(AUTOEVENTO="Manual",ROUND(SUMPRODUCT((CÁLCULO!$M$15:$M$47=EVENTOS!$C16)*(OFFSET(CÁLCULO!$AA$15:$AA$47,0,O$13))),2),0)</f>
        <v>0</v>
      </c>
      <c r="P16" s="620" cm="1">
        <f t="array" aca="1" ref="P16" ca="1">IF(AUTOEVENTO="Manual",ROUND(SUMPRODUCT((CÁLCULO!$M$15:$M$47=EVENTOS!$C16)*(OFFSET(CÁLCULO!$AA$15:$AA$47,0,P$13))),2),0)</f>
        <v>0</v>
      </c>
      <c r="Q16" s="620" cm="1">
        <f t="array" aca="1" ref="Q16" ca="1">IF(AUTOEVENTO="Manual",ROUND(SUMPRODUCT((CÁLCULO!$M$15:$M$47=EVENTOS!$C16)*(OFFSET(CÁLCULO!$AA$15:$AA$47,0,Q$13))),2),0)</f>
        <v>0</v>
      </c>
      <c r="R16" s="620" cm="1">
        <f t="array" aca="1" ref="R16" ca="1">IF(AUTOEVENTO="Manual",ROUND(SUMPRODUCT((CÁLCULO!$M$15:$M$47=EVENTOS!$C16)*(OFFSET(CÁLCULO!$AA$15:$AA$47,0,R$13))),2),0)</f>
        <v>0</v>
      </c>
      <c r="S16" s="620" cm="1">
        <f t="array" aca="1" ref="S16" ca="1">IF(AUTOEVENTO="Manual",ROUND(SUMPRODUCT((CÁLCULO!$M$15:$M$47=EVENTOS!$C16)*(OFFSET(CÁLCULO!$AA$15:$AA$47,0,S$13))),2),0)</f>
        <v>0</v>
      </c>
      <c r="T16" s="620" cm="1">
        <f t="array" aca="1" ref="T16" ca="1">IF(AUTOEVENTO="Manual",ROUND(SUMPRODUCT((CÁLCULO!$M$15:$M$47=EVENTOS!$C16)*(OFFSET(CÁLCULO!$AA$15:$AA$47,0,T$13))),2),0)</f>
        <v>0</v>
      </c>
      <c r="U16" s="620" cm="1">
        <f t="array" aca="1" ref="U16" ca="1">IF(AUTOEVENTO="Manual",ROUND(SUMPRODUCT((CÁLCULO!$M$15:$M$47=EVENTOS!$C16)*(OFFSET(CÁLCULO!$AA$15:$AA$47,0,U$13))),2),0)</f>
        <v>0</v>
      </c>
      <c r="V16" s="620" cm="1">
        <f t="array" aca="1" ref="V16" ca="1">IF(AUTOEVENTO="Manual",ROUND(SUMPRODUCT((CÁLCULO!$M$15:$M$47=EVENTOS!$C16)*(OFFSET(CÁLCULO!$AA$15:$AA$47,0,V$13))),2),0)</f>
        <v>0</v>
      </c>
      <c r="W16" s="620" cm="1">
        <f t="array" aca="1" ref="W16" ca="1">IF(AUTOEVENTO="Manual",ROUND(SUMPRODUCT((CÁLCULO!$M$15:$M$47=EVENTOS!$C16)*(OFFSET(CÁLCULO!$AA$15:$AA$47,0,W$13))),2),0)</f>
        <v>0</v>
      </c>
      <c r="X16" s="620" cm="1">
        <f t="array" aca="1" ref="X16" ca="1">IF(AUTOEVENTO="Manual",ROUND(SUMPRODUCT((CÁLCULO!$M$15:$M$47=EVENTOS!$C16)*(OFFSET(CÁLCULO!$AA$15:$AA$47,0,X$13))),2),0)</f>
        <v>0</v>
      </c>
      <c r="Y16" s="620" cm="1">
        <f t="array" aca="1" ref="Y16" ca="1">IF(AUTOEVENTO="Manual",ROUND(SUMPRODUCT((CÁLCULO!$M$15:$M$47=EVENTOS!$C16)*(OFFSET(CÁLCULO!$AA$15:$AA$47,0,Y$13))),2),0)</f>
        <v>0</v>
      </c>
    </row>
    <row r="17" spans="1:25" x14ac:dyDescent="0.2">
      <c r="A17" s="506" t="str">
        <f t="shared" si="3"/>
        <v/>
      </c>
      <c r="B17" t="str">
        <f t="shared" ca="1" si="4"/>
        <v/>
      </c>
      <c r="C17" s="182" t="str" cm="1">
        <f t="array" aca="1" ref="C17" ca="1">IF(OR(ROW(C17)=ROW(EVENTOS.firstrow)+1,AND(OFFSET(C17,-1,0)&lt;&gt;" ",OFFSET(C17,-1,1)&lt;&gt;"")),OFFSET(C17,-1,0)+1," ")</f>
        <v xml:space="preserve"> </v>
      </c>
      <c r="D17" s="496"/>
      <c r="E17" s="620" cm="1">
        <f t="array" aca="1" ref="E17" ca="1">IF(AUTOEVENTO="Manual",ROUND(SUMPRODUCT((CÁLCULO!$M$15:$M$47=EVENTOS!$C17)*(OFFSET(CÁLCULO!$AA$15:$AA$47,0,E$13))),2),0)</f>
        <v>0</v>
      </c>
      <c r="F17" s="183">
        <f ca="1">IF(AUTOEVENTO="Manual",ROUND(SUMPRODUCT((CÁLCULO!$M$15:$M$47=EVENTOS!$C17)*(OFFSET(CÁLCULO!$AA$15,0,1):OFFSET(CÁLCULO!$AL$47,0,-1))),2),0)</f>
        <v>0</v>
      </c>
      <c r="G17" s="621" t="str">
        <f t="shared" ca="1" si="5"/>
        <v/>
      </c>
      <c r="H17" s="620" cm="1">
        <f t="array" aca="1" ref="H17" ca="1">IF(AUTOEVENTO="Manual",ROUND(SUMPRODUCT((CÁLCULO!$M$15:$M$47=EVENTOS!$C17)*(OFFSET(CÁLCULO!$AA$15:$AA$47,0,H$13))),2),0)</f>
        <v>0</v>
      </c>
      <c r="I17" s="620" cm="1">
        <f t="array" aca="1" ref="I17" ca="1">IF(AUTOEVENTO="Manual",ROUND(SUMPRODUCT((CÁLCULO!$M$15:$M$47=EVENTOS!$C17)*(OFFSET(CÁLCULO!$AA$15:$AA$47,0,I$13))),2),0)</f>
        <v>0</v>
      </c>
      <c r="J17" s="620" cm="1">
        <f t="array" aca="1" ref="J17" ca="1">IF(AUTOEVENTO="Manual",ROUND(SUMPRODUCT((CÁLCULO!$M$15:$M$47=EVENTOS!$C17)*(OFFSET(CÁLCULO!$AA$15:$AA$47,0,J$13))),2),0)</f>
        <v>0</v>
      </c>
      <c r="K17" s="620" cm="1">
        <f t="array" aca="1" ref="K17" ca="1">IF(AUTOEVENTO="Manual",ROUND(SUMPRODUCT((CÁLCULO!$M$15:$M$47=EVENTOS!$C17)*(OFFSET(CÁLCULO!$AA$15:$AA$47,0,K$13))),2),0)</f>
        <v>0</v>
      </c>
      <c r="L17" s="620" cm="1">
        <f t="array" aca="1" ref="L17" ca="1">IF(AUTOEVENTO="Manual",ROUND(SUMPRODUCT((CÁLCULO!$M$15:$M$47=EVENTOS!$C17)*(OFFSET(CÁLCULO!$AA$15:$AA$47,0,L$13))),2),0)</f>
        <v>0</v>
      </c>
      <c r="M17" s="620" cm="1">
        <f t="array" aca="1" ref="M17" ca="1">IF(AUTOEVENTO="Manual",ROUND(SUMPRODUCT((CÁLCULO!$M$15:$M$47=EVENTOS!$C17)*(OFFSET(CÁLCULO!$AA$15:$AA$47,0,M$13))),2),0)</f>
        <v>0</v>
      </c>
      <c r="N17" s="620" cm="1">
        <f t="array" aca="1" ref="N17" ca="1">IF(AUTOEVENTO="Manual",ROUND(SUMPRODUCT((CÁLCULO!$M$15:$M$47=EVENTOS!$C17)*(OFFSET(CÁLCULO!$AA$15:$AA$47,0,N$13))),2),0)</f>
        <v>0</v>
      </c>
      <c r="O17" s="620" cm="1">
        <f t="array" aca="1" ref="O17" ca="1">IF(AUTOEVENTO="Manual",ROUND(SUMPRODUCT((CÁLCULO!$M$15:$M$47=EVENTOS!$C17)*(OFFSET(CÁLCULO!$AA$15:$AA$47,0,O$13))),2),0)</f>
        <v>0</v>
      </c>
      <c r="P17" s="620" cm="1">
        <f t="array" aca="1" ref="P17" ca="1">IF(AUTOEVENTO="Manual",ROUND(SUMPRODUCT((CÁLCULO!$M$15:$M$47=EVENTOS!$C17)*(OFFSET(CÁLCULO!$AA$15:$AA$47,0,P$13))),2),0)</f>
        <v>0</v>
      </c>
      <c r="Q17" s="620" cm="1">
        <f t="array" aca="1" ref="Q17" ca="1">IF(AUTOEVENTO="Manual",ROUND(SUMPRODUCT((CÁLCULO!$M$15:$M$47=EVENTOS!$C17)*(OFFSET(CÁLCULO!$AA$15:$AA$47,0,Q$13))),2),0)</f>
        <v>0</v>
      </c>
      <c r="R17" s="620" cm="1">
        <f t="array" aca="1" ref="R17" ca="1">IF(AUTOEVENTO="Manual",ROUND(SUMPRODUCT((CÁLCULO!$M$15:$M$47=EVENTOS!$C17)*(OFFSET(CÁLCULO!$AA$15:$AA$47,0,R$13))),2),0)</f>
        <v>0</v>
      </c>
      <c r="S17" s="620" cm="1">
        <f t="array" aca="1" ref="S17" ca="1">IF(AUTOEVENTO="Manual",ROUND(SUMPRODUCT((CÁLCULO!$M$15:$M$47=EVENTOS!$C17)*(OFFSET(CÁLCULO!$AA$15:$AA$47,0,S$13))),2),0)</f>
        <v>0</v>
      </c>
      <c r="T17" s="620" cm="1">
        <f t="array" aca="1" ref="T17" ca="1">IF(AUTOEVENTO="Manual",ROUND(SUMPRODUCT((CÁLCULO!$M$15:$M$47=EVENTOS!$C17)*(OFFSET(CÁLCULO!$AA$15:$AA$47,0,T$13))),2),0)</f>
        <v>0</v>
      </c>
      <c r="U17" s="620" cm="1">
        <f t="array" aca="1" ref="U17" ca="1">IF(AUTOEVENTO="Manual",ROUND(SUMPRODUCT((CÁLCULO!$M$15:$M$47=EVENTOS!$C17)*(OFFSET(CÁLCULO!$AA$15:$AA$47,0,U$13))),2),0)</f>
        <v>0</v>
      </c>
      <c r="V17" s="620" cm="1">
        <f t="array" aca="1" ref="V17" ca="1">IF(AUTOEVENTO="Manual",ROUND(SUMPRODUCT((CÁLCULO!$M$15:$M$47=EVENTOS!$C17)*(OFFSET(CÁLCULO!$AA$15:$AA$47,0,V$13))),2),0)</f>
        <v>0</v>
      </c>
      <c r="W17" s="620" cm="1">
        <f t="array" aca="1" ref="W17" ca="1">IF(AUTOEVENTO="Manual",ROUND(SUMPRODUCT((CÁLCULO!$M$15:$M$47=EVENTOS!$C17)*(OFFSET(CÁLCULO!$AA$15:$AA$47,0,W$13))),2),0)</f>
        <v>0</v>
      </c>
      <c r="X17" s="620" cm="1">
        <f t="array" aca="1" ref="X17" ca="1">IF(AUTOEVENTO="Manual",ROUND(SUMPRODUCT((CÁLCULO!$M$15:$M$47=EVENTOS!$C17)*(OFFSET(CÁLCULO!$AA$15:$AA$47,0,X$13))),2),0)</f>
        <v>0</v>
      </c>
      <c r="Y17" s="620" cm="1">
        <f t="array" aca="1" ref="Y17" ca="1">IF(AUTOEVENTO="Manual",ROUND(SUMPRODUCT((CÁLCULO!$M$15:$M$47=EVENTOS!$C17)*(OFFSET(CÁLCULO!$AA$15:$AA$47,0,Y$13))),2),0)</f>
        <v>0</v>
      </c>
    </row>
    <row r="18" spans="1:25" x14ac:dyDescent="0.2">
      <c r="A18" s="506" t="str">
        <f t="shared" si="3"/>
        <v/>
      </c>
      <c r="B18" t="str">
        <f t="shared" ca="1" si="4"/>
        <v/>
      </c>
      <c r="C18" s="182" t="str" cm="1">
        <f t="array" aca="1" ref="C18" ca="1">IF(OR(ROW(C18)=ROW(EVENTOS.firstrow)+1,AND(OFFSET(C18,-1,0)&lt;&gt;" ",OFFSET(C18,-1,1)&lt;&gt;"")),OFFSET(C18,-1,0)+1," ")</f>
        <v xml:space="preserve"> </v>
      </c>
      <c r="D18" s="496"/>
      <c r="E18" s="620" cm="1">
        <f t="array" aca="1" ref="E18" ca="1">IF(AUTOEVENTO="Manual",ROUND(SUMPRODUCT((CÁLCULO!$M$15:$M$47=EVENTOS!$C18)*(OFFSET(CÁLCULO!$AA$15:$AA$47,0,E$13))),2),0)</f>
        <v>0</v>
      </c>
      <c r="F18" s="183">
        <f ca="1">IF(AUTOEVENTO="Manual",ROUND(SUMPRODUCT((CÁLCULO!$M$15:$M$47=EVENTOS!$C18)*(OFFSET(CÁLCULO!$AA$15,0,1):OFFSET(CÁLCULO!$AL$47,0,-1))),2),0)</f>
        <v>0</v>
      </c>
      <c r="G18" s="621" t="str">
        <f t="shared" ca="1" si="5"/>
        <v/>
      </c>
      <c r="H18" s="620" cm="1">
        <f t="array" aca="1" ref="H18" ca="1">IF(AUTOEVENTO="Manual",ROUND(SUMPRODUCT((CÁLCULO!$M$15:$M$47=EVENTOS!$C18)*(OFFSET(CÁLCULO!$AA$15:$AA$47,0,H$13))),2),0)</f>
        <v>0</v>
      </c>
      <c r="I18" s="620" cm="1">
        <f t="array" aca="1" ref="I18" ca="1">IF(AUTOEVENTO="Manual",ROUND(SUMPRODUCT((CÁLCULO!$M$15:$M$47=EVENTOS!$C18)*(OFFSET(CÁLCULO!$AA$15:$AA$47,0,I$13))),2),0)</f>
        <v>0</v>
      </c>
      <c r="J18" s="620" cm="1">
        <f t="array" aca="1" ref="J18" ca="1">IF(AUTOEVENTO="Manual",ROUND(SUMPRODUCT((CÁLCULO!$M$15:$M$47=EVENTOS!$C18)*(OFFSET(CÁLCULO!$AA$15:$AA$47,0,J$13))),2),0)</f>
        <v>0</v>
      </c>
      <c r="K18" s="620" cm="1">
        <f t="array" aca="1" ref="K18" ca="1">IF(AUTOEVENTO="Manual",ROUND(SUMPRODUCT((CÁLCULO!$M$15:$M$47=EVENTOS!$C18)*(OFFSET(CÁLCULO!$AA$15:$AA$47,0,K$13))),2),0)</f>
        <v>0</v>
      </c>
      <c r="L18" s="620" cm="1">
        <f t="array" aca="1" ref="L18" ca="1">IF(AUTOEVENTO="Manual",ROUND(SUMPRODUCT((CÁLCULO!$M$15:$M$47=EVENTOS!$C18)*(OFFSET(CÁLCULO!$AA$15:$AA$47,0,L$13))),2),0)</f>
        <v>0</v>
      </c>
      <c r="M18" s="620" cm="1">
        <f t="array" aca="1" ref="M18" ca="1">IF(AUTOEVENTO="Manual",ROUND(SUMPRODUCT((CÁLCULO!$M$15:$M$47=EVENTOS!$C18)*(OFFSET(CÁLCULO!$AA$15:$AA$47,0,M$13))),2),0)</f>
        <v>0</v>
      </c>
      <c r="N18" s="620" cm="1">
        <f t="array" aca="1" ref="N18" ca="1">IF(AUTOEVENTO="Manual",ROUND(SUMPRODUCT((CÁLCULO!$M$15:$M$47=EVENTOS!$C18)*(OFFSET(CÁLCULO!$AA$15:$AA$47,0,N$13))),2),0)</f>
        <v>0</v>
      </c>
      <c r="O18" s="620" cm="1">
        <f t="array" aca="1" ref="O18" ca="1">IF(AUTOEVENTO="Manual",ROUND(SUMPRODUCT((CÁLCULO!$M$15:$M$47=EVENTOS!$C18)*(OFFSET(CÁLCULO!$AA$15:$AA$47,0,O$13))),2),0)</f>
        <v>0</v>
      </c>
      <c r="P18" s="620" cm="1">
        <f t="array" aca="1" ref="P18" ca="1">IF(AUTOEVENTO="Manual",ROUND(SUMPRODUCT((CÁLCULO!$M$15:$M$47=EVENTOS!$C18)*(OFFSET(CÁLCULO!$AA$15:$AA$47,0,P$13))),2),0)</f>
        <v>0</v>
      </c>
      <c r="Q18" s="620" cm="1">
        <f t="array" aca="1" ref="Q18" ca="1">IF(AUTOEVENTO="Manual",ROUND(SUMPRODUCT((CÁLCULO!$M$15:$M$47=EVENTOS!$C18)*(OFFSET(CÁLCULO!$AA$15:$AA$47,0,Q$13))),2),0)</f>
        <v>0</v>
      </c>
      <c r="R18" s="620" cm="1">
        <f t="array" aca="1" ref="R18" ca="1">IF(AUTOEVENTO="Manual",ROUND(SUMPRODUCT((CÁLCULO!$M$15:$M$47=EVENTOS!$C18)*(OFFSET(CÁLCULO!$AA$15:$AA$47,0,R$13))),2),0)</f>
        <v>0</v>
      </c>
      <c r="S18" s="620" cm="1">
        <f t="array" aca="1" ref="S18" ca="1">IF(AUTOEVENTO="Manual",ROUND(SUMPRODUCT((CÁLCULO!$M$15:$M$47=EVENTOS!$C18)*(OFFSET(CÁLCULO!$AA$15:$AA$47,0,S$13))),2),0)</f>
        <v>0</v>
      </c>
      <c r="T18" s="620" cm="1">
        <f t="array" aca="1" ref="T18" ca="1">IF(AUTOEVENTO="Manual",ROUND(SUMPRODUCT((CÁLCULO!$M$15:$M$47=EVENTOS!$C18)*(OFFSET(CÁLCULO!$AA$15:$AA$47,0,T$13))),2),0)</f>
        <v>0</v>
      </c>
      <c r="U18" s="620" cm="1">
        <f t="array" aca="1" ref="U18" ca="1">IF(AUTOEVENTO="Manual",ROUND(SUMPRODUCT((CÁLCULO!$M$15:$M$47=EVENTOS!$C18)*(OFFSET(CÁLCULO!$AA$15:$AA$47,0,U$13))),2),0)</f>
        <v>0</v>
      </c>
      <c r="V18" s="620" cm="1">
        <f t="array" aca="1" ref="V18" ca="1">IF(AUTOEVENTO="Manual",ROUND(SUMPRODUCT((CÁLCULO!$M$15:$M$47=EVENTOS!$C18)*(OFFSET(CÁLCULO!$AA$15:$AA$47,0,V$13))),2),0)</f>
        <v>0</v>
      </c>
      <c r="W18" s="620" cm="1">
        <f t="array" aca="1" ref="W18" ca="1">IF(AUTOEVENTO="Manual",ROUND(SUMPRODUCT((CÁLCULO!$M$15:$M$47=EVENTOS!$C18)*(OFFSET(CÁLCULO!$AA$15:$AA$47,0,W$13))),2),0)</f>
        <v>0</v>
      </c>
      <c r="X18" s="620" cm="1">
        <f t="array" aca="1" ref="X18" ca="1">IF(AUTOEVENTO="Manual",ROUND(SUMPRODUCT((CÁLCULO!$M$15:$M$47=EVENTOS!$C18)*(OFFSET(CÁLCULO!$AA$15:$AA$47,0,X$13))),2),0)</f>
        <v>0</v>
      </c>
      <c r="Y18" s="620" cm="1">
        <f t="array" aca="1" ref="Y18" ca="1">IF(AUTOEVENTO="Manual",ROUND(SUMPRODUCT((CÁLCULO!$M$15:$M$47=EVENTOS!$C18)*(OFFSET(CÁLCULO!$AA$15:$AA$47,0,Y$13))),2),0)</f>
        <v>0</v>
      </c>
    </row>
    <row r="19" spans="1:25" x14ac:dyDescent="0.2">
      <c r="A19" s="506" t="str">
        <f t="shared" si="3"/>
        <v/>
      </c>
      <c r="B19" t="str">
        <f t="shared" ca="1" si="4"/>
        <v/>
      </c>
      <c r="C19" s="182" t="str" cm="1">
        <f t="array" aca="1" ref="C19" ca="1">IF(OR(ROW(C19)=ROW(EVENTOS.firstrow)+1,AND(OFFSET(C19,-1,0)&lt;&gt;" ",OFFSET(C19,-1,1)&lt;&gt;"")),OFFSET(C19,-1,0)+1," ")</f>
        <v xml:space="preserve"> </v>
      </c>
      <c r="D19" s="496"/>
      <c r="E19" s="620" cm="1">
        <f t="array" aca="1" ref="E19" ca="1">IF(AUTOEVENTO="Manual",ROUND(SUMPRODUCT((CÁLCULO!$M$15:$M$47=EVENTOS!$C19)*(OFFSET(CÁLCULO!$AA$15:$AA$47,0,E$13))),2),0)</f>
        <v>0</v>
      </c>
      <c r="F19" s="183">
        <f ca="1">IF(AUTOEVENTO="Manual",ROUND(SUMPRODUCT((CÁLCULO!$M$15:$M$47=EVENTOS!$C19)*(OFFSET(CÁLCULO!$AA$15,0,1):OFFSET(CÁLCULO!$AL$47,0,-1))),2),0)</f>
        <v>0</v>
      </c>
      <c r="G19" s="621" t="str">
        <f t="shared" ca="1" si="5"/>
        <v/>
      </c>
      <c r="H19" s="620" cm="1">
        <f t="array" aca="1" ref="H19" ca="1">IF(AUTOEVENTO="Manual",ROUND(SUMPRODUCT((CÁLCULO!$M$15:$M$47=EVENTOS!$C19)*(OFFSET(CÁLCULO!$AA$15:$AA$47,0,H$13))),2),0)</f>
        <v>0</v>
      </c>
      <c r="I19" s="620" cm="1">
        <f t="array" aca="1" ref="I19" ca="1">IF(AUTOEVENTO="Manual",ROUND(SUMPRODUCT((CÁLCULO!$M$15:$M$47=EVENTOS!$C19)*(OFFSET(CÁLCULO!$AA$15:$AA$47,0,I$13))),2),0)</f>
        <v>0</v>
      </c>
      <c r="J19" s="620" cm="1">
        <f t="array" aca="1" ref="J19" ca="1">IF(AUTOEVENTO="Manual",ROUND(SUMPRODUCT((CÁLCULO!$M$15:$M$47=EVENTOS!$C19)*(OFFSET(CÁLCULO!$AA$15:$AA$47,0,J$13))),2),0)</f>
        <v>0</v>
      </c>
      <c r="K19" s="620" cm="1">
        <f t="array" aca="1" ref="K19" ca="1">IF(AUTOEVENTO="Manual",ROUND(SUMPRODUCT((CÁLCULO!$M$15:$M$47=EVENTOS!$C19)*(OFFSET(CÁLCULO!$AA$15:$AA$47,0,K$13))),2),0)</f>
        <v>0</v>
      </c>
      <c r="L19" s="620" cm="1">
        <f t="array" aca="1" ref="L19" ca="1">IF(AUTOEVENTO="Manual",ROUND(SUMPRODUCT((CÁLCULO!$M$15:$M$47=EVENTOS!$C19)*(OFFSET(CÁLCULO!$AA$15:$AA$47,0,L$13))),2),0)</f>
        <v>0</v>
      </c>
      <c r="M19" s="620" cm="1">
        <f t="array" aca="1" ref="M19" ca="1">IF(AUTOEVENTO="Manual",ROUND(SUMPRODUCT((CÁLCULO!$M$15:$M$47=EVENTOS!$C19)*(OFFSET(CÁLCULO!$AA$15:$AA$47,0,M$13))),2),0)</f>
        <v>0</v>
      </c>
      <c r="N19" s="620" cm="1">
        <f t="array" aca="1" ref="N19" ca="1">IF(AUTOEVENTO="Manual",ROUND(SUMPRODUCT((CÁLCULO!$M$15:$M$47=EVENTOS!$C19)*(OFFSET(CÁLCULO!$AA$15:$AA$47,0,N$13))),2),0)</f>
        <v>0</v>
      </c>
      <c r="O19" s="620" cm="1">
        <f t="array" aca="1" ref="O19" ca="1">IF(AUTOEVENTO="Manual",ROUND(SUMPRODUCT((CÁLCULO!$M$15:$M$47=EVENTOS!$C19)*(OFFSET(CÁLCULO!$AA$15:$AA$47,0,O$13))),2),0)</f>
        <v>0</v>
      </c>
      <c r="P19" s="620" cm="1">
        <f t="array" aca="1" ref="P19" ca="1">IF(AUTOEVENTO="Manual",ROUND(SUMPRODUCT((CÁLCULO!$M$15:$M$47=EVENTOS!$C19)*(OFFSET(CÁLCULO!$AA$15:$AA$47,0,P$13))),2),0)</f>
        <v>0</v>
      </c>
      <c r="Q19" s="620" cm="1">
        <f t="array" aca="1" ref="Q19" ca="1">IF(AUTOEVENTO="Manual",ROUND(SUMPRODUCT((CÁLCULO!$M$15:$M$47=EVENTOS!$C19)*(OFFSET(CÁLCULO!$AA$15:$AA$47,0,Q$13))),2),0)</f>
        <v>0</v>
      </c>
      <c r="R19" s="620" cm="1">
        <f t="array" aca="1" ref="R19" ca="1">IF(AUTOEVENTO="Manual",ROUND(SUMPRODUCT((CÁLCULO!$M$15:$M$47=EVENTOS!$C19)*(OFFSET(CÁLCULO!$AA$15:$AA$47,0,R$13))),2),0)</f>
        <v>0</v>
      </c>
      <c r="S19" s="620" cm="1">
        <f t="array" aca="1" ref="S19" ca="1">IF(AUTOEVENTO="Manual",ROUND(SUMPRODUCT((CÁLCULO!$M$15:$M$47=EVENTOS!$C19)*(OFFSET(CÁLCULO!$AA$15:$AA$47,0,S$13))),2),0)</f>
        <v>0</v>
      </c>
      <c r="T19" s="620" cm="1">
        <f t="array" aca="1" ref="T19" ca="1">IF(AUTOEVENTO="Manual",ROUND(SUMPRODUCT((CÁLCULO!$M$15:$M$47=EVENTOS!$C19)*(OFFSET(CÁLCULO!$AA$15:$AA$47,0,T$13))),2),0)</f>
        <v>0</v>
      </c>
      <c r="U19" s="620" cm="1">
        <f t="array" aca="1" ref="U19" ca="1">IF(AUTOEVENTO="Manual",ROUND(SUMPRODUCT((CÁLCULO!$M$15:$M$47=EVENTOS!$C19)*(OFFSET(CÁLCULO!$AA$15:$AA$47,0,U$13))),2),0)</f>
        <v>0</v>
      </c>
      <c r="V19" s="620" cm="1">
        <f t="array" aca="1" ref="V19" ca="1">IF(AUTOEVENTO="Manual",ROUND(SUMPRODUCT((CÁLCULO!$M$15:$M$47=EVENTOS!$C19)*(OFFSET(CÁLCULO!$AA$15:$AA$47,0,V$13))),2),0)</f>
        <v>0</v>
      </c>
      <c r="W19" s="620" cm="1">
        <f t="array" aca="1" ref="W19" ca="1">IF(AUTOEVENTO="Manual",ROUND(SUMPRODUCT((CÁLCULO!$M$15:$M$47=EVENTOS!$C19)*(OFFSET(CÁLCULO!$AA$15:$AA$47,0,W$13))),2),0)</f>
        <v>0</v>
      </c>
      <c r="X19" s="620" cm="1">
        <f t="array" aca="1" ref="X19" ca="1">IF(AUTOEVENTO="Manual",ROUND(SUMPRODUCT((CÁLCULO!$M$15:$M$47=EVENTOS!$C19)*(OFFSET(CÁLCULO!$AA$15:$AA$47,0,X$13))),2),0)</f>
        <v>0</v>
      </c>
      <c r="Y19" s="620" cm="1">
        <f t="array" aca="1" ref="Y19" ca="1">IF(AUTOEVENTO="Manual",ROUND(SUMPRODUCT((CÁLCULO!$M$15:$M$47=EVENTOS!$C19)*(OFFSET(CÁLCULO!$AA$15:$AA$47,0,Y$13))),2),0)</f>
        <v>0</v>
      </c>
    </row>
    <row r="20" spans="1:25" x14ac:dyDescent="0.2">
      <c r="A20" s="506" t="str">
        <f t="shared" si="3"/>
        <v/>
      </c>
      <c r="B20" t="str">
        <f t="shared" ca="1" si="4"/>
        <v/>
      </c>
      <c r="C20" s="182" t="str" cm="1">
        <f t="array" aca="1" ref="C20" ca="1">IF(OR(ROW(C20)=ROW(EVENTOS.firstrow)+1,AND(OFFSET(C20,-1,0)&lt;&gt;" ",OFFSET(C20,-1,1)&lt;&gt;"")),OFFSET(C20,-1,0)+1," ")</f>
        <v xml:space="preserve"> </v>
      </c>
      <c r="D20" s="496"/>
      <c r="E20" s="620" cm="1">
        <f t="array" aca="1" ref="E20" ca="1">IF(AUTOEVENTO="Manual",ROUND(SUMPRODUCT((CÁLCULO!$M$15:$M$47=EVENTOS!$C20)*(OFFSET(CÁLCULO!$AA$15:$AA$47,0,E$13))),2),0)</f>
        <v>0</v>
      </c>
      <c r="F20" s="183">
        <f ca="1">IF(AUTOEVENTO="Manual",ROUND(SUMPRODUCT((CÁLCULO!$M$15:$M$47=EVENTOS!$C20)*(OFFSET(CÁLCULO!$AA$15,0,1):OFFSET(CÁLCULO!$AL$47,0,-1))),2),0)</f>
        <v>0</v>
      </c>
      <c r="G20" s="621" t="str">
        <f t="shared" ca="1" si="5"/>
        <v/>
      </c>
      <c r="H20" s="620" cm="1">
        <f t="array" aca="1" ref="H20" ca="1">IF(AUTOEVENTO="Manual",ROUND(SUMPRODUCT((CÁLCULO!$M$15:$M$47=EVENTOS!$C20)*(OFFSET(CÁLCULO!$AA$15:$AA$47,0,H$13))),2),0)</f>
        <v>0</v>
      </c>
      <c r="I20" s="620" cm="1">
        <f t="array" aca="1" ref="I20" ca="1">IF(AUTOEVENTO="Manual",ROUND(SUMPRODUCT((CÁLCULO!$M$15:$M$47=EVENTOS!$C20)*(OFFSET(CÁLCULO!$AA$15:$AA$47,0,I$13))),2),0)</f>
        <v>0</v>
      </c>
      <c r="J20" s="620" cm="1">
        <f t="array" aca="1" ref="J20" ca="1">IF(AUTOEVENTO="Manual",ROUND(SUMPRODUCT((CÁLCULO!$M$15:$M$47=EVENTOS!$C20)*(OFFSET(CÁLCULO!$AA$15:$AA$47,0,J$13))),2),0)</f>
        <v>0</v>
      </c>
      <c r="K20" s="620" cm="1">
        <f t="array" aca="1" ref="K20" ca="1">IF(AUTOEVENTO="Manual",ROUND(SUMPRODUCT((CÁLCULO!$M$15:$M$47=EVENTOS!$C20)*(OFFSET(CÁLCULO!$AA$15:$AA$47,0,K$13))),2),0)</f>
        <v>0</v>
      </c>
      <c r="L20" s="620" cm="1">
        <f t="array" aca="1" ref="L20" ca="1">IF(AUTOEVENTO="Manual",ROUND(SUMPRODUCT((CÁLCULO!$M$15:$M$47=EVENTOS!$C20)*(OFFSET(CÁLCULO!$AA$15:$AA$47,0,L$13))),2),0)</f>
        <v>0</v>
      </c>
      <c r="M20" s="620" cm="1">
        <f t="array" aca="1" ref="M20" ca="1">IF(AUTOEVENTO="Manual",ROUND(SUMPRODUCT((CÁLCULO!$M$15:$M$47=EVENTOS!$C20)*(OFFSET(CÁLCULO!$AA$15:$AA$47,0,M$13))),2),0)</f>
        <v>0</v>
      </c>
      <c r="N20" s="620" cm="1">
        <f t="array" aca="1" ref="N20" ca="1">IF(AUTOEVENTO="Manual",ROUND(SUMPRODUCT((CÁLCULO!$M$15:$M$47=EVENTOS!$C20)*(OFFSET(CÁLCULO!$AA$15:$AA$47,0,N$13))),2),0)</f>
        <v>0</v>
      </c>
      <c r="O20" s="620" cm="1">
        <f t="array" aca="1" ref="O20" ca="1">IF(AUTOEVENTO="Manual",ROUND(SUMPRODUCT((CÁLCULO!$M$15:$M$47=EVENTOS!$C20)*(OFFSET(CÁLCULO!$AA$15:$AA$47,0,O$13))),2),0)</f>
        <v>0</v>
      </c>
      <c r="P20" s="620" cm="1">
        <f t="array" aca="1" ref="P20" ca="1">IF(AUTOEVENTO="Manual",ROUND(SUMPRODUCT((CÁLCULO!$M$15:$M$47=EVENTOS!$C20)*(OFFSET(CÁLCULO!$AA$15:$AA$47,0,P$13))),2),0)</f>
        <v>0</v>
      </c>
      <c r="Q20" s="620" cm="1">
        <f t="array" aca="1" ref="Q20" ca="1">IF(AUTOEVENTO="Manual",ROUND(SUMPRODUCT((CÁLCULO!$M$15:$M$47=EVENTOS!$C20)*(OFFSET(CÁLCULO!$AA$15:$AA$47,0,Q$13))),2),0)</f>
        <v>0</v>
      </c>
      <c r="R20" s="620" cm="1">
        <f t="array" aca="1" ref="R20" ca="1">IF(AUTOEVENTO="Manual",ROUND(SUMPRODUCT((CÁLCULO!$M$15:$M$47=EVENTOS!$C20)*(OFFSET(CÁLCULO!$AA$15:$AA$47,0,R$13))),2),0)</f>
        <v>0</v>
      </c>
      <c r="S20" s="620" cm="1">
        <f t="array" aca="1" ref="S20" ca="1">IF(AUTOEVENTO="Manual",ROUND(SUMPRODUCT((CÁLCULO!$M$15:$M$47=EVENTOS!$C20)*(OFFSET(CÁLCULO!$AA$15:$AA$47,0,S$13))),2),0)</f>
        <v>0</v>
      </c>
      <c r="T20" s="620" cm="1">
        <f t="array" aca="1" ref="T20" ca="1">IF(AUTOEVENTO="Manual",ROUND(SUMPRODUCT((CÁLCULO!$M$15:$M$47=EVENTOS!$C20)*(OFFSET(CÁLCULO!$AA$15:$AA$47,0,T$13))),2),0)</f>
        <v>0</v>
      </c>
      <c r="U20" s="620" cm="1">
        <f t="array" aca="1" ref="U20" ca="1">IF(AUTOEVENTO="Manual",ROUND(SUMPRODUCT((CÁLCULO!$M$15:$M$47=EVENTOS!$C20)*(OFFSET(CÁLCULO!$AA$15:$AA$47,0,U$13))),2),0)</f>
        <v>0</v>
      </c>
      <c r="V20" s="620" cm="1">
        <f t="array" aca="1" ref="V20" ca="1">IF(AUTOEVENTO="Manual",ROUND(SUMPRODUCT((CÁLCULO!$M$15:$M$47=EVENTOS!$C20)*(OFFSET(CÁLCULO!$AA$15:$AA$47,0,V$13))),2),0)</f>
        <v>0</v>
      </c>
      <c r="W20" s="620" cm="1">
        <f t="array" aca="1" ref="W20" ca="1">IF(AUTOEVENTO="Manual",ROUND(SUMPRODUCT((CÁLCULO!$M$15:$M$47=EVENTOS!$C20)*(OFFSET(CÁLCULO!$AA$15:$AA$47,0,W$13))),2),0)</f>
        <v>0</v>
      </c>
      <c r="X20" s="620" cm="1">
        <f t="array" aca="1" ref="X20" ca="1">IF(AUTOEVENTO="Manual",ROUND(SUMPRODUCT((CÁLCULO!$M$15:$M$47=EVENTOS!$C20)*(OFFSET(CÁLCULO!$AA$15:$AA$47,0,X$13))),2),0)</f>
        <v>0</v>
      </c>
      <c r="Y20" s="620" cm="1">
        <f t="array" aca="1" ref="Y20" ca="1">IF(AUTOEVENTO="Manual",ROUND(SUMPRODUCT((CÁLCULO!$M$15:$M$47=EVENTOS!$C20)*(OFFSET(CÁLCULO!$AA$15:$AA$47,0,Y$13))),2),0)</f>
        <v>0</v>
      </c>
    </row>
    <row r="21" spans="1:25" x14ac:dyDescent="0.2">
      <c r="A21" s="506" t="str">
        <f t="shared" si="3"/>
        <v/>
      </c>
      <c r="B21" t="str">
        <f t="shared" ca="1" si="4"/>
        <v/>
      </c>
      <c r="C21" s="182" t="str" cm="1">
        <f t="array" aca="1" ref="C21" ca="1">IF(OR(ROW(C21)=ROW(EVENTOS.firstrow)+1,AND(OFFSET(C21,-1,0)&lt;&gt;" ",OFFSET(C21,-1,1)&lt;&gt;"")),OFFSET(C21,-1,0)+1," ")</f>
        <v xml:space="preserve"> </v>
      </c>
      <c r="D21" s="496"/>
      <c r="E21" s="620" cm="1">
        <f t="array" aca="1" ref="E21" ca="1">IF(AUTOEVENTO="Manual",ROUND(SUMPRODUCT((CÁLCULO!$M$15:$M$47=EVENTOS!$C21)*(OFFSET(CÁLCULO!$AA$15:$AA$47,0,E$13))),2),0)</f>
        <v>0</v>
      </c>
      <c r="F21" s="183">
        <f ca="1">IF(AUTOEVENTO="Manual",ROUND(SUMPRODUCT((CÁLCULO!$M$15:$M$47=EVENTOS!$C21)*(OFFSET(CÁLCULO!$AA$15,0,1):OFFSET(CÁLCULO!$AL$47,0,-1))),2),0)</f>
        <v>0</v>
      </c>
      <c r="G21" s="621" t="str">
        <f t="shared" ca="1" si="5"/>
        <v/>
      </c>
      <c r="H21" s="620" cm="1">
        <f t="array" aca="1" ref="H21" ca="1">IF(AUTOEVENTO="Manual",ROUND(SUMPRODUCT((CÁLCULO!$M$15:$M$47=EVENTOS!$C21)*(OFFSET(CÁLCULO!$AA$15:$AA$47,0,H$13))),2),0)</f>
        <v>0</v>
      </c>
      <c r="I21" s="620" cm="1">
        <f t="array" aca="1" ref="I21" ca="1">IF(AUTOEVENTO="Manual",ROUND(SUMPRODUCT((CÁLCULO!$M$15:$M$47=EVENTOS!$C21)*(OFFSET(CÁLCULO!$AA$15:$AA$47,0,I$13))),2),0)</f>
        <v>0</v>
      </c>
      <c r="J21" s="620" cm="1">
        <f t="array" aca="1" ref="J21" ca="1">IF(AUTOEVENTO="Manual",ROUND(SUMPRODUCT((CÁLCULO!$M$15:$M$47=EVENTOS!$C21)*(OFFSET(CÁLCULO!$AA$15:$AA$47,0,J$13))),2),0)</f>
        <v>0</v>
      </c>
      <c r="K21" s="620" cm="1">
        <f t="array" aca="1" ref="K21" ca="1">IF(AUTOEVENTO="Manual",ROUND(SUMPRODUCT((CÁLCULO!$M$15:$M$47=EVENTOS!$C21)*(OFFSET(CÁLCULO!$AA$15:$AA$47,0,K$13))),2),0)</f>
        <v>0</v>
      </c>
      <c r="L21" s="620" cm="1">
        <f t="array" aca="1" ref="L21" ca="1">IF(AUTOEVENTO="Manual",ROUND(SUMPRODUCT((CÁLCULO!$M$15:$M$47=EVENTOS!$C21)*(OFFSET(CÁLCULO!$AA$15:$AA$47,0,L$13))),2),0)</f>
        <v>0</v>
      </c>
      <c r="M21" s="620" cm="1">
        <f t="array" aca="1" ref="M21" ca="1">IF(AUTOEVENTO="Manual",ROUND(SUMPRODUCT((CÁLCULO!$M$15:$M$47=EVENTOS!$C21)*(OFFSET(CÁLCULO!$AA$15:$AA$47,0,M$13))),2),0)</f>
        <v>0</v>
      </c>
      <c r="N21" s="620" cm="1">
        <f t="array" aca="1" ref="N21" ca="1">IF(AUTOEVENTO="Manual",ROUND(SUMPRODUCT((CÁLCULO!$M$15:$M$47=EVENTOS!$C21)*(OFFSET(CÁLCULO!$AA$15:$AA$47,0,N$13))),2),0)</f>
        <v>0</v>
      </c>
      <c r="O21" s="620" cm="1">
        <f t="array" aca="1" ref="O21" ca="1">IF(AUTOEVENTO="Manual",ROUND(SUMPRODUCT((CÁLCULO!$M$15:$M$47=EVENTOS!$C21)*(OFFSET(CÁLCULO!$AA$15:$AA$47,0,O$13))),2),0)</f>
        <v>0</v>
      </c>
      <c r="P21" s="620" cm="1">
        <f t="array" aca="1" ref="P21" ca="1">IF(AUTOEVENTO="Manual",ROUND(SUMPRODUCT((CÁLCULO!$M$15:$M$47=EVENTOS!$C21)*(OFFSET(CÁLCULO!$AA$15:$AA$47,0,P$13))),2),0)</f>
        <v>0</v>
      </c>
      <c r="Q21" s="620" cm="1">
        <f t="array" aca="1" ref="Q21" ca="1">IF(AUTOEVENTO="Manual",ROUND(SUMPRODUCT((CÁLCULO!$M$15:$M$47=EVENTOS!$C21)*(OFFSET(CÁLCULO!$AA$15:$AA$47,0,Q$13))),2),0)</f>
        <v>0</v>
      </c>
      <c r="R21" s="620" cm="1">
        <f t="array" aca="1" ref="R21" ca="1">IF(AUTOEVENTO="Manual",ROUND(SUMPRODUCT((CÁLCULO!$M$15:$M$47=EVENTOS!$C21)*(OFFSET(CÁLCULO!$AA$15:$AA$47,0,R$13))),2),0)</f>
        <v>0</v>
      </c>
      <c r="S21" s="620" cm="1">
        <f t="array" aca="1" ref="S21" ca="1">IF(AUTOEVENTO="Manual",ROUND(SUMPRODUCT((CÁLCULO!$M$15:$M$47=EVENTOS!$C21)*(OFFSET(CÁLCULO!$AA$15:$AA$47,0,S$13))),2),0)</f>
        <v>0</v>
      </c>
      <c r="T21" s="620" cm="1">
        <f t="array" aca="1" ref="T21" ca="1">IF(AUTOEVENTO="Manual",ROUND(SUMPRODUCT((CÁLCULO!$M$15:$M$47=EVENTOS!$C21)*(OFFSET(CÁLCULO!$AA$15:$AA$47,0,T$13))),2),0)</f>
        <v>0</v>
      </c>
      <c r="U21" s="620" cm="1">
        <f t="array" aca="1" ref="U21" ca="1">IF(AUTOEVENTO="Manual",ROUND(SUMPRODUCT((CÁLCULO!$M$15:$M$47=EVENTOS!$C21)*(OFFSET(CÁLCULO!$AA$15:$AA$47,0,U$13))),2),0)</f>
        <v>0</v>
      </c>
      <c r="V21" s="620" cm="1">
        <f t="array" aca="1" ref="V21" ca="1">IF(AUTOEVENTO="Manual",ROUND(SUMPRODUCT((CÁLCULO!$M$15:$M$47=EVENTOS!$C21)*(OFFSET(CÁLCULO!$AA$15:$AA$47,0,V$13))),2),0)</f>
        <v>0</v>
      </c>
      <c r="W21" s="620" cm="1">
        <f t="array" aca="1" ref="W21" ca="1">IF(AUTOEVENTO="Manual",ROUND(SUMPRODUCT((CÁLCULO!$M$15:$M$47=EVENTOS!$C21)*(OFFSET(CÁLCULO!$AA$15:$AA$47,0,W$13))),2),0)</f>
        <v>0</v>
      </c>
      <c r="X21" s="620" cm="1">
        <f t="array" aca="1" ref="X21" ca="1">IF(AUTOEVENTO="Manual",ROUND(SUMPRODUCT((CÁLCULO!$M$15:$M$47=EVENTOS!$C21)*(OFFSET(CÁLCULO!$AA$15:$AA$47,0,X$13))),2),0)</f>
        <v>0</v>
      </c>
      <c r="Y21" s="620" cm="1">
        <f t="array" aca="1" ref="Y21" ca="1">IF(AUTOEVENTO="Manual",ROUND(SUMPRODUCT((CÁLCULO!$M$15:$M$47=EVENTOS!$C21)*(OFFSET(CÁLCULO!$AA$15:$AA$47,0,Y$13))),2),0)</f>
        <v>0</v>
      </c>
    </row>
    <row r="22" spans="1:25" x14ac:dyDescent="0.2">
      <c r="A22" s="506" t="str">
        <f t="shared" si="3"/>
        <v/>
      </c>
      <c r="B22" t="str">
        <f t="shared" ca="1" si="4"/>
        <v/>
      </c>
      <c r="C22" s="182" t="str" cm="1">
        <f t="array" aca="1" ref="C22" ca="1">IF(OR(ROW(C22)=ROW(EVENTOS.firstrow)+1,AND(OFFSET(C22,-1,0)&lt;&gt;" ",OFFSET(C22,-1,1)&lt;&gt;"")),OFFSET(C22,-1,0)+1," ")</f>
        <v xml:space="preserve"> </v>
      </c>
      <c r="D22" s="496"/>
      <c r="E22" s="620" cm="1">
        <f t="array" aca="1" ref="E22" ca="1">IF(AUTOEVENTO="Manual",ROUND(SUMPRODUCT((CÁLCULO!$M$15:$M$47=EVENTOS!$C22)*(OFFSET(CÁLCULO!$AA$15:$AA$47,0,E$13))),2),0)</f>
        <v>0</v>
      </c>
      <c r="F22" s="183">
        <f ca="1">IF(AUTOEVENTO="Manual",ROUND(SUMPRODUCT((CÁLCULO!$M$15:$M$47=EVENTOS!$C22)*(OFFSET(CÁLCULO!$AA$15,0,1):OFFSET(CÁLCULO!$AL$47,0,-1))),2),0)</f>
        <v>0</v>
      </c>
      <c r="G22" s="621" t="str">
        <f t="shared" ca="1" si="5"/>
        <v/>
      </c>
      <c r="H22" s="620" cm="1">
        <f t="array" aca="1" ref="H22" ca="1">IF(AUTOEVENTO="Manual",ROUND(SUMPRODUCT((CÁLCULO!$M$15:$M$47=EVENTOS!$C22)*(OFFSET(CÁLCULO!$AA$15:$AA$47,0,H$13))),2),0)</f>
        <v>0</v>
      </c>
      <c r="I22" s="620" cm="1">
        <f t="array" aca="1" ref="I22" ca="1">IF(AUTOEVENTO="Manual",ROUND(SUMPRODUCT((CÁLCULO!$M$15:$M$47=EVENTOS!$C22)*(OFFSET(CÁLCULO!$AA$15:$AA$47,0,I$13))),2),0)</f>
        <v>0</v>
      </c>
      <c r="J22" s="620" cm="1">
        <f t="array" aca="1" ref="J22" ca="1">IF(AUTOEVENTO="Manual",ROUND(SUMPRODUCT((CÁLCULO!$M$15:$M$47=EVENTOS!$C22)*(OFFSET(CÁLCULO!$AA$15:$AA$47,0,J$13))),2),0)</f>
        <v>0</v>
      </c>
      <c r="K22" s="620" cm="1">
        <f t="array" aca="1" ref="K22" ca="1">IF(AUTOEVENTO="Manual",ROUND(SUMPRODUCT((CÁLCULO!$M$15:$M$47=EVENTOS!$C22)*(OFFSET(CÁLCULO!$AA$15:$AA$47,0,K$13))),2),0)</f>
        <v>0</v>
      </c>
      <c r="L22" s="620" cm="1">
        <f t="array" aca="1" ref="L22" ca="1">IF(AUTOEVENTO="Manual",ROUND(SUMPRODUCT((CÁLCULO!$M$15:$M$47=EVENTOS!$C22)*(OFFSET(CÁLCULO!$AA$15:$AA$47,0,L$13))),2),0)</f>
        <v>0</v>
      </c>
      <c r="M22" s="620" cm="1">
        <f t="array" aca="1" ref="M22" ca="1">IF(AUTOEVENTO="Manual",ROUND(SUMPRODUCT((CÁLCULO!$M$15:$M$47=EVENTOS!$C22)*(OFFSET(CÁLCULO!$AA$15:$AA$47,0,M$13))),2),0)</f>
        <v>0</v>
      </c>
      <c r="N22" s="620" cm="1">
        <f t="array" aca="1" ref="N22" ca="1">IF(AUTOEVENTO="Manual",ROUND(SUMPRODUCT((CÁLCULO!$M$15:$M$47=EVENTOS!$C22)*(OFFSET(CÁLCULO!$AA$15:$AA$47,0,N$13))),2),0)</f>
        <v>0</v>
      </c>
      <c r="O22" s="620" cm="1">
        <f t="array" aca="1" ref="O22" ca="1">IF(AUTOEVENTO="Manual",ROUND(SUMPRODUCT((CÁLCULO!$M$15:$M$47=EVENTOS!$C22)*(OFFSET(CÁLCULO!$AA$15:$AA$47,0,O$13))),2),0)</f>
        <v>0</v>
      </c>
      <c r="P22" s="620" cm="1">
        <f t="array" aca="1" ref="P22" ca="1">IF(AUTOEVENTO="Manual",ROUND(SUMPRODUCT((CÁLCULO!$M$15:$M$47=EVENTOS!$C22)*(OFFSET(CÁLCULO!$AA$15:$AA$47,0,P$13))),2),0)</f>
        <v>0</v>
      </c>
      <c r="Q22" s="620" cm="1">
        <f t="array" aca="1" ref="Q22" ca="1">IF(AUTOEVENTO="Manual",ROUND(SUMPRODUCT((CÁLCULO!$M$15:$M$47=EVENTOS!$C22)*(OFFSET(CÁLCULO!$AA$15:$AA$47,0,Q$13))),2),0)</f>
        <v>0</v>
      </c>
      <c r="R22" s="620" cm="1">
        <f t="array" aca="1" ref="R22" ca="1">IF(AUTOEVENTO="Manual",ROUND(SUMPRODUCT((CÁLCULO!$M$15:$M$47=EVENTOS!$C22)*(OFFSET(CÁLCULO!$AA$15:$AA$47,0,R$13))),2),0)</f>
        <v>0</v>
      </c>
      <c r="S22" s="620" cm="1">
        <f t="array" aca="1" ref="S22" ca="1">IF(AUTOEVENTO="Manual",ROUND(SUMPRODUCT((CÁLCULO!$M$15:$M$47=EVENTOS!$C22)*(OFFSET(CÁLCULO!$AA$15:$AA$47,0,S$13))),2),0)</f>
        <v>0</v>
      </c>
      <c r="T22" s="620" cm="1">
        <f t="array" aca="1" ref="T22" ca="1">IF(AUTOEVENTO="Manual",ROUND(SUMPRODUCT((CÁLCULO!$M$15:$M$47=EVENTOS!$C22)*(OFFSET(CÁLCULO!$AA$15:$AA$47,0,T$13))),2),0)</f>
        <v>0</v>
      </c>
      <c r="U22" s="620" cm="1">
        <f t="array" aca="1" ref="U22" ca="1">IF(AUTOEVENTO="Manual",ROUND(SUMPRODUCT((CÁLCULO!$M$15:$M$47=EVENTOS!$C22)*(OFFSET(CÁLCULO!$AA$15:$AA$47,0,U$13))),2),0)</f>
        <v>0</v>
      </c>
      <c r="V22" s="620" cm="1">
        <f t="array" aca="1" ref="V22" ca="1">IF(AUTOEVENTO="Manual",ROUND(SUMPRODUCT((CÁLCULO!$M$15:$M$47=EVENTOS!$C22)*(OFFSET(CÁLCULO!$AA$15:$AA$47,0,V$13))),2),0)</f>
        <v>0</v>
      </c>
      <c r="W22" s="620" cm="1">
        <f t="array" aca="1" ref="W22" ca="1">IF(AUTOEVENTO="Manual",ROUND(SUMPRODUCT((CÁLCULO!$M$15:$M$47=EVENTOS!$C22)*(OFFSET(CÁLCULO!$AA$15:$AA$47,0,W$13))),2),0)</f>
        <v>0</v>
      </c>
      <c r="X22" s="620" cm="1">
        <f t="array" aca="1" ref="X22" ca="1">IF(AUTOEVENTO="Manual",ROUND(SUMPRODUCT((CÁLCULO!$M$15:$M$47=EVENTOS!$C22)*(OFFSET(CÁLCULO!$AA$15:$AA$47,0,X$13))),2),0)</f>
        <v>0</v>
      </c>
      <c r="Y22" s="620" cm="1">
        <f t="array" aca="1" ref="Y22" ca="1">IF(AUTOEVENTO="Manual",ROUND(SUMPRODUCT((CÁLCULO!$M$15:$M$47=EVENTOS!$C22)*(OFFSET(CÁLCULO!$AA$15:$AA$47,0,Y$13))),2),0)</f>
        <v>0</v>
      </c>
    </row>
    <row r="23" spans="1:25" x14ac:dyDescent="0.2">
      <c r="A23" s="506" t="str">
        <f t="shared" si="3"/>
        <v/>
      </c>
      <c r="B23" t="str">
        <f t="shared" ca="1" si="4"/>
        <v/>
      </c>
      <c r="C23" s="182" t="str" cm="1">
        <f t="array" aca="1" ref="C23" ca="1">IF(OR(ROW(C23)=ROW(EVENTOS.firstrow)+1,AND(OFFSET(C23,-1,0)&lt;&gt;" ",OFFSET(C23,-1,1)&lt;&gt;"")),OFFSET(C23,-1,0)+1," ")</f>
        <v xml:space="preserve"> </v>
      </c>
      <c r="D23" s="496"/>
      <c r="E23" s="620" cm="1">
        <f t="array" aca="1" ref="E23" ca="1">IF(AUTOEVENTO="Manual",ROUND(SUMPRODUCT((CÁLCULO!$M$15:$M$47=EVENTOS!$C23)*(OFFSET(CÁLCULO!$AA$15:$AA$47,0,E$13))),2),0)</f>
        <v>0</v>
      </c>
      <c r="F23" s="183">
        <f ca="1">IF(AUTOEVENTO="Manual",ROUND(SUMPRODUCT((CÁLCULO!$M$15:$M$47=EVENTOS!$C23)*(OFFSET(CÁLCULO!$AA$15,0,1):OFFSET(CÁLCULO!$AL$47,0,-1))),2),0)</f>
        <v>0</v>
      </c>
      <c r="G23" s="621" t="str">
        <f t="shared" ca="1" si="5"/>
        <v/>
      </c>
      <c r="H23" s="620" cm="1">
        <f t="array" aca="1" ref="H23" ca="1">IF(AUTOEVENTO="Manual",ROUND(SUMPRODUCT((CÁLCULO!$M$15:$M$47=EVENTOS!$C23)*(OFFSET(CÁLCULO!$AA$15:$AA$47,0,H$13))),2),0)</f>
        <v>0</v>
      </c>
      <c r="I23" s="620" cm="1">
        <f t="array" aca="1" ref="I23" ca="1">IF(AUTOEVENTO="Manual",ROUND(SUMPRODUCT((CÁLCULO!$M$15:$M$47=EVENTOS!$C23)*(OFFSET(CÁLCULO!$AA$15:$AA$47,0,I$13))),2),0)</f>
        <v>0</v>
      </c>
      <c r="J23" s="620" cm="1">
        <f t="array" aca="1" ref="J23" ca="1">IF(AUTOEVENTO="Manual",ROUND(SUMPRODUCT((CÁLCULO!$M$15:$M$47=EVENTOS!$C23)*(OFFSET(CÁLCULO!$AA$15:$AA$47,0,J$13))),2),0)</f>
        <v>0</v>
      </c>
      <c r="K23" s="620" cm="1">
        <f t="array" aca="1" ref="K23" ca="1">IF(AUTOEVENTO="Manual",ROUND(SUMPRODUCT((CÁLCULO!$M$15:$M$47=EVENTOS!$C23)*(OFFSET(CÁLCULO!$AA$15:$AA$47,0,K$13))),2),0)</f>
        <v>0</v>
      </c>
      <c r="L23" s="620" cm="1">
        <f t="array" aca="1" ref="L23" ca="1">IF(AUTOEVENTO="Manual",ROUND(SUMPRODUCT((CÁLCULO!$M$15:$M$47=EVENTOS!$C23)*(OFFSET(CÁLCULO!$AA$15:$AA$47,0,L$13))),2),0)</f>
        <v>0</v>
      </c>
      <c r="M23" s="620" cm="1">
        <f t="array" aca="1" ref="M23" ca="1">IF(AUTOEVENTO="Manual",ROUND(SUMPRODUCT((CÁLCULO!$M$15:$M$47=EVENTOS!$C23)*(OFFSET(CÁLCULO!$AA$15:$AA$47,0,M$13))),2),0)</f>
        <v>0</v>
      </c>
      <c r="N23" s="620" cm="1">
        <f t="array" aca="1" ref="N23" ca="1">IF(AUTOEVENTO="Manual",ROUND(SUMPRODUCT((CÁLCULO!$M$15:$M$47=EVENTOS!$C23)*(OFFSET(CÁLCULO!$AA$15:$AA$47,0,N$13))),2),0)</f>
        <v>0</v>
      </c>
      <c r="O23" s="620" cm="1">
        <f t="array" aca="1" ref="O23" ca="1">IF(AUTOEVENTO="Manual",ROUND(SUMPRODUCT((CÁLCULO!$M$15:$M$47=EVENTOS!$C23)*(OFFSET(CÁLCULO!$AA$15:$AA$47,0,O$13))),2),0)</f>
        <v>0</v>
      </c>
      <c r="P23" s="620" cm="1">
        <f t="array" aca="1" ref="P23" ca="1">IF(AUTOEVENTO="Manual",ROUND(SUMPRODUCT((CÁLCULO!$M$15:$M$47=EVENTOS!$C23)*(OFFSET(CÁLCULO!$AA$15:$AA$47,0,P$13))),2),0)</f>
        <v>0</v>
      </c>
      <c r="Q23" s="620" cm="1">
        <f t="array" aca="1" ref="Q23" ca="1">IF(AUTOEVENTO="Manual",ROUND(SUMPRODUCT((CÁLCULO!$M$15:$M$47=EVENTOS!$C23)*(OFFSET(CÁLCULO!$AA$15:$AA$47,0,Q$13))),2),0)</f>
        <v>0</v>
      </c>
      <c r="R23" s="620" cm="1">
        <f t="array" aca="1" ref="R23" ca="1">IF(AUTOEVENTO="Manual",ROUND(SUMPRODUCT((CÁLCULO!$M$15:$M$47=EVENTOS!$C23)*(OFFSET(CÁLCULO!$AA$15:$AA$47,0,R$13))),2),0)</f>
        <v>0</v>
      </c>
      <c r="S23" s="620" cm="1">
        <f t="array" aca="1" ref="S23" ca="1">IF(AUTOEVENTO="Manual",ROUND(SUMPRODUCT((CÁLCULO!$M$15:$M$47=EVENTOS!$C23)*(OFFSET(CÁLCULO!$AA$15:$AA$47,0,S$13))),2),0)</f>
        <v>0</v>
      </c>
      <c r="T23" s="620" cm="1">
        <f t="array" aca="1" ref="T23" ca="1">IF(AUTOEVENTO="Manual",ROUND(SUMPRODUCT((CÁLCULO!$M$15:$M$47=EVENTOS!$C23)*(OFFSET(CÁLCULO!$AA$15:$AA$47,0,T$13))),2),0)</f>
        <v>0</v>
      </c>
      <c r="U23" s="620" cm="1">
        <f t="array" aca="1" ref="U23" ca="1">IF(AUTOEVENTO="Manual",ROUND(SUMPRODUCT((CÁLCULO!$M$15:$M$47=EVENTOS!$C23)*(OFFSET(CÁLCULO!$AA$15:$AA$47,0,U$13))),2),0)</f>
        <v>0</v>
      </c>
      <c r="V23" s="620" cm="1">
        <f t="array" aca="1" ref="V23" ca="1">IF(AUTOEVENTO="Manual",ROUND(SUMPRODUCT((CÁLCULO!$M$15:$M$47=EVENTOS!$C23)*(OFFSET(CÁLCULO!$AA$15:$AA$47,0,V$13))),2),0)</f>
        <v>0</v>
      </c>
      <c r="W23" s="620" cm="1">
        <f t="array" aca="1" ref="W23" ca="1">IF(AUTOEVENTO="Manual",ROUND(SUMPRODUCT((CÁLCULO!$M$15:$M$47=EVENTOS!$C23)*(OFFSET(CÁLCULO!$AA$15:$AA$47,0,W$13))),2),0)</f>
        <v>0</v>
      </c>
      <c r="X23" s="620" cm="1">
        <f t="array" aca="1" ref="X23" ca="1">IF(AUTOEVENTO="Manual",ROUND(SUMPRODUCT((CÁLCULO!$M$15:$M$47=EVENTOS!$C23)*(OFFSET(CÁLCULO!$AA$15:$AA$47,0,X$13))),2),0)</f>
        <v>0</v>
      </c>
      <c r="Y23" s="620" cm="1">
        <f t="array" aca="1" ref="Y23" ca="1">IF(AUTOEVENTO="Manual",ROUND(SUMPRODUCT((CÁLCULO!$M$15:$M$47=EVENTOS!$C23)*(OFFSET(CÁLCULO!$AA$15:$AA$47,0,Y$13))),2),0)</f>
        <v>0</v>
      </c>
    </row>
    <row r="24" spans="1:25" x14ac:dyDescent="0.2">
      <c r="A24" s="506" t="str">
        <f t="shared" si="3"/>
        <v/>
      </c>
      <c r="B24" t="str">
        <f t="shared" ca="1" si="4"/>
        <v/>
      </c>
      <c r="C24" s="182" t="str" cm="1">
        <f t="array" aca="1" ref="C24" ca="1">IF(OR(ROW(C24)=ROW(EVENTOS.firstrow)+1,AND(OFFSET(C24,-1,0)&lt;&gt;" ",OFFSET(C24,-1,1)&lt;&gt;"")),OFFSET(C24,-1,0)+1," ")</f>
        <v xml:space="preserve"> </v>
      </c>
      <c r="D24" s="496"/>
      <c r="E24" s="620" cm="1">
        <f t="array" aca="1" ref="E24" ca="1">IF(AUTOEVENTO="Manual",ROUND(SUMPRODUCT((CÁLCULO!$M$15:$M$47=EVENTOS!$C24)*(OFFSET(CÁLCULO!$AA$15:$AA$47,0,E$13))),2),0)</f>
        <v>0</v>
      </c>
      <c r="F24" s="183">
        <f ca="1">IF(AUTOEVENTO="Manual",ROUND(SUMPRODUCT((CÁLCULO!$M$15:$M$47=EVENTOS!$C24)*(OFFSET(CÁLCULO!$AA$15,0,1):OFFSET(CÁLCULO!$AL$47,0,-1))),2),0)</f>
        <v>0</v>
      </c>
      <c r="G24" s="621" t="str">
        <f t="shared" ca="1" si="5"/>
        <v/>
      </c>
      <c r="H24" s="620" cm="1">
        <f t="array" aca="1" ref="H24" ca="1">IF(AUTOEVENTO="Manual",ROUND(SUMPRODUCT((CÁLCULO!$M$15:$M$47=EVENTOS!$C24)*(OFFSET(CÁLCULO!$AA$15:$AA$47,0,H$13))),2),0)</f>
        <v>0</v>
      </c>
      <c r="I24" s="620" cm="1">
        <f t="array" aca="1" ref="I24" ca="1">IF(AUTOEVENTO="Manual",ROUND(SUMPRODUCT((CÁLCULO!$M$15:$M$47=EVENTOS!$C24)*(OFFSET(CÁLCULO!$AA$15:$AA$47,0,I$13))),2),0)</f>
        <v>0</v>
      </c>
      <c r="J24" s="620" cm="1">
        <f t="array" aca="1" ref="J24" ca="1">IF(AUTOEVENTO="Manual",ROUND(SUMPRODUCT((CÁLCULO!$M$15:$M$47=EVENTOS!$C24)*(OFFSET(CÁLCULO!$AA$15:$AA$47,0,J$13))),2),0)</f>
        <v>0</v>
      </c>
      <c r="K24" s="620" cm="1">
        <f t="array" aca="1" ref="K24" ca="1">IF(AUTOEVENTO="Manual",ROUND(SUMPRODUCT((CÁLCULO!$M$15:$M$47=EVENTOS!$C24)*(OFFSET(CÁLCULO!$AA$15:$AA$47,0,K$13))),2),0)</f>
        <v>0</v>
      </c>
      <c r="L24" s="620" cm="1">
        <f t="array" aca="1" ref="L24" ca="1">IF(AUTOEVENTO="Manual",ROUND(SUMPRODUCT((CÁLCULO!$M$15:$M$47=EVENTOS!$C24)*(OFFSET(CÁLCULO!$AA$15:$AA$47,0,L$13))),2),0)</f>
        <v>0</v>
      </c>
      <c r="M24" s="620" cm="1">
        <f t="array" aca="1" ref="M24" ca="1">IF(AUTOEVENTO="Manual",ROUND(SUMPRODUCT((CÁLCULO!$M$15:$M$47=EVENTOS!$C24)*(OFFSET(CÁLCULO!$AA$15:$AA$47,0,M$13))),2),0)</f>
        <v>0</v>
      </c>
      <c r="N24" s="620" cm="1">
        <f t="array" aca="1" ref="N24" ca="1">IF(AUTOEVENTO="Manual",ROUND(SUMPRODUCT((CÁLCULO!$M$15:$M$47=EVENTOS!$C24)*(OFFSET(CÁLCULO!$AA$15:$AA$47,0,N$13))),2),0)</f>
        <v>0</v>
      </c>
      <c r="O24" s="620" cm="1">
        <f t="array" aca="1" ref="O24" ca="1">IF(AUTOEVENTO="Manual",ROUND(SUMPRODUCT((CÁLCULO!$M$15:$M$47=EVENTOS!$C24)*(OFFSET(CÁLCULO!$AA$15:$AA$47,0,O$13))),2),0)</f>
        <v>0</v>
      </c>
      <c r="P24" s="620" cm="1">
        <f t="array" aca="1" ref="P24" ca="1">IF(AUTOEVENTO="Manual",ROUND(SUMPRODUCT((CÁLCULO!$M$15:$M$47=EVENTOS!$C24)*(OFFSET(CÁLCULO!$AA$15:$AA$47,0,P$13))),2),0)</f>
        <v>0</v>
      </c>
      <c r="Q24" s="620" cm="1">
        <f t="array" aca="1" ref="Q24" ca="1">IF(AUTOEVENTO="Manual",ROUND(SUMPRODUCT((CÁLCULO!$M$15:$M$47=EVENTOS!$C24)*(OFFSET(CÁLCULO!$AA$15:$AA$47,0,Q$13))),2),0)</f>
        <v>0</v>
      </c>
      <c r="R24" s="620" cm="1">
        <f t="array" aca="1" ref="R24" ca="1">IF(AUTOEVENTO="Manual",ROUND(SUMPRODUCT((CÁLCULO!$M$15:$M$47=EVENTOS!$C24)*(OFFSET(CÁLCULO!$AA$15:$AA$47,0,R$13))),2),0)</f>
        <v>0</v>
      </c>
      <c r="S24" s="620" cm="1">
        <f t="array" aca="1" ref="S24" ca="1">IF(AUTOEVENTO="Manual",ROUND(SUMPRODUCT((CÁLCULO!$M$15:$M$47=EVENTOS!$C24)*(OFFSET(CÁLCULO!$AA$15:$AA$47,0,S$13))),2),0)</f>
        <v>0</v>
      </c>
      <c r="T24" s="620" cm="1">
        <f t="array" aca="1" ref="T24" ca="1">IF(AUTOEVENTO="Manual",ROUND(SUMPRODUCT((CÁLCULO!$M$15:$M$47=EVENTOS!$C24)*(OFFSET(CÁLCULO!$AA$15:$AA$47,0,T$13))),2),0)</f>
        <v>0</v>
      </c>
      <c r="U24" s="620" cm="1">
        <f t="array" aca="1" ref="U24" ca="1">IF(AUTOEVENTO="Manual",ROUND(SUMPRODUCT((CÁLCULO!$M$15:$M$47=EVENTOS!$C24)*(OFFSET(CÁLCULO!$AA$15:$AA$47,0,U$13))),2),0)</f>
        <v>0</v>
      </c>
      <c r="V24" s="620" cm="1">
        <f t="array" aca="1" ref="V24" ca="1">IF(AUTOEVENTO="Manual",ROUND(SUMPRODUCT((CÁLCULO!$M$15:$M$47=EVENTOS!$C24)*(OFFSET(CÁLCULO!$AA$15:$AA$47,0,V$13))),2),0)</f>
        <v>0</v>
      </c>
      <c r="W24" s="620" cm="1">
        <f t="array" aca="1" ref="W24" ca="1">IF(AUTOEVENTO="Manual",ROUND(SUMPRODUCT((CÁLCULO!$M$15:$M$47=EVENTOS!$C24)*(OFFSET(CÁLCULO!$AA$15:$AA$47,0,W$13))),2),0)</f>
        <v>0</v>
      </c>
      <c r="X24" s="620" cm="1">
        <f t="array" aca="1" ref="X24" ca="1">IF(AUTOEVENTO="Manual",ROUND(SUMPRODUCT((CÁLCULO!$M$15:$M$47=EVENTOS!$C24)*(OFFSET(CÁLCULO!$AA$15:$AA$47,0,X$13))),2),0)</f>
        <v>0</v>
      </c>
      <c r="Y24" s="620" cm="1">
        <f t="array" aca="1" ref="Y24" ca="1">IF(AUTOEVENTO="Manual",ROUND(SUMPRODUCT((CÁLCULO!$M$15:$M$47=EVENTOS!$C24)*(OFFSET(CÁLCULO!$AA$15:$AA$47,0,Y$13))),2),0)</f>
        <v>0</v>
      </c>
    </row>
    <row r="25" spans="1:25" x14ac:dyDescent="0.2">
      <c r="A25" s="506" t="str">
        <f t="shared" si="3"/>
        <v/>
      </c>
      <c r="B25" t="str">
        <f t="shared" ca="1" si="4"/>
        <v/>
      </c>
      <c r="C25" s="182" t="str" cm="1">
        <f t="array" aca="1" ref="C25" ca="1">IF(OR(ROW(C25)=ROW(EVENTOS.firstrow)+1,AND(OFFSET(C25,-1,0)&lt;&gt;" ",OFFSET(C25,-1,1)&lt;&gt;"")),OFFSET(C25,-1,0)+1," ")</f>
        <v xml:space="preserve"> </v>
      </c>
      <c r="D25" s="496"/>
      <c r="E25" s="620" cm="1">
        <f t="array" aca="1" ref="E25" ca="1">IF(AUTOEVENTO="Manual",ROUND(SUMPRODUCT((CÁLCULO!$M$15:$M$47=EVENTOS!$C25)*(OFFSET(CÁLCULO!$AA$15:$AA$47,0,E$13))),2),0)</f>
        <v>0</v>
      </c>
      <c r="F25" s="183">
        <f ca="1">IF(AUTOEVENTO="Manual",ROUND(SUMPRODUCT((CÁLCULO!$M$15:$M$47=EVENTOS!$C25)*(OFFSET(CÁLCULO!$AA$15,0,1):OFFSET(CÁLCULO!$AL$47,0,-1))),2),0)</f>
        <v>0</v>
      </c>
      <c r="G25" s="621" t="str">
        <f t="shared" ca="1" si="5"/>
        <v/>
      </c>
      <c r="H25" s="620" cm="1">
        <f t="array" aca="1" ref="H25" ca="1">IF(AUTOEVENTO="Manual",ROUND(SUMPRODUCT((CÁLCULO!$M$15:$M$47=EVENTOS!$C25)*(OFFSET(CÁLCULO!$AA$15:$AA$47,0,H$13))),2),0)</f>
        <v>0</v>
      </c>
      <c r="I25" s="620" cm="1">
        <f t="array" aca="1" ref="I25" ca="1">IF(AUTOEVENTO="Manual",ROUND(SUMPRODUCT((CÁLCULO!$M$15:$M$47=EVENTOS!$C25)*(OFFSET(CÁLCULO!$AA$15:$AA$47,0,I$13))),2),0)</f>
        <v>0</v>
      </c>
      <c r="J25" s="620" cm="1">
        <f t="array" aca="1" ref="J25" ca="1">IF(AUTOEVENTO="Manual",ROUND(SUMPRODUCT((CÁLCULO!$M$15:$M$47=EVENTOS!$C25)*(OFFSET(CÁLCULO!$AA$15:$AA$47,0,J$13))),2),0)</f>
        <v>0</v>
      </c>
      <c r="K25" s="620" cm="1">
        <f t="array" aca="1" ref="K25" ca="1">IF(AUTOEVENTO="Manual",ROUND(SUMPRODUCT((CÁLCULO!$M$15:$M$47=EVENTOS!$C25)*(OFFSET(CÁLCULO!$AA$15:$AA$47,0,K$13))),2),0)</f>
        <v>0</v>
      </c>
      <c r="L25" s="620" cm="1">
        <f t="array" aca="1" ref="L25" ca="1">IF(AUTOEVENTO="Manual",ROUND(SUMPRODUCT((CÁLCULO!$M$15:$M$47=EVENTOS!$C25)*(OFFSET(CÁLCULO!$AA$15:$AA$47,0,L$13))),2),0)</f>
        <v>0</v>
      </c>
      <c r="M25" s="620" cm="1">
        <f t="array" aca="1" ref="M25" ca="1">IF(AUTOEVENTO="Manual",ROUND(SUMPRODUCT((CÁLCULO!$M$15:$M$47=EVENTOS!$C25)*(OFFSET(CÁLCULO!$AA$15:$AA$47,0,M$13))),2),0)</f>
        <v>0</v>
      </c>
      <c r="N25" s="620" cm="1">
        <f t="array" aca="1" ref="N25" ca="1">IF(AUTOEVENTO="Manual",ROUND(SUMPRODUCT((CÁLCULO!$M$15:$M$47=EVENTOS!$C25)*(OFFSET(CÁLCULO!$AA$15:$AA$47,0,N$13))),2),0)</f>
        <v>0</v>
      </c>
      <c r="O25" s="620" cm="1">
        <f t="array" aca="1" ref="O25" ca="1">IF(AUTOEVENTO="Manual",ROUND(SUMPRODUCT((CÁLCULO!$M$15:$M$47=EVENTOS!$C25)*(OFFSET(CÁLCULO!$AA$15:$AA$47,0,O$13))),2),0)</f>
        <v>0</v>
      </c>
      <c r="P25" s="620" cm="1">
        <f t="array" aca="1" ref="P25" ca="1">IF(AUTOEVENTO="Manual",ROUND(SUMPRODUCT((CÁLCULO!$M$15:$M$47=EVENTOS!$C25)*(OFFSET(CÁLCULO!$AA$15:$AA$47,0,P$13))),2),0)</f>
        <v>0</v>
      </c>
      <c r="Q25" s="620" cm="1">
        <f t="array" aca="1" ref="Q25" ca="1">IF(AUTOEVENTO="Manual",ROUND(SUMPRODUCT((CÁLCULO!$M$15:$M$47=EVENTOS!$C25)*(OFFSET(CÁLCULO!$AA$15:$AA$47,0,Q$13))),2),0)</f>
        <v>0</v>
      </c>
      <c r="R25" s="620" cm="1">
        <f t="array" aca="1" ref="R25" ca="1">IF(AUTOEVENTO="Manual",ROUND(SUMPRODUCT((CÁLCULO!$M$15:$M$47=EVENTOS!$C25)*(OFFSET(CÁLCULO!$AA$15:$AA$47,0,R$13))),2),0)</f>
        <v>0</v>
      </c>
      <c r="S25" s="620" cm="1">
        <f t="array" aca="1" ref="S25" ca="1">IF(AUTOEVENTO="Manual",ROUND(SUMPRODUCT((CÁLCULO!$M$15:$M$47=EVENTOS!$C25)*(OFFSET(CÁLCULO!$AA$15:$AA$47,0,S$13))),2),0)</f>
        <v>0</v>
      </c>
      <c r="T25" s="620" cm="1">
        <f t="array" aca="1" ref="T25" ca="1">IF(AUTOEVENTO="Manual",ROUND(SUMPRODUCT((CÁLCULO!$M$15:$M$47=EVENTOS!$C25)*(OFFSET(CÁLCULO!$AA$15:$AA$47,0,T$13))),2),0)</f>
        <v>0</v>
      </c>
      <c r="U25" s="620" cm="1">
        <f t="array" aca="1" ref="U25" ca="1">IF(AUTOEVENTO="Manual",ROUND(SUMPRODUCT((CÁLCULO!$M$15:$M$47=EVENTOS!$C25)*(OFFSET(CÁLCULO!$AA$15:$AA$47,0,U$13))),2),0)</f>
        <v>0</v>
      </c>
      <c r="V25" s="620" cm="1">
        <f t="array" aca="1" ref="V25" ca="1">IF(AUTOEVENTO="Manual",ROUND(SUMPRODUCT((CÁLCULO!$M$15:$M$47=EVENTOS!$C25)*(OFFSET(CÁLCULO!$AA$15:$AA$47,0,V$13))),2),0)</f>
        <v>0</v>
      </c>
      <c r="W25" s="620" cm="1">
        <f t="array" aca="1" ref="W25" ca="1">IF(AUTOEVENTO="Manual",ROUND(SUMPRODUCT((CÁLCULO!$M$15:$M$47=EVENTOS!$C25)*(OFFSET(CÁLCULO!$AA$15:$AA$47,0,W$13))),2),0)</f>
        <v>0</v>
      </c>
      <c r="X25" s="620" cm="1">
        <f t="array" aca="1" ref="X25" ca="1">IF(AUTOEVENTO="Manual",ROUND(SUMPRODUCT((CÁLCULO!$M$15:$M$47=EVENTOS!$C25)*(OFFSET(CÁLCULO!$AA$15:$AA$47,0,X$13))),2),0)</f>
        <v>0</v>
      </c>
      <c r="Y25" s="620" cm="1">
        <f t="array" aca="1" ref="Y25" ca="1">IF(AUTOEVENTO="Manual",ROUND(SUMPRODUCT((CÁLCULO!$M$15:$M$47=EVENTOS!$C25)*(OFFSET(CÁLCULO!$AA$15:$AA$47,0,Y$13))),2),0)</f>
        <v>0</v>
      </c>
    </row>
    <row r="26" spans="1:25" x14ac:dyDescent="0.2">
      <c r="A26" s="506" t="str">
        <f t="shared" si="3"/>
        <v/>
      </c>
      <c r="B26" t="str">
        <f t="shared" ca="1" si="4"/>
        <v/>
      </c>
      <c r="C26" s="182" t="str" cm="1">
        <f t="array" aca="1" ref="C26" ca="1">IF(OR(ROW(C26)=ROW(EVENTOS.firstrow)+1,AND(OFFSET(C26,-1,0)&lt;&gt;" ",OFFSET(C26,-1,1)&lt;&gt;"")),OFFSET(C26,-1,0)+1," ")</f>
        <v xml:space="preserve"> </v>
      </c>
      <c r="D26" s="496"/>
      <c r="E26" s="620" cm="1">
        <f t="array" aca="1" ref="E26" ca="1">IF(AUTOEVENTO="Manual",ROUND(SUMPRODUCT((CÁLCULO!$M$15:$M$47=EVENTOS!$C26)*(OFFSET(CÁLCULO!$AA$15:$AA$47,0,E$13))),2),0)</f>
        <v>0</v>
      </c>
      <c r="F26" s="183">
        <f ca="1">IF(AUTOEVENTO="Manual",ROUND(SUMPRODUCT((CÁLCULO!$M$15:$M$47=EVENTOS!$C26)*(OFFSET(CÁLCULO!$AA$15,0,1):OFFSET(CÁLCULO!$AL$47,0,-1))),2),0)</f>
        <v>0</v>
      </c>
      <c r="G26" s="621" t="str">
        <f t="shared" ca="1" si="5"/>
        <v/>
      </c>
      <c r="H26" s="620" cm="1">
        <f t="array" aca="1" ref="H26" ca="1">IF(AUTOEVENTO="Manual",ROUND(SUMPRODUCT((CÁLCULO!$M$15:$M$47=EVENTOS!$C26)*(OFFSET(CÁLCULO!$AA$15:$AA$47,0,H$13))),2),0)</f>
        <v>0</v>
      </c>
      <c r="I26" s="620" cm="1">
        <f t="array" aca="1" ref="I26" ca="1">IF(AUTOEVENTO="Manual",ROUND(SUMPRODUCT((CÁLCULO!$M$15:$M$47=EVENTOS!$C26)*(OFFSET(CÁLCULO!$AA$15:$AA$47,0,I$13))),2),0)</f>
        <v>0</v>
      </c>
      <c r="J26" s="620" cm="1">
        <f t="array" aca="1" ref="J26" ca="1">IF(AUTOEVENTO="Manual",ROUND(SUMPRODUCT((CÁLCULO!$M$15:$M$47=EVENTOS!$C26)*(OFFSET(CÁLCULO!$AA$15:$AA$47,0,J$13))),2),0)</f>
        <v>0</v>
      </c>
      <c r="K26" s="620" cm="1">
        <f t="array" aca="1" ref="K26" ca="1">IF(AUTOEVENTO="Manual",ROUND(SUMPRODUCT((CÁLCULO!$M$15:$M$47=EVENTOS!$C26)*(OFFSET(CÁLCULO!$AA$15:$AA$47,0,K$13))),2),0)</f>
        <v>0</v>
      </c>
      <c r="L26" s="620" cm="1">
        <f t="array" aca="1" ref="L26" ca="1">IF(AUTOEVENTO="Manual",ROUND(SUMPRODUCT((CÁLCULO!$M$15:$M$47=EVENTOS!$C26)*(OFFSET(CÁLCULO!$AA$15:$AA$47,0,L$13))),2),0)</f>
        <v>0</v>
      </c>
      <c r="M26" s="620" cm="1">
        <f t="array" aca="1" ref="M26" ca="1">IF(AUTOEVENTO="Manual",ROUND(SUMPRODUCT((CÁLCULO!$M$15:$M$47=EVENTOS!$C26)*(OFFSET(CÁLCULO!$AA$15:$AA$47,0,M$13))),2),0)</f>
        <v>0</v>
      </c>
      <c r="N26" s="620" cm="1">
        <f t="array" aca="1" ref="N26" ca="1">IF(AUTOEVENTO="Manual",ROUND(SUMPRODUCT((CÁLCULO!$M$15:$M$47=EVENTOS!$C26)*(OFFSET(CÁLCULO!$AA$15:$AA$47,0,N$13))),2),0)</f>
        <v>0</v>
      </c>
      <c r="O26" s="620" cm="1">
        <f t="array" aca="1" ref="O26" ca="1">IF(AUTOEVENTO="Manual",ROUND(SUMPRODUCT((CÁLCULO!$M$15:$M$47=EVENTOS!$C26)*(OFFSET(CÁLCULO!$AA$15:$AA$47,0,O$13))),2),0)</f>
        <v>0</v>
      </c>
      <c r="P26" s="620" cm="1">
        <f t="array" aca="1" ref="P26" ca="1">IF(AUTOEVENTO="Manual",ROUND(SUMPRODUCT((CÁLCULO!$M$15:$M$47=EVENTOS!$C26)*(OFFSET(CÁLCULO!$AA$15:$AA$47,0,P$13))),2),0)</f>
        <v>0</v>
      </c>
      <c r="Q26" s="620" cm="1">
        <f t="array" aca="1" ref="Q26" ca="1">IF(AUTOEVENTO="Manual",ROUND(SUMPRODUCT((CÁLCULO!$M$15:$M$47=EVENTOS!$C26)*(OFFSET(CÁLCULO!$AA$15:$AA$47,0,Q$13))),2),0)</f>
        <v>0</v>
      </c>
      <c r="R26" s="620" cm="1">
        <f t="array" aca="1" ref="R26" ca="1">IF(AUTOEVENTO="Manual",ROUND(SUMPRODUCT((CÁLCULO!$M$15:$M$47=EVENTOS!$C26)*(OFFSET(CÁLCULO!$AA$15:$AA$47,0,R$13))),2),0)</f>
        <v>0</v>
      </c>
      <c r="S26" s="620" cm="1">
        <f t="array" aca="1" ref="S26" ca="1">IF(AUTOEVENTO="Manual",ROUND(SUMPRODUCT((CÁLCULO!$M$15:$M$47=EVENTOS!$C26)*(OFFSET(CÁLCULO!$AA$15:$AA$47,0,S$13))),2),0)</f>
        <v>0</v>
      </c>
      <c r="T26" s="620" cm="1">
        <f t="array" aca="1" ref="T26" ca="1">IF(AUTOEVENTO="Manual",ROUND(SUMPRODUCT((CÁLCULO!$M$15:$M$47=EVENTOS!$C26)*(OFFSET(CÁLCULO!$AA$15:$AA$47,0,T$13))),2),0)</f>
        <v>0</v>
      </c>
      <c r="U26" s="620" cm="1">
        <f t="array" aca="1" ref="U26" ca="1">IF(AUTOEVENTO="Manual",ROUND(SUMPRODUCT((CÁLCULO!$M$15:$M$47=EVENTOS!$C26)*(OFFSET(CÁLCULO!$AA$15:$AA$47,0,U$13))),2),0)</f>
        <v>0</v>
      </c>
      <c r="V26" s="620" cm="1">
        <f t="array" aca="1" ref="V26" ca="1">IF(AUTOEVENTO="Manual",ROUND(SUMPRODUCT((CÁLCULO!$M$15:$M$47=EVENTOS!$C26)*(OFFSET(CÁLCULO!$AA$15:$AA$47,0,V$13))),2),0)</f>
        <v>0</v>
      </c>
      <c r="W26" s="620" cm="1">
        <f t="array" aca="1" ref="W26" ca="1">IF(AUTOEVENTO="Manual",ROUND(SUMPRODUCT((CÁLCULO!$M$15:$M$47=EVENTOS!$C26)*(OFFSET(CÁLCULO!$AA$15:$AA$47,0,W$13))),2),0)</f>
        <v>0</v>
      </c>
      <c r="X26" s="620" cm="1">
        <f t="array" aca="1" ref="X26" ca="1">IF(AUTOEVENTO="Manual",ROUND(SUMPRODUCT((CÁLCULO!$M$15:$M$47=EVENTOS!$C26)*(OFFSET(CÁLCULO!$AA$15:$AA$47,0,X$13))),2),0)</f>
        <v>0</v>
      </c>
      <c r="Y26" s="620" cm="1">
        <f t="array" aca="1" ref="Y26" ca="1">IF(AUTOEVENTO="Manual",ROUND(SUMPRODUCT((CÁLCULO!$M$15:$M$47=EVENTOS!$C26)*(OFFSET(CÁLCULO!$AA$15:$AA$47,0,Y$13))),2),0)</f>
        <v>0</v>
      </c>
    </row>
    <row r="27" spans="1:25" x14ac:dyDescent="0.2">
      <c r="A27" s="506" t="str">
        <f t="shared" si="3"/>
        <v/>
      </c>
      <c r="B27" t="str">
        <f t="shared" ca="1" si="4"/>
        <v/>
      </c>
      <c r="C27" s="182" t="str" cm="1">
        <f t="array" aca="1" ref="C27" ca="1">IF(OR(ROW(C27)=ROW(EVENTOS.firstrow)+1,AND(OFFSET(C27,-1,0)&lt;&gt;" ",OFFSET(C27,-1,1)&lt;&gt;"")),OFFSET(C27,-1,0)+1," ")</f>
        <v xml:space="preserve"> </v>
      </c>
      <c r="D27" s="496"/>
      <c r="E27" s="620" cm="1">
        <f t="array" aca="1" ref="E27" ca="1">IF(AUTOEVENTO="Manual",ROUND(SUMPRODUCT((CÁLCULO!$M$15:$M$47=EVENTOS!$C27)*(OFFSET(CÁLCULO!$AA$15:$AA$47,0,E$13))),2),0)</f>
        <v>0</v>
      </c>
      <c r="F27" s="183">
        <f ca="1">IF(AUTOEVENTO="Manual",ROUND(SUMPRODUCT((CÁLCULO!$M$15:$M$47=EVENTOS!$C27)*(OFFSET(CÁLCULO!$AA$15,0,1):OFFSET(CÁLCULO!$AL$47,0,-1))),2),0)</f>
        <v>0</v>
      </c>
      <c r="G27" s="621" t="str">
        <f t="shared" ca="1" si="5"/>
        <v/>
      </c>
      <c r="H27" s="620" cm="1">
        <f t="array" aca="1" ref="H27" ca="1">IF(AUTOEVENTO="Manual",ROUND(SUMPRODUCT((CÁLCULO!$M$15:$M$47=EVENTOS!$C27)*(OFFSET(CÁLCULO!$AA$15:$AA$47,0,H$13))),2),0)</f>
        <v>0</v>
      </c>
      <c r="I27" s="620" cm="1">
        <f t="array" aca="1" ref="I27" ca="1">IF(AUTOEVENTO="Manual",ROUND(SUMPRODUCT((CÁLCULO!$M$15:$M$47=EVENTOS!$C27)*(OFFSET(CÁLCULO!$AA$15:$AA$47,0,I$13))),2),0)</f>
        <v>0</v>
      </c>
      <c r="J27" s="620" cm="1">
        <f t="array" aca="1" ref="J27" ca="1">IF(AUTOEVENTO="Manual",ROUND(SUMPRODUCT((CÁLCULO!$M$15:$M$47=EVENTOS!$C27)*(OFFSET(CÁLCULO!$AA$15:$AA$47,0,J$13))),2),0)</f>
        <v>0</v>
      </c>
      <c r="K27" s="620" cm="1">
        <f t="array" aca="1" ref="K27" ca="1">IF(AUTOEVENTO="Manual",ROUND(SUMPRODUCT((CÁLCULO!$M$15:$M$47=EVENTOS!$C27)*(OFFSET(CÁLCULO!$AA$15:$AA$47,0,K$13))),2),0)</f>
        <v>0</v>
      </c>
      <c r="L27" s="620" cm="1">
        <f t="array" aca="1" ref="L27" ca="1">IF(AUTOEVENTO="Manual",ROUND(SUMPRODUCT((CÁLCULO!$M$15:$M$47=EVENTOS!$C27)*(OFFSET(CÁLCULO!$AA$15:$AA$47,0,L$13))),2),0)</f>
        <v>0</v>
      </c>
      <c r="M27" s="620" cm="1">
        <f t="array" aca="1" ref="M27" ca="1">IF(AUTOEVENTO="Manual",ROUND(SUMPRODUCT((CÁLCULO!$M$15:$M$47=EVENTOS!$C27)*(OFFSET(CÁLCULO!$AA$15:$AA$47,0,M$13))),2),0)</f>
        <v>0</v>
      </c>
      <c r="N27" s="620" cm="1">
        <f t="array" aca="1" ref="N27" ca="1">IF(AUTOEVENTO="Manual",ROUND(SUMPRODUCT((CÁLCULO!$M$15:$M$47=EVENTOS!$C27)*(OFFSET(CÁLCULO!$AA$15:$AA$47,0,N$13))),2),0)</f>
        <v>0</v>
      </c>
      <c r="O27" s="620" cm="1">
        <f t="array" aca="1" ref="O27" ca="1">IF(AUTOEVENTO="Manual",ROUND(SUMPRODUCT((CÁLCULO!$M$15:$M$47=EVENTOS!$C27)*(OFFSET(CÁLCULO!$AA$15:$AA$47,0,O$13))),2),0)</f>
        <v>0</v>
      </c>
      <c r="P27" s="620" cm="1">
        <f t="array" aca="1" ref="P27" ca="1">IF(AUTOEVENTO="Manual",ROUND(SUMPRODUCT((CÁLCULO!$M$15:$M$47=EVENTOS!$C27)*(OFFSET(CÁLCULO!$AA$15:$AA$47,0,P$13))),2),0)</f>
        <v>0</v>
      </c>
      <c r="Q27" s="620" cm="1">
        <f t="array" aca="1" ref="Q27" ca="1">IF(AUTOEVENTO="Manual",ROUND(SUMPRODUCT((CÁLCULO!$M$15:$M$47=EVENTOS!$C27)*(OFFSET(CÁLCULO!$AA$15:$AA$47,0,Q$13))),2),0)</f>
        <v>0</v>
      </c>
      <c r="R27" s="620" cm="1">
        <f t="array" aca="1" ref="R27" ca="1">IF(AUTOEVENTO="Manual",ROUND(SUMPRODUCT((CÁLCULO!$M$15:$M$47=EVENTOS!$C27)*(OFFSET(CÁLCULO!$AA$15:$AA$47,0,R$13))),2),0)</f>
        <v>0</v>
      </c>
      <c r="S27" s="620" cm="1">
        <f t="array" aca="1" ref="S27" ca="1">IF(AUTOEVENTO="Manual",ROUND(SUMPRODUCT((CÁLCULO!$M$15:$M$47=EVENTOS!$C27)*(OFFSET(CÁLCULO!$AA$15:$AA$47,0,S$13))),2),0)</f>
        <v>0</v>
      </c>
      <c r="T27" s="620" cm="1">
        <f t="array" aca="1" ref="T27" ca="1">IF(AUTOEVENTO="Manual",ROUND(SUMPRODUCT((CÁLCULO!$M$15:$M$47=EVENTOS!$C27)*(OFFSET(CÁLCULO!$AA$15:$AA$47,0,T$13))),2),0)</f>
        <v>0</v>
      </c>
      <c r="U27" s="620" cm="1">
        <f t="array" aca="1" ref="U27" ca="1">IF(AUTOEVENTO="Manual",ROUND(SUMPRODUCT((CÁLCULO!$M$15:$M$47=EVENTOS!$C27)*(OFFSET(CÁLCULO!$AA$15:$AA$47,0,U$13))),2),0)</f>
        <v>0</v>
      </c>
      <c r="V27" s="620" cm="1">
        <f t="array" aca="1" ref="V27" ca="1">IF(AUTOEVENTO="Manual",ROUND(SUMPRODUCT((CÁLCULO!$M$15:$M$47=EVENTOS!$C27)*(OFFSET(CÁLCULO!$AA$15:$AA$47,0,V$13))),2),0)</f>
        <v>0</v>
      </c>
      <c r="W27" s="620" cm="1">
        <f t="array" aca="1" ref="W27" ca="1">IF(AUTOEVENTO="Manual",ROUND(SUMPRODUCT((CÁLCULO!$M$15:$M$47=EVENTOS!$C27)*(OFFSET(CÁLCULO!$AA$15:$AA$47,0,W$13))),2),0)</f>
        <v>0</v>
      </c>
      <c r="X27" s="620" cm="1">
        <f t="array" aca="1" ref="X27" ca="1">IF(AUTOEVENTO="Manual",ROUND(SUMPRODUCT((CÁLCULO!$M$15:$M$47=EVENTOS!$C27)*(OFFSET(CÁLCULO!$AA$15:$AA$47,0,X$13))),2),0)</f>
        <v>0</v>
      </c>
      <c r="Y27" s="620" cm="1">
        <f t="array" aca="1" ref="Y27" ca="1">IF(AUTOEVENTO="Manual",ROUND(SUMPRODUCT((CÁLCULO!$M$15:$M$47=EVENTOS!$C27)*(OFFSET(CÁLCULO!$AA$15:$AA$47,0,Y$13))),2),0)</f>
        <v>0</v>
      </c>
    </row>
    <row r="28" spans="1:25" x14ac:dyDescent="0.2">
      <c r="A28" s="506" t="str">
        <f t="shared" si="3"/>
        <v/>
      </c>
      <c r="B28" t="str">
        <f t="shared" ca="1" si="4"/>
        <v/>
      </c>
      <c r="C28" s="182" t="str" cm="1">
        <f t="array" aca="1" ref="C28" ca="1">IF(OR(ROW(C28)=ROW(EVENTOS.firstrow)+1,AND(OFFSET(C28,-1,0)&lt;&gt;" ",OFFSET(C28,-1,1)&lt;&gt;"")),OFFSET(C28,-1,0)+1," ")</f>
        <v xml:space="preserve"> </v>
      </c>
      <c r="D28" s="496"/>
      <c r="E28" s="620" cm="1">
        <f t="array" aca="1" ref="E28" ca="1">IF(AUTOEVENTO="Manual",ROUND(SUMPRODUCT((CÁLCULO!$M$15:$M$47=EVENTOS!$C28)*(OFFSET(CÁLCULO!$AA$15:$AA$47,0,E$13))),2),0)</f>
        <v>0</v>
      </c>
      <c r="F28" s="183">
        <f ca="1">IF(AUTOEVENTO="Manual",ROUND(SUMPRODUCT((CÁLCULO!$M$15:$M$47=EVENTOS!$C28)*(OFFSET(CÁLCULO!$AA$15,0,1):OFFSET(CÁLCULO!$AL$47,0,-1))),2),0)</f>
        <v>0</v>
      </c>
      <c r="G28" s="621" t="str">
        <f t="shared" ca="1" si="5"/>
        <v/>
      </c>
      <c r="H28" s="620" cm="1">
        <f t="array" aca="1" ref="H28" ca="1">IF(AUTOEVENTO="Manual",ROUND(SUMPRODUCT((CÁLCULO!$M$15:$M$47=EVENTOS!$C28)*(OFFSET(CÁLCULO!$AA$15:$AA$47,0,H$13))),2),0)</f>
        <v>0</v>
      </c>
      <c r="I28" s="620" cm="1">
        <f t="array" aca="1" ref="I28" ca="1">IF(AUTOEVENTO="Manual",ROUND(SUMPRODUCT((CÁLCULO!$M$15:$M$47=EVENTOS!$C28)*(OFFSET(CÁLCULO!$AA$15:$AA$47,0,I$13))),2),0)</f>
        <v>0</v>
      </c>
      <c r="J28" s="620" cm="1">
        <f t="array" aca="1" ref="J28" ca="1">IF(AUTOEVENTO="Manual",ROUND(SUMPRODUCT((CÁLCULO!$M$15:$M$47=EVENTOS!$C28)*(OFFSET(CÁLCULO!$AA$15:$AA$47,0,J$13))),2),0)</f>
        <v>0</v>
      </c>
      <c r="K28" s="620" cm="1">
        <f t="array" aca="1" ref="K28" ca="1">IF(AUTOEVENTO="Manual",ROUND(SUMPRODUCT((CÁLCULO!$M$15:$M$47=EVENTOS!$C28)*(OFFSET(CÁLCULO!$AA$15:$AA$47,0,K$13))),2),0)</f>
        <v>0</v>
      </c>
      <c r="L28" s="620" cm="1">
        <f t="array" aca="1" ref="L28" ca="1">IF(AUTOEVENTO="Manual",ROUND(SUMPRODUCT((CÁLCULO!$M$15:$M$47=EVENTOS!$C28)*(OFFSET(CÁLCULO!$AA$15:$AA$47,0,L$13))),2),0)</f>
        <v>0</v>
      </c>
      <c r="M28" s="620" cm="1">
        <f t="array" aca="1" ref="M28" ca="1">IF(AUTOEVENTO="Manual",ROUND(SUMPRODUCT((CÁLCULO!$M$15:$M$47=EVENTOS!$C28)*(OFFSET(CÁLCULO!$AA$15:$AA$47,0,M$13))),2),0)</f>
        <v>0</v>
      </c>
      <c r="N28" s="620" cm="1">
        <f t="array" aca="1" ref="N28" ca="1">IF(AUTOEVENTO="Manual",ROUND(SUMPRODUCT((CÁLCULO!$M$15:$M$47=EVENTOS!$C28)*(OFFSET(CÁLCULO!$AA$15:$AA$47,0,N$13))),2),0)</f>
        <v>0</v>
      </c>
      <c r="O28" s="620" cm="1">
        <f t="array" aca="1" ref="O28" ca="1">IF(AUTOEVENTO="Manual",ROUND(SUMPRODUCT((CÁLCULO!$M$15:$M$47=EVENTOS!$C28)*(OFFSET(CÁLCULO!$AA$15:$AA$47,0,O$13))),2),0)</f>
        <v>0</v>
      </c>
      <c r="P28" s="620" cm="1">
        <f t="array" aca="1" ref="P28" ca="1">IF(AUTOEVENTO="Manual",ROUND(SUMPRODUCT((CÁLCULO!$M$15:$M$47=EVENTOS!$C28)*(OFFSET(CÁLCULO!$AA$15:$AA$47,0,P$13))),2),0)</f>
        <v>0</v>
      </c>
      <c r="Q28" s="620" cm="1">
        <f t="array" aca="1" ref="Q28" ca="1">IF(AUTOEVENTO="Manual",ROUND(SUMPRODUCT((CÁLCULO!$M$15:$M$47=EVENTOS!$C28)*(OFFSET(CÁLCULO!$AA$15:$AA$47,0,Q$13))),2),0)</f>
        <v>0</v>
      </c>
      <c r="R28" s="620" cm="1">
        <f t="array" aca="1" ref="R28" ca="1">IF(AUTOEVENTO="Manual",ROUND(SUMPRODUCT((CÁLCULO!$M$15:$M$47=EVENTOS!$C28)*(OFFSET(CÁLCULO!$AA$15:$AA$47,0,R$13))),2),0)</f>
        <v>0</v>
      </c>
      <c r="S28" s="620" cm="1">
        <f t="array" aca="1" ref="S28" ca="1">IF(AUTOEVENTO="Manual",ROUND(SUMPRODUCT((CÁLCULO!$M$15:$M$47=EVENTOS!$C28)*(OFFSET(CÁLCULO!$AA$15:$AA$47,0,S$13))),2),0)</f>
        <v>0</v>
      </c>
      <c r="T28" s="620" cm="1">
        <f t="array" aca="1" ref="T28" ca="1">IF(AUTOEVENTO="Manual",ROUND(SUMPRODUCT((CÁLCULO!$M$15:$M$47=EVENTOS!$C28)*(OFFSET(CÁLCULO!$AA$15:$AA$47,0,T$13))),2),0)</f>
        <v>0</v>
      </c>
      <c r="U28" s="620" cm="1">
        <f t="array" aca="1" ref="U28" ca="1">IF(AUTOEVENTO="Manual",ROUND(SUMPRODUCT((CÁLCULO!$M$15:$M$47=EVENTOS!$C28)*(OFFSET(CÁLCULO!$AA$15:$AA$47,0,U$13))),2),0)</f>
        <v>0</v>
      </c>
      <c r="V28" s="620" cm="1">
        <f t="array" aca="1" ref="V28" ca="1">IF(AUTOEVENTO="Manual",ROUND(SUMPRODUCT((CÁLCULO!$M$15:$M$47=EVENTOS!$C28)*(OFFSET(CÁLCULO!$AA$15:$AA$47,0,V$13))),2),0)</f>
        <v>0</v>
      </c>
      <c r="W28" s="620" cm="1">
        <f t="array" aca="1" ref="W28" ca="1">IF(AUTOEVENTO="Manual",ROUND(SUMPRODUCT((CÁLCULO!$M$15:$M$47=EVENTOS!$C28)*(OFFSET(CÁLCULO!$AA$15:$AA$47,0,W$13))),2),0)</f>
        <v>0</v>
      </c>
      <c r="X28" s="620" cm="1">
        <f t="array" aca="1" ref="X28" ca="1">IF(AUTOEVENTO="Manual",ROUND(SUMPRODUCT((CÁLCULO!$M$15:$M$47=EVENTOS!$C28)*(OFFSET(CÁLCULO!$AA$15:$AA$47,0,X$13))),2),0)</f>
        <v>0</v>
      </c>
      <c r="Y28" s="620" cm="1">
        <f t="array" aca="1" ref="Y28" ca="1">IF(AUTOEVENTO="Manual",ROUND(SUMPRODUCT((CÁLCULO!$M$15:$M$47=EVENTOS!$C28)*(OFFSET(CÁLCULO!$AA$15:$AA$47,0,Y$13))),2),0)</f>
        <v>0</v>
      </c>
    </row>
    <row r="29" spans="1:25" x14ac:dyDescent="0.2">
      <c r="A29" s="506" t="str">
        <f t="shared" si="3"/>
        <v/>
      </c>
      <c r="B29" t="str">
        <f t="shared" ca="1" si="4"/>
        <v/>
      </c>
      <c r="C29" s="182" t="str" cm="1">
        <f t="array" aca="1" ref="C29" ca="1">IF(OR(ROW(C29)=ROW(EVENTOS.firstrow)+1,AND(OFFSET(C29,-1,0)&lt;&gt;" ",OFFSET(C29,-1,1)&lt;&gt;"")),OFFSET(C29,-1,0)+1," ")</f>
        <v xml:space="preserve"> </v>
      </c>
      <c r="D29" s="496"/>
      <c r="E29" s="620" cm="1">
        <f t="array" aca="1" ref="E29" ca="1">IF(AUTOEVENTO="Manual",ROUND(SUMPRODUCT((CÁLCULO!$M$15:$M$47=EVENTOS!$C29)*(OFFSET(CÁLCULO!$AA$15:$AA$47,0,E$13))),2),0)</f>
        <v>0</v>
      </c>
      <c r="F29" s="183">
        <f ca="1">IF(AUTOEVENTO="Manual",ROUND(SUMPRODUCT((CÁLCULO!$M$15:$M$47=EVENTOS!$C29)*(OFFSET(CÁLCULO!$AA$15,0,1):OFFSET(CÁLCULO!$AL$47,0,-1))),2),0)</f>
        <v>0</v>
      </c>
      <c r="G29" s="621" t="str">
        <f t="shared" ca="1" si="5"/>
        <v/>
      </c>
      <c r="H29" s="620" cm="1">
        <f t="array" aca="1" ref="H29" ca="1">IF(AUTOEVENTO="Manual",ROUND(SUMPRODUCT((CÁLCULO!$M$15:$M$47=EVENTOS!$C29)*(OFFSET(CÁLCULO!$AA$15:$AA$47,0,H$13))),2),0)</f>
        <v>0</v>
      </c>
      <c r="I29" s="620" cm="1">
        <f t="array" aca="1" ref="I29" ca="1">IF(AUTOEVENTO="Manual",ROUND(SUMPRODUCT((CÁLCULO!$M$15:$M$47=EVENTOS!$C29)*(OFFSET(CÁLCULO!$AA$15:$AA$47,0,I$13))),2),0)</f>
        <v>0</v>
      </c>
      <c r="J29" s="620" cm="1">
        <f t="array" aca="1" ref="J29" ca="1">IF(AUTOEVENTO="Manual",ROUND(SUMPRODUCT((CÁLCULO!$M$15:$M$47=EVENTOS!$C29)*(OFFSET(CÁLCULO!$AA$15:$AA$47,0,J$13))),2),0)</f>
        <v>0</v>
      </c>
      <c r="K29" s="620" cm="1">
        <f t="array" aca="1" ref="K29" ca="1">IF(AUTOEVENTO="Manual",ROUND(SUMPRODUCT((CÁLCULO!$M$15:$M$47=EVENTOS!$C29)*(OFFSET(CÁLCULO!$AA$15:$AA$47,0,K$13))),2),0)</f>
        <v>0</v>
      </c>
      <c r="L29" s="620" cm="1">
        <f t="array" aca="1" ref="L29" ca="1">IF(AUTOEVENTO="Manual",ROUND(SUMPRODUCT((CÁLCULO!$M$15:$M$47=EVENTOS!$C29)*(OFFSET(CÁLCULO!$AA$15:$AA$47,0,L$13))),2),0)</f>
        <v>0</v>
      </c>
      <c r="M29" s="620" cm="1">
        <f t="array" aca="1" ref="M29" ca="1">IF(AUTOEVENTO="Manual",ROUND(SUMPRODUCT((CÁLCULO!$M$15:$M$47=EVENTOS!$C29)*(OFFSET(CÁLCULO!$AA$15:$AA$47,0,M$13))),2),0)</f>
        <v>0</v>
      </c>
      <c r="N29" s="620" cm="1">
        <f t="array" aca="1" ref="N29" ca="1">IF(AUTOEVENTO="Manual",ROUND(SUMPRODUCT((CÁLCULO!$M$15:$M$47=EVENTOS!$C29)*(OFFSET(CÁLCULO!$AA$15:$AA$47,0,N$13))),2),0)</f>
        <v>0</v>
      </c>
      <c r="O29" s="620" cm="1">
        <f t="array" aca="1" ref="O29" ca="1">IF(AUTOEVENTO="Manual",ROUND(SUMPRODUCT((CÁLCULO!$M$15:$M$47=EVENTOS!$C29)*(OFFSET(CÁLCULO!$AA$15:$AA$47,0,O$13))),2),0)</f>
        <v>0</v>
      </c>
      <c r="P29" s="620" cm="1">
        <f t="array" aca="1" ref="P29" ca="1">IF(AUTOEVENTO="Manual",ROUND(SUMPRODUCT((CÁLCULO!$M$15:$M$47=EVENTOS!$C29)*(OFFSET(CÁLCULO!$AA$15:$AA$47,0,P$13))),2),0)</f>
        <v>0</v>
      </c>
      <c r="Q29" s="620" cm="1">
        <f t="array" aca="1" ref="Q29" ca="1">IF(AUTOEVENTO="Manual",ROUND(SUMPRODUCT((CÁLCULO!$M$15:$M$47=EVENTOS!$C29)*(OFFSET(CÁLCULO!$AA$15:$AA$47,0,Q$13))),2),0)</f>
        <v>0</v>
      </c>
      <c r="R29" s="620" cm="1">
        <f t="array" aca="1" ref="R29" ca="1">IF(AUTOEVENTO="Manual",ROUND(SUMPRODUCT((CÁLCULO!$M$15:$M$47=EVENTOS!$C29)*(OFFSET(CÁLCULO!$AA$15:$AA$47,0,R$13))),2),0)</f>
        <v>0</v>
      </c>
      <c r="S29" s="620" cm="1">
        <f t="array" aca="1" ref="S29" ca="1">IF(AUTOEVENTO="Manual",ROUND(SUMPRODUCT((CÁLCULO!$M$15:$M$47=EVENTOS!$C29)*(OFFSET(CÁLCULO!$AA$15:$AA$47,0,S$13))),2),0)</f>
        <v>0</v>
      </c>
      <c r="T29" s="620" cm="1">
        <f t="array" aca="1" ref="T29" ca="1">IF(AUTOEVENTO="Manual",ROUND(SUMPRODUCT((CÁLCULO!$M$15:$M$47=EVENTOS!$C29)*(OFFSET(CÁLCULO!$AA$15:$AA$47,0,T$13))),2),0)</f>
        <v>0</v>
      </c>
      <c r="U29" s="620" cm="1">
        <f t="array" aca="1" ref="U29" ca="1">IF(AUTOEVENTO="Manual",ROUND(SUMPRODUCT((CÁLCULO!$M$15:$M$47=EVENTOS!$C29)*(OFFSET(CÁLCULO!$AA$15:$AA$47,0,U$13))),2),0)</f>
        <v>0</v>
      </c>
      <c r="V29" s="620" cm="1">
        <f t="array" aca="1" ref="V29" ca="1">IF(AUTOEVENTO="Manual",ROUND(SUMPRODUCT((CÁLCULO!$M$15:$M$47=EVENTOS!$C29)*(OFFSET(CÁLCULO!$AA$15:$AA$47,0,V$13))),2),0)</f>
        <v>0</v>
      </c>
      <c r="W29" s="620" cm="1">
        <f t="array" aca="1" ref="W29" ca="1">IF(AUTOEVENTO="Manual",ROUND(SUMPRODUCT((CÁLCULO!$M$15:$M$47=EVENTOS!$C29)*(OFFSET(CÁLCULO!$AA$15:$AA$47,0,W$13))),2),0)</f>
        <v>0</v>
      </c>
      <c r="X29" s="620" cm="1">
        <f t="array" aca="1" ref="X29" ca="1">IF(AUTOEVENTO="Manual",ROUND(SUMPRODUCT((CÁLCULO!$M$15:$M$47=EVENTOS!$C29)*(OFFSET(CÁLCULO!$AA$15:$AA$47,0,X$13))),2),0)</f>
        <v>0</v>
      </c>
      <c r="Y29" s="620" cm="1">
        <f t="array" aca="1" ref="Y29" ca="1">IF(AUTOEVENTO="Manual",ROUND(SUMPRODUCT((CÁLCULO!$M$15:$M$47=EVENTOS!$C29)*(OFFSET(CÁLCULO!$AA$15:$AA$47,0,Y$13))),2),0)</f>
        <v>0</v>
      </c>
    </row>
    <row r="30" spans="1:25" x14ac:dyDescent="0.2">
      <c r="A30" s="506" t="str">
        <f t="shared" si="3"/>
        <v/>
      </c>
      <c r="B30" t="str">
        <f t="shared" ca="1" si="4"/>
        <v/>
      </c>
      <c r="C30" s="182" t="str" cm="1">
        <f t="array" aca="1" ref="C30" ca="1">IF(OR(ROW(C30)=ROW(EVENTOS.firstrow)+1,AND(OFFSET(C30,-1,0)&lt;&gt;" ",OFFSET(C30,-1,1)&lt;&gt;"")),OFFSET(C30,-1,0)+1," ")</f>
        <v xml:space="preserve"> </v>
      </c>
      <c r="D30" s="496"/>
      <c r="E30" s="620" cm="1">
        <f t="array" aca="1" ref="E30" ca="1">IF(AUTOEVENTO="Manual",ROUND(SUMPRODUCT((CÁLCULO!$M$15:$M$47=EVENTOS!$C30)*(OFFSET(CÁLCULO!$AA$15:$AA$47,0,E$13))),2),0)</f>
        <v>0</v>
      </c>
      <c r="F30" s="183">
        <f ca="1">IF(AUTOEVENTO="Manual",ROUND(SUMPRODUCT((CÁLCULO!$M$15:$M$47=EVENTOS!$C30)*(OFFSET(CÁLCULO!$AA$15,0,1):OFFSET(CÁLCULO!$AL$47,0,-1))),2),0)</f>
        <v>0</v>
      </c>
      <c r="G30" s="621" t="str">
        <f t="shared" ca="1" si="5"/>
        <v/>
      </c>
      <c r="H30" s="620" cm="1">
        <f t="array" aca="1" ref="H30" ca="1">IF(AUTOEVENTO="Manual",ROUND(SUMPRODUCT((CÁLCULO!$M$15:$M$47=EVENTOS!$C30)*(OFFSET(CÁLCULO!$AA$15:$AA$47,0,H$13))),2),0)</f>
        <v>0</v>
      </c>
      <c r="I30" s="620" cm="1">
        <f t="array" aca="1" ref="I30" ca="1">IF(AUTOEVENTO="Manual",ROUND(SUMPRODUCT((CÁLCULO!$M$15:$M$47=EVENTOS!$C30)*(OFFSET(CÁLCULO!$AA$15:$AA$47,0,I$13))),2),0)</f>
        <v>0</v>
      </c>
      <c r="J30" s="620" cm="1">
        <f t="array" aca="1" ref="J30" ca="1">IF(AUTOEVENTO="Manual",ROUND(SUMPRODUCT((CÁLCULO!$M$15:$M$47=EVENTOS!$C30)*(OFFSET(CÁLCULO!$AA$15:$AA$47,0,J$13))),2),0)</f>
        <v>0</v>
      </c>
      <c r="K30" s="620" cm="1">
        <f t="array" aca="1" ref="K30" ca="1">IF(AUTOEVENTO="Manual",ROUND(SUMPRODUCT((CÁLCULO!$M$15:$M$47=EVENTOS!$C30)*(OFFSET(CÁLCULO!$AA$15:$AA$47,0,K$13))),2),0)</f>
        <v>0</v>
      </c>
      <c r="L30" s="620" cm="1">
        <f t="array" aca="1" ref="L30" ca="1">IF(AUTOEVENTO="Manual",ROUND(SUMPRODUCT((CÁLCULO!$M$15:$M$47=EVENTOS!$C30)*(OFFSET(CÁLCULO!$AA$15:$AA$47,0,L$13))),2),0)</f>
        <v>0</v>
      </c>
      <c r="M30" s="620" cm="1">
        <f t="array" aca="1" ref="M30" ca="1">IF(AUTOEVENTO="Manual",ROUND(SUMPRODUCT((CÁLCULO!$M$15:$M$47=EVENTOS!$C30)*(OFFSET(CÁLCULO!$AA$15:$AA$47,0,M$13))),2),0)</f>
        <v>0</v>
      </c>
      <c r="N30" s="620" cm="1">
        <f t="array" aca="1" ref="N30" ca="1">IF(AUTOEVENTO="Manual",ROUND(SUMPRODUCT((CÁLCULO!$M$15:$M$47=EVENTOS!$C30)*(OFFSET(CÁLCULO!$AA$15:$AA$47,0,N$13))),2),0)</f>
        <v>0</v>
      </c>
      <c r="O30" s="620" cm="1">
        <f t="array" aca="1" ref="O30" ca="1">IF(AUTOEVENTO="Manual",ROUND(SUMPRODUCT((CÁLCULO!$M$15:$M$47=EVENTOS!$C30)*(OFFSET(CÁLCULO!$AA$15:$AA$47,0,O$13))),2),0)</f>
        <v>0</v>
      </c>
      <c r="P30" s="620" cm="1">
        <f t="array" aca="1" ref="P30" ca="1">IF(AUTOEVENTO="Manual",ROUND(SUMPRODUCT((CÁLCULO!$M$15:$M$47=EVENTOS!$C30)*(OFFSET(CÁLCULO!$AA$15:$AA$47,0,P$13))),2),0)</f>
        <v>0</v>
      </c>
      <c r="Q30" s="620" cm="1">
        <f t="array" aca="1" ref="Q30" ca="1">IF(AUTOEVENTO="Manual",ROUND(SUMPRODUCT((CÁLCULO!$M$15:$M$47=EVENTOS!$C30)*(OFFSET(CÁLCULO!$AA$15:$AA$47,0,Q$13))),2),0)</f>
        <v>0</v>
      </c>
      <c r="R30" s="620" cm="1">
        <f t="array" aca="1" ref="R30" ca="1">IF(AUTOEVENTO="Manual",ROUND(SUMPRODUCT((CÁLCULO!$M$15:$M$47=EVENTOS!$C30)*(OFFSET(CÁLCULO!$AA$15:$AA$47,0,R$13))),2),0)</f>
        <v>0</v>
      </c>
      <c r="S30" s="620" cm="1">
        <f t="array" aca="1" ref="S30" ca="1">IF(AUTOEVENTO="Manual",ROUND(SUMPRODUCT((CÁLCULO!$M$15:$M$47=EVENTOS!$C30)*(OFFSET(CÁLCULO!$AA$15:$AA$47,0,S$13))),2),0)</f>
        <v>0</v>
      </c>
      <c r="T30" s="620" cm="1">
        <f t="array" aca="1" ref="T30" ca="1">IF(AUTOEVENTO="Manual",ROUND(SUMPRODUCT((CÁLCULO!$M$15:$M$47=EVENTOS!$C30)*(OFFSET(CÁLCULO!$AA$15:$AA$47,0,T$13))),2),0)</f>
        <v>0</v>
      </c>
      <c r="U30" s="620" cm="1">
        <f t="array" aca="1" ref="U30" ca="1">IF(AUTOEVENTO="Manual",ROUND(SUMPRODUCT((CÁLCULO!$M$15:$M$47=EVENTOS!$C30)*(OFFSET(CÁLCULO!$AA$15:$AA$47,0,U$13))),2),0)</f>
        <v>0</v>
      </c>
      <c r="V30" s="620" cm="1">
        <f t="array" aca="1" ref="V30" ca="1">IF(AUTOEVENTO="Manual",ROUND(SUMPRODUCT((CÁLCULO!$M$15:$M$47=EVENTOS!$C30)*(OFFSET(CÁLCULO!$AA$15:$AA$47,0,V$13))),2),0)</f>
        <v>0</v>
      </c>
      <c r="W30" s="620" cm="1">
        <f t="array" aca="1" ref="W30" ca="1">IF(AUTOEVENTO="Manual",ROUND(SUMPRODUCT((CÁLCULO!$M$15:$M$47=EVENTOS!$C30)*(OFFSET(CÁLCULO!$AA$15:$AA$47,0,W$13))),2),0)</f>
        <v>0</v>
      </c>
      <c r="X30" s="620" cm="1">
        <f t="array" aca="1" ref="X30" ca="1">IF(AUTOEVENTO="Manual",ROUND(SUMPRODUCT((CÁLCULO!$M$15:$M$47=EVENTOS!$C30)*(OFFSET(CÁLCULO!$AA$15:$AA$47,0,X$13))),2),0)</f>
        <v>0</v>
      </c>
      <c r="Y30" s="620" cm="1">
        <f t="array" aca="1" ref="Y30" ca="1">IF(AUTOEVENTO="Manual",ROUND(SUMPRODUCT((CÁLCULO!$M$15:$M$47=EVENTOS!$C30)*(OFFSET(CÁLCULO!$AA$15:$AA$47,0,Y$13))),2),0)</f>
        <v>0</v>
      </c>
    </row>
    <row r="31" spans="1:25" x14ac:dyDescent="0.2">
      <c r="A31" s="506" t="str">
        <f t="shared" si="3"/>
        <v/>
      </c>
      <c r="B31" t="str">
        <f t="shared" ca="1" si="4"/>
        <v/>
      </c>
      <c r="C31" s="182" t="str" cm="1">
        <f t="array" aca="1" ref="C31" ca="1">IF(OR(ROW(C31)=ROW(EVENTOS.firstrow)+1,AND(OFFSET(C31,-1,0)&lt;&gt;" ",OFFSET(C31,-1,1)&lt;&gt;"")),OFFSET(C31,-1,0)+1," ")</f>
        <v xml:space="preserve"> </v>
      </c>
      <c r="D31" s="496"/>
      <c r="E31" s="620" cm="1">
        <f t="array" aca="1" ref="E31" ca="1">IF(AUTOEVENTO="Manual",ROUND(SUMPRODUCT((CÁLCULO!$M$15:$M$47=EVENTOS!$C31)*(OFFSET(CÁLCULO!$AA$15:$AA$47,0,E$13))),2),0)</f>
        <v>0</v>
      </c>
      <c r="F31" s="183">
        <f ca="1">IF(AUTOEVENTO="Manual",ROUND(SUMPRODUCT((CÁLCULO!$M$15:$M$47=EVENTOS!$C31)*(OFFSET(CÁLCULO!$AA$15,0,1):OFFSET(CÁLCULO!$AL$47,0,-1))),2),0)</f>
        <v>0</v>
      </c>
      <c r="G31" s="621" t="str">
        <f t="shared" ca="1" si="5"/>
        <v/>
      </c>
      <c r="H31" s="620" cm="1">
        <f t="array" aca="1" ref="H31" ca="1">IF(AUTOEVENTO="Manual",ROUND(SUMPRODUCT((CÁLCULO!$M$15:$M$47=EVENTOS!$C31)*(OFFSET(CÁLCULO!$AA$15:$AA$47,0,H$13))),2),0)</f>
        <v>0</v>
      </c>
      <c r="I31" s="620" cm="1">
        <f t="array" aca="1" ref="I31" ca="1">IF(AUTOEVENTO="Manual",ROUND(SUMPRODUCT((CÁLCULO!$M$15:$M$47=EVENTOS!$C31)*(OFFSET(CÁLCULO!$AA$15:$AA$47,0,I$13))),2),0)</f>
        <v>0</v>
      </c>
      <c r="J31" s="620" cm="1">
        <f t="array" aca="1" ref="J31" ca="1">IF(AUTOEVENTO="Manual",ROUND(SUMPRODUCT((CÁLCULO!$M$15:$M$47=EVENTOS!$C31)*(OFFSET(CÁLCULO!$AA$15:$AA$47,0,J$13))),2),0)</f>
        <v>0</v>
      </c>
      <c r="K31" s="620" cm="1">
        <f t="array" aca="1" ref="K31" ca="1">IF(AUTOEVENTO="Manual",ROUND(SUMPRODUCT((CÁLCULO!$M$15:$M$47=EVENTOS!$C31)*(OFFSET(CÁLCULO!$AA$15:$AA$47,0,K$13))),2),0)</f>
        <v>0</v>
      </c>
      <c r="L31" s="620" cm="1">
        <f t="array" aca="1" ref="L31" ca="1">IF(AUTOEVENTO="Manual",ROUND(SUMPRODUCT((CÁLCULO!$M$15:$M$47=EVENTOS!$C31)*(OFFSET(CÁLCULO!$AA$15:$AA$47,0,L$13))),2),0)</f>
        <v>0</v>
      </c>
      <c r="M31" s="620" cm="1">
        <f t="array" aca="1" ref="M31" ca="1">IF(AUTOEVENTO="Manual",ROUND(SUMPRODUCT((CÁLCULO!$M$15:$M$47=EVENTOS!$C31)*(OFFSET(CÁLCULO!$AA$15:$AA$47,0,M$13))),2),0)</f>
        <v>0</v>
      </c>
      <c r="N31" s="620" cm="1">
        <f t="array" aca="1" ref="N31" ca="1">IF(AUTOEVENTO="Manual",ROUND(SUMPRODUCT((CÁLCULO!$M$15:$M$47=EVENTOS!$C31)*(OFFSET(CÁLCULO!$AA$15:$AA$47,0,N$13))),2),0)</f>
        <v>0</v>
      </c>
      <c r="O31" s="620" cm="1">
        <f t="array" aca="1" ref="O31" ca="1">IF(AUTOEVENTO="Manual",ROUND(SUMPRODUCT((CÁLCULO!$M$15:$M$47=EVENTOS!$C31)*(OFFSET(CÁLCULO!$AA$15:$AA$47,0,O$13))),2),0)</f>
        <v>0</v>
      </c>
      <c r="P31" s="620" cm="1">
        <f t="array" aca="1" ref="P31" ca="1">IF(AUTOEVENTO="Manual",ROUND(SUMPRODUCT((CÁLCULO!$M$15:$M$47=EVENTOS!$C31)*(OFFSET(CÁLCULO!$AA$15:$AA$47,0,P$13))),2),0)</f>
        <v>0</v>
      </c>
      <c r="Q31" s="620" cm="1">
        <f t="array" aca="1" ref="Q31" ca="1">IF(AUTOEVENTO="Manual",ROUND(SUMPRODUCT((CÁLCULO!$M$15:$M$47=EVENTOS!$C31)*(OFFSET(CÁLCULO!$AA$15:$AA$47,0,Q$13))),2),0)</f>
        <v>0</v>
      </c>
      <c r="R31" s="620" cm="1">
        <f t="array" aca="1" ref="R31" ca="1">IF(AUTOEVENTO="Manual",ROUND(SUMPRODUCT((CÁLCULO!$M$15:$M$47=EVENTOS!$C31)*(OFFSET(CÁLCULO!$AA$15:$AA$47,0,R$13))),2),0)</f>
        <v>0</v>
      </c>
      <c r="S31" s="620" cm="1">
        <f t="array" aca="1" ref="S31" ca="1">IF(AUTOEVENTO="Manual",ROUND(SUMPRODUCT((CÁLCULO!$M$15:$M$47=EVENTOS!$C31)*(OFFSET(CÁLCULO!$AA$15:$AA$47,0,S$13))),2),0)</f>
        <v>0</v>
      </c>
      <c r="T31" s="620" cm="1">
        <f t="array" aca="1" ref="T31" ca="1">IF(AUTOEVENTO="Manual",ROUND(SUMPRODUCT((CÁLCULO!$M$15:$M$47=EVENTOS!$C31)*(OFFSET(CÁLCULO!$AA$15:$AA$47,0,T$13))),2),0)</f>
        <v>0</v>
      </c>
      <c r="U31" s="620" cm="1">
        <f t="array" aca="1" ref="U31" ca="1">IF(AUTOEVENTO="Manual",ROUND(SUMPRODUCT((CÁLCULO!$M$15:$M$47=EVENTOS!$C31)*(OFFSET(CÁLCULO!$AA$15:$AA$47,0,U$13))),2),0)</f>
        <v>0</v>
      </c>
      <c r="V31" s="620" cm="1">
        <f t="array" aca="1" ref="V31" ca="1">IF(AUTOEVENTO="Manual",ROUND(SUMPRODUCT((CÁLCULO!$M$15:$M$47=EVENTOS!$C31)*(OFFSET(CÁLCULO!$AA$15:$AA$47,0,V$13))),2),0)</f>
        <v>0</v>
      </c>
      <c r="W31" s="620" cm="1">
        <f t="array" aca="1" ref="W31" ca="1">IF(AUTOEVENTO="Manual",ROUND(SUMPRODUCT((CÁLCULO!$M$15:$M$47=EVENTOS!$C31)*(OFFSET(CÁLCULO!$AA$15:$AA$47,0,W$13))),2),0)</f>
        <v>0</v>
      </c>
      <c r="X31" s="620" cm="1">
        <f t="array" aca="1" ref="X31" ca="1">IF(AUTOEVENTO="Manual",ROUND(SUMPRODUCT((CÁLCULO!$M$15:$M$47=EVENTOS!$C31)*(OFFSET(CÁLCULO!$AA$15:$AA$47,0,X$13))),2),0)</f>
        <v>0</v>
      </c>
      <c r="Y31" s="620" cm="1">
        <f t="array" aca="1" ref="Y31" ca="1">IF(AUTOEVENTO="Manual",ROUND(SUMPRODUCT((CÁLCULO!$M$15:$M$47=EVENTOS!$C31)*(OFFSET(CÁLCULO!$AA$15:$AA$47,0,Y$13))),2),0)</f>
        <v>0</v>
      </c>
    </row>
    <row r="32" spans="1:25" x14ac:dyDescent="0.2">
      <c r="A32" s="506" t="str">
        <f t="shared" si="3"/>
        <v/>
      </c>
      <c r="B32" t="str">
        <f t="shared" ca="1" si="4"/>
        <v/>
      </c>
      <c r="C32" s="182" t="str" cm="1">
        <f t="array" aca="1" ref="C32" ca="1">IF(OR(ROW(C32)=ROW(EVENTOS.firstrow)+1,AND(OFFSET(C32,-1,0)&lt;&gt;" ",OFFSET(C32,-1,1)&lt;&gt;"")),OFFSET(C32,-1,0)+1," ")</f>
        <v xml:space="preserve"> </v>
      </c>
      <c r="D32" s="496"/>
      <c r="E32" s="620" cm="1">
        <f t="array" aca="1" ref="E32" ca="1">IF(AUTOEVENTO="Manual",ROUND(SUMPRODUCT((CÁLCULO!$M$15:$M$47=EVENTOS!$C32)*(OFFSET(CÁLCULO!$AA$15:$AA$47,0,E$13))),2),0)</f>
        <v>0</v>
      </c>
      <c r="F32" s="183">
        <f ca="1">IF(AUTOEVENTO="Manual",ROUND(SUMPRODUCT((CÁLCULO!$M$15:$M$47=EVENTOS!$C32)*(OFFSET(CÁLCULO!$AA$15,0,1):OFFSET(CÁLCULO!$AL$47,0,-1))),2),0)</f>
        <v>0</v>
      </c>
      <c r="G32" s="621" t="str">
        <f t="shared" ca="1" si="5"/>
        <v/>
      </c>
      <c r="H32" s="620" cm="1">
        <f t="array" aca="1" ref="H32" ca="1">IF(AUTOEVENTO="Manual",ROUND(SUMPRODUCT((CÁLCULO!$M$15:$M$47=EVENTOS!$C32)*(OFFSET(CÁLCULO!$AA$15:$AA$47,0,H$13))),2),0)</f>
        <v>0</v>
      </c>
      <c r="I32" s="620" cm="1">
        <f t="array" aca="1" ref="I32" ca="1">IF(AUTOEVENTO="Manual",ROUND(SUMPRODUCT((CÁLCULO!$M$15:$M$47=EVENTOS!$C32)*(OFFSET(CÁLCULO!$AA$15:$AA$47,0,I$13))),2),0)</f>
        <v>0</v>
      </c>
      <c r="J32" s="620" cm="1">
        <f t="array" aca="1" ref="J32" ca="1">IF(AUTOEVENTO="Manual",ROUND(SUMPRODUCT((CÁLCULO!$M$15:$M$47=EVENTOS!$C32)*(OFFSET(CÁLCULO!$AA$15:$AA$47,0,J$13))),2),0)</f>
        <v>0</v>
      </c>
      <c r="K32" s="620" cm="1">
        <f t="array" aca="1" ref="K32" ca="1">IF(AUTOEVENTO="Manual",ROUND(SUMPRODUCT((CÁLCULO!$M$15:$M$47=EVENTOS!$C32)*(OFFSET(CÁLCULO!$AA$15:$AA$47,0,K$13))),2),0)</f>
        <v>0</v>
      </c>
      <c r="L32" s="620" cm="1">
        <f t="array" aca="1" ref="L32" ca="1">IF(AUTOEVENTO="Manual",ROUND(SUMPRODUCT((CÁLCULO!$M$15:$M$47=EVENTOS!$C32)*(OFFSET(CÁLCULO!$AA$15:$AA$47,0,L$13))),2),0)</f>
        <v>0</v>
      </c>
      <c r="M32" s="620" cm="1">
        <f t="array" aca="1" ref="M32" ca="1">IF(AUTOEVENTO="Manual",ROUND(SUMPRODUCT((CÁLCULO!$M$15:$M$47=EVENTOS!$C32)*(OFFSET(CÁLCULO!$AA$15:$AA$47,0,M$13))),2),0)</f>
        <v>0</v>
      </c>
      <c r="N32" s="620" cm="1">
        <f t="array" aca="1" ref="N32" ca="1">IF(AUTOEVENTO="Manual",ROUND(SUMPRODUCT((CÁLCULO!$M$15:$M$47=EVENTOS!$C32)*(OFFSET(CÁLCULO!$AA$15:$AA$47,0,N$13))),2),0)</f>
        <v>0</v>
      </c>
      <c r="O32" s="620" cm="1">
        <f t="array" aca="1" ref="O32" ca="1">IF(AUTOEVENTO="Manual",ROUND(SUMPRODUCT((CÁLCULO!$M$15:$M$47=EVENTOS!$C32)*(OFFSET(CÁLCULO!$AA$15:$AA$47,0,O$13))),2),0)</f>
        <v>0</v>
      </c>
      <c r="P32" s="620" cm="1">
        <f t="array" aca="1" ref="P32" ca="1">IF(AUTOEVENTO="Manual",ROUND(SUMPRODUCT((CÁLCULO!$M$15:$M$47=EVENTOS!$C32)*(OFFSET(CÁLCULO!$AA$15:$AA$47,0,P$13))),2),0)</f>
        <v>0</v>
      </c>
      <c r="Q32" s="620" cm="1">
        <f t="array" aca="1" ref="Q32" ca="1">IF(AUTOEVENTO="Manual",ROUND(SUMPRODUCT((CÁLCULO!$M$15:$M$47=EVENTOS!$C32)*(OFFSET(CÁLCULO!$AA$15:$AA$47,0,Q$13))),2),0)</f>
        <v>0</v>
      </c>
      <c r="R32" s="620" cm="1">
        <f t="array" aca="1" ref="R32" ca="1">IF(AUTOEVENTO="Manual",ROUND(SUMPRODUCT((CÁLCULO!$M$15:$M$47=EVENTOS!$C32)*(OFFSET(CÁLCULO!$AA$15:$AA$47,0,R$13))),2),0)</f>
        <v>0</v>
      </c>
      <c r="S32" s="620" cm="1">
        <f t="array" aca="1" ref="S32" ca="1">IF(AUTOEVENTO="Manual",ROUND(SUMPRODUCT((CÁLCULO!$M$15:$M$47=EVENTOS!$C32)*(OFFSET(CÁLCULO!$AA$15:$AA$47,0,S$13))),2),0)</f>
        <v>0</v>
      </c>
      <c r="T32" s="620" cm="1">
        <f t="array" aca="1" ref="T32" ca="1">IF(AUTOEVENTO="Manual",ROUND(SUMPRODUCT((CÁLCULO!$M$15:$M$47=EVENTOS!$C32)*(OFFSET(CÁLCULO!$AA$15:$AA$47,0,T$13))),2),0)</f>
        <v>0</v>
      </c>
      <c r="U32" s="620" cm="1">
        <f t="array" aca="1" ref="U32" ca="1">IF(AUTOEVENTO="Manual",ROUND(SUMPRODUCT((CÁLCULO!$M$15:$M$47=EVENTOS!$C32)*(OFFSET(CÁLCULO!$AA$15:$AA$47,0,U$13))),2),0)</f>
        <v>0</v>
      </c>
      <c r="V32" s="620" cm="1">
        <f t="array" aca="1" ref="V32" ca="1">IF(AUTOEVENTO="Manual",ROUND(SUMPRODUCT((CÁLCULO!$M$15:$M$47=EVENTOS!$C32)*(OFFSET(CÁLCULO!$AA$15:$AA$47,0,V$13))),2),0)</f>
        <v>0</v>
      </c>
      <c r="W32" s="620" cm="1">
        <f t="array" aca="1" ref="W32" ca="1">IF(AUTOEVENTO="Manual",ROUND(SUMPRODUCT((CÁLCULO!$M$15:$M$47=EVENTOS!$C32)*(OFFSET(CÁLCULO!$AA$15:$AA$47,0,W$13))),2),0)</f>
        <v>0</v>
      </c>
      <c r="X32" s="620" cm="1">
        <f t="array" aca="1" ref="X32" ca="1">IF(AUTOEVENTO="Manual",ROUND(SUMPRODUCT((CÁLCULO!$M$15:$M$47=EVENTOS!$C32)*(OFFSET(CÁLCULO!$AA$15:$AA$47,0,X$13))),2),0)</f>
        <v>0</v>
      </c>
      <c r="Y32" s="620" cm="1">
        <f t="array" aca="1" ref="Y32" ca="1">IF(AUTOEVENTO="Manual",ROUND(SUMPRODUCT((CÁLCULO!$M$15:$M$47=EVENTOS!$C32)*(OFFSET(CÁLCULO!$AA$15:$AA$47,0,Y$13))),2),0)</f>
        <v>0</v>
      </c>
    </row>
    <row r="33" spans="1:25" x14ac:dyDescent="0.2">
      <c r="A33" s="506" t="str">
        <f t="shared" si="3"/>
        <v/>
      </c>
      <c r="B33" t="str">
        <f t="shared" ca="1" si="4"/>
        <v/>
      </c>
      <c r="C33" s="182" t="str" cm="1">
        <f t="array" aca="1" ref="C33" ca="1">IF(OR(ROW(C33)=ROW(EVENTOS.firstrow)+1,AND(OFFSET(C33,-1,0)&lt;&gt;" ",OFFSET(C33,-1,1)&lt;&gt;"")),OFFSET(C33,-1,0)+1," ")</f>
        <v xml:space="preserve"> </v>
      </c>
      <c r="D33" s="496"/>
      <c r="E33" s="620" cm="1">
        <f t="array" aca="1" ref="E33" ca="1">IF(AUTOEVENTO="Manual",ROUND(SUMPRODUCT((CÁLCULO!$M$15:$M$47=EVENTOS!$C33)*(OFFSET(CÁLCULO!$AA$15:$AA$47,0,E$13))),2),0)</f>
        <v>0</v>
      </c>
      <c r="F33" s="183">
        <f ca="1">IF(AUTOEVENTO="Manual",ROUND(SUMPRODUCT((CÁLCULO!$M$15:$M$47=EVENTOS!$C33)*(OFFSET(CÁLCULO!$AA$15,0,1):OFFSET(CÁLCULO!$AL$47,0,-1))),2),0)</f>
        <v>0</v>
      </c>
      <c r="G33" s="621" t="str">
        <f t="shared" ca="1" si="5"/>
        <v/>
      </c>
      <c r="H33" s="620" cm="1">
        <f t="array" aca="1" ref="H33" ca="1">IF(AUTOEVENTO="Manual",ROUND(SUMPRODUCT((CÁLCULO!$M$15:$M$47=EVENTOS!$C33)*(OFFSET(CÁLCULO!$AA$15:$AA$47,0,H$13))),2),0)</f>
        <v>0</v>
      </c>
      <c r="I33" s="620" cm="1">
        <f t="array" aca="1" ref="I33" ca="1">IF(AUTOEVENTO="Manual",ROUND(SUMPRODUCT((CÁLCULO!$M$15:$M$47=EVENTOS!$C33)*(OFFSET(CÁLCULO!$AA$15:$AA$47,0,I$13))),2),0)</f>
        <v>0</v>
      </c>
      <c r="J33" s="620" cm="1">
        <f t="array" aca="1" ref="J33" ca="1">IF(AUTOEVENTO="Manual",ROUND(SUMPRODUCT((CÁLCULO!$M$15:$M$47=EVENTOS!$C33)*(OFFSET(CÁLCULO!$AA$15:$AA$47,0,J$13))),2),0)</f>
        <v>0</v>
      </c>
      <c r="K33" s="620" cm="1">
        <f t="array" aca="1" ref="K33" ca="1">IF(AUTOEVENTO="Manual",ROUND(SUMPRODUCT((CÁLCULO!$M$15:$M$47=EVENTOS!$C33)*(OFFSET(CÁLCULO!$AA$15:$AA$47,0,K$13))),2),0)</f>
        <v>0</v>
      </c>
      <c r="L33" s="620" cm="1">
        <f t="array" aca="1" ref="L33" ca="1">IF(AUTOEVENTO="Manual",ROUND(SUMPRODUCT((CÁLCULO!$M$15:$M$47=EVENTOS!$C33)*(OFFSET(CÁLCULO!$AA$15:$AA$47,0,L$13))),2),0)</f>
        <v>0</v>
      </c>
      <c r="M33" s="620" cm="1">
        <f t="array" aca="1" ref="M33" ca="1">IF(AUTOEVENTO="Manual",ROUND(SUMPRODUCT((CÁLCULO!$M$15:$M$47=EVENTOS!$C33)*(OFFSET(CÁLCULO!$AA$15:$AA$47,0,M$13))),2),0)</f>
        <v>0</v>
      </c>
      <c r="N33" s="620" cm="1">
        <f t="array" aca="1" ref="N33" ca="1">IF(AUTOEVENTO="Manual",ROUND(SUMPRODUCT((CÁLCULO!$M$15:$M$47=EVENTOS!$C33)*(OFFSET(CÁLCULO!$AA$15:$AA$47,0,N$13))),2),0)</f>
        <v>0</v>
      </c>
      <c r="O33" s="620" cm="1">
        <f t="array" aca="1" ref="O33" ca="1">IF(AUTOEVENTO="Manual",ROUND(SUMPRODUCT((CÁLCULO!$M$15:$M$47=EVENTOS!$C33)*(OFFSET(CÁLCULO!$AA$15:$AA$47,0,O$13))),2),0)</f>
        <v>0</v>
      </c>
      <c r="P33" s="620" cm="1">
        <f t="array" aca="1" ref="P33" ca="1">IF(AUTOEVENTO="Manual",ROUND(SUMPRODUCT((CÁLCULO!$M$15:$M$47=EVENTOS!$C33)*(OFFSET(CÁLCULO!$AA$15:$AA$47,0,P$13))),2),0)</f>
        <v>0</v>
      </c>
      <c r="Q33" s="620" cm="1">
        <f t="array" aca="1" ref="Q33" ca="1">IF(AUTOEVENTO="Manual",ROUND(SUMPRODUCT((CÁLCULO!$M$15:$M$47=EVENTOS!$C33)*(OFFSET(CÁLCULO!$AA$15:$AA$47,0,Q$13))),2),0)</f>
        <v>0</v>
      </c>
      <c r="R33" s="620" cm="1">
        <f t="array" aca="1" ref="R33" ca="1">IF(AUTOEVENTO="Manual",ROUND(SUMPRODUCT((CÁLCULO!$M$15:$M$47=EVENTOS!$C33)*(OFFSET(CÁLCULO!$AA$15:$AA$47,0,R$13))),2),0)</f>
        <v>0</v>
      </c>
      <c r="S33" s="620" cm="1">
        <f t="array" aca="1" ref="S33" ca="1">IF(AUTOEVENTO="Manual",ROUND(SUMPRODUCT((CÁLCULO!$M$15:$M$47=EVENTOS!$C33)*(OFFSET(CÁLCULO!$AA$15:$AA$47,0,S$13))),2),0)</f>
        <v>0</v>
      </c>
      <c r="T33" s="620" cm="1">
        <f t="array" aca="1" ref="T33" ca="1">IF(AUTOEVENTO="Manual",ROUND(SUMPRODUCT((CÁLCULO!$M$15:$M$47=EVENTOS!$C33)*(OFFSET(CÁLCULO!$AA$15:$AA$47,0,T$13))),2),0)</f>
        <v>0</v>
      </c>
      <c r="U33" s="620" cm="1">
        <f t="array" aca="1" ref="U33" ca="1">IF(AUTOEVENTO="Manual",ROUND(SUMPRODUCT((CÁLCULO!$M$15:$M$47=EVENTOS!$C33)*(OFFSET(CÁLCULO!$AA$15:$AA$47,0,U$13))),2),0)</f>
        <v>0</v>
      </c>
      <c r="V33" s="620" cm="1">
        <f t="array" aca="1" ref="V33" ca="1">IF(AUTOEVENTO="Manual",ROUND(SUMPRODUCT((CÁLCULO!$M$15:$M$47=EVENTOS!$C33)*(OFFSET(CÁLCULO!$AA$15:$AA$47,0,V$13))),2),0)</f>
        <v>0</v>
      </c>
      <c r="W33" s="620" cm="1">
        <f t="array" aca="1" ref="W33" ca="1">IF(AUTOEVENTO="Manual",ROUND(SUMPRODUCT((CÁLCULO!$M$15:$M$47=EVENTOS!$C33)*(OFFSET(CÁLCULO!$AA$15:$AA$47,0,W$13))),2),0)</f>
        <v>0</v>
      </c>
      <c r="X33" s="620" cm="1">
        <f t="array" aca="1" ref="X33" ca="1">IF(AUTOEVENTO="Manual",ROUND(SUMPRODUCT((CÁLCULO!$M$15:$M$47=EVENTOS!$C33)*(OFFSET(CÁLCULO!$AA$15:$AA$47,0,X$13))),2),0)</f>
        <v>0</v>
      </c>
      <c r="Y33" s="620" cm="1">
        <f t="array" aca="1" ref="Y33" ca="1">IF(AUTOEVENTO="Manual",ROUND(SUMPRODUCT((CÁLCULO!$M$15:$M$47=EVENTOS!$C33)*(OFFSET(CÁLCULO!$AA$15:$AA$47,0,Y$13))),2),0)</f>
        <v>0</v>
      </c>
    </row>
    <row r="34" spans="1:25" x14ac:dyDescent="0.2">
      <c r="A34" s="506" t="str">
        <f t="shared" si="3"/>
        <v/>
      </c>
      <c r="B34" t="str">
        <f t="shared" ca="1" si="4"/>
        <v/>
      </c>
      <c r="C34" s="182" t="str" cm="1">
        <f t="array" aca="1" ref="C34" ca="1">IF(OR(ROW(C34)=ROW(EVENTOS.firstrow)+1,AND(OFFSET(C34,-1,0)&lt;&gt;" ",OFFSET(C34,-1,1)&lt;&gt;"")),OFFSET(C34,-1,0)+1," ")</f>
        <v xml:space="preserve"> </v>
      </c>
      <c r="D34" s="496"/>
      <c r="E34" s="620" cm="1">
        <f t="array" aca="1" ref="E34" ca="1">IF(AUTOEVENTO="Manual",ROUND(SUMPRODUCT((CÁLCULO!$M$15:$M$47=EVENTOS!$C34)*(OFFSET(CÁLCULO!$AA$15:$AA$47,0,E$13))),2),0)</f>
        <v>0</v>
      </c>
      <c r="F34" s="183">
        <f ca="1">IF(AUTOEVENTO="Manual",ROUND(SUMPRODUCT((CÁLCULO!$M$15:$M$47=EVENTOS!$C34)*(OFFSET(CÁLCULO!$AA$15,0,1):OFFSET(CÁLCULO!$AL$47,0,-1))),2),0)</f>
        <v>0</v>
      </c>
      <c r="G34" s="621" t="str">
        <f t="shared" ca="1" si="5"/>
        <v/>
      </c>
      <c r="H34" s="620" cm="1">
        <f t="array" aca="1" ref="H34" ca="1">IF(AUTOEVENTO="Manual",ROUND(SUMPRODUCT((CÁLCULO!$M$15:$M$47=EVENTOS!$C34)*(OFFSET(CÁLCULO!$AA$15:$AA$47,0,H$13))),2),0)</f>
        <v>0</v>
      </c>
      <c r="I34" s="620" cm="1">
        <f t="array" aca="1" ref="I34" ca="1">IF(AUTOEVENTO="Manual",ROUND(SUMPRODUCT((CÁLCULO!$M$15:$M$47=EVENTOS!$C34)*(OFFSET(CÁLCULO!$AA$15:$AA$47,0,I$13))),2),0)</f>
        <v>0</v>
      </c>
      <c r="J34" s="620" cm="1">
        <f t="array" aca="1" ref="J34" ca="1">IF(AUTOEVENTO="Manual",ROUND(SUMPRODUCT((CÁLCULO!$M$15:$M$47=EVENTOS!$C34)*(OFFSET(CÁLCULO!$AA$15:$AA$47,0,J$13))),2),0)</f>
        <v>0</v>
      </c>
      <c r="K34" s="620" cm="1">
        <f t="array" aca="1" ref="K34" ca="1">IF(AUTOEVENTO="Manual",ROUND(SUMPRODUCT((CÁLCULO!$M$15:$M$47=EVENTOS!$C34)*(OFFSET(CÁLCULO!$AA$15:$AA$47,0,K$13))),2),0)</f>
        <v>0</v>
      </c>
      <c r="L34" s="620" cm="1">
        <f t="array" aca="1" ref="L34" ca="1">IF(AUTOEVENTO="Manual",ROUND(SUMPRODUCT((CÁLCULO!$M$15:$M$47=EVENTOS!$C34)*(OFFSET(CÁLCULO!$AA$15:$AA$47,0,L$13))),2),0)</f>
        <v>0</v>
      </c>
      <c r="M34" s="620" cm="1">
        <f t="array" aca="1" ref="M34" ca="1">IF(AUTOEVENTO="Manual",ROUND(SUMPRODUCT((CÁLCULO!$M$15:$M$47=EVENTOS!$C34)*(OFFSET(CÁLCULO!$AA$15:$AA$47,0,M$13))),2),0)</f>
        <v>0</v>
      </c>
      <c r="N34" s="620" cm="1">
        <f t="array" aca="1" ref="N34" ca="1">IF(AUTOEVENTO="Manual",ROUND(SUMPRODUCT((CÁLCULO!$M$15:$M$47=EVENTOS!$C34)*(OFFSET(CÁLCULO!$AA$15:$AA$47,0,N$13))),2),0)</f>
        <v>0</v>
      </c>
      <c r="O34" s="620" cm="1">
        <f t="array" aca="1" ref="O34" ca="1">IF(AUTOEVENTO="Manual",ROUND(SUMPRODUCT((CÁLCULO!$M$15:$M$47=EVENTOS!$C34)*(OFFSET(CÁLCULO!$AA$15:$AA$47,0,O$13))),2),0)</f>
        <v>0</v>
      </c>
      <c r="P34" s="620" cm="1">
        <f t="array" aca="1" ref="P34" ca="1">IF(AUTOEVENTO="Manual",ROUND(SUMPRODUCT((CÁLCULO!$M$15:$M$47=EVENTOS!$C34)*(OFFSET(CÁLCULO!$AA$15:$AA$47,0,P$13))),2),0)</f>
        <v>0</v>
      </c>
      <c r="Q34" s="620" cm="1">
        <f t="array" aca="1" ref="Q34" ca="1">IF(AUTOEVENTO="Manual",ROUND(SUMPRODUCT((CÁLCULO!$M$15:$M$47=EVENTOS!$C34)*(OFFSET(CÁLCULO!$AA$15:$AA$47,0,Q$13))),2),0)</f>
        <v>0</v>
      </c>
      <c r="R34" s="620" cm="1">
        <f t="array" aca="1" ref="R34" ca="1">IF(AUTOEVENTO="Manual",ROUND(SUMPRODUCT((CÁLCULO!$M$15:$M$47=EVENTOS!$C34)*(OFFSET(CÁLCULO!$AA$15:$AA$47,0,R$13))),2),0)</f>
        <v>0</v>
      </c>
      <c r="S34" s="620" cm="1">
        <f t="array" aca="1" ref="S34" ca="1">IF(AUTOEVENTO="Manual",ROUND(SUMPRODUCT((CÁLCULO!$M$15:$M$47=EVENTOS!$C34)*(OFFSET(CÁLCULO!$AA$15:$AA$47,0,S$13))),2),0)</f>
        <v>0</v>
      </c>
      <c r="T34" s="620" cm="1">
        <f t="array" aca="1" ref="T34" ca="1">IF(AUTOEVENTO="Manual",ROUND(SUMPRODUCT((CÁLCULO!$M$15:$M$47=EVENTOS!$C34)*(OFFSET(CÁLCULO!$AA$15:$AA$47,0,T$13))),2),0)</f>
        <v>0</v>
      </c>
      <c r="U34" s="620" cm="1">
        <f t="array" aca="1" ref="U34" ca="1">IF(AUTOEVENTO="Manual",ROUND(SUMPRODUCT((CÁLCULO!$M$15:$M$47=EVENTOS!$C34)*(OFFSET(CÁLCULO!$AA$15:$AA$47,0,U$13))),2),0)</f>
        <v>0</v>
      </c>
      <c r="V34" s="620" cm="1">
        <f t="array" aca="1" ref="V34" ca="1">IF(AUTOEVENTO="Manual",ROUND(SUMPRODUCT((CÁLCULO!$M$15:$M$47=EVENTOS!$C34)*(OFFSET(CÁLCULO!$AA$15:$AA$47,0,V$13))),2),0)</f>
        <v>0</v>
      </c>
      <c r="W34" s="620" cm="1">
        <f t="array" aca="1" ref="W34" ca="1">IF(AUTOEVENTO="Manual",ROUND(SUMPRODUCT((CÁLCULO!$M$15:$M$47=EVENTOS!$C34)*(OFFSET(CÁLCULO!$AA$15:$AA$47,0,W$13))),2),0)</f>
        <v>0</v>
      </c>
      <c r="X34" s="620" cm="1">
        <f t="array" aca="1" ref="X34" ca="1">IF(AUTOEVENTO="Manual",ROUND(SUMPRODUCT((CÁLCULO!$M$15:$M$47=EVENTOS!$C34)*(OFFSET(CÁLCULO!$AA$15:$AA$47,0,X$13))),2),0)</f>
        <v>0</v>
      </c>
      <c r="Y34" s="620" cm="1">
        <f t="array" aca="1" ref="Y34" ca="1">IF(AUTOEVENTO="Manual",ROUND(SUMPRODUCT((CÁLCULO!$M$15:$M$47=EVENTOS!$C34)*(OFFSET(CÁLCULO!$AA$15:$AA$47,0,Y$13))),2),0)</f>
        <v>0</v>
      </c>
    </row>
    <row r="35" spans="1:25" x14ac:dyDescent="0.2">
      <c r="A35" s="506" t="str">
        <f t="shared" si="3"/>
        <v/>
      </c>
      <c r="B35" t="str">
        <f t="shared" ca="1" si="4"/>
        <v/>
      </c>
      <c r="C35" s="182" t="str" cm="1">
        <f t="array" aca="1" ref="C35" ca="1">IF(OR(ROW(C35)=ROW(EVENTOS.firstrow)+1,AND(OFFSET(C35,-1,0)&lt;&gt;" ",OFFSET(C35,-1,1)&lt;&gt;"")),OFFSET(C35,-1,0)+1," ")</f>
        <v xml:space="preserve"> </v>
      </c>
      <c r="D35" s="496"/>
      <c r="E35" s="620" cm="1">
        <f t="array" aca="1" ref="E35" ca="1">IF(AUTOEVENTO="Manual",ROUND(SUMPRODUCT((CÁLCULO!$M$15:$M$47=EVENTOS!$C35)*(OFFSET(CÁLCULO!$AA$15:$AA$47,0,E$13))),2),0)</f>
        <v>0</v>
      </c>
      <c r="F35" s="183">
        <f ca="1">IF(AUTOEVENTO="Manual",ROUND(SUMPRODUCT((CÁLCULO!$M$15:$M$47=EVENTOS!$C35)*(OFFSET(CÁLCULO!$AA$15,0,1):OFFSET(CÁLCULO!$AL$47,0,-1))),2),0)</f>
        <v>0</v>
      </c>
      <c r="G35" s="621" t="str">
        <f t="shared" ca="1" si="5"/>
        <v/>
      </c>
      <c r="H35" s="620" cm="1">
        <f t="array" aca="1" ref="H35" ca="1">IF(AUTOEVENTO="Manual",ROUND(SUMPRODUCT((CÁLCULO!$M$15:$M$47=EVENTOS!$C35)*(OFFSET(CÁLCULO!$AA$15:$AA$47,0,H$13))),2),0)</f>
        <v>0</v>
      </c>
      <c r="I35" s="620" cm="1">
        <f t="array" aca="1" ref="I35" ca="1">IF(AUTOEVENTO="Manual",ROUND(SUMPRODUCT((CÁLCULO!$M$15:$M$47=EVENTOS!$C35)*(OFFSET(CÁLCULO!$AA$15:$AA$47,0,I$13))),2),0)</f>
        <v>0</v>
      </c>
      <c r="J35" s="620" cm="1">
        <f t="array" aca="1" ref="J35" ca="1">IF(AUTOEVENTO="Manual",ROUND(SUMPRODUCT((CÁLCULO!$M$15:$M$47=EVENTOS!$C35)*(OFFSET(CÁLCULO!$AA$15:$AA$47,0,J$13))),2),0)</f>
        <v>0</v>
      </c>
      <c r="K35" s="620" cm="1">
        <f t="array" aca="1" ref="K35" ca="1">IF(AUTOEVENTO="Manual",ROUND(SUMPRODUCT((CÁLCULO!$M$15:$M$47=EVENTOS!$C35)*(OFFSET(CÁLCULO!$AA$15:$AA$47,0,K$13))),2),0)</f>
        <v>0</v>
      </c>
      <c r="L35" s="620" cm="1">
        <f t="array" aca="1" ref="L35" ca="1">IF(AUTOEVENTO="Manual",ROUND(SUMPRODUCT((CÁLCULO!$M$15:$M$47=EVENTOS!$C35)*(OFFSET(CÁLCULO!$AA$15:$AA$47,0,L$13))),2),0)</f>
        <v>0</v>
      </c>
      <c r="M35" s="620" cm="1">
        <f t="array" aca="1" ref="M35" ca="1">IF(AUTOEVENTO="Manual",ROUND(SUMPRODUCT((CÁLCULO!$M$15:$M$47=EVENTOS!$C35)*(OFFSET(CÁLCULO!$AA$15:$AA$47,0,M$13))),2),0)</f>
        <v>0</v>
      </c>
      <c r="N35" s="620" cm="1">
        <f t="array" aca="1" ref="N35" ca="1">IF(AUTOEVENTO="Manual",ROUND(SUMPRODUCT((CÁLCULO!$M$15:$M$47=EVENTOS!$C35)*(OFFSET(CÁLCULO!$AA$15:$AA$47,0,N$13))),2),0)</f>
        <v>0</v>
      </c>
      <c r="O35" s="620" cm="1">
        <f t="array" aca="1" ref="O35" ca="1">IF(AUTOEVENTO="Manual",ROUND(SUMPRODUCT((CÁLCULO!$M$15:$M$47=EVENTOS!$C35)*(OFFSET(CÁLCULO!$AA$15:$AA$47,0,O$13))),2),0)</f>
        <v>0</v>
      </c>
      <c r="P35" s="620" cm="1">
        <f t="array" aca="1" ref="P35" ca="1">IF(AUTOEVENTO="Manual",ROUND(SUMPRODUCT((CÁLCULO!$M$15:$M$47=EVENTOS!$C35)*(OFFSET(CÁLCULO!$AA$15:$AA$47,0,P$13))),2),0)</f>
        <v>0</v>
      </c>
      <c r="Q35" s="620" cm="1">
        <f t="array" aca="1" ref="Q35" ca="1">IF(AUTOEVENTO="Manual",ROUND(SUMPRODUCT((CÁLCULO!$M$15:$M$47=EVENTOS!$C35)*(OFFSET(CÁLCULO!$AA$15:$AA$47,0,Q$13))),2),0)</f>
        <v>0</v>
      </c>
      <c r="R35" s="620" cm="1">
        <f t="array" aca="1" ref="R35" ca="1">IF(AUTOEVENTO="Manual",ROUND(SUMPRODUCT((CÁLCULO!$M$15:$M$47=EVENTOS!$C35)*(OFFSET(CÁLCULO!$AA$15:$AA$47,0,R$13))),2),0)</f>
        <v>0</v>
      </c>
      <c r="S35" s="620" cm="1">
        <f t="array" aca="1" ref="S35" ca="1">IF(AUTOEVENTO="Manual",ROUND(SUMPRODUCT((CÁLCULO!$M$15:$M$47=EVENTOS!$C35)*(OFFSET(CÁLCULO!$AA$15:$AA$47,0,S$13))),2),0)</f>
        <v>0</v>
      </c>
      <c r="T35" s="620" cm="1">
        <f t="array" aca="1" ref="T35" ca="1">IF(AUTOEVENTO="Manual",ROUND(SUMPRODUCT((CÁLCULO!$M$15:$M$47=EVENTOS!$C35)*(OFFSET(CÁLCULO!$AA$15:$AA$47,0,T$13))),2),0)</f>
        <v>0</v>
      </c>
      <c r="U35" s="620" cm="1">
        <f t="array" aca="1" ref="U35" ca="1">IF(AUTOEVENTO="Manual",ROUND(SUMPRODUCT((CÁLCULO!$M$15:$M$47=EVENTOS!$C35)*(OFFSET(CÁLCULO!$AA$15:$AA$47,0,U$13))),2),0)</f>
        <v>0</v>
      </c>
      <c r="V35" s="620" cm="1">
        <f t="array" aca="1" ref="V35" ca="1">IF(AUTOEVENTO="Manual",ROUND(SUMPRODUCT((CÁLCULO!$M$15:$M$47=EVENTOS!$C35)*(OFFSET(CÁLCULO!$AA$15:$AA$47,0,V$13))),2),0)</f>
        <v>0</v>
      </c>
      <c r="W35" s="620" cm="1">
        <f t="array" aca="1" ref="W35" ca="1">IF(AUTOEVENTO="Manual",ROUND(SUMPRODUCT((CÁLCULO!$M$15:$M$47=EVENTOS!$C35)*(OFFSET(CÁLCULO!$AA$15:$AA$47,0,W$13))),2),0)</f>
        <v>0</v>
      </c>
      <c r="X35" s="620" cm="1">
        <f t="array" aca="1" ref="X35" ca="1">IF(AUTOEVENTO="Manual",ROUND(SUMPRODUCT((CÁLCULO!$M$15:$M$47=EVENTOS!$C35)*(OFFSET(CÁLCULO!$AA$15:$AA$47,0,X$13))),2),0)</f>
        <v>0</v>
      </c>
      <c r="Y35" s="620" cm="1">
        <f t="array" aca="1" ref="Y35" ca="1">IF(AUTOEVENTO="Manual",ROUND(SUMPRODUCT((CÁLCULO!$M$15:$M$47=EVENTOS!$C35)*(OFFSET(CÁLCULO!$AA$15:$AA$47,0,Y$13))),2),0)</f>
        <v>0</v>
      </c>
    </row>
    <row r="36" spans="1:25" x14ac:dyDescent="0.2">
      <c r="A36" s="506" t="str">
        <f t="shared" si="3"/>
        <v/>
      </c>
      <c r="B36" t="str">
        <f t="shared" ca="1" si="4"/>
        <v/>
      </c>
      <c r="C36" s="182" t="str" cm="1">
        <f t="array" aca="1" ref="C36" ca="1">IF(OR(ROW(C36)=ROW(EVENTOS.firstrow)+1,AND(OFFSET(C36,-1,0)&lt;&gt;" ",OFFSET(C36,-1,1)&lt;&gt;"")),OFFSET(C36,-1,0)+1," ")</f>
        <v xml:space="preserve"> </v>
      </c>
      <c r="D36" s="496"/>
      <c r="E36" s="620" cm="1">
        <f t="array" aca="1" ref="E36" ca="1">IF(AUTOEVENTO="Manual",ROUND(SUMPRODUCT((CÁLCULO!$M$15:$M$47=EVENTOS!$C36)*(OFFSET(CÁLCULO!$AA$15:$AA$47,0,E$13))),2),0)</f>
        <v>0</v>
      </c>
      <c r="F36" s="183">
        <f ca="1">IF(AUTOEVENTO="Manual",ROUND(SUMPRODUCT((CÁLCULO!$M$15:$M$47=EVENTOS!$C36)*(OFFSET(CÁLCULO!$AA$15,0,1):OFFSET(CÁLCULO!$AL$47,0,-1))),2),0)</f>
        <v>0</v>
      </c>
      <c r="G36" s="621" t="str">
        <f t="shared" ca="1" si="5"/>
        <v/>
      </c>
      <c r="H36" s="620" cm="1">
        <f t="array" aca="1" ref="H36" ca="1">IF(AUTOEVENTO="Manual",ROUND(SUMPRODUCT((CÁLCULO!$M$15:$M$47=EVENTOS!$C36)*(OFFSET(CÁLCULO!$AA$15:$AA$47,0,H$13))),2),0)</f>
        <v>0</v>
      </c>
      <c r="I36" s="620" cm="1">
        <f t="array" aca="1" ref="I36" ca="1">IF(AUTOEVENTO="Manual",ROUND(SUMPRODUCT((CÁLCULO!$M$15:$M$47=EVENTOS!$C36)*(OFFSET(CÁLCULO!$AA$15:$AA$47,0,I$13))),2),0)</f>
        <v>0</v>
      </c>
      <c r="J36" s="620" cm="1">
        <f t="array" aca="1" ref="J36" ca="1">IF(AUTOEVENTO="Manual",ROUND(SUMPRODUCT((CÁLCULO!$M$15:$M$47=EVENTOS!$C36)*(OFFSET(CÁLCULO!$AA$15:$AA$47,0,J$13))),2),0)</f>
        <v>0</v>
      </c>
      <c r="K36" s="620" cm="1">
        <f t="array" aca="1" ref="K36" ca="1">IF(AUTOEVENTO="Manual",ROUND(SUMPRODUCT((CÁLCULO!$M$15:$M$47=EVENTOS!$C36)*(OFFSET(CÁLCULO!$AA$15:$AA$47,0,K$13))),2),0)</f>
        <v>0</v>
      </c>
      <c r="L36" s="620" cm="1">
        <f t="array" aca="1" ref="L36" ca="1">IF(AUTOEVENTO="Manual",ROUND(SUMPRODUCT((CÁLCULO!$M$15:$M$47=EVENTOS!$C36)*(OFFSET(CÁLCULO!$AA$15:$AA$47,0,L$13))),2),0)</f>
        <v>0</v>
      </c>
      <c r="M36" s="620" cm="1">
        <f t="array" aca="1" ref="M36" ca="1">IF(AUTOEVENTO="Manual",ROUND(SUMPRODUCT((CÁLCULO!$M$15:$M$47=EVENTOS!$C36)*(OFFSET(CÁLCULO!$AA$15:$AA$47,0,M$13))),2),0)</f>
        <v>0</v>
      </c>
      <c r="N36" s="620" cm="1">
        <f t="array" aca="1" ref="N36" ca="1">IF(AUTOEVENTO="Manual",ROUND(SUMPRODUCT((CÁLCULO!$M$15:$M$47=EVENTOS!$C36)*(OFFSET(CÁLCULO!$AA$15:$AA$47,0,N$13))),2),0)</f>
        <v>0</v>
      </c>
      <c r="O36" s="620" cm="1">
        <f t="array" aca="1" ref="O36" ca="1">IF(AUTOEVENTO="Manual",ROUND(SUMPRODUCT((CÁLCULO!$M$15:$M$47=EVENTOS!$C36)*(OFFSET(CÁLCULO!$AA$15:$AA$47,0,O$13))),2),0)</f>
        <v>0</v>
      </c>
      <c r="P36" s="620" cm="1">
        <f t="array" aca="1" ref="P36" ca="1">IF(AUTOEVENTO="Manual",ROUND(SUMPRODUCT((CÁLCULO!$M$15:$M$47=EVENTOS!$C36)*(OFFSET(CÁLCULO!$AA$15:$AA$47,0,P$13))),2),0)</f>
        <v>0</v>
      </c>
      <c r="Q36" s="620" cm="1">
        <f t="array" aca="1" ref="Q36" ca="1">IF(AUTOEVENTO="Manual",ROUND(SUMPRODUCT((CÁLCULO!$M$15:$M$47=EVENTOS!$C36)*(OFFSET(CÁLCULO!$AA$15:$AA$47,0,Q$13))),2),0)</f>
        <v>0</v>
      </c>
      <c r="R36" s="620" cm="1">
        <f t="array" aca="1" ref="R36" ca="1">IF(AUTOEVENTO="Manual",ROUND(SUMPRODUCT((CÁLCULO!$M$15:$M$47=EVENTOS!$C36)*(OFFSET(CÁLCULO!$AA$15:$AA$47,0,R$13))),2),0)</f>
        <v>0</v>
      </c>
      <c r="S36" s="620" cm="1">
        <f t="array" aca="1" ref="S36" ca="1">IF(AUTOEVENTO="Manual",ROUND(SUMPRODUCT((CÁLCULO!$M$15:$M$47=EVENTOS!$C36)*(OFFSET(CÁLCULO!$AA$15:$AA$47,0,S$13))),2),0)</f>
        <v>0</v>
      </c>
      <c r="T36" s="620" cm="1">
        <f t="array" aca="1" ref="T36" ca="1">IF(AUTOEVENTO="Manual",ROUND(SUMPRODUCT((CÁLCULO!$M$15:$M$47=EVENTOS!$C36)*(OFFSET(CÁLCULO!$AA$15:$AA$47,0,T$13))),2),0)</f>
        <v>0</v>
      </c>
      <c r="U36" s="620" cm="1">
        <f t="array" aca="1" ref="U36" ca="1">IF(AUTOEVENTO="Manual",ROUND(SUMPRODUCT((CÁLCULO!$M$15:$M$47=EVENTOS!$C36)*(OFFSET(CÁLCULO!$AA$15:$AA$47,0,U$13))),2),0)</f>
        <v>0</v>
      </c>
      <c r="V36" s="620" cm="1">
        <f t="array" aca="1" ref="V36" ca="1">IF(AUTOEVENTO="Manual",ROUND(SUMPRODUCT((CÁLCULO!$M$15:$M$47=EVENTOS!$C36)*(OFFSET(CÁLCULO!$AA$15:$AA$47,0,V$13))),2),0)</f>
        <v>0</v>
      </c>
      <c r="W36" s="620" cm="1">
        <f t="array" aca="1" ref="W36" ca="1">IF(AUTOEVENTO="Manual",ROUND(SUMPRODUCT((CÁLCULO!$M$15:$M$47=EVENTOS!$C36)*(OFFSET(CÁLCULO!$AA$15:$AA$47,0,W$13))),2),0)</f>
        <v>0</v>
      </c>
      <c r="X36" s="620" cm="1">
        <f t="array" aca="1" ref="X36" ca="1">IF(AUTOEVENTO="Manual",ROUND(SUMPRODUCT((CÁLCULO!$M$15:$M$47=EVENTOS!$C36)*(OFFSET(CÁLCULO!$AA$15:$AA$47,0,X$13))),2),0)</f>
        <v>0</v>
      </c>
      <c r="Y36" s="620" cm="1">
        <f t="array" aca="1" ref="Y36" ca="1">IF(AUTOEVENTO="Manual",ROUND(SUMPRODUCT((CÁLCULO!$M$15:$M$47=EVENTOS!$C36)*(OFFSET(CÁLCULO!$AA$15:$AA$47,0,Y$13))),2),0)</f>
        <v>0</v>
      </c>
    </row>
    <row r="37" spans="1:25" x14ac:dyDescent="0.2">
      <c r="A37" s="506" t="str">
        <f t="shared" si="3"/>
        <v/>
      </c>
      <c r="B37" t="str">
        <f t="shared" ca="1" si="4"/>
        <v/>
      </c>
      <c r="C37" s="182" t="str" cm="1">
        <f t="array" aca="1" ref="C37" ca="1">IF(OR(ROW(C37)=ROW(EVENTOS.firstrow)+1,AND(OFFSET(C37,-1,0)&lt;&gt;" ",OFFSET(C37,-1,1)&lt;&gt;"")),OFFSET(C37,-1,0)+1," ")</f>
        <v xml:space="preserve"> </v>
      </c>
      <c r="D37" s="496"/>
      <c r="E37" s="620" cm="1">
        <f t="array" aca="1" ref="E37" ca="1">IF(AUTOEVENTO="Manual",ROUND(SUMPRODUCT((CÁLCULO!$M$15:$M$47=EVENTOS!$C37)*(OFFSET(CÁLCULO!$AA$15:$AA$47,0,E$13))),2),0)</f>
        <v>0</v>
      </c>
      <c r="F37" s="183">
        <f ca="1">IF(AUTOEVENTO="Manual",ROUND(SUMPRODUCT((CÁLCULO!$M$15:$M$47=EVENTOS!$C37)*(OFFSET(CÁLCULO!$AA$15,0,1):OFFSET(CÁLCULO!$AL$47,0,-1))),2),0)</f>
        <v>0</v>
      </c>
      <c r="G37" s="621" t="str">
        <f t="shared" ca="1" si="5"/>
        <v/>
      </c>
      <c r="H37" s="620" cm="1">
        <f t="array" aca="1" ref="H37" ca="1">IF(AUTOEVENTO="Manual",ROUND(SUMPRODUCT((CÁLCULO!$M$15:$M$47=EVENTOS!$C37)*(OFFSET(CÁLCULO!$AA$15:$AA$47,0,H$13))),2),0)</f>
        <v>0</v>
      </c>
      <c r="I37" s="620" cm="1">
        <f t="array" aca="1" ref="I37" ca="1">IF(AUTOEVENTO="Manual",ROUND(SUMPRODUCT((CÁLCULO!$M$15:$M$47=EVENTOS!$C37)*(OFFSET(CÁLCULO!$AA$15:$AA$47,0,I$13))),2),0)</f>
        <v>0</v>
      </c>
      <c r="J37" s="620" cm="1">
        <f t="array" aca="1" ref="J37" ca="1">IF(AUTOEVENTO="Manual",ROUND(SUMPRODUCT((CÁLCULO!$M$15:$M$47=EVENTOS!$C37)*(OFFSET(CÁLCULO!$AA$15:$AA$47,0,J$13))),2),0)</f>
        <v>0</v>
      </c>
      <c r="K37" s="620" cm="1">
        <f t="array" aca="1" ref="K37" ca="1">IF(AUTOEVENTO="Manual",ROUND(SUMPRODUCT((CÁLCULO!$M$15:$M$47=EVENTOS!$C37)*(OFFSET(CÁLCULO!$AA$15:$AA$47,0,K$13))),2),0)</f>
        <v>0</v>
      </c>
      <c r="L37" s="620" cm="1">
        <f t="array" aca="1" ref="L37" ca="1">IF(AUTOEVENTO="Manual",ROUND(SUMPRODUCT((CÁLCULO!$M$15:$M$47=EVENTOS!$C37)*(OFFSET(CÁLCULO!$AA$15:$AA$47,0,L$13))),2),0)</f>
        <v>0</v>
      </c>
      <c r="M37" s="620" cm="1">
        <f t="array" aca="1" ref="M37" ca="1">IF(AUTOEVENTO="Manual",ROUND(SUMPRODUCT((CÁLCULO!$M$15:$M$47=EVENTOS!$C37)*(OFFSET(CÁLCULO!$AA$15:$AA$47,0,M$13))),2),0)</f>
        <v>0</v>
      </c>
      <c r="N37" s="620" cm="1">
        <f t="array" aca="1" ref="N37" ca="1">IF(AUTOEVENTO="Manual",ROUND(SUMPRODUCT((CÁLCULO!$M$15:$M$47=EVENTOS!$C37)*(OFFSET(CÁLCULO!$AA$15:$AA$47,0,N$13))),2),0)</f>
        <v>0</v>
      </c>
      <c r="O37" s="620" cm="1">
        <f t="array" aca="1" ref="O37" ca="1">IF(AUTOEVENTO="Manual",ROUND(SUMPRODUCT((CÁLCULO!$M$15:$M$47=EVENTOS!$C37)*(OFFSET(CÁLCULO!$AA$15:$AA$47,0,O$13))),2),0)</f>
        <v>0</v>
      </c>
      <c r="P37" s="620" cm="1">
        <f t="array" aca="1" ref="P37" ca="1">IF(AUTOEVENTO="Manual",ROUND(SUMPRODUCT((CÁLCULO!$M$15:$M$47=EVENTOS!$C37)*(OFFSET(CÁLCULO!$AA$15:$AA$47,0,P$13))),2),0)</f>
        <v>0</v>
      </c>
      <c r="Q37" s="620" cm="1">
        <f t="array" aca="1" ref="Q37" ca="1">IF(AUTOEVENTO="Manual",ROUND(SUMPRODUCT((CÁLCULO!$M$15:$M$47=EVENTOS!$C37)*(OFFSET(CÁLCULO!$AA$15:$AA$47,0,Q$13))),2),0)</f>
        <v>0</v>
      </c>
      <c r="R37" s="620" cm="1">
        <f t="array" aca="1" ref="R37" ca="1">IF(AUTOEVENTO="Manual",ROUND(SUMPRODUCT((CÁLCULO!$M$15:$M$47=EVENTOS!$C37)*(OFFSET(CÁLCULO!$AA$15:$AA$47,0,R$13))),2),0)</f>
        <v>0</v>
      </c>
      <c r="S37" s="620" cm="1">
        <f t="array" aca="1" ref="S37" ca="1">IF(AUTOEVENTO="Manual",ROUND(SUMPRODUCT((CÁLCULO!$M$15:$M$47=EVENTOS!$C37)*(OFFSET(CÁLCULO!$AA$15:$AA$47,0,S$13))),2),0)</f>
        <v>0</v>
      </c>
      <c r="T37" s="620" cm="1">
        <f t="array" aca="1" ref="T37" ca="1">IF(AUTOEVENTO="Manual",ROUND(SUMPRODUCT((CÁLCULO!$M$15:$M$47=EVENTOS!$C37)*(OFFSET(CÁLCULO!$AA$15:$AA$47,0,T$13))),2),0)</f>
        <v>0</v>
      </c>
      <c r="U37" s="620" cm="1">
        <f t="array" aca="1" ref="U37" ca="1">IF(AUTOEVENTO="Manual",ROUND(SUMPRODUCT((CÁLCULO!$M$15:$M$47=EVENTOS!$C37)*(OFFSET(CÁLCULO!$AA$15:$AA$47,0,U$13))),2),0)</f>
        <v>0</v>
      </c>
      <c r="V37" s="620" cm="1">
        <f t="array" aca="1" ref="V37" ca="1">IF(AUTOEVENTO="Manual",ROUND(SUMPRODUCT((CÁLCULO!$M$15:$M$47=EVENTOS!$C37)*(OFFSET(CÁLCULO!$AA$15:$AA$47,0,V$13))),2),0)</f>
        <v>0</v>
      </c>
      <c r="W37" s="620" cm="1">
        <f t="array" aca="1" ref="W37" ca="1">IF(AUTOEVENTO="Manual",ROUND(SUMPRODUCT((CÁLCULO!$M$15:$M$47=EVENTOS!$C37)*(OFFSET(CÁLCULO!$AA$15:$AA$47,0,W$13))),2),0)</f>
        <v>0</v>
      </c>
      <c r="X37" s="620" cm="1">
        <f t="array" aca="1" ref="X37" ca="1">IF(AUTOEVENTO="Manual",ROUND(SUMPRODUCT((CÁLCULO!$M$15:$M$47=EVENTOS!$C37)*(OFFSET(CÁLCULO!$AA$15:$AA$47,0,X$13))),2),0)</f>
        <v>0</v>
      </c>
      <c r="Y37" s="620" cm="1">
        <f t="array" aca="1" ref="Y37" ca="1">IF(AUTOEVENTO="Manual",ROUND(SUMPRODUCT((CÁLCULO!$M$15:$M$47=EVENTOS!$C37)*(OFFSET(CÁLCULO!$AA$15:$AA$47,0,Y$13))),2),0)</f>
        <v>0</v>
      </c>
    </row>
    <row r="38" spans="1:25" x14ac:dyDescent="0.2">
      <c r="A38" s="506" t="str">
        <f t="shared" si="3"/>
        <v/>
      </c>
      <c r="B38" t="str">
        <f t="shared" ca="1" si="4"/>
        <v/>
      </c>
      <c r="C38" s="182" t="str" cm="1">
        <f t="array" aca="1" ref="C38" ca="1">IF(OR(ROW(C38)=ROW(EVENTOS.firstrow)+1,AND(OFFSET(C38,-1,0)&lt;&gt;" ",OFFSET(C38,-1,1)&lt;&gt;"")),OFFSET(C38,-1,0)+1," ")</f>
        <v xml:space="preserve"> </v>
      </c>
      <c r="D38" s="496"/>
      <c r="E38" s="620" cm="1">
        <f t="array" aca="1" ref="E38" ca="1">IF(AUTOEVENTO="Manual",ROUND(SUMPRODUCT((CÁLCULO!$M$15:$M$47=EVENTOS!$C38)*(OFFSET(CÁLCULO!$AA$15:$AA$47,0,E$13))),2),0)</f>
        <v>0</v>
      </c>
      <c r="F38" s="183">
        <f ca="1">IF(AUTOEVENTO="Manual",ROUND(SUMPRODUCT((CÁLCULO!$M$15:$M$47=EVENTOS!$C38)*(OFFSET(CÁLCULO!$AA$15,0,1):OFFSET(CÁLCULO!$AL$47,0,-1))),2),0)</f>
        <v>0</v>
      </c>
      <c r="G38" s="621" t="str">
        <f t="shared" ca="1" si="5"/>
        <v/>
      </c>
      <c r="H38" s="620" cm="1">
        <f t="array" aca="1" ref="H38" ca="1">IF(AUTOEVENTO="Manual",ROUND(SUMPRODUCT((CÁLCULO!$M$15:$M$47=EVENTOS!$C38)*(OFFSET(CÁLCULO!$AA$15:$AA$47,0,H$13))),2),0)</f>
        <v>0</v>
      </c>
      <c r="I38" s="620" cm="1">
        <f t="array" aca="1" ref="I38" ca="1">IF(AUTOEVENTO="Manual",ROUND(SUMPRODUCT((CÁLCULO!$M$15:$M$47=EVENTOS!$C38)*(OFFSET(CÁLCULO!$AA$15:$AA$47,0,I$13))),2),0)</f>
        <v>0</v>
      </c>
      <c r="J38" s="620" cm="1">
        <f t="array" aca="1" ref="J38" ca="1">IF(AUTOEVENTO="Manual",ROUND(SUMPRODUCT((CÁLCULO!$M$15:$M$47=EVENTOS!$C38)*(OFFSET(CÁLCULO!$AA$15:$AA$47,0,J$13))),2),0)</f>
        <v>0</v>
      </c>
      <c r="K38" s="620" cm="1">
        <f t="array" aca="1" ref="K38" ca="1">IF(AUTOEVENTO="Manual",ROUND(SUMPRODUCT((CÁLCULO!$M$15:$M$47=EVENTOS!$C38)*(OFFSET(CÁLCULO!$AA$15:$AA$47,0,K$13))),2),0)</f>
        <v>0</v>
      </c>
      <c r="L38" s="620" cm="1">
        <f t="array" aca="1" ref="L38" ca="1">IF(AUTOEVENTO="Manual",ROUND(SUMPRODUCT((CÁLCULO!$M$15:$M$47=EVENTOS!$C38)*(OFFSET(CÁLCULO!$AA$15:$AA$47,0,L$13))),2),0)</f>
        <v>0</v>
      </c>
      <c r="M38" s="620" cm="1">
        <f t="array" aca="1" ref="M38" ca="1">IF(AUTOEVENTO="Manual",ROUND(SUMPRODUCT((CÁLCULO!$M$15:$M$47=EVENTOS!$C38)*(OFFSET(CÁLCULO!$AA$15:$AA$47,0,M$13))),2),0)</f>
        <v>0</v>
      </c>
      <c r="N38" s="620" cm="1">
        <f t="array" aca="1" ref="N38" ca="1">IF(AUTOEVENTO="Manual",ROUND(SUMPRODUCT((CÁLCULO!$M$15:$M$47=EVENTOS!$C38)*(OFFSET(CÁLCULO!$AA$15:$AA$47,0,N$13))),2),0)</f>
        <v>0</v>
      </c>
      <c r="O38" s="620" cm="1">
        <f t="array" aca="1" ref="O38" ca="1">IF(AUTOEVENTO="Manual",ROUND(SUMPRODUCT((CÁLCULO!$M$15:$M$47=EVENTOS!$C38)*(OFFSET(CÁLCULO!$AA$15:$AA$47,0,O$13))),2),0)</f>
        <v>0</v>
      </c>
      <c r="P38" s="620" cm="1">
        <f t="array" aca="1" ref="P38" ca="1">IF(AUTOEVENTO="Manual",ROUND(SUMPRODUCT((CÁLCULO!$M$15:$M$47=EVENTOS!$C38)*(OFFSET(CÁLCULO!$AA$15:$AA$47,0,P$13))),2),0)</f>
        <v>0</v>
      </c>
      <c r="Q38" s="620" cm="1">
        <f t="array" aca="1" ref="Q38" ca="1">IF(AUTOEVENTO="Manual",ROUND(SUMPRODUCT((CÁLCULO!$M$15:$M$47=EVENTOS!$C38)*(OFFSET(CÁLCULO!$AA$15:$AA$47,0,Q$13))),2),0)</f>
        <v>0</v>
      </c>
      <c r="R38" s="620" cm="1">
        <f t="array" aca="1" ref="R38" ca="1">IF(AUTOEVENTO="Manual",ROUND(SUMPRODUCT((CÁLCULO!$M$15:$M$47=EVENTOS!$C38)*(OFFSET(CÁLCULO!$AA$15:$AA$47,0,R$13))),2),0)</f>
        <v>0</v>
      </c>
      <c r="S38" s="620" cm="1">
        <f t="array" aca="1" ref="S38" ca="1">IF(AUTOEVENTO="Manual",ROUND(SUMPRODUCT((CÁLCULO!$M$15:$M$47=EVENTOS!$C38)*(OFFSET(CÁLCULO!$AA$15:$AA$47,0,S$13))),2),0)</f>
        <v>0</v>
      </c>
      <c r="T38" s="620" cm="1">
        <f t="array" aca="1" ref="T38" ca="1">IF(AUTOEVENTO="Manual",ROUND(SUMPRODUCT((CÁLCULO!$M$15:$M$47=EVENTOS!$C38)*(OFFSET(CÁLCULO!$AA$15:$AA$47,0,T$13))),2),0)</f>
        <v>0</v>
      </c>
      <c r="U38" s="620" cm="1">
        <f t="array" aca="1" ref="U38" ca="1">IF(AUTOEVENTO="Manual",ROUND(SUMPRODUCT((CÁLCULO!$M$15:$M$47=EVENTOS!$C38)*(OFFSET(CÁLCULO!$AA$15:$AA$47,0,U$13))),2),0)</f>
        <v>0</v>
      </c>
      <c r="V38" s="620" cm="1">
        <f t="array" aca="1" ref="V38" ca="1">IF(AUTOEVENTO="Manual",ROUND(SUMPRODUCT((CÁLCULO!$M$15:$M$47=EVENTOS!$C38)*(OFFSET(CÁLCULO!$AA$15:$AA$47,0,V$13))),2),0)</f>
        <v>0</v>
      </c>
      <c r="W38" s="620" cm="1">
        <f t="array" aca="1" ref="W38" ca="1">IF(AUTOEVENTO="Manual",ROUND(SUMPRODUCT((CÁLCULO!$M$15:$M$47=EVENTOS!$C38)*(OFFSET(CÁLCULO!$AA$15:$AA$47,0,W$13))),2),0)</f>
        <v>0</v>
      </c>
      <c r="X38" s="620" cm="1">
        <f t="array" aca="1" ref="X38" ca="1">IF(AUTOEVENTO="Manual",ROUND(SUMPRODUCT((CÁLCULO!$M$15:$M$47=EVENTOS!$C38)*(OFFSET(CÁLCULO!$AA$15:$AA$47,0,X$13))),2),0)</f>
        <v>0</v>
      </c>
      <c r="Y38" s="620" cm="1">
        <f t="array" aca="1" ref="Y38" ca="1">IF(AUTOEVENTO="Manual",ROUND(SUMPRODUCT((CÁLCULO!$M$15:$M$47=EVENTOS!$C38)*(OFFSET(CÁLCULO!$AA$15:$AA$47,0,Y$13))),2),0)</f>
        <v>0</v>
      </c>
    </row>
    <row r="39" spans="1:25" x14ac:dyDescent="0.2">
      <c r="A39" s="506" t="str">
        <f t="shared" si="3"/>
        <v/>
      </c>
      <c r="B39" t="str">
        <f t="shared" ca="1" si="4"/>
        <v/>
      </c>
      <c r="C39" s="182" t="str" cm="1">
        <f t="array" aca="1" ref="C39" ca="1">IF(OR(ROW(C39)=ROW(EVENTOS.firstrow)+1,AND(OFFSET(C39,-1,0)&lt;&gt;" ",OFFSET(C39,-1,1)&lt;&gt;"")),OFFSET(C39,-1,0)+1," ")</f>
        <v xml:space="preserve"> </v>
      </c>
      <c r="D39" s="496"/>
      <c r="E39" s="620" cm="1">
        <f t="array" aca="1" ref="E39" ca="1">IF(AUTOEVENTO="Manual",ROUND(SUMPRODUCT((CÁLCULO!$M$15:$M$47=EVENTOS!$C39)*(OFFSET(CÁLCULO!$AA$15:$AA$47,0,E$13))),2),0)</f>
        <v>0</v>
      </c>
      <c r="F39" s="183">
        <f ca="1">IF(AUTOEVENTO="Manual",ROUND(SUMPRODUCT((CÁLCULO!$M$15:$M$47=EVENTOS!$C39)*(OFFSET(CÁLCULO!$AA$15,0,1):OFFSET(CÁLCULO!$AL$47,0,-1))),2),0)</f>
        <v>0</v>
      </c>
      <c r="G39" s="621" t="str">
        <f t="shared" ca="1" si="5"/>
        <v/>
      </c>
      <c r="H39" s="620" cm="1">
        <f t="array" aca="1" ref="H39" ca="1">IF(AUTOEVENTO="Manual",ROUND(SUMPRODUCT((CÁLCULO!$M$15:$M$47=EVENTOS!$C39)*(OFFSET(CÁLCULO!$AA$15:$AA$47,0,H$13))),2),0)</f>
        <v>0</v>
      </c>
      <c r="I39" s="620" cm="1">
        <f t="array" aca="1" ref="I39" ca="1">IF(AUTOEVENTO="Manual",ROUND(SUMPRODUCT((CÁLCULO!$M$15:$M$47=EVENTOS!$C39)*(OFFSET(CÁLCULO!$AA$15:$AA$47,0,I$13))),2),0)</f>
        <v>0</v>
      </c>
      <c r="J39" s="620" cm="1">
        <f t="array" aca="1" ref="J39" ca="1">IF(AUTOEVENTO="Manual",ROUND(SUMPRODUCT((CÁLCULO!$M$15:$M$47=EVENTOS!$C39)*(OFFSET(CÁLCULO!$AA$15:$AA$47,0,J$13))),2),0)</f>
        <v>0</v>
      </c>
      <c r="K39" s="620" cm="1">
        <f t="array" aca="1" ref="K39" ca="1">IF(AUTOEVENTO="Manual",ROUND(SUMPRODUCT((CÁLCULO!$M$15:$M$47=EVENTOS!$C39)*(OFFSET(CÁLCULO!$AA$15:$AA$47,0,K$13))),2),0)</f>
        <v>0</v>
      </c>
      <c r="L39" s="620" cm="1">
        <f t="array" aca="1" ref="L39" ca="1">IF(AUTOEVENTO="Manual",ROUND(SUMPRODUCT((CÁLCULO!$M$15:$M$47=EVENTOS!$C39)*(OFFSET(CÁLCULO!$AA$15:$AA$47,0,L$13))),2),0)</f>
        <v>0</v>
      </c>
      <c r="M39" s="620" cm="1">
        <f t="array" aca="1" ref="M39" ca="1">IF(AUTOEVENTO="Manual",ROUND(SUMPRODUCT((CÁLCULO!$M$15:$M$47=EVENTOS!$C39)*(OFFSET(CÁLCULO!$AA$15:$AA$47,0,M$13))),2),0)</f>
        <v>0</v>
      </c>
      <c r="N39" s="620" cm="1">
        <f t="array" aca="1" ref="N39" ca="1">IF(AUTOEVENTO="Manual",ROUND(SUMPRODUCT((CÁLCULO!$M$15:$M$47=EVENTOS!$C39)*(OFFSET(CÁLCULO!$AA$15:$AA$47,0,N$13))),2),0)</f>
        <v>0</v>
      </c>
      <c r="O39" s="620" cm="1">
        <f t="array" aca="1" ref="O39" ca="1">IF(AUTOEVENTO="Manual",ROUND(SUMPRODUCT((CÁLCULO!$M$15:$M$47=EVENTOS!$C39)*(OFFSET(CÁLCULO!$AA$15:$AA$47,0,O$13))),2),0)</f>
        <v>0</v>
      </c>
      <c r="P39" s="620" cm="1">
        <f t="array" aca="1" ref="P39" ca="1">IF(AUTOEVENTO="Manual",ROUND(SUMPRODUCT((CÁLCULO!$M$15:$M$47=EVENTOS!$C39)*(OFFSET(CÁLCULO!$AA$15:$AA$47,0,P$13))),2),0)</f>
        <v>0</v>
      </c>
      <c r="Q39" s="620" cm="1">
        <f t="array" aca="1" ref="Q39" ca="1">IF(AUTOEVENTO="Manual",ROUND(SUMPRODUCT((CÁLCULO!$M$15:$M$47=EVENTOS!$C39)*(OFFSET(CÁLCULO!$AA$15:$AA$47,0,Q$13))),2),0)</f>
        <v>0</v>
      </c>
      <c r="R39" s="620" cm="1">
        <f t="array" aca="1" ref="R39" ca="1">IF(AUTOEVENTO="Manual",ROUND(SUMPRODUCT((CÁLCULO!$M$15:$M$47=EVENTOS!$C39)*(OFFSET(CÁLCULO!$AA$15:$AA$47,0,R$13))),2),0)</f>
        <v>0</v>
      </c>
      <c r="S39" s="620" cm="1">
        <f t="array" aca="1" ref="S39" ca="1">IF(AUTOEVENTO="Manual",ROUND(SUMPRODUCT((CÁLCULO!$M$15:$M$47=EVENTOS!$C39)*(OFFSET(CÁLCULO!$AA$15:$AA$47,0,S$13))),2),0)</f>
        <v>0</v>
      </c>
      <c r="T39" s="620" cm="1">
        <f t="array" aca="1" ref="T39" ca="1">IF(AUTOEVENTO="Manual",ROUND(SUMPRODUCT((CÁLCULO!$M$15:$M$47=EVENTOS!$C39)*(OFFSET(CÁLCULO!$AA$15:$AA$47,0,T$13))),2),0)</f>
        <v>0</v>
      </c>
      <c r="U39" s="620" cm="1">
        <f t="array" aca="1" ref="U39" ca="1">IF(AUTOEVENTO="Manual",ROUND(SUMPRODUCT((CÁLCULO!$M$15:$M$47=EVENTOS!$C39)*(OFFSET(CÁLCULO!$AA$15:$AA$47,0,U$13))),2),0)</f>
        <v>0</v>
      </c>
      <c r="V39" s="620" cm="1">
        <f t="array" aca="1" ref="V39" ca="1">IF(AUTOEVENTO="Manual",ROUND(SUMPRODUCT((CÁLCULO!$M$15:$M$47=EVENTOS!$C39)*(OFFSET(CÁLCULO!$AA$15:$AA$47,0,V$13))),2),0)</f>
        <v>0</v>
      </c>
      <c r="W39" s="620" cm="1">
        <f t="array" aca="1" ref="W39" ca="1">IF(AUTOEVENTO="Manual",ROUND(SUMPRODUCT((CÁLCULO!$M$15:$M$47=EVENTOS!$C39)*(OFFSET(CÁLCULO!$AA$15:$AA$47,0,W$13))),2),0)</f>
        <v>0</v>
      </c>
      <c r="X39" s="620" cm="1">
        <f t="array" aca="1" ref="X39" ca="1">IF(AUTOEVENTO="Manual",ROUND(SUMPRODUCT((CÁLCULO!$M$15:$M$47=EVENTOS!$C39)*(OFFSET(CÁLCULO!$AA$15:$AA$47,0,X$13))),2),0)</f>
        <v>0</v>
      </c>
      <c r="Y39" s="620" cm="1">
        <f t="array" aca="1" ref="Y39" ca="1">IF(AUTOEVENTO="Manual",ROUND(SUMPRODUCT((CÁLCULO!$M$15:$M$47=EVENTOS!$C39)*(OFFSET(CÁLCULO!$AA$15:$AA$47,0,Y$13))),2),0)</f>
        <v>0</v>
      </c>
    </row>
    <row r="40" spans="1:25" x14ac:dyDescent="0.2">
      <c r="A40" s="506" t="str">
        <f t="shared" si="3"/>
        <v/>
      </c>
      <c r="B40" t="str">
        <f t="shared" ca="1" si="4"/>
        <v/>
      </c>
      <c r="C40" s="182" t="str" cm="1">
        <f t="array" aca="1" ref="C40" ca="1">IF(OR(ROW(C40)=ROW(EVENTOS.firstrow)+1,AND(OFFSET(C40,-1,0)&lt;&gt;" ",OFFSET(C40,-1,1)&lt;&gt;"")),OFFSET(C40,-1,0)+1," ")</f>
        <v xml:space="preserve"> </v>
      </c>
      <c r="D40" s="496"/>
      <c r="E40" s="620" cm="1">
        <f t="array" aca="1" ref="E40" ca="1">IF(AUTOEVENTO="Manual",ROUND(SUMPRODUCT((CÁLCULO!$M$15:$M$47=EVENTOS!$C40)*(OFFSET(CÁLCULO!$AA$15:$AA$47,0,E$13))),2),0)</f>
        <v>0</v>
      </c>
      <c r="F40" s="183">
        <f ca="1">IF(AUTOEVENTO="Manual",ROUND(SUMPRODUCT((CÁLCULO!$M$15:$M$47=EVENTOS!$C40)*(OFFSET(CÁLCULO!$AA$15,0,1):OFFSET(CÁLCULO!$AL$47,0,-1))),2),0)</f>
        <v>0</v>
      </c>
      <c r="G40" s="621" t="str">
        <f t="shared" ca="1" si="5"/>
        <v/>
      </c>
      <c r="H40" s="620" cm="1">
        <f t="array" aca="1" ref="H40" ca="1">IF(AUTOEVENTO="Manual",ROUND(SUMPRODUCT((CÁLCULO!$M$15:$M$47=EVENTOS!$C40)*(OFFSET(CÁLCULO!$AA$15:$AA$47,0,H$13))),2),0)</f>
        <v>0</v>
      </c>
      <c r="I40" s="620" cm="1">
        <f t="array" aca="1" ref="I40" ca="1">IF(AUTOEVENTO="Manual",ROUND(SUMPRODUCT((CÁLCULO!$M$15:$M$47=EVENTOS!$C40)*(OFFSET(CÁLCULO!$AA$15:$AA$47,0,I$13))),2),0)</f>
        <v>0</v>
      </c>
      <c r="J40" s="620" cm="1">
        <f t="array" aca="1" ref="J40" ca="1">IF(AUTOEVENTO="Manual",ROUND(SUMPRODUCT((CÁLCULO!$M$15:$M$47=EVENTOS!$C40)*(OFFSET(CÁLCULO!$AA$15:$AA$47,0,J$13))),2),0)</f>
        <v>0</v>
      </c>
      <c r="K40" s="620" cm="1">
        <f t="array" aca="1" ref="K40" ca="1">IF(AUTOEVENTO="Manual",ROUND(SUMPRODUCT((CÁLCULO!$M$15:$M$47=EVENTOS!$C40)*(OFFSET(CÁLCULO!$AA$15:$AA$47,0,K$13))),2),0)</f>
        <v>0</v>
      </c>
      <c r="L40" s="620" cm="1">
        <f t="array" aca="1" ref="L40" ca="1">IF(AUTOEVENTO="Manual",ROUND(SUMPRODUCT((CÁLCULO!$M$15:$M$47=EVENTOS!$C40)*(OFFSET(CÁLCULO!$AA$15:$AA$47,0,L$13))),2),0)</f>
        <v>0</v>
      </c>
      <c r="M40" s="620" cm="1">
        <f t="array" aca="1" ref="M40" ca="1">IF(AUTOEVENTO="Manual",ROUND(SUMPRODUCT((CÁLCULO!$M$15:$M$47=EVENTOS!$C40)*(OFFSET(CÁLCULO!$AA$15:$AA$47,0,M$13))),2),0)</f>
        <v>0</v>
      </c>
      <c r="N40" s="620" cm="1">
        <f t="array" aca="1" ref="N40" ca="1">IF(AUTOEVENTO="Manual",ROUND(SUMPRODUCT((CÁLCULO!$M$15:$M$47=EVENTOS!$C40)*(OFFSET(CÁLCULO!$AA$15:$AA$47,0,N$13))),2),0)</f>
        <v>0</v>
      </c>
      <c r="O40" s="620" cm="1">
        <f t="array" aca="1" ref="O40" ca="1">IF(AUTOEVENTO="Manual",ROUND(SUMPRODUCT((CÁLCULO!$M$15:$M$47=EVENTOS!$C40)*(OFFSET(CÁLCULO!$AA$15:$AA$47,0,O$13))),2),0)</f>
        <v>0</v>
      </c>
      <c r="P40" s="620" cm="1">
        <f t="array" aca="1" ref="P40" ca="1">IF(AUTOEVENTO="Manual",ROUND(SUMPRODUCT((CÁLCULO!$M$15:$M$47=EVENTOS!$C40)*(OFFSET(CÁLCULO!$AA$15:$AA$47,0,P$13))),2),0)</f>
        <v>0</v>
      </c>
      <c r="Q40" s="620" cm="1">
        <f t="array" aca="1" ref="Q40" ca="1">IF(AUTOEVENTO="Manual",ROUND(SUMPRODUCT((CÁLCULO!$M$15:$M$47=EVENTOS!$C40)*(OFFSET(CÁLCULO!$AA$15:$AA$47,0,Q$13))),2),0)</f>
        <v>0</v>
      </c>
      <c r="R40" s="620" cm="1">
        <f t="array" aca="1" ref="R40" ca="1">IF(AUTOEVENTO="Manual",ROUND(SUMPRODUCT((CÁLCULO!$M$15:$M$47=EVENTOS!$C40)*(OFFSET(CÁLCULO!$AA$15:$AA$47,0,R$13))),2),0)</f>
        <v>0</v>
      </c>
      <c r="S40" s="620" cm="1">
        <f t="array" aca="1" ref="S40" ca="1">IF(AUTOEVENTO="Manual",ROUND(SUMPRODUCT((CÁLCULO!$M$15:$M$47=EVENTOS!$C40)*(OFFSET(CÁLCULO!$AA$15:$AA$47,0,S$13))),2),0)</f>
        <v>0</v>
      </c>
      <c r="T40" s="620" cm="1">
        <f t="array" aca="1" ref="T40" ca="1">IF(AUTOEVENTO="Manual",ROUND(SUMPRODUCT((CÁLCULO!$M$15:$M$47=EVENTOS!$C40)*(OFFSET(CÁLCULO!$AA$15:$AA$47,0,T$13))),2),0)</f>
        <v>0</v>
      </c>
      <c r="U40" s="620" cm="1">
        <f t="array" aca="1" ref="U40" ca="1">IF(AUTOEVENTO="Manual",ROUND(SUMPRODUCT((CÁLCULO!$M$15:$M$47=EVENTOS!$C40)*(OFFSET(CÁLCULO!$AA$15:$AA$47,0,U$13))),2),0)</f>
        <v>0</v>
      </c>
      <c r="V40" s="620" cm="1">
        <f t="array" aca="1" ref="V40" ca="1">IF(AUTOEVENTO="Manual",ROUND(SUMPRODUCT((CÁLCULO!$M$15:$M$47=EVENTOS!$C40)*(OFFSET(CÁLCULO!$AA$15:$AA$47,0,V$13))),2),0)</f>
        <v>0</v>
      </c>
      <c r="W40" s="620" cm="1">
        <f t="array" aca="1" ref="W40" ca="1">IF(AUTOEVENTO="Manual",ROUND(SUMPRODUCT((CÁLCULO!$M$15:$M$47=EVENTOS!$C40)*(OFFSET(CÁLCULO!$AA$15:$AA$47,0,W$13))),2),0)</f>
        <v>0</v>
      </c>
      <c r="X40" s="620" cm="1">
        <f t="array" aca="1" ref="X40" ca="1">IF(AUTOEVENTO="Manual",ROUND(SUMPRODUCT((CÁLCULO!$M$15:$M$47=EVENTOS!$C40)*(OFFSET(CÁLCULO!$AA$15:$AA$47,0,X$13))),2),0)</f>
        <v>0</v>
      </c>
      <c r="Y40" s="620" cm="1">
        <f t="array" aca="1" ref="Y40" ca="1">IF(AUTOEVENTO="Manual",ROUND(SUMPRODUCT((CÁLCULO!$M$15:$M$47=EVENTOS!$C40)*(OFFSET(CÁLCULO!$AA$15:$AA$47,0,Y$13))),2),0)</f>
        <v>0</v>
      </c>
    </row>
    <row r="41" spans="1:25" x14ac:dyDescent="0.2">
      <c r="A41" s="506" t="str">
        <f t="shared" si="3"/>
        <v/>
      </c>
      <c r="B41" t="str">
        <f t="shared" ca="1" si="4"/>
        <v/>
      </c>
      <c r="C41" s="182" t="str" cm="1">
        <f t="array" aca="1" ref="C41" ca="1">IF(OR(ROW(C41)=ROW(EVENTOS.firstrow)+1,AND(OFFSET(C41,-1,0)&lt;&gt;" ",OFFSET(C41,-1,1)&lt;&gt;"")),OFFSET(C41,-1,0)+1," ")</f>
        <v xml:space="preserve"> </v>
      </c>
      <c r="D41" s="496"/>
      <c r="E41" s="620" cm="1">
        <f t="array" aca="1" ref="E41" ca="1">IF(AUTOEVENTO="Manual",ROUND(SUMPRODUCT((CÁLCULO!$M$15:$M$47=EVENTOS!$C41)*(OFFSET(CÁLCULO!$AA$15:$AA$47,0,E$13))),2),0)</f>
        <v>0</v>
      </c>
      <c r="F41" s="183">
        <f ca="1">IF(AUTOEVENTO="Manual",ROUND(SUMPRODUCT((CÁLCULO!$M$15:$M$47=EVENTOS!$C41)*(OFFSET(CÁLCULO!$AA$15,0,1):OFFSET(CÁLCULO!$AL$47,0,-1))),2),0)</f>
        <v>0</v>
      </c>
      <c r="G41" s="621" t="str">
        <f t="shared" ca="1" si="5"/>
        <v/>
      </c>
      <c r="H41" s="620" cm="1">
        <f t="array" aca="1" ref="H41" ca="1">IF(AUTOEVENTO="Manual",ROUND(SUMPRODUCT((CÁLCULO!$M$15:$M$47=EVENTOS!$C41)*(OFFSET(CÁLCULO!$AA$15:$AA$47,0,H$13))),2),0)</f>
        <v>0</v>
      </c>
      <c r="I41" s="620" cm="1">
        <f t="array" aca="1" ref="I41" ca="1">IF(AUTOEVENTO="Manual",ROUND(SUMPRODUCT((CÁLCULO!$M$15:$M$47=EVENTOS!$C41)*(OFFSET(CÁLCULO!$AA$15:$AA$47,0,I$13))),2),0)</f>
        <v>0</v>
      </c>
      <c r="J41" s="620" cm="1">
        <f t="array" aca="1" ref="J41" ca="1">IF(AUTOEVENTO="Manual",ROUND(SUMPRODUCT((CÁLCULO!$M$15:$M$47=EVENTOS!$C41)*(OFFSET(CÁLCULO!$AA$15:$AA$47,0,J$13))),2),0)</f>
        <v>0</v>
      </c>
      <c r="K41" s="620" cm="1">
        <f t="array" aca="1" ref="K41" ca="1">IF(AUTOEVENTO="Manual",ROUND(SUMPRODUCT((CÁLCULO!$M$15:$M$47=EVENTOS!$C41)*(OFFSET(CÁLCULO!$AA$15:$AA$47,0,K$13))),2),0)</f>
        <v>0</v>
      </c>
      <c r="L41" s="620" cm="1">
        <f t="array" aca="1" ref="L41" ca="1">IF(AUTOEVENTO="Manual",ROUND(SUMPRODUCT((CÁLCULO!$M$15:$M$47=EVENTOS!$C41)*(OFFSET(CÁLCULO!$AA$15:$AA$47,0,L$13))),2),0)</f>
        <v>0</v>
      </c>
      <c r="M41" s="620" cm="1">
        <f t="array" aca="1" ref="M41" ca="1">IF(AUTOEVENTO="Manual",ROUND(SUMPRODUCT((CÁLCULO!$M$15:$M$47=EVENTOS!$C41)*(OFFSET(CÁLCULO!$AA$15:$AA$47,0,M$13))),2),0)</f>
        <v>0</v>
      </c>
      <c r="N41" s="620" cm="1">
        <f t="array" aca="1" ref="N41" ca="1">IF(AUTOEVENTO="Manual",ROUND(SUMPRODUCT((CÁLCULO!$M$15:$M$47=EVENTOS!$C41)*(OFFSET(CÁLCULO!$AA$15:$AA$47,0,N$13))),2),0)</f>
        <v>0</v>
      </c>
      <c r="O41" s="620" cm="1">
        <f t="array" aca="1" ref="O41" ca="1">IF(AUTOEVENTO="Manual",ROUND(SUMPRODUCT((CÁLCULO!$M$15:$M$47=EVENTOS!$C41)*(OFFSET(CÁLCULO!$AA$15:$AA$47,0,O$13))),2),0)</f>
        <v>0</v>
      </c>
      <c r="P41" s="620" cm="1">
        <f t="array" aca="1" ref="P41" ca="1">IF(AUTOEVENTO="Manual",ROUND(SUMPRODUCT((CÁLCULO!$M$15:$M$47=EVENTOS!$C41)*(OFFSET(CÁLCULO!$AA$15:$AA$47,0,P$13))),2),0)</f>
        <v>0</v>
      </c>
      <c r="Q41" s="620" cm="1">
        <f t="array" aca="1" ref="Q41" ca="1">IF(AUTOEVENTO="Manual",ROUND(SUMPRODUCT((CÁLCULO!$M$15:$M$47=EVENTOS!$C41)*(OFFSET(CÁLCULO!$AA$15:$AA$47,0,Q$13))),2),0)</f>
        <v>0</v>
      </c>
      <c r="R41" s="620" cm="1">
        <f t="array" aca="1" ref="R41" ca="1">IF(AUTOEVENTO="Manual",ROUND(SUMPRODUCT((CÁLCULO!$M$15:$M$47=EVENTOS!$C41)*(OFFSET(CÁLCULO!$AA$15:$AA$47,0,R$13))),2),0)</f>
        <v>0</v>
      </c>
      <c r="S41" s="620" cm="1">
        <f t="array" aca="1" ref="S41" ca="1">IF(AUTOEVENTO="Manual",ROUND(SUMPRODUCT((CÁLCULO!$M$15:$M$47=EVENTOS!$C41)*(OFFSET(CÁLCULO!$AA$15:$AA$47,0,S$13))),2),0)</f>
        <v>0</v>
      </c>
      <c r="T41" s="620" cm="1">
        <f t="array" aca="1" ref="T41" ca="1">IF(AUTOEVENTO="Manual",ROUND(SUMPRODUCT((CÁLCULO!$M$15:$M$47=EVENTOS!$C41)*(OFFSET(CÁLCULO!$AA$15:$AA$47,0,T$13))),2),0)</f>
        <v>0</v>
      </c>
      <c r="U41" s="620" cm="1">
        <f t="array" aca="1" ref="U41" ca="1">IF(AUTOEVENTO="Manual",ROUND(SUMPRODUCT((CÁLCULO!$M$15:$M$47=EVENTOS!$C41)*(OFFSET(CÁLCULO!$AA$15:$AA$47,0,U$13))),2),0)</f>
        <v>0</v>
      </c>
      <c r="V41" s="620" cm="1">
        <f t="array" aca="1" ref="V41" ca="1">IF(AUTOEVENTO="Manual",ROUND(SUMPRODUCT((CÁLCULO!$M$15:$M$47=EVENTOS!$C41)*(OFFSET(CÁLCULO!$AA$15:$AA$47,0,V$13))),2),0)</f>
        <v>0</v>
      </c>
      <c r="W41" s="620" cm="1">
        <f t="array" aca="1" ref="W41" ca="1">IF(AUTOEVENTO="Manual",ROUND(SUMPRODUCT((CÁLCULO!$M$15:$M$47=EVENTOS!$C41)*(OFFSET(CÁLCULO!$AA$15:$AA$47,0,W$13))),2),0)</f>
        <v>0</v>
      </c>
      <c r="X41" s="620" cm="1">
        <f t="array" aca="1" ref="X41" ca="1">IF(AUTOEVENTO="Manual",ROUND(SUMPRODUCT((CÁLCULO!$M$15:$M$47=EVENTOS!$C41)*(OFFSET(CÁLCULO!$AA$15:$AA$47,0,X$13))),2),0)</f>
        <v>0</v>
      </c>
      <c r="Y41" s="620" cm="1">
        <f t="array" aca="1" ref="Y41" ca="1">IF(AUTOEVENTO="Manual",ROUND(SUMPRODUCT((CÁLCULO!$M$15:$M$47=EVENTOS!$C41)*(OFFSET(CÁLCULO!$AA$15:$AA$47,0,Y$13))),2),0)</f>
        <v>0</v>
      </c>
    </row>
    <row r="42" spans="1:25" x14ac:dyDescent="0.2">
      <c r="A42" s="506" t="str">
        <f t="shared" si="3"/>
        <v/>
      </c>
      <c r="B42" t="str">
        <f t="shared" ca="1" si="4"/>
        <v/>
      </c>
      <c r="C42" s="182" t="str" cm="1">
        <f t="array" aca="1" ref="C42" ca="1">IF(OR(ROW(C42)=ROW(EVENTOS.firstrow)+1,AND(OFFSET(C42,-1,0)&lt;&gt;" ",OFFSET(C42,-1,1)&lt;&gt;"")),OFFSET(C42,-1,0)+1," ")</f>
        <v xml:space="preserve"> </v>
      </c>
      <c r="D42" s="496"/>
      <c r="E42" s="620" cm="1">
        <f t="array" aca="1" ref="E42" ca="1">IF(AUTOEVENTO="Manual",ROUND(SUMPRODUCT((CÁLCULO!$M$15:$M$47=EVENTOS!$C42)*(OFFSET(CÁLCULO!$AA$15:$AA$47,0,E$13))),2),0)</f>
        <v>0</v>
      </c>
      <c r="F42" s="183">
        <f ca="1">IF(AUTOEVENTO="Manual",ROUND(SUMPRODUCT((CÁLCULO!$M$15:$M$47=EVENTOS!$C42)*(OFFSET(CÁLCULO!$AA$15,0,1):OFFSET(CÁLCULO!$AL$47,0,-1))),2),0)</f>
        <v>0</v>
      </c>
      <c r="G42" s="621" t="str">
        <f t="shared" ca="1" si="5"/>
        <v/>
      </c>
      <c r="H42" s="620" cm="1">
        <f t="array" aca="1" ref="H42" ca="1">IF(AUTOEVENTO="Manual",ROUND(SUMPRODUCT((CÁLCULO!$M$15:$M$47=EVENTOS!$C42)*(OFFSET(CÁLCULO!$AA$15:$AA$47,0,H$13))),2),0)</f>
        <v>0</v>
      </c>
      <c r="I42" s="620" cm="1">
        <f t="array" aca="1" ref="I42" ca="1">IF(AUTOEVENTO="Manual",ROUND(SUMPRODUCT((CÁLCULO!$M$15:$M$47=EVENTOS!$C42)*(OFFSET(CÁLCULO!$AA$15:$AA$47,0,I$13))),2),0)</f>
        <v>0</v>
      </c>
      <c r="J42" s="620" cm="1">
        <f t="array" aca="1" ref="J42" ca="1">IF(AUTOEVENTO="Manual",ROUND(SUMPRODUCT((CÁLCULO!$M$15:$M$47=EVENTOS!$C42)*(OFFSET(CÁLCULO!$AA$15:$AA$47,0,J$13))),2),0)</f>
        <v>0</v>
      </c>
      <c r="K42" s="620" cm="1">
        <f t="array" aca="1" ref="K42" ca="1">IF(AUTOEVENTO="Manual",ROUND(SUMPRODUCT((CÁLCULO!$M$15:$M$47=EVENTOS!$C42)*(OFFSET(CÁLCULO!$AA$15:$AA$47,0,K$13))),2),0)</f>
        <v>0</v>
      </c>
      <c r="L42" s="620" cm="1">
        <f t="array" aca="1" ref="L42" ca="1">IF(AUTOEVENTO="Manual",ROUND(SUMPRODUCT((CÁLCULO!$M$15:$M$47=EVENTOS!$C42)*(OFFSET(CÁLCULO!$AA$15:$AA$47,0,L$13))),2),0)</f>
        <v>0</v>
      </c>
      <c r="M42" s="620" cm="1">
        <f t="array" aca="1" ref="M42" ca="1">IF(AUTOEVENTO="Manual",ROUND(SUMPRODUCT((CÁLCULO!$M$15:$M$47=EVENTOS!$C42)*(OFFSET(CÁLCULO!$AA$15:$AA$47,0,M$13))),2),0)</f>
        <v>0</v>
      </c>
      <c r="N42" s="620" cm="1">
        <f t="array" aca="1" ref="N42" ca="1">IF(AUTOEVENTO="Manual",ROUND(SUMPRODUCT((CÁLCULO!$M$15:$M$47=EVENTOS!$C42)*(OFFSET(CÁLCULO!$AA$15:$AA$47,0,N$13))),2),0)</f>
        <v>0</v>
      </c>
      <c r="O42" s="620" cm="1">
        <f t="array" aca="1" ref="O42" ca="1">IF(AUTOEVENTO="Manual",ROUND(SUMPRODUCT((CÁLCULO!$M$15:$M$47=EVENTOS!$C42)*(OFFSET(CÁLCULO!$AA$15:$AA$47,0,O$13))),2),0)</f>
        <v>0</v>
      </c>
      <c r="P42" s="620" cm="1">
        <f t="array" aca="1" ref="P42" ca="1">IF(AUTOEVENTO="Manual",ROUND(SUMPRODUCT((CÁLCULO!$M$15:$M$47=EVENTOS!$C42)*(OFFSET(CÁLCULO!$AA$15:$AA$47,0,P$13))),2),0)</f>
        <v>0</v>
      </c>
      <c r="Q42" s="620" cm="1">
        <f t="array" aca="1" ref="Q42" ca="1">IF(AUTOEVENTO="Manual",ROUND(SUMPRODUCT((CÁLCULO!$M$15:$M$47=EVENTOS!$C42)*(OFFSET(CÁLCULO!$AA$15:$AA$47,0,Q$13))),2),0)</f>
        <v>0</v>
      </c>
      <c r="R42" s="620" cm="1">
        <f t="array" aca="1" ref="R42" ca="1">IF(AUTOEVENTO="Manual",ROUND(SUMPRODUCT((CÁLCULO!$M$15:$M$47=EVENTOS!$C42)*(OFFSET(CÁLCULO!$AA$15:$AA$47,0,R$13))),2),0)</f>
        <v>0</v>
      </c>
      <c r="S42" s="620" cm="1">
        <f t="array" aca="1" ref="S42" ca="1">IF(AUTOEVENTO="Manual",ROUND(SUMPRODUCT((CÁLCULO!$M$15:$M$47=EVENTOS!$C42)*(OFFSET(CÁLCULO!$AA$15:$AA$47,0,S$13))),2),0)</f>
        <v>0</v>
      </c>
      <c r="T42" s="620" cm="1">
        <f t="array" aca="1" ref="T42" ca="1">IF(AUTOEVENTO="Manual",ROUND(SUMPRODUCT((CÁLCULO!$M$15:$M$47=EVENTOS!$C42)*(OFFSET(CÁLCULO!$AA$15:$AA$47,0,T$13))),2),0)</f>
        <v>0</v>
      </c>
      <c r="U42" s="620" cm="1">
        <f t="array" aca="1" ref="U42" ca="1">IF(AUTOEVENTO="Manual",ROUND(SUMPRODUCT((CÁLCULO!$M$15:$M$47=EVENTOS!$C42)*(OFFSET(CÁLCULO!$AA$15:$AA$47,0,U$13))),2),0)</f>
        <v>0</v>
      </c>
      <c r="V42" s="620" cm="1">
        <f t="array" aca="1" ref="V42" ca="1">IF(AUTOEVENTO="Manual",ROUND(SUMPRODUCT((CÁLCULO!$M$15:$M$47=EVENTOS!$C42)*(OFFSET(CÁLCULO!$AA$15:$AA$47,0,V$13))),2),0)</f>
        <v>0</v>
      </c>
      <c r="W42" s="620" cm="1">
        <f t="array" aca="1" ref="W42" ca="1">IF(AUTOEVENTO="Manual",ROUND(SUMPRODUCT((CÁLCULO!$M$15:$M$47=EVENTOS!$C42)*(OFFSET(CÁLCULO!$AA$15:$AA$47,0,W$13))),2),0)</f>
        <v>0</v>
      </c>
      <c r="X42" s="620" cm="1">
        <f t="array" aca="1" ref="X42" ca="1">IF(AUTOEVENTO="Manual",ROUND(SUMPRODUCT((CÁLCULO!$M$15:$M$47=EVENTOS!$C42)*(OFFSET(CÁLCULO!$AA$15:$AA$47,0,X$13))),2),0)</f>
        <v>0</v>
      </c>
      <c r="Y42" s="620" cm="1">
        <f t="array" aca="1" ref="Y42" ca="1">IF(AUTOEVENTO="Manual",ROUND(SUMPRODUCT((CÁLCULO!$M$15:$M$47=EVENTOS!$C42)*(OFFSET(CÁLCULO!$AA$15:$AA$47,0,Y$13))),2),0)</f>
        <v>0</v>
      </c>
    </row>
    <row r="43" spans="1:25" x14ac:dyDescent="0.2">
      <c r="A43" s="506" t="str">
        <f t="shared" si="3"/>
        <v/>
      </c>
      <c r="B43" t="str">
        <f t="shared" ca="1" si="4"/>
        <v/>
      </c>
      <c r="C43" s="182" t="str" cm="1">
        <f t="array" aca="1" ref="C43" ca="1">IF(OR(ROW(C43)=ROW(EVENTOS.firstrow)+1,AND(OFFSET(C43,-1,0)&lt;&gt;" ",OFFSET(C43,-1,1)&lt;&gt;"")),OFFSET(C43,-1,0)+1," ")</f>
        <v xml:space="preserve"> </v>
      </c>
      <c r="D43" s="496"/>
      <c r="E43" s="620" cm="1">
        <f t="array" aca="1" ref="E43" ca="1">IF(AUTOEVENTO="Manual",ROUND(SUMPRODUCT((CÁLCULO!$M$15:$M$47=EVENTOS!$C43)*(OFFSET(CÁLCULO!$AA$15:$AA$47,0,E$13))),2),0)</f>
        <v>0</v>
      </c>
      <c r="F43" s="183">
        <f ca="1">IF(AUTOEVENTO="Manual",ROUND(SUMPRODUCT((CÁLCULO!$M$15:$M$47=EVENTOS!$C43)*(OFFSET(CÁLCULO!$AA$15,0,1):OFFSET(CÁLCULO!$AL$47,0,-1))),2),0)</f>
        <v>0</v>
      </c>
      <c r="G43" s="621" t="str">
        <f t="shared" ca="1" si="5"/>
        <v/>
      </c>
      <c r="H43" s="620" cm="1">
        <f t="array" aca="1" ref="H43" ca="1">IF(AUTOEVENTO="Manual",ROUND(SUMPRODUCT((CÁLCULO!$M$15:$M$47=EVENTOS!$C43)*(OFFSET(CÁLCULO!$AA$15:$AA$47,0,H$13))),2),0)</f>
        <v>0</v>
      </c>
      <c r="I43" s="620" cm="1">
        <f t="array" aca="1" ref="I43" ca="1">IF(AUTOEVENTO="Manual",ROUND(SUMPRODUCT((CÁLCULO!$M$15:$M$47=EVENTOS!$C43)*(OFFSET(CÁLCULO!$AA$15:$AA$47,0,I$13))),2),0)</f>
        <v>0</v>
      </c>
      <c r="J43" s="620" cm="1">
        <f t="array" aca="1" ref="J43" ca="1">IF(AUTOEVENTO="Manual",ROUND(SUMPRODUCT((CÁLCULO!$M$15:$M$47=EVENTOS!$C43)*(OFFSET(CÁLCULO!$AA$15:$AA$47,0,J$13))),2),0)</f>
        <v>0</v>
      </c>
      <c r="K43" s="620" cm="1">
        <f t="array" aca="1" ref="K43" ca="1">IF(AUTOEVENTO="Manual",ROUND(SUMPRODUCT((CÁLCULO!$M$15:$M$47=EVENTOS!$C43)*(OFFSET(CÁLCULO!$AA$15:$AA$47,0,K$13))),2),0)</f>
        <v>0</v>
      </c>
      <c r="L43" s="620" cm="1">
        <f t="array" aca="1" ref="L43" ca="1">IF(AUTOEVENTO="Manual",ROUND(SUMPRODUCT((CÁLCULO!$M$15:$M$47=EVENTOS!$C43)*(OFFSET(CÁLCULO!$AA$15:$AA$47,0,L$13))),2),0)</f>
        <v>0</v>
      </c>
      <c r="M43" s="620" cm="1">
        <f t="array" aca="1" ref="M43" ca="1">IF(AUTOEVENTO="Manual",ROUND(SUMPRODUCT((CÁLCULO!$M$15:$M$47=EVENTOS!$C43)*(OFFSET(CÁLCULO!$AA$15:$AA$47,0,M$13))),2),0)</f>
        <v>0</v>
      </c>
      <c r="N43" s="620" cm="1">
        <f t="array" aca="1" ref="N43" ca="1">IF(AUTOEVENTO="Manual",ROUND(SUMPRODUCT((CÁLCULO!$M$15:$M$47=EVENTOS!$C43)*(OFFSET(CÁLCULO!$AA$15:$AA$47,0,N$13))),2),0)</f>
        <v>0</v>
      </c>
      <c r="O43" s="620" cm="1">
        <f t="array" aca="1" ref="O43" ca="1">IF(AUTOEVENTO="Manual",ROUND(SUMPRODUCT((CÁLCULO!$M$15:$M$47=EVENTOS!$C43)*(OFFSET(CÁLCULO!$AA$15:$AA$47,0,O$13))),2),0)</f>
        <v>0</v>
      </c>
      <c r="P43" s="620" cm="1">
        <f t="array" aca="1" ref="P43" ca="1">IF(AUTOEVENTO="Manual",ROUND(SUMPRODUCT((CÁLCULO!$M$15:$M$47=EVENTOS!$C43)*(OFFSET(CÁLCULO!$AA$15:$AA$47,0,P$13))),2),0)</f>
        <v>0</v>
      </c>
      <c r="Q43" s="620" cm="1">
        <f t="array" aca="1" ref="Q43" ca="1">IF(AUTOEVENTO="Manual",ROUND(SUMPRODUCT((CÁLCULO!$M$15:$M$47=EVENTOS!$C43)*(OFFSET(CÁLCULO!$AA$15:$AA$47,0,Q$13))),2),0)</f>
        <v>0</v>
      </c>
      <c r="R43" s="620" cm="1">
        <f t="array" aca="1" ref="R43" ca="1">IF(AUTOEVENTO="Manual",ROUND(SUMPRODUCT((CÁLCULO!$M$15:$M$47=EVENTOS!$C43)*(OFFSET(CÁLCULO!$AA$15:$AA$47,0,R$13))),2),0)</f>
        <v>0</v>
      </c>
      <c r="S43" s="620" cm="1">
        <f t="array" aca="1" ref="S43" ca="1">IF(AUTOEVENTO="Manual",ROUND(SUMPRODUCT((CÁLCULO!$M$15:$M$47=EVENTOS!$C43)*(OFFSET(CÁLCULO!$AA$15:$AA$47,0,S$13))),2),0)</f>
        <v>0</v>
      </c>
      <c r="T43" s="620" cm="1">
        <f t="array" aca="1" ref="T43" ca="1">IF(AUTOEVENTO="Manual",ROUND(SUMPRODUCT((CÁLCULO!$M$15:$M$47=EVENTOS!$C43)*(OFFSET(CÁLCULO!$AA$15:$AA$47,0,T$13))),2),0)</f>
        <v>0</v>
      </c>
      <c r="U43" s="620" cm="1">
        <f t="array" aca="1" ref="U43" ca="1">IF(AUTOEVENTO="Manual",ROUND(SUMPRODUCT((CÁLCULO!$M$15:$M$47=EVENTOS!$C43)*(OFFSET(CÁLCULO!$AA$15:$AA$47,0,U$13))),2),0)</f>
        <v>0</v>
      </c>
      <c r="V43" s="620" cm="1">
        <f t="array" aca="1" ref="V43" ca="1">IF(AUTOEVENTO="Manual",ROUND(SUMPRODUCT((CÁLCULO!$M$15:$M$47=EVENTOS!$C43)*(OFFSET(CÁLCULO!$AA$15:$AA$47,0,V$13))),2),0)</f>
        <v>0</v>
      </c>
      <c r="W43" s="620" cm="1">
        <f t="array" aca="1" ref="W43" ca="1">IF(AUTOEVENTO="Manual",ROUND(SUMPRODUCT((CÁLCULO!$M$15:$M$47=EVENTOS!$C43)*(OFFSET(CÁLCULO!$AA$15:$AA$47,0,W$13))),2),0)</f>
        <v>0</v>
      </c>
      <c r="X43" s="620" cm="1">
        <f t="array" aca="1" ref="X43" ca="1">IF(AUTOEVENTO="Manual",ROUND(SUMPRODUCT((CÁLCULO!$M$15:$M$47=EVENTOS!$C43)*(OFFSET(CÁLCULO!$AA$15:$AA$47,0,X$13))),2),0)</f>
        <v>0</v>
      </c>
      <c r="Y43" s="620" cm="1">
        <f t="array" aca="1" ref="Y43" ca="1">IF(AUTOEVENTO="Manual",ROUND(SUMPRODUCT((CÁLCULO!$M$15:$M$47=EVENTOS!$C43)*(OFFSET(CÁLCULO!$AA$15:$AA$47,0,Y$13))),2),0)</f>
        <v>0</v>
      </c>
    </row>
    <row r="44" spans="1:25" x14ac:dyDescent="0.2">
      <c r="A44" s="506" t="str">
        <f t="shared" si="3"/>
        <v/>
      </c>
      <c r="B44" t="str">
        <f t="shared" ca="1" si="4"/>
        <v/>
      </c>
      <c r="C44" s="182" t="str" cm="1">
        <f t="array" aca="1" ref="C44" ca="1">IF(OR(ROW(C44)=ROW(EVENTOS.firstrow)+1,AND(OFFSET(C44,-1,0)&lt;&gt;" ",OFFSET(C44,-1,1)&lt;&gt;"")),OFFSET(C44,-1,0)+1," ")</f>
        <v xml:space="preserve"> </v>
      </c>
      <c r="D44" s="496"/>
      <c r="E44" s="620" cm="1">
        <f t="array" aca="1" ref="E44" ca="1">IF(AUTOEVENTO="Manual",ROUND(SUMPRODUCT((CÁLCULO!$M$15:$M$47=EVENTOS!$C44)*(OFFSET(CÁLCULO!$AA$15:$AA$47,0,E$13))),2),0)</f>
        <v>0</v>
      </c>
      <c r="F44" s="183">
        <f ca="1">IF(AUTOEVENTO="Manual",ROUND(SUMPRODUCT((CÁLCULO!$M$15:$M$47=EVENTOS!$C44)*(OFFSET(CÁLCULO!$AA$15,0,1):OFFSET(CÁLCULO!$AL$47,0,-1))),2),0)</f>
        <v>0</v>
      </c>
      <c r="G44" s="621" t="str">
        <f t="shared" ca="1" si="5"/>
        <v/>
      </c>
      <c r="H44" s="620" cm="1">
        <f t="array" aca="1" ref="H44" ca="1">IF(AUTOEVENTO="Manual",ROUND(SUMPRODUCT((CÁLCULO!$M$15:$M$47=EVENTOS!$C44)*(OFFSET(CÁLCULO!$AA$15:$AA$47,0,H$13))),2),0)</f>
        <v>0</v>
      </c>
      <c r="I44" s="620" cm="1">
        <f t="array" aca="1" ref="I44" ca="1">IF(AUTOEVENTO="Manual",ROUND(SUMPRODUCT((CÁLCULO!$M$15:$M$47=EVENTOS!$C44)*(OFFSET(CÁLCULO!$AA$15:$AA$47,0,I$13))),2),0)</f>
        <v>0</v>
      </c>
      <c r="J44" s="620" cm="1">
        <f t="array" aca="1" ref="J44" ca="1">IF(AUTOEVENTO="Manual",ROUND(SUMPRODUCT((CÁLCULO!$M$15:$M$47=EVENTOS!$C44)*(OFFSET(CÁLCULO!$AA$15:$AA$47,0,J$13))),2),0)</f>
        <v>0</v>
      </c>
      <c r="K44" s="620" cm="1">
        <f t="array" aca="1" ref="K44" ca="1">IF(AUTOEVENTO="Manual",ROUND(SUMPRODUCT((CÁLCULO!$M$15:$M$47=EVENTOS!$C44)*(OFFSET(CÁLCULO!$AA$15:$AA$47,0,K$13))),2),0)</f>
        <v>0</v>
      </c>
      <c r="L44" s="620" cm="1">
        <f t="array" aca="1" ref="L44" ca="1">IF(AUTOEVENTO="Manual",ROUND(SUMPRODUCT((CÁLCULO!$M$15:$M$47=EVENTOS!$C44)*(OFFSET(CÁLCULO!$AA$15:$AA$47,0,L$13))),2),0)</f>
        <v>0</v>
      </c>
      <c r="M44" s="620" cm="1">
        <f t="array" aca="1" ref="M44" ca="1">IF(AUTOEVENTO="Manual",ROUND(SUMPRODUCT((CÁLCULO!$M$15:$M$47=EVENTOS!$C44)*(OFFSET(CÁLCULO!$AA$15:$AA$47,0,M$13))),2),0)</f>
        <v>0</v>
      </c>
      <c r="N44" s="620" cm="1">
        <f t="array" aca="1" ref="N44" ca="1">IF(AUTOEVENTO="Manual",ROUND(SUMPRODUCT((CÁLCULO!$M$15:$M$47=EVENTOS!$C44)*(OFFSET(CÁLCULO!$AA$15:$AA$47,0,N$13))),2),0)</f>
        <v>0</v>
      </c>
      <c r="O44" s="620" cm="1">
        <f t="array" aca="1" ref="O44" ca="1">IF(AUTOEVENTO="Manual",ROUND(SUMPRODUCT((CÁLCULO!$M$15:$M$47=EVENTOS!$C44)*(OFFSET(CÁLCULO!$AA$15:$AA$47,0,O$13))),2),0)</f>
        <v>0</v>
      </c>
      <c r="P44" s="620" cm="1">
        <f t="array" aca="1" ref="P44" ca="1">IF(AUTOEVENTO="Manual",ROUND(SUMPRODUCT((CÁLCULO!$M$15:$M$47=EVENTOS!$C44)*(OFFSET(CÁLCULO!$AA$15:$AA$47,0,P$13))),2),0)</f>
        <v>0</v>
      </c>
      <c r="Q44" s="620" cm="1">
        <f t="array" aca="1" ref="Q44" ca="1">IF(AUTOEVENTO="Manual",ROUND(SUMPRODUCT((CÁLCULO!$M$15:$M$47=EVENTOS!$C44)*(OFFSET(CÁLCULO!$AA$15:$AA$47,0,Q$13))),2),0)</f>
        <v>0</v>
      </c>
      <c r="R44" s="620" cm="1">
        <f t="array" aca="1" ref="R44" ca="1">IF(AUTOEVENTO="Manual",ROUND(SUMPRODUCT((CÁLCULO!$M$15:$M$47=EVENTOS!$C44)*(OFFSET(CÁLCULO!$AA$15:$AA$47,0,R$13))),2),0)</f>
        <v>0</v>
      </c>
      <c r="S44" s="620" cm="1">
        <f t="array" aca="1" ref="S44" ca="1">IF(AUTOEVENTO="Manual",ROUND(SUMPRODUCT((CÁLCULO!$M$15:$M$47=EVENTOS!$C44)*(OFFSET(CÁLCULO!$AA$15:$AA$47,0,S$13))),2),0)</f>
        <v>0</v>
      </c>
      <c r="T44" s="620" cm="1">
        <f t="array" aca="1" ref="T44" ca="1">IF(AUTOEVENTO="Manual",ROUND(SUMPRODUCT((CÁLCULO!$M$15:$M$47=EVENTOS!$C44)*(OFFSET(CÁLCULO!$AA$15:$AA$47,0,T$13))),2),0)</f>
        <v>0</v>
      </c>
      <c r="U44" s="620" cm="1">
        <f t="array" aca="1" ref="U44" ca="1">IF(AUTOEVENTO="Manual",ROUND(SUMPRODUCT((CÁLCULO!$M$15:$M$47=EVENTOS!$C44)*(OFFSET(CÁLCULO!$AA$15:$AA$47,0,U$13))),2),0)</f>
        <v>0</v>
      </c>
      <c r="V44" s="620" cm="1">
        <f t="array" aca="1" ref="V44" ca="1">IF(AUTOEVENTO="Manual",ROUND(SUMPRODUCT((CÁLCULO!$M$15:$M$47=EVENTOS!$C44)*(OFFSET(CÁLCULO!$AA$15:$AA$47,0,V$13))),2),0)</f>
        <v>0</v>
      </c>
      <c r="W44" s="620" cm="1">
        <f t="array" aca="1" ref="W44" ca="1">IF(AUTOEVENTO="Manual",ROUND(SUMPRODUCT((CÁLCULO!$M$15:$M$47=EVENTOS!$C44)*(OFFSET(CÁLCULO!$AA$15:$AA$47,0,W$13))),2),0)</f>
        <v>0</v>
      </c>
      <c r="X44" s="620" cm="1">
        <f t="array" aca="1" ref="X44" ca="1">IF(AUTOEVENTO="Manual",ROUND(SUMPRODUCT((CÁLCULO!$M$15:$M$47=EVENTOS!$C44)*(OFFSET(CÁLCULO!$AA$15:$AA$47,0,X$13))),2),0)</f>
        <v>0</v>
      </c>
      <c r="Y44" s="620" cm="1">
        <f t="array" aca="1" ref="Y44" ca="1">IF(AUTOEVENTO="Manual",ROUND(SUMPRODUCT((CÁLCULO!$M$15:$M$47=EVENTOS!$C44)*(OFFSET(CÁLCULO!$AA$15:$AA$47,0,Y$13))),2),0)</f>
        <v>0</v>
      </c>
    </row>
    <row r="45" spans="1:25" x14ac:dyDescent="0.2">
      <c r="A45" s="506" t="str">
        <f t="shared" si="3"/>
        <v/>
      </c>
      <c r="B45" t="str">
        <f t="shared" ca="1" si="4"/>
        <v/>
      </c>
      <c r="C45" s="182" t="str" cm="1">
        <f t="array" aca="1" ref="C45" ca="1">IF(OR(ROW(C45)=ROW(EVENTOS.firstrow)+1,AND(OFFSET(C45,-1,0)&lt;&gt;" ",OFFSET(C45,-1,1)&lt;&gt;"")),OFFSET(C45,-1,0)+1," ")</f>
        <v xml:space="preserve"> </v>
      </c>
      <c r="D45" s="496"/>
      <c r="E45" s="620" cm="1">
        <f t="array" aca="1" ref="E45" ca="1">IF(AUTOEVENTO="Manual",ROUND(SUMPRODUCT((CÁLCULO!$M$15:$M$47=EVENTOS!$C45)*(OFFSET(CÁLCULO!$AA$15:$AA$47,0,E$13))),2),0)</f>
        <v>0</v>
      </c>
      <c r="F45" s="183">
        <f ca="1">IF(AUTOEVENTO="Manual",ROUND(SUMPRODUCT((CÁLCULO!$M$15:$M$47=EVENTOS!$C45)*(OFFSET(CÁLCULO!$AA$15,0,1):OFFSET(CÁLCULO!$AL$47,0,-1))),2),0)</f>
        <v>0</v>
      </c>
      <c r="G45" s="621" t="str">
        <f t="shared" ca="1" si="5"/>
        <v/>
      </c>
      <c r="H45" s="620" cm="1">
        <f t="array" aca="1" ref="H45" ca="1">IF(AUTOEVENTO="Manual",ROUND(SUMPRODUCT((CÁLCULO!$M$15:$M$47=EVENTOS!$C45)*(OFFSET(CÁLCULO!$AA$15:$AA$47,0,H$13))),2),0)</f>
        <v>0</v>
      </c>
      <c r="I45" s="620" cm="1">
        <f t="array" aca="1" ref="I45" ca="1">IF(AUTOEVENTO="Manual",ROUND(SUMPRODUCT((CÁLCULO!$M$15:$M$47=EVENTOS!$C45)*(OFFSET(CÁLCULO!$AA$15:$AA$47,0,I$13))),2),0)</f>
        <v>0</v>
      </c>
      <c r="J45" s="620" cm="1">
        <f t="array" aca="1" ref="J45" ca="1">IF(AUTOEVENTO="Manual",ROUND(SUMPRODUCT((CÁLCULO!$M$15:$M$47=EVENTOS!$C45)*(OFFSET(CÁLCULO!$AA$15:$AA$47,0,J$13))),2),0)</f>
        <v>0</v>
      </c>
      <c r="K45" s="620" cm="1">
        <f t="array" aca="1" ref="K45" ca="1">IF(AUTOEVENTO="Manual",ROUND(SUMPRODUCT((CÁLCULO!$M$15:$M$47=EVENTOS!$C45)*(OFFSET(CÁLCULO!$AA$15:$AA$47,0,K$13))),2),0)</f>
        <v>0</v>
      </c>
      <c r="L45" s="620" cm="1">
        <f t="array" aca="1" ref="L45" ca="1">IF(AUTOEVENTO="Manual",ROUND(SUMPRODUCT((CÁLCULO!$M$15:$M$47=EVENTOS!$C45)*(OFFSET(CÁLCULO!$AA$15:$AA$47,0,L$13))),2),0)</f>
        <v>0</v>
      </c>
      <c r="M45" s="620" cm="1">
        <f t="array" aca="1" ref="M45" ca="1">IF(AUTOEVENTO="Manual",ROUND(SUMPRODUCT((CÁLCULO!$M$15:$M$47=EVENTOS!$C45)*(OFFSET(CÁLCULO!$AA$15:$AA$47,0,M$13))),2),0)</f>
        <v>0</v>
      </c>
      <c r="N45" s="620" cm="1">
        <f t="array" aca="1" ref="N45" ca="1">IF(AUTOEVENTO="Manual",ROUND(SUMPRODUCT((CÁLCULO!$M$15:$M$47=EVENTOS!$C45)*(OFFSET(CÁLCULO!$AA$15:$AA$47,0,N$13))),2),0)</f>
        <v>0</v>
      </c>
      <c r="O45" s="620" cm="1">
        <f t="array" aca="1" ref="O45" ca="1">IF(AUTOEVENTO="Manual",ROUND(SUMPRODUCT((CÁLCULO!$M$15:$M$47=EVENTOS!$C45)*(OFFSET(CÁLCULO!$AA$15:$AA$47,0,O$13))),2),0)</f>
        <v>0</v>
      </c>
      <c r="P45" s="620" cm="1">
        <f t="array" aca="1" ref="P45" ca="1">IF(AUTOEVENTO="Manual",ROUND(SUMPRODUCT((CÁLCULO!$M$15:$M$47=EVENTOS!$C45)*(OFFSET(CÁLCULO!$AA$15:$AA$47,0,P$13))),2),0)</f>
        <v>0</v>
      </c>
      <c r="Q45" s="620" cm="1">
        <f t="array" aca="1" ref="Q45" ca="1">IF(AUTOEVENTO="Manual",ROUND(SUMPRODUCT((CÁLCULO!$M$15:$M$47=EVENTOS!$C45)*(OFFSET(CÁLCULO!$AA$15:$AA$47,0,Q$13))),2),0)</f>
        <v>0</v>
      </c>
      <c r="R45" s="620" cm="1">
        <f t="array" aca="1" ref="R45" ca="1">IF(AUTOEVENTO="Manual",ROUND(SUMPRODUCT((CÁLCULO!$M$15:$M$47=EVENTOS!$C45)*(OFFSET(CÁLCULO!$AA$15:$AA$47,0,R$13))),2),0)</f>
        <v>0</v>
      </c>
      <c r="S45" s="620" cm="1">
        <f t="array" aca="1" ref="S45" ca="1">IF(AUTOEVENTO="Manual",ROUND(SUMPRODUCT((CÁLCULO!$M$15:$M$47=EVENTOS!$C45)*(OFFSET(CÁLCULO!$AA$15:$AA$47,0,S$13))),2),0)</f>
        <v>0</v>
      </c>
      <c r="T45" s="620" cm="1">
        <f t="array" aca="1" ref="T45" ca="1">IF(AUTOEVENTO="Manual",ROUND(SUMPRODUCT((CÁLCULO!$M$15:$M$47=EVENTOS!$C45)*(OFFSET(CÁLCULO!$AA$15:$AA$47,0,T$13))),2),0)</f>
        <v>0</v>
      </c>
      <c r="U45" s="620" cm="1">
        <f t="array" aca="1" ref="U45" ca="1">IF(AUTOEVENTO="Manual",ROUND(SUMPRODUCT((CÁLCULO!$M$15:$M$47=EVENTOS!$C45)*(OFFSET(CÁLCULO!$AA$15:$AA$47,0,U$13))),2),0)</f>
        <v>0</v>
      </c>
      <c r="V45" s="620" cm="1">
        <f t="array" aca="1" ref="V45" ca="1">IF(AUTOEVENTO="Manual",ROUND(SUMPRODUCT((CÁLCULO!$M$15:$M$47=EVENTOS!$C45)*(OFFSET(CÁLCULO!$AA$15:$AA$47,0,V$13))),2),0)</f>
        <v>0</v>
      </c>
      <c r="W45" s="620" cm="1">
        <f t="array" aca="1" ref="W45" ca="1">IF(AUTOEVENTO="Manual",ROUND(SUMPRODUCT((CÁLCULO!$M$15:$M$47=EVENTOS!$C45)*(OFFSET(CÁLCULO!$AA$15:$AA$47,0,W$13))),2),0)</f>
        <v>0</v>
      </c>
      <c r="X45" s="620" cm="1">
        <f t="array" aca="1" ref="X45" ca="1">IF(AUTOEVENTO="Manual",ROUND(SUMPRODUCT((CÁLCULO!$M$15:$M$47=EVENTOS!$C45)*(OFFSET(CÁLCULO!$AA$15:$AA$47,0,X$13))),2),0)</f>
        <v>0</v>
      </c>
      <c r="Y45" s="620" cm="1">
        <f t="array" aca="1" ref="Y45" ca="1">IF(AUTOEVENTO="Manual",ROUND(SUMPRODUCT((CÁLCULO!$M$15:$M$47=EVENTOS!$C45)*(OFFSET(CÁLCULO!$AA$15:$AA$47,0,Y$13))),2),0)</f>
        <v>0</v>
      </c>
    </row>
    <row r="46" spans="1:25" x14ac:dyDescent="0.2">
      <c r="A46" s="506" t="str">
        <f t="shared" si="3"/>
        <v/>
      </c>
      <c r="B46" t="str">
        <f t="shared" ca="1" si="4"/>
        <v/>
      </c>
      <c r="C46" s="182" t="str" cm="1">
        <f t="array" aca="1" ref="C46" ca="1">IF(OR(ROW(C46)=ROW(EVENTOS.firstrow)+1,AND(OFFSET(C46,-1,0)&lt;&gt;" ",OFFSET(C46,-1,1)&lt;&gt;"")),OFFSET(C46,-1,0)+1," ")</f>
        <v xml:space="preserve"> </v>
      </c>
      <c r="D46" s="496"/>
      <c r="E46" s="620" cm="1">
        <f t="array" aca="1" ref="E46" ca="1">IF(AUTOEVENTO="Manual",ROUND(SUMPRODUCT((CÁLCULO!$M$15:$M$47=EVENTOS!$C46)*(OFFSET(CÁLCULO!$AA$15:$AA$47,0,E$13))),2),0)</f>
        <v>0</v>
      </c>
      <c r="F46" s="183">
        <f ca="1">IF(AUTOEVENTO="Manual",ROUND(SUMPRODUCT((CÁLCULO!$M$15:$M$47=EVENTOS!$C46)*(OFFSET(CÁLCULO!$AA$15,0,1):OFFSET(CÁLCULO!$AL$47,0,-1))),2),0)</f>
        <v>0</v>
      </c>
      <c r="G46" s="621" t="str">
        <f t="shared" ca="1" si="5"/>
        <v/>
      </c>
      <c r="H46" s="620" cm="1">
        <f t="array" aca="1" ref="H46" ca="1">IF(AUTOEVENTO="Manual",ROUND(SUMPRODUCT((CÁLCULO!$M$15:$M$47=EVENTOS!$C46)*(OFFSET(CÁLCULO!$AA$15:$AA$47,0,H$13))),2),0)</f>
        <v>0</v>
      </c>
      <c r="I46" s="620" cm="1">
        <f t="array" aca="1" ref="I46" ca="1">IF(AUTOEVENTO="Manual",ROUND(SUMPRODUCT((CÁLCULO!$M$15:$M$47=EVENTOS!$C46)*(OFFSET(CÁLCULO!$AA$15:$AA$47,0,I$13))),2),0)</f>
        <v>0</v>
      </c>
      <c r="J46" s="620" cm="1">
        <f t="array" aca="1" ref="J46" ca="1">IF(AUTOEVENTO="Manual",ROUND(SUMPRODUCT((CÁLCULO!$M$15:$M$47=EVENTOS!$C46)*(OFFSET(CÁLCULO!$AA$15:$AA$47,0,J$13))),2),0)</f>
        <v>0</v>
      </c>
      <c r="K46" s="620" cm="1">
        <f t="array" aca="1" ref="K46" ca="1">IF(AUTOEVENTO="Manual",ROUND(SUMPRODUCT((CÁLCULO!$M$15:$M$47=EVENTOS!$C46)*(OFFSET(CÁLCULO!$AA$15:$AA$47,0,K$13))),2),0)</f>
        <v>0</v>
      </c>
      <c r="L46" s="620" cm="1">
        <f t="array" aca="1" ref="L46" ca="1">IF(AUTOEVENTO="Manual",ROUND(SUMPRODUCT((CÁLCULO!$M$15:$M$47=EVENTOS!$C46)*(OFFSET(CÁLCULO!$AA$15:$AA$47,0,L$13))),2),0)</f>
        <v>0</v>
      </c>
      <c r="M46" s="620" cm="1">
        <f t="array" aca="1" ref="M46" ca="1">IF(AUTOEVENTO="Manual",ROUND(SUMPRODUCT((CÁLCULO!$M$15:$M$47=EVENTOS!$C46)*(OFFSET(CÁLCULO!$AA$15:$AA$47,0,M$13))),2),0)</f>
        <v>0</v>
      </c>
      <c r="N46" s="620" cm="1">
        <f t="array" aca="1" ref="N46" ca="1">IF(AUTOEVENTO="Manual",ROUND(SUMPRODUCT((CÁLCULO!$M$15:$M$47=EVENTOS!$C46)*(OFFSET(CÁLCULO!$AA$15:$AA$47,0,N$13))),2),0)</f>
        <v>0</v>
      </c>
      <c r="O46" s="620" cm="1">
        <f t="array" aca="1" ref="O46" ca="1">IF(AUTOEVENTO="Manual",ROUND(SUMPRODUCT((CÁLCULO!$M$15:$M$47=EVENTOS!$C46)*(OFFSET(CÁLCULO!$AA$15:$AA$47,0,O$13))),2),0)</f>
        <v>0</v>
      </c>
      <c r="P46" s="620" cm="1">
        <f t="array" aca="1" ref="P46" ca="1">IF(AUTOEVENTO="Manual",ROUND(SUMPRODUCT((CÁLCULO!$M$15:$M$47=EVENTOS!$C46)*(OFFSET(CÁLCULO!$AA$15:$AA$47,0,P$13))),2),0)</f>
        <v>0</v>
      </c>
      <c r="Q46" s="620" cm="1">
        <f t="array" aca="1" ref="Q46" ca="1">IF(AUTOEVENTO="Manual",ROUND(SUMPRODUCT((CÁLCULO!$M$15:$M$47=EVENTOS!$C46)*(OFFSET(CÁLCULO!$AA$15:$AA$47,0,Q$13))),2),0)</f>
        <v>0</v>
      </c>
      <c r="R46" s="620" cm="1">
        <f t="array" aca="1" ref="R46" ca="1">IF(AUTOEVENTO="Manual",ROUND(SUMPRODUCT((CÁLCULO!$M$15:$M$47=EVENTOS!$C46)*(OFFSET(CÁLCULO!$AA$15:$AA$47,0,R$13))),2),0)</f>
        <v>0</v>
      </c>
      <c r="S46" s="620" cm="1">
        <f t="array" aca="1" ref="S46" ca="1">IF(AUTOEVENTO="Manual",ROUND(SUMPRODUCT((CÁLCULO!$M$15:$M$47=EVENTOS!$C46)*(OFFSET(CÁLCULO!$AA$15:$AA$47,0,S$13))),2),0)</f>
        <v>0</v>
      </c>
      <c r="T46" s="620" cm="1">
        <f t="array" aca="1" ref="T46" ca="1">IF(AUTOEVENTO="Manual",ROUND(SUMPRODUCT((CÁLCULO!$M$15:$M$47=EVENTOS!$C46)*(OFFSET(CÁLCULO!$AA$15:$AA$47,0,T$13))),2),0)</f>
        <v>0</v>
      </c>
      <c r="U46" s="620" cm="1">
        <f t="array" aca="1" ref="U46" ca="1">IF(AUTOEVENTO="Manual",ROUND(SUMPRODUCT((CÁLCULO!$M$15:$M$47=EVENTOS!$C46)*(OFFSET(CÁLCULO!$AA$15:$AA$47,0,U$13))),2),0)</f>
        <v>0</v>
      </c>
      <c r="V46" s="620" cm="1">
        <f t="array" aca="1" ref="V46" ca="1">IF(AUTOEVENTO="Manual",ROUND(SUMPRODUCT((CÁLCULO!$M$15:$M$47=EVENTOS!$C46)*(OFFSET(CÁLCULO!$AA$15:$AA$47,0,V$13))),2),0)</f>
        <v>0</v>
      </c>
      <c r="W46" s="620" cm="1">
        <f t="array" aca="1" ref="W46" ca="1">IF(AUTOEVENTO="Manual",ROUND(SUMPRODUCT((CÁLCULO!$M$15:$M$47=EVENTOS!$C46)*(OFFSET(CÁLCULO!$AA$15:$AA$47,0,W$13))),2),0)</f>
        <v>0</v>
      </c>
      <c r="X46" s="620" cm="1">
        <f t="array" aca="1" ref="X46" ca="1">IF(AUTOEVENTO="Manual",ROUND(SUMPRODUCT((CÁLCULO!$M$15:$M$47=EVENTOS!$C46)*(OFFSET(CÁLCULO!$AA$15:$AA$47,0,X$13))),2),0)</f>
        <v>0</v>
      </c>
      <c r="Y46" s="620" cm="1">
        <f t="array" aca="1" ref="Y46" ca="1">IF(AUTOEVENTO="Manual",ROUND(SUMPRODUCT((CÁLCULO!$M$15:$M$47=EVENTOS!$C46)*(OFFSET(CÁLCULO!$AA$15:$AA$47,0,Y$13))),2),0)</f>
        <v>0</v>
      </c>
    </row>
    <row r="47" spans="1:25" x14ac:dyDescent="0.2">
      <c r="A47" s="506" t="str">
        <f t="shared" si="3"/>
        <v/>
      </c>
      <c r="B47" t="str">
        <f t="shared" ca="1" si="4"/>
        <v/>
      </c>
      <c r="C47" s="182" t="str" cm="1">
        <f t="array" aca="1" ref="C47" ca="1">IF(OR(ROW(C47)=ROW(EVENTOS.firstrow)+1,AND(OFFSET(C47,-1,0)&lt;&gt;" ",OFFSET(C47,-1,1)&lt;&gt;"")),OFFSET(C47,-1,0)+1," ")</f>
        <v xml:space="preserve"> </v>
      </c>
      <c r="D47" s="496"/>
      <c r="E47" s="620" cm="1">
        <f t="array" aca="1" ref="E47" ca="1">IF(AUTOEVENTO="Manual",ROUND(SUMPRODUCT((CÁLCULO!$M$15:$M$47=EVENTOS!$C47)*(OFFSET(CÁLCULO!$AA$15:$AA$47,0,E$13))),2),0)</f>
        <v>0</v>
      </c>
      <c r="F47" s="183">
        <f ca="1">IF(AUTOEVENTO="Manual",ROUND(SUMPRODUCT((CÁLCULO!$M$15:$M$47=EVENTOS!$C47)*(OFFSET(CÁLCULO!$AA$15,0,1):OFFSET(CÁLCULO!$AL$47,0,-1))),2),0)</f>
        <v>0</v>
      </c>
      <c r="G47" s="621" t="str">
        <f t="shared" ca="1" si="5"/>
        <v/>
      </c>
      <c r="H47" s="620" cm="1">
        <f t="array" aca="1" ref="H47" ca="1">IF(AUTOEVENTO="Manual",ROUND(SUMPRODUCT((CÁLCULO!$M$15:$M$47=EVENTOS!$C47)*(OFFSET(CÁLCULO!$AA$15:$AA$47,0,H$13))),2),0)</f>
        <v>0</v>
      </c>
      <c r="I47" s="620" cm="1">
        <f t="array" aca="1" ref="I47" ca="1">IF(AUTOEVENTO="Manual",ROUND(SUMPRODUCT((CÁLCULO!$M$15:$M$47=EVENTOS!$C47)*(OFFSET(CÁLCULO!$AA$15:$AA$47,0,I$13))),2),0)</f>
        <v>0</v>
      </c>
      <c r="J47" s="620" cm="1">
        <f t="array" aca="1" ref="J47" ca="1">IF(AUTOEVENTO="Manual",ROUND(SUMPRODUCT((CÁLCULO!$M$15:$M$47=EVENTOS!$C47)*(OFFSET(CÁLCULO!$AA$15:$AA$47,0,J$13))),2),0)</f>
        <v>0</v>
      </c>
      <c r="K47" s="620" cm="1">
        <f t="array" aca="1" ref="K47" ca="1">IF(AUTOEVENTO="Manual",ROUND(SUMPRODUCT((CÁLCULO!$M$15:$M$47=EVENTOS!$C47)*(OFFSET(CÁLCULO!$AA$15:$AA$47,0,K$13))),2),0)</f>
        <v>0</v>
      </c>
      <c r="L47" s="620" cm="1">
        <f t="array" aca="1" ref="L47" ca="1">IF(AUTOEVENTO="Manual",ROUND(SUMPRODUCT((CÁLCULO!$M$15:$M$47=EVENTOS!$C47)*(OFFSET(CÁLCULO!$AA$15:$AA$47,0,L$13))),2),0)</f>
        <v>0</v>
      </c>
      <c r="M47" s="620" cm="1">
        <f t="array" aca="1" ref="M47" ca="1">IF(AUTOEVENTO="Manual",ROUND(SUMPRODUCT((CÁLCULO!$M$15:$M$47=EVENTOS!$C47)*(OFFSET(CÁLCULO!$AA$15:$AA$47,0,M$13))),2),0)</f>
        <v>0</v>
      </c>
      <c r="N47" s="620" cm="1">
        <f t="array" aca="1" ref="N47" ca="1">IF(AUTOEVENTO="Manual",ROUND(SUMPRODUCT((CÁLCULO!$M$15:$M$47=EVENTOS!$C47)*(OFFSET(CÁLCULO!$AA$15:$AA$47,0,N$13))),2),0)</f>
        <v>0</v>
      </c>
      <c r="O47" s="620" cm="1">
        <f t="array" aca="1" ref="O47" ca="1">IF(AUTOEVENTO="Manual",ROUND(SUMPRODUCT((CÁLCULO!$M$15:$M$47=EVENTOS!$C47)*(OFFSET(CÁLCULO!$AA$15:$AA$47,0,O$13))),2),0)</f>
        <v>0</v>
      </c>
      <c r="P47" s="620" cm="1">
        <f t="array" aca="1" ref="P47" ca="1">IF(AUTOEVENTO="Manual",ROUND(SUMPRODUCT((CÁLCULO!$M$15:$M$47=EVENTOS!$C47)*(OFFSET(CÁLCULO!$AA$15:$AA$47,0,P$13))),2),0)</f>
        <v>0</v>
      </c>
      <c r="Q47" s="620" cm="1">
        <f t="array" aca="1" ref="Q47" ca="1">IF(AUTOEVENTO="Manual",ROUND(SUMPRODUCT((CÁLCULO!$M$15:$M$47=EVENTOS!$C47)*(OFFSET(CÁLCULO!$AA$15:$AA$47,0,Q$13))),2),0)</f>
        <v>0</v>
      </c>
      <c r="R47" s="620" cm="1">
        <f t="array" aca="1" ref="R47" ca="1">IF(AUTOEVENTO="Manual",ROUND(SUMPRODUCT((CÁLCULO!$M$15:$M$47=EVENTOS!$C47)*(OFFSET(CÁLCULO!$AA$15:$AA$47,0,R$13))),2),0)</f>
        <v>0</v>
      </c>
      <c r="S47" s="620" cm="1">
        <f t="array" aca="1" ref="S47" ca="1">IF(AUTOEVENTO="Manual",ROUND(SUMPRODUCT((CÁLCULO!$M$15:$M$47=EVENTOS!$C47)*(OFFSET(CÁLCULO!$AA$15:$AA$47,0,S$13))),2),0)</f>
        <v>0</v>
      </c>
      <c r="T47" s="620" cm="1">
        <f t="array" aca="1" ref="T47" ca="1">IF(AUTOEVENTO="Manual",ROUND(SUMPRODUCT((CÁLCULO!$M$15:$M$47=EVENTOS!$C47)*(OFFSET(CÁLCULO!$AA$15:$AA$47,0,T$13))),2),0)</f>
        <v>0</v>
      </c>
      <c r="U47" s="620" cm="1">
        <f t="array" aca="1" ref="U47" ca="1">IF(AUTOEVENTO="Manual",ROUND(SUMPRODUCT((CÁLCULO!$M$15:$M$47=EVENTOS!$C47)*(OFFSET(CÁLCULO!$AA$15:$AA$47,0,U$13))),2),0)</f>
        <v>0</v>
      </c>
      <c r="V47" s="620" cm="1">
        <f t="array" aca="1" ref="V47" ca="1">IF(AUTOEVENTO="Manual",ROUND(SUMPRODUCT((CÁLCULO!$M$15:$M$47=EVENTOS!$C47)*(OFFSET(CÁLCULO!$AA$15:$AA$47,0,V$13))),2),0)</f>
        <v>0</v>
      </c>
      <c r="W47" s="620" cm="1">
        <f t="array" aca="1" ref="W47" ca="1">IF(AUTOEVENTO="Manual",ROUND(SUMPRODUCT((CÁLCULO!$M$15:$M$47=EVENTOS!$C47)*(OFFSET(CÁLCULO!$AA$15:$AA$47,0,W$13))),2),0)</f>
        <v>0</v>
      </c>
      <c r="X47" s="620" cm="1">
        <f t="array" aca="1" ref="X47" ca="1">IF(AUTOEVENTO="Manual",ROUND(SUMPRODUCT((CÁLCULO!$M$15:$M$47=EVENTOS!$C47)*(OFFSET(CÁLCULO!$AA$15:$AA$47,0,X$13))),2),0)</f>
        <v>0</v>
      </c>
      <c r="Y47" s="620" cm="1">
        <f t="array" aca="1" ref="Y47" ca="1">IF(AUTOEVENTO="Manual",ROUND(SUMPRODUCT((CÁLCULO!$M$15:$M$47=EVENTOS!$C47)*(OFFSET(CÁLCULO!$AA$15:$AA$47,0,Y$13))),2),0)</f>
        <v>0</v>
      </c>
    </row>
    <row r="48" spans="1:25" x14ac:dyDescent="0.2">
      <c r="A48" s="506" t="str">
        <f t="shared" si="3"/>
        <v/>
      </c>
      <c r="B48" t="str">
        <f t="shared" ca="1" si="4"/>
        <v/>
      </c>
      <c r="C48" s="182" t="str" cm="1">
        <f t="array" aca="1" ref="C48" ca="1">IF(OR(ROW(C48)=ROW(EVENTOS.firstrow)+1,AND(OFFSET(C48,-1,0)&lt;&gt;" ",OFFSET(C48,-1,1)&lt;&gt;"")),OFFSET(C48,-1,0)+1," ")</f>
        <v xml:space="preserve"> </v>
      </c>
      <c r="D48" s="496"/>
      <c r="E48" s="620" cm="1">
        <f t="array" aca="1" ref="E48" ca="1">IF(AUTOEVENTO="Manual",ROUND(SUMPRODUCT((CÁLCULO!$M$15:$M$47=EVENTOS!$C48)*(OFFSET(CÁLCULO!$AA$15:$AA$47,0,E$13))),2),0)</f>
        <v>0</v>
      </c>
      <c r="F48" s="183">
        <f ca="1">IF(AUTOEVENTO="Manual",ROUND(SUMPRODUCT((CÁLCULO!$M$15:$M$47=EVENTOS!$C48)*(OFFSET(CÁLCULO!$AA$15,0,1):OFFSET(CÁLCULO!$AL$47,0,-1))),2),0)</f>
        <v>0</v>
      </c>
      <c r="G48" s="621" t="str">
        <f t="shared" ref="G48:G64" ca="1" si="6">IF(AND(D48=0,F48&gt;0),"NOME",
 IF(AND(D48&lt;&gt;0,$F$14&gt;0,F48=0),"VALOR",
 IF(AND(Import.TipoArredondamento="TransfereGOV",$A48="F",LEN(D48)&gt;100),"Nome &gt;100","")))</f>
        <v/>
      </c>
      <c r="H48" s="620" cm="1">
        <f t="array" aca="1" ref="H48" ca="1">IF(AUTOEVENTO="Manual",ROUND(SUMPRODUCT((CÁLCULO!$M$15:$M$47=EVENTOS!$C48)*(OFFSET(CÁLCULO!$AA$15:$AA$47,0,H$13))),2),0)</f>
        <v>0</v>
      </c>
      <c r="I48" s="620" cm="1">
        <f t="array" aca="1" ref="I48" ca="1">IF(AUTOEVENTO="Manual",ROUND(SUMPRODUCT((CÁLCULO!$M$15:$M$47=EVENTOS!$C48)*(OFFSET(CÁLCULO!$AA$15:$AA$47,0,I$13))),2),0)</f>
        <v>0</v>
      </c>
      <c r="J48" s="620" cm="1">
        <f t="array" aca="1" ref="J48" ca="1">IF(AUTOEVENTO="Manual",ROUND(SUMPRODUCT((CÁLCULO!$M$15:$M$47=EVENTOS!$C48)*(OFFSET(CÁLCULO!$AA$15:$AA$47,0,J$13))),2),0)</f>
        <v>0</v>
      </c>
      <c r="K48" s="620" cm="1">
        <f t="array" aca="1" ref="K48" ca="1">IF(AUTOEVENTO="Manual",ROUND(SUMPRODUCT((CÁLCULO!$M$15:$M$47=EVENTOS!$C48)*(OFFSET(CÁLCULO!$AA$15:$AA$47,0,K$13))),2),0)</f>
        <v>0</v>
      </c>
      <c r="L48" s="620" cm="1">
        <f t="array" aca="1" ref="L48" ca="1">IF(AUTOEVENTO="Manual",ROUND(SUMPRODUCT((CÁLCULO!$M$15:$M$47=EVENTOS!$C48)*(OFFSET(CÁLCULO!$AA$15:$AA$47,0,L$13))),2),0)</f>
        <v>0</v>
      </c>
      <c r="M48" s="620" cm="1">
        <f t="array" aca="1" ref="M48" ca="1">IF(AUTOEVENTO="Manual",ROUND(SUMPRODUCT((CÁLCULO!$M$15:$M$47=EVENTOS!$C48)*(OFFSET(CÁLCULO!$AA$15:$AA$47,0,M$13))),2),0)</f>
        <v>0</v>
      </c>
      <c r="N48" s="620" cm="1">
        <f t="array" aca="1" ref="N48" ca="1">IF(AUTOEVENTO="Manual",ROUND(SUMPRODUCT((CÁLCULO!$M$15:$M$47=EVENTOS!$C48)*(OFFSET(CÁLCULO!$AA$15:$AA$47,0,N$13))),2),0)</f>
        <v>0</v>
      </c>
      <c r="O48" s="620" cm="1">
        <f t="array" aca="1" ref="O48" ca="1">IF(AUTOEVENTO="Manual",ROUND(SUMPRODUCT((CÁLCULO!$M$15:$M$47=EVENTOS!$C48)*(OFFSET(CÁLCULO!$AA$15:$AA$47,0,O$13))),2),0)</f>
        <v>0</v>
      </c>
      <c r="P48" s="620" cm="1">
        <f t="array" aca="1" ref="P48" ca="1">IF(AUTOEVENTO="Manual",ROUND(SUMPRODUCT((CÁLCULO!$M$15:$M$47=EVENTOS!$C48)*(OFFSET(CÁLCULO!$AA$15:$AA$47,0,P$13))),2),0)</f>
        <v>0</v>
      </c>
      <c r="Q48" s="620" cm="1">
        <f t="array" aca="1" ref="Q48" ca="1">IF(AUTOEVENTO="Manual",ROUND(SUMPRODUCT((CÁLCULO!$M$15:$M$47=EVENTOS!$C48)*(OFFSET(CÁLCULO!$AA$15:$AA$47,0,Q$13))),2),0)</f>
        <v>0</v>
      </c>
      <c r="R48" s="620" cm="1">
        <f t="array" aca="1" ref="R48" ca="1">IF(AUTOEVENTO="Manual",ROUND(SUMPRODUCT((CÁLCULO!$M$15:$M$47=EVENTOS!$C48)*(OFFSET(CÁLCULO!$AA$15:$AA$47,0,R$13))),2),0)</f>
        <v>0</v>
      </c>
      <c r="S48" s="620" cm="1">
        <f t="array" aca="1" ref="S48" ca="1">IF(AUTOEVENTO="Manual",ROUND(SUMPRODUCT((CÁLCULO!$M$15:$M$47=EVENTOS!$C48)*(OFFSET(CÁLCULO!$AA$15:$AA$47,0,S$13))),2),0)</f>
        <v>0</v>
      </c>
      <c r="T48" s="620" cm="1">
        <f t="array" aca="1" ref="T48" ca="1">IF(AUTOEVENTO="Manual",ROUND(SUMPRODUCT((CÁLCULO!$M$15:$M$47=EVENTOS!$C48)*(OFFSET(CÁLCULO!$AA$15:$AA$47,0,T$13))),2),0)</f>
        <v>0</v>
      </c>
      <c r="U48" s="620" cm="1">
        <f t="array" aca="1" ref="U48" ca="1">IF(AUTOEVENTO="Manual",ROUND(SUMPRODUCT((CÁLCULO!$M$15:$M$47=EVENTOS!$C48)*(OFFSET(CÁLCULO!$AA$15:$AA$47,0,U$13))),2),0)</f>
        <v>0</v>
      </c>
      <c r="V48" s="620" cm="1">
        <f t="array" aca="1" ref="V48" ca="1">IF(AUTOEVENTO="Manual",ROUND(SUMPRODUCT((CÁLCULO!$M$15:$M$47=EVENTOS!$C48)*(OFFSET(CÁLCULO!$AA$15:$AA$47,0,V$13))),2),0)</f>
        <v>0</v>
      </c>
      <c r="W48" s="620" cm="1">
        <f t="array" aca="1" ref="W48" ca="1">IF(AUTOEVENTO="Manual",ROUND(SUMPRODUCT((CÁLCULO!$M$15:$M$47=EVENTOS!$C48)*(OFFSET(CÁLCULO!$AA$15:$AA$47,0,W$13))),2),0)</f>
        <v>0</v>
      </c>
      <c r="X48" s="620" cm="1">
        <f t="array" aca="1" ref="X48" ca="1">IF(AUTOEVENTO="Manual",ROUND(SUMPRODUCT((CÁLCULO!$M$15:$M$47=EVENTOS!$C48)*(OFFSET(CÁLCULO!$AA$15:$AA$47,0,X$13))),2),0)</f>
        <v>0</v>
      </c>
      <c r="Y48" s="620" cm="1">
        <f t="array" aca="1" ref="Y48" ca="1">IF(AUTOEVENTO="Manual",ROUND(SUMPRODUCT((CÁLCULO!$M$15:$M$47=EVENTOS!$C48)*(OFFSET(CÁLCULO!$AA$15:$AA$47,0,Y$13))),2),0)</f>
        <v>0</v>
      </c>
    </row>
    <row r="49" spans="1:25" x14ac:dyDescent="0.2">
      <c r="A49" s="506" t="str">
        <f t="shared" si="3"/>
        <v/>
      </c>
      <c r="B49" t="str">
        <f t="shared" ca="1" si="4"/>
        <v/>
      </c>
      <c r="C49" s="182" t="str" cm="1">
        <f t="array" aca="1" ref="C49" ca="1">IF(OR(ROW(C49)=ROW(EVENTOS.firstrow)+1,AND(OFFSET(C49,-1,0)&lt;&gt;" ",OFFSET(C49,-1,1)&lt;&gt;"")),OFFSET(C49,-1,0)+1," ")</f>
        <v xml:space="preserve"> </v>
      </c>
      <c r="D49" s="496"/>
      <c r="E49" s="620" cm="1">
        <f t="array" aca="1" ref="E49" ca="1">IF(AUTOEVENTO="Manual",ROUND(SUMPRODUCT((CÁLCULO!$M$15:$M$47=EVENTOS!$C49)*(OFFSET(CÁLCULO!$AA$15:$AA$47,0,E$13))),2),0)</f>
        <v>0</v>
      </c>
      <c r="F49" s="183">
        <f ca="1">IF(AUTOEVENTO="Manual",ROUND(SUMPRODUCT((CÁLCULO!$M$15:$M$47=EVENTOS!$C49)*(OFFSET(CÁLCULO!$AA$15,0,1):OFFSET(CÁLCULO!$AL$47,0,-1))),2),0)</f>
        <v>0</v>
      </c>
      <c r="G49" s="621" t="str">
        <f t="shared" ca="1" si="6"/>
        <v/>
      </c>
      <c r="H49" s="620" cm="1">
        <f t="array" aca="1" ref="H49" ca="1">IF(AUTOEVENTO="Manual",ROUND(SUMPRODUCT((CÁLCULO!$M$15:$M$47=EVENTOS!$C49)*(OFFSET(CÁLCULO!$AA$15:$AA$47,0,H$13))),2),0)</f>
        <v>0</v>
      </c>
      <c r="I49" s="620" cm="1">
        <f t="array" aca="1" ref="I49" ca="1">IF(AUTOEVENTO="Manual",ROUND(SUMPRODUCT((CÁLCULO!$M$15:$M$47=EVENTOS!$C49)*(OFFSET(CÁLCULO!$AA$15:$AA$47,0,I$13))),2),0)</f>
        <v>0</v>
      </c>
      <c r="J49" s="620" cm="1">
        <f t="array" aca="1" ref="J49" ca="1">IF(AUTOEVENTO="Manual",ROUND(SUMPRODUCT((CÁLCULO!$M$15:$M$47=EVENTOS!$C49)*(OFFSET(CÁLCULO!$AA$15:$AA$47,0,J$13))),2),0)</f>
        <v>0</v>
      </c>
      <c r="K49" s="620" cm="1">
        <f t="array" aca="1" ref="K49" ca="1">IF(AUTOEVENTO="Manual",ROUND(SUMPRODUCT((CÁLCULO!$M$15:$M$47=EVENTOS!$C49)*(OFFSET(CÁLCULO!$AA$15:$AA$47,0,K$13))),2),0)</f>
        <v>0</v>
      </c>
      <c r="L49" s="620" cm="1">
        <f t="array" aca="1" ref="L49" ca="1">IF(AUTOEVENTO="Manual",ROUND(SUMPRODUCT((CÁLCULO!$M$15:$M$47=EVENTOS!$C49)*(OFFSET(CÁLCULO!$AA$15:$AA$47,0,L$13))),2),0)</f>
        <v>0</v>
      </c>
      <c r="M49" s="620" cm="1">
        <f t="array" aca="1" ref="M49" ca="1">IF(AUTOEVENTO="Manual",ROUND(SUMPRODUCT((CÁLCULO!$M$15:$M$47=EVENTOS!$C49)*(OFFSET(CÁLCULO!$AA$15:$AA$47,0,M$13))),2),0)</f>
        <v>0</v>
      </c>
      <c r="N49" s="620" cm="1">
        <f t="array" aca="1" ref="N49" ca="1">IF(AUTOEVENTO="Manual",ROUND(SUMPRODUCT((CÁLCULO!$M$15:$M$47=EVENTOS!$C49)*(OFFSET(CÁLCULO!$AA$15:$AA$47,0,N$13))),2),0)</f>
        <v>0</v>
      </c>
      <c r="O49" s="620" cm="1">
        <f t="array" aca="1" ref="O49" ca="1">IF(AUTOEVENTO="Manual",ROUND(SUMPRODUCT((CÁLCULO!$M$15:$M$47=EVENTOS!$C49)*(OFFSET(CÁLCULO!$AA$15:$AA$47,0,O$13))),2),0)</f>
        <v>0</v>
      </c>
      <c r="P49" s="620" cm="1">
        <f t="array" aca="1" ref="P49" ca="1">IF(AUTOEVENTO="Manual",ROUND(SUMPRODUCT((CÁLCULO!$M$15:$M$47=EVENTOS!$C49)*(OFFSET(CÁLCULO!$AA$15:$AA$47,0,P$13))),2),0)</f>
        <v>0</v>
      </c>
      <c r="Q49" s="620" cm="1">
        <f t="array" aca="1" ref="Q49" ca="1">IF(AUTOEVENTO="Manual",ROUND(SUMPRODUCT((CÁLCULO!$M$15:$M$47=EVENTOS!$C49)*(OFFSET(CÁLCULO!$AA$15:$AA$47,0,Q$13))),2),0)</f>
        <v>0</v>
      </c>
      <c r="R49" s="620" cm="1">
        <f t="array" aca="1" ref="R49" ca="1">IF(AUTOEVENTO="Manual",ROUND(SUMPRODUCT((CÁLCULO!$M$15:$M$47=EVENTOS!$C49)*(OFFSET(CÁLCULO!$AA$15:$AA$47,0,R$13))),2),0)</f>
        <v>0</v>
      </c>
      <c r="S49" s="620" cm="1">
        <f t="array" aca="1" ref="S49" ca="1">IF(AUTOEVENTO="Manual",ROUND(SUMPRODUCT((CÁLCULO!$M$15:$M$47=EVENTOS!$C49)*(OFFSET(CÁLCULO!$AA$15:$AA$47,0,S$13))),2),0)</f>
        <v>0</v>
      </c>
      <c r="T49" s="620" cm="1">
        <f t="array" aca="1" ref="T49" ca="1">IF(AUTOEVENTO="Manual",ROUND(SUMPRODUCT((CÁLCULO!$M$15:$M$47=EVENTOS!$C49)*(OFFSET(CÁLCULO!$AA$15:$AA$47,0,T$13))),2),0)</f>
        <v>0</v>
      </c>
      <c r="U49" s="620" cm="1">
        <f t="array" aca="1" ref="U49" ca="1">IF(AUTOEVENTO="Manual",ROUND(SUMPRODUCT((CÁLCULO!$M$15:$M$47=EVENTOS!$C49)*(OFFSET(CÁLCULO!$AA$15:$AA$47,0,U$13))),2),0)</f>
        <v>0</v>
      </c>
      <c r="V49" s="620" cm="1">
        <f t="array" aca="1" ref="V49" ca="1">IF(AUTOEVENTO="Manual",ROUND(SUMPRODUCT((CÁLCULO!$M$15:$M$47=EVENTOS!$C49)*(OFFSET(CÁLCULO!$AA$15:$AA$47,0,V$13))),2),0)</f>
        <v>0</v>
      </c>
      <c r="W49" s="620" cm="1">
        <f t="array" aca="1" ref="W49" ca="1">IF(AUTOEVENTO="Manual",ROUND(SUMPRODUCT((CÁLCULO!$M$15:$M$47=EVENTOS!$C49)*(OFFSET(CÁLCULO!$AA$15:$AA$47,0,W$13))),2),0)</f>
        <v>0</v>
      </c>
      <c r="X49" s="620" cm="1">
        <f t="array" aca="1" ref="X49" ca="1">IF(AUTOEVENTO="Manual",ROUND(SUMPRODUCT((CÁLCULO!$M$15:$M$47=EVENTOS!$C49)*(OFFSET(CÁLCULO!$AA$15:$AA$47,0,X$13))),2),0)</f>
        <v>0</v>
      </c>
      <c r="Y49" s="620" cm="1">
        <f t="array" aca="1" ref="Y49" ca="1">IF(AUTOEVENTO="Manual",ROUND(SUMPRODUCT((CÁLCULO!$M$15:$M$47=EVENTOS!$C49)*(OFFSET(CÁLCULO!$AA$15:$AA$47,0,Y$13))),2),0)</f>
        <v>0</v>
      </c>
    </row>
    <row r="50" spans="1:25" x14ac:dyDescent="0.2">
      <c r="A50" s="506" t="str">
        <f t="shared" si="3"/>
        <v/>
      </c>
      <c r="B50" t="str">
        <f t="shared" ca="1" si="4"/>
        <v/>
      </c>
      <c r="C50" s="182" t="str" cm="1">
        <f t="array" aca="1" ref="C50" ca="1">IF(OR(ROW(C50)=ROW(EVENTOS.firstrow)+1,AND(OFFSET(C50,-1,0)&lt;&gt;" ",OFFSET(C50,-1,1)&lt;&gt;"")),OFFSET(C50,-1,0)+1," ")</f>
        <v xml:space="preserve"> </v>
      </c>
      <c r="D50" s="496"/>
      <c r="E50" s="620" cm="1">
        <f t="array" aca="1" ref="E50" ca="1">IF(AUTOEVENTO="Manual",ROUND(SUMPRODUCT((CÁLCULO!$M$15:$M$47=EVENTOS!$C50)*(OFFSET(CÁLCULO!$AA$15:$AA$47,0,E$13))),2),0)</f>
        <v>0</v>
      </c>
      <c r="F50" s="183">
        <f ca="1">IF(AUTOEVENTO="Manual",ROUND(SUMPRODUCT((CÁLCULO!$M$15:$M$47=EVENTOS!$C50)*(OFFSET(CÁLCULO!$AA$15,0,1):OFFSET(CÁLCULO!$AL$47,0,-1))),2),0)</f>
        <v>0</v>
      </c>
      <c r="G50" s="621" t="str">
        <f t="shared" ca="1" si="6"/>
        <v/>
      </c>
      <c r="H50" s="620" cm="1">
        <f t="array" aca="1" ref="H50" ca="1">IF(AUTOEVENTO="Manual",ROUND(SUMPRODUCT((CÁLCULO!$M$15:$M$47=EVENTOS!$C50)*(OFFSET(CÁLCULO!$AA$15:$AA$47,0,H$13))),2),0)</f>
        <v>0</v>
      </c>
      <c r="I50" s="620" cm="1">
        <f t="array" aca="1" ref="I50" ca="1">IF(AUTOEVENTO="Manual",ROUND(SUMPRODUCT((CÁLCULO!$M$15:$M$47=EVENTOS!$C50)*(OFFSET(CÁLCULO!$AA$15:$AA$47,0,I$13))),2),0)</f>
        <v>0</v>
      </c>
      <c r="J50" s="620" cm="1">
        <f t="array" aca="1" ref="J50" ca="1">IF(AUTOEVENTO="Manual",ROUND(SUMPRODUCT((CÁLCULO!$M$15:$M$47=EVENTOS!$C50)*(OFFSET(CÁLCULO!$AA$15:$AA$47,0,J$13))),2),0)</f>
        <v>0</v>
      </c>
      <c r="K50" s="620" cm="1">
        <f t="array" aca="1" ref="K50" ca="1">IF(AUTOEVENTO="Manual",ROUND(SUMPRODUCT((CÁLCULO!$M$15:$M$47=EVENTOS!$C50)*(OFFSET(CÁLCULO!$AA$15:$AA$47,0,K$13))),2),0)</f>
        <v>0</v>
      </c>
      <c r="L50" s="620" cm="1">
        <f t="array" aca="1" ref="L50" ca="1">IF(AUTOEVENTO="Manual",ROUND(SUMPRODUCT((CÁLCULO!$M$15:$M$47=EVENTOS!$C50)*(OFFSET(CÁLCULO!$AA$15:$AA$47,0,L$13))),2),0)</f>
        <v>0</v>
      </c>
      <c r="M50" s="620" cm="1">
        <f t="array" aca="1" ref="M50" ca="1">IF(AUTOEVENTO="Manual",ROUND(SUMPRODUCT((CÁLCULO!$M$15:$M$47=EVENTOS!$C50)*(OFFSET(CÁLCULO!$AA$15:$AA$47,0,M$13))),2),0)</f>
        <v>0</v>
      </c>
      <c r="N50" s="620" cm="1">
        <f t="array" aca="1" ref="N50" ca="1">IF(AUTOEVENTO="Manual",ROUND(SUMPRODUCT((CÁLCULO!$M$15:$M$47=EVENTOS!$C50)*(OFFSET(CÁLCULO!$AA$15:$AA$47,0,N$13))),2),0)</f>
        <v>0</v>
      </c>
      <c r="O50" s="620" cm="1">
        <f t="array" aca="1" ref="O50" ca="1">IF(AUTOEVENTO="Manual",ROUND(SUMPRODUCT((CÁLCULO!$M$15:$M$47=EVENTOS!$C50)*(OFFSET(CÁLCULO!$AA$15:$AA$47,0,O$13))),2),0)</f>
        <v>0</v>
      </c>
      <c r="P50" s="620" cm="1">
        <f t="array" aca="1" ref="P50" ca="1">IF(AUTOEVENTO="Manual",ROUND(SUMPRODUCT((CÁLCULO!$M$15:$M$47=EVENTOS!$C50)*(OFFSET(CÁLCULO!$AA$15:$AA$47,0,P$13))),2),0)</f>
        <v>0</v>
      </c>
      <c r="Q50" s="620" cm="1">
        <f t="array" aca="1" ref="Q50" ca="1">IF(AUTOEVENTO="Manual",ROUND(SUMPRODUCT((CÁLCULO!$M$15:$M$47=EVENTOS!$C50)*(OFFSET(CÁLCULO!$AA$15:$AA$47,0,Q$13))),2),0)</f>
        <v>0</v>
      </c>
      <c r="R50" s="620" cm="1">
        <f t="array" aca="1" ref="R50" ca="1">IF(AUTOEVENTO="Manual",ROUND(SUMPRODUCT((CÁLCULO!$M$15:$M$47=EVENTOS!$C50)*(OFFSET(CÁLCULO!$AA$15:$AA$47,0,R$13))),2),0)</f>
        <v>0</v>
      </c>
      <c r="S50" s="620" cm="1">
        <f t="array" aca="1" ref="S50" ca="1">IF(AUTOEVENTO="Manual",ROUND(SUMPRODUCT((CÁLCULO!$M$15:$M$47=EVENTOS!$C50)*(OFFSET(CÁLCULO!$AA$15:$AA$47,0,S$13))),2),0)</f>
        <v>0</v>
      </c>
      <c r="T50" s="620" cm="1">
        <f t="array" aca="1" ref="T50" ca="1">IF(AUTOEVENTO="Manual",ROUND(SUMPRODUCT((CÁLCULO!$M$15:$M$47=EVENTOS!$C50)*(OFFSET(CÁLCULO!$AA$15:$AA$47,0,T$13))),2),0)</f>
        <v>0</v>
      </c>
      <c r="U50" s="620" cm="1">
        <f t="array" aca="1" ref="U50" ca="1">IF(AUTOEVENTO="Manual",ROUND(SUMPRODUCT((CÁLCULO!$M$15:$M$47=EVENTOS!$C50)*(OFFSET(CÁLCULO!$AA$15:$AA$47,0,U$13))),2),0)</f>
        <v>0</v>
      </c>
      <c r="V50" s="620" cm="1">
        <f t="array" aca="1" ref="V50" ca="1">IF(AUTOEVENTO="Manual",ROUND(SUMPRODUCT((CÁLCULO!$M$15:$M$47=EVENTOS!$C50)*(OFFSET(CÁLCULO!$AA$15:$AA$47,0,V$13))),2),0)</f>
        <v>0</v>
      </c>
      <c r="W50" s="620" cm="1">
        <f t="array" aca="1" ref="W50" ca="1">IF(AUTOEVENTO="Manual",ROUND(SUMPRODUCT((CÁLCULO!$M$15:$M$47=EVENTOS!$C50)*(OFFSET(CÁLCULO!$AA$15:$AA$47,0,W$13))),2),0)</f>
        <v>0</v>
      </c>
      <c r="X50" s="620" cm="1">
        <f t="array" aca="1" ref="X50" ca="1">IF(AUTOEVENTO="Manual",ROUND(SUMPRODUCT((CÁLCULO!$M$15:$M$47=EVENTOS!$C50)*(OFFSET(CÁLCULO!$AA$15:$AA$47,0,X$13))),2),0)</f>
        <v>0</v>
      </c>
      <c r="Y50" s="620" cm="1">
        <f t="array" aca="1" ref="Y50" ca="1">IF(AUTOEVENTO="Manual",ROUND(SUMPRODUCT((CÁLCULO!$M$15:$M$47=EVENTOS!$C50)*(OFFSET(CÁLCULO!$AA$15:$AA$47,0,Y$13))),2),0)</f>
        <v>0</v>
      </c>
    </row>
    <row r="51" spans="1:25" x14ac:dyDescent="0.2">
      <c r="A51" s="506" t="str">
        <f t="shared" si="3"/>
        <v/>
      </c>
      <c r="B51" t="str">
        <f t="shared" ca="1" si="4"/>
        <v/>
      </c>
      <c r="C51" s="182" t="str" cm="1">
        <f t="array" aca="1" ref="C51" ca="1">IF(OR(ROW(C51)=ROW(EVENTOS.firstrow)+1,AND(OFFSET(C51,-1,0)&lt;&gt;" ",OFFSET(C51,-1,1)&lt;&gt;"")),OFFSET(C51,-1,0)+1," ")</f>
        <v xml:space="preserve"> </v>
      </c>
      <c r="D51" s="496"/>
      <c r="E51" s="620" cm="1">
        <f t="array" aca="1" ref="E51" ca="1">IF(AUTOEVENTO="Manual",ROUND(SUMPRODUCT((CÁLCULO!$M$15:$M$47=EVENTOS!$C51)*(OFFSET(CÁLCULO!$AA$15:$AA$47,0,E$13))),2),0)</f>
        <v>0</v>
      </c>
      <c r="F51" s="183">
        <f ca="1">IF(AUTOEVENTO="Manual",ROUND(SUMPRODUCT((CÁLCULO!$M$15:$M$47=EVENTOS!$C51)*(OFFSET(CÁLCULO!$AA$15,0,1):OFFSET(CÁLCULO!$AL$47,0,-1))),2),0)</f>
        <v>0</v>
      </c>
      <c r="G51" s="621" t="str">
        <f t="shared" ca="1" si="6"/>
        <v/>
      </c>
      <c r="H51" s="620" cm="1">
        <f t="array" aca="1" ref="H51" ca="1">IF(AUTOEVENTO="Manual",ROUND(SUMPRODUCT((CÁLCULO!$M$15:$M$47=EVENTOS!$C51)*(OFFSET(CÁLCULO!$AA$15:$AA$47,0,H$13))),2),0)</f>
        <v>0</v>
      </c>
      <c r="I51" s="620" cm="1">
        <f t="array" aca="1" ref="I51" ca="1">IF(AUTOEVENTO="Manual",ROUND(SUMPRODUCT((CÁLCULO!$M$15:$M$47=EVENTOS!$C51)*(OFFSET(CÁLCULO!$AA$15:$AA$47,0,I$13))),2),0)</f>
        <v>0</v>
      </c>
      <c r="J51" s="620" cm="1">
        <f t="array" aca="1" ref="J51" ca="1">IF(AUTOEVENTO="Manual",ROUND(SUMPRODUCT((CÁLCULO!$M$15:$M$47=EVENTOS!$C51)*(OFFSET(CÁLCULO!$AA$15:$AA$47,0,J$13))),2),0)</f>
        <v>0</v>
      </c>
      <c r="K51" s="620" cm="1">
        <f t="array" aca="1" ref="K51" ca="1">IF(AUTOEVENTO="Manual",ROUND(SUMPRODUCT((CÁLCULO!$M$15:$M$47=EVENTOS!$C51)*(OFFSET(CÁLCULO!$AA$15:$AA$47,0,K$13))),2),0)</f>
        <v>0</v>
      </c>
      <c r="L51" s="620" cm="1">
        <f t="array" aca="1" ref="L51" ca="1">IF(AUTOEVENTO="Manual",ROUND(SUMPRODUCT((CÁLCULO!$M$15:$M$47=EVENTOS!$C51)*(OFFSET(CÁLCULO!$AA$15:$AA$47,0,L$13))),2),0)</f>
        <v>0</v>
      </c>
      <c r="M51" s="620" cm="1">
        <f t="array" aca="1" ref="M51" ca="1">IF(AUTOEVENTO="Manual",ROUND(SUMPRODUCT((CÁLCULO!$M$15:$M$47=EVENTOS!$C51)*(OFFSET(CÁLCULO!$AA$15:$AA$47,0,M$13))),2),0)</f>
        <v>0</v>
      </c>
      <c r="N51" s="620" cm="1">
        <f t="array" aca="1" ref="N51" ca="1">IF(AUTOEVENTO="Manual",ROUND(SUMPRODUCT((CÁLCULO!$M$15:$M$47=EVENTOS!$C51)*(OFFSET(CÁLCULO!$AA$15:$AA$47,0,N$13))),2),0)</f>
        <v>0</v>
      </c>
      <c r="O51" s="620" cm="1">
        <f t="array" aca="1" ref="O51" ca="1">IF(AUTOEVENTO="Manual",ROUND(SUMPRODUCT((CÁLCULO!$M$15:$M$47=EVENTOS!$C51)*(OFFSET(CÁLCULO!$AA$15:$AA$47,0,O$13))),2),0)</f>
        <v>0</v>
      </c>
      <c r="P51" s="620" cm="1">
        <f t="array" aca="1" ref="P51" ca="1">IF(AUTOEVENTO="Manual",ROUND(SUMPRODUCT((CÁLCULO!$M$15:$M$47=EVENTOS!$C51)*(OFFSET(CÁLCULO!$AA$15:$AA$47,0,P$13))),2),0)</f>
        <v>0</v>
      </c>
      <c r="Q51" s="620" cm="1">
        <f t="array" aca="1" ref="Q51" ca="1">IF(AUTOEVENTO="Manual",ROUND(SUMPRODUCT((CÁLCULO!$M$15:$M$47=EVENTOS!$C51)*(OFFSET(CÁLCULO!$AA$15:$AA$47,0,Q$13))),2),0)</f>
        <v>0</v>
      </c>
      <c r="R51" s="620" cm="1">
        <f t="array" aca="1" ref="R51" ca="1">IF(AUTOEVENTO="Manual",ROUND(SUMPRODUCT((CÁLCULO!$M$15:$M$47=EVENTOS!$C51)*(OFFSET(CÁLCULO!$AA$15:$AA$47,0,R$13))),2),0)</f>
        <v>0</v>
      </c>
      <c r="S51" s="620" cm="1">
        <f t="array" aca="1" ref="S51" ca="1">IF(AUTOEVENTO="Manual",ROUND(SUMPRODUCT((CÁLCULO!$M$15:$M$47=EVENTOS!$C51)*(OFFSET(CÁLCULO!$AA$15:$AA$47,0,S$13))),2),0)</f>
        <v>0</v>
      </c>
      <c r="T51" s="620" cm="1">
        <f t="array" aca="1" ref="T51" ca="1">IF(AUTOEVENTO="Manual",ROUND(SUMPRODUCT((CÁLCULO!$M$15:$M$47=EVENTOS!$C51)*(OFFSET(CÁLCULO!$AA$15:$AA$47,0,T$13))),2),0)</f>
        <v>0</v>
      </c>
      <c r="U51" s="620" cm="1">
        <f t="array" aca="1" ref="U51" ca="1">IF(AUTOEVENTO="Manual",ROUND(SUMPRODUCT((CÁLCULO!$M$15:$M$47=EVENTOS!$C51)*(OFFSET(CÁLCULO!$AA$15:$AA$47,0,U$13))),2),0)</f>
        <v>0</v>
      </c>
      <c r="V51" s="620" cm="1">
        <f t="array" aca="1" ref="V51" ca="1">IF(AUTOEVENTO="Manual",ROUND(SUMPRODUCT((CÁLCULO!$M$15:$M$47=EVENTOS!$C51)*(OFFSET(CÁLCULO!$AA$15:$AA$47,0,V$13))),2),0)</f>
        <v>0</v>
      </c>
      <c r="W51" s="620" cm="1">
        <f t="array" aca="1" ref="W51" ca="1">IF(AUTOEVENTO="Manual",ROUND(SUMPRODUCT((CÁLCULO!$M$15:$M$47=EVENTOS!$C51)*(OFFSET(CÁLCULO!$AA$15:$AA$47,0,W$13))),2),0)</f>
        <v>0</v>
      </c>
      <c r="X51" s="620" cm="1">
        <f t="array" aca="1" ref="X51" ca="1">IF(AUTOEVENTO="Manual",ROUND(SUMPRODUCT((CÁLCULO!$M$15:$M$47=EVENTOS!$C51)*(OFFSET(CÁLCULO!$AA$15:$AA$47,0,X$13))),2),0)</f>
        <v>0</v>
      </c>
      <c r="Y51" s="620" cm="1">
        <f t="array" aca="1" ref="Y51" ca="1">IF(AUTOEVENTO="Manual",ROUND(SUMPRODUCT((CÁLCULO!$M$15:$M$47=EVENTOS!$C51)*(OFFSET(CÁLCULO!$AA$15:$AA$47,0,Y$13))),2),0)</f>
        <v>0</v>
      </c>
    </row>
    <row r="52" spans="1:25" x14ac:dyDescent="0.2">
      <c r="A52" s="506" t="str">
        <f t="shared" si="3"/>
        <v/>
      </c>
      <c r="B52" t="str">
        <f t="shared" ca="1" si="4"/>
        <v/>
      </c>
      <c r="C52" s="182" t="str" cm="1">
        <f t="array" aca="1" ref="C52" ca="1">IF(OR(ROW(C52)=ROW(EVENTOS.firstrow)+1,AND(OFFSET(C52,-1,0)&lt;&gt;" ",OFFSET(C52,-1,1)&lt;&gt;"")),OFFSET(C52,-1,0)+1," ")</f>
        <v xml:space="preserve"> </v>
      </c>
      <c r="D52" s="496"/>
      <c r="E52" s="620" cm="1">
        <f t="array" aca="1" ref="E52" ca="1">IF(AUTOEVENTO="Manual",ROUND(SUMPRODUCT((CÁLCULO!$M$15:$M$47=EVENTOS!$C52)*(OFFSET(CÁLCULO!$AA$15:$AA$47,0,E$13))),2),0)</f>
        <v>0</v>
      </c>
      <c r="F52" s="183">
        <f ca="1">IF(AUTOEVENTO="Manual",ROUND(SUMPRODUCT((CÁLCULO!$M$15:$M$47=EVENTOS!$C52)*(OFFSET(CÁLCULO!$AA$15,0,1):OFFSET(CÁLCULO!$AL$47,0,-1))),2),0)</f>
        <v>0</v>
      </c>
      <c r="G52" s="621" t="str">
        <f t="shared" ca="1" si="6"/>
        <v/>
      </c>
      <c r="H52" s="620" cm="1">
        <f t="array" aca="1" ref="H52" ca="1">IF(AUTOEVENTO="Manual",ROUND(SUMPRODUCT((CÁLCULO!$M$15:$M$47=EVENTOS!$C52)*(OFFSET(CÁLCULO!$AA$15:$AA$47,0,H$13))),2),0)</f>
        <v>0</v>
      </c>
      <c r="I52" s="620" cm="1">
        <f t="array" aca="1" ref="I52" ca="1">IF(AUTOEVENTO="Manual",ROUND(SUMPRODUCT((CÁLCULO!$M$15:$M$47=EVENTOS!$C52)*(OFFSET(CÁLCULO!$AA$15:$AA$47,0,I$13))),2),0)</f>
        <v>0</v>
      </c>
      <c r="J52" s="620" cm="1">
        <f t="array" aca="1" ref="J52" ca="1">IF(AUTOEVENTO="Manual",ROUND(SUMPRODUCT((CÁLCULO!$M$15:$M$47=EVENTOS!$C52)*(OFFSET(CÁLCULO!$AA$15:$AA$47,0,J$13))),2),0)</f>
        <v>0</v>
      </c>
      <c r="K52" s="620" cm="1">
        <f t="array" aca="1" ref="K52" ca="1">IF(AUTOEVENTO="Manual",ROUND(SUMPRODUCT((CÁLCULO!$M$15:$M$47=EVENTOS!$C52)*(OFFSET(CÁLCULO!$AA$15:$AA$47,0,K$13))),2),0)</f>
        <v>0</v>
      </c>
      <c r="L52" s="620" cm="1">
        <f t="array" aca="1" ref="L52" ca="1">IF(AUTOEVENTO="Manual",ROUND(SUMPRODUCT((CÁLCULO!$M$15:$M$47=EVENTOS!$C52)*(OFFSET(CÁLCULO!$AA$15:$AA$47,0,L$13))),2),0)</f>
        <v>0</v>
      </c>
      <c r="M52" s="620" cm="1">
        <f t="array" aca="1" ref="M52" ca="1">IF(AUTOEVENTO="Manual",ROUND(SUMPRODUCT((CÁLCULO!$M$15:$M$47=EVENTOS!$C52)*(OFFSET(CÁLCULO!$AA$15:$AA$47,0,M$13))),2),0)</f>
        <v>0</v>
      </c>
      <c r="N52" s="620" cm="1">
        <f t="array" aca="1" ref="N52" ca="1">IF(AUTOEVENTO="Manual",ROUND(SUMPRODUCT((CÁLCULO!$M$15:$M$47=EVENTOS!$C52)*(OFFSET(CÁLCULO!$AA$15:$AA$47,0,N$13))),2),0)</f>
        <v>0</v>
      </c>
      <c r="O52" s="620" cm="1">
        <f t="array" aca="1" ref="O52" ca="1">IF(AUTOEVENTO="Manual",ROUND(SUMPRODUCT((CÁLCULO!$M$15:$M$47=EVENTOS!$C52)*(OFFSET(CÁLCULO!$AA$15:$AA$47,0,O$13))),2),0)</f>
        <v>0</v>
      </c>
      <c r="P52" s="620" cm="1">
        <f t="array" aca="1" ref="P52" ca="1">IF(AUTOEVENTO="Manual",ROUND(SUMPRODUCT((CÁLCULO!$M$15:$M$47=EVENTOS!$C52)*(OFFSET(CÁLCULO!$AA$15:$AA$47,0,P$13))),2),0)</f>
        <v>0</v>
      </c>
      <c r="Q52" s="620" cm="1">
        <f t="array" aca="1" ref="Q52" ca="1">IF(AUTOEVENTO="Manual",ROUND(SUMPRODUCT((CÁLCULO!$M$15:$M$47=EVENTOS!$C52)*(OFFSET(CÁLCULO!$AA$15:$AA$47,0,Q$13))),2),0)</f>
        <v>0</v>
      </c>
      <c r="R52" s="620" cm="1">
        <f t="array" aca="1" ref="R52" ca="1">IF(AUTOEVENTO="Manual",ROUND(SUMPRODUCT((CÁLCULO!$M$15:$M$47=EVENTOS!$C52)*(OFFSET(CÁLCULO!$AA$15:$AA$47,0,R$13))),2),0)</f>
        <v>0</v>
      </c>
      <c r="S52" s="620" cm="1">
        <f t="array" aca="1" ref="S52" ca="1">IF(AUTOEVENTO="Manual",ROUND(SUMPRODUCT((CÁLCULO!$M$15:$M$47=EVENTOS!$C52)*(OFFSET(CÁLCULO!$AA$15:$AA$47,0,S$13))),2),0)</f>
        <v>0</v>
      </c>
      <c r="T52" s="620" cm="1">
        <f t="array" aca="1" ref="T52" ca="1">IF(AUTOEVENTO="Manual",ROUND(SUMPRODUCT((CÁLCULO!$M$15:$M$47=EVENTOS!$C52)*(OFFSET(CÁLCULO!$AA$15:$AA$47,0,T$13))),2),0)</f>
        <v>0</v>
      </c>
      <c r="U52" s="620" cm="1">
        <f t="array" aca="1" ref="U52" ca="1">IF(AUTOEVENTO="Manual",ROUND(SUMPRODUCT((CÁLCULO!$M$15:$M$47=EVENTOS!$C52)*(OFFSET(CÁLCULO!$AA$15:$AA$47,0,U$13))),2),0)</f>
        <v>0</v>
      </c>
      <c r="V52" s="620" cm="1">
        <f t="array" aca="1" ref="V52" ca="1">IF(AUTOEVENTO="Manual",ROUND(SUMPRODUCT((CÁLCULO!$M$15:$M$47=EVENTOS!$C52)*(OFFSET(CÁLCULO!$AA$15:$AA$47,0,V$13))),2),0)</f>
        <v>0</v>
      </c>
      <c r="W52" s="620" cm="1">
        <f t="array" aca="1" ref="W52" ca="1">IF(AUTOEVENTO="Manual",ROUND(SUMPRODUCT((CÁLCULO!$M$15:$M$47=EVENTOS!$C52)*(OFFSET(CÁLCULO!$AA$15:$AA$47,0,W$13))),2),0)</f>
        <v>0</v>
      </c>
      <c r="X52" s="620" cm="1">
        <f t="array" aca="1" ref="X52" ca="1">IF(AUTOEVENTO="Manual",ROUND(SUMPRODUCT((CÁLCULO!$M$15:$M$47=EVENTOS!$C52)*(OFFSET(CÁLCULO!$AA$15:$AA$47,0,X$13))),2),0)</f>
        <v>0</v>
      </c>
      <c r="Y52" s="620" cm="1">
        <f t="array" aca="1" ref="Y52" ca="1">IF(AUTOEVENTO="Manual",ROUND(SUMPRODUCT((CÁLCULO!$M$15:$M$47=EVENTOS!$C52)*(OFFSET(CÁLCULO!$AA$15:$AA$47,0,Y$13))),2),0)</f>
        <v>0</v>
      </c>
    </row>
    <row r="53" spans="1:25" x14ac:dyDescent="0.2">
      <c r="A53" s="506" t="str">
        <f t="shared" si="3"/>
        <v/>
      </c>
      <c r="B53" t="str">
        <f t="shared" ca="1" si="4"/>
        <v/>
      </c>
      <c r="C53" s="182" t="str" cm="1">
        <f t="array" aca="1" ref="C53" ca="1">IF(OR(ROW(C53)=ROW(EVENTOS.firstrow)+1,AND(OFFSET(C53,-1,0)&lt;&gt;" ",OFFSET(C53,-1,1)&lt;&gt;"")),OFFSET(C53,-1,0)+1," ")</f>
        <v xml:space="preserve"> </v>
      </c>
      <c r="D53" s="496"/>
      <c r="E53" s="620" cm="1">
        <f t="array" aca="1" ref="E53" ca="1">IF(AUTOEVENTO="Manual",ROUND(SUMPRODUCT((CÁLCULO!$M$15:$M$47=EVENTOS!$C53)*(OFFSET(CÁLCULO!$AA$15:$AA$47,0,E$13))),2),0)</f>
        <v>0</v>
      </c>
      <c r="F53" s="183">
        <f ca="1">IF(AUTOEVENTO="Manual",ROUND(SUMPRODUCT((CÁLCULO!$M$15:$M$47=EVENTOS!$C53)*(OFFSET(CÁLCULO!$AA$15,0,1):OFFSET(CÁLCULO!$AL$47,0,-1))),2),0)</f>
        <v>0</v>
      </c>
      <c r="G53" s="621" t="str">
        <f t="shared" ca="1" si="6"/>
        <v/>
      </c>
      <c r="H53" s="620" cm="1">
        <f t="array" aca="1" ref="H53" ca="1">IF(AUTOEVENTO="Manual",ROUND(SUMPRODUCT((CÁLCULO!$M$15:$M$47=EVENTOS!$C53)*(OFFSET(CÁLCULO!$AA$15:$AA$47,0,H$13))),2),0)</f>
        <v>0</v>
      </c>
      <c r="I53" s="620" cm="1">
        <f t="array" aca="1" ref="I53" ca="1">IF(AUTOEVENTO="Manual",ROUND(SUMPRODUCT((CÁLCULO!$M$15:$M$47=EVENTOS!$C53)*(OFFSET(CÁLCULO!$AA$15:$AA$47,0,I$13))),2),0)</f>
        <v>0</v>
      </c>
      <c r="J53" s="620" cm="1">
        <f t="array" aca="1" ref="J53" ca="1">IF(AUTOEVENTO="Manual",ROUND(SUMPRODUCT((CÁLCULO!$M$15:$M$47=EVENTOS!$C53)*(OFFSET(CÁLCULO!$AA$15:$AA$47,0,J$13))),2),0)</f>
        <v>0</v>
      </c>
      <c r="K53" s="620" cm="1">
        <f t="array" aca="1" ref="K53" ca="1">IF(AUTOEVENTO="Manual",ROUND(SUMPRODUCT((CÁLCULO!$M$15:$M$47=EVENTOS!$C53)*(OFFSET(CÁLCULO!$AA$15:$AA$47,0,K$13))),2),0)</f>
        <v>0</v>
      </c>
      <c r="L53" s="620" cm="1">
        <f t="array" aca="1" ref="L53" ca="1">IF(AUTOEVENTO="Manual",ROUND(SUMPRODUCT((CÁLCULO!$M$15:$M$47=EVENTOS!$C53)*(OFFSET(CÁLCULO!$AA$15:$AA$47,0,L$13))),2),0)</f>
        <v>0</v>
      </c>
      <c r="M53" s="620" cm="1">
        <f t="array" aca="1" ref="M53" ca="1">IF(AUTOEVENTO="Manual",ROUND(SUMPRODUCT((CÁLCULO!$M$15:$M$47=EVENTOS!$C53)*(OFFSET(CÁLCULO!$AA$15:$AA$47,0,M$13))),2),0)</f>
        <v>0</v>
      </c>
      <c r="N53" s="620" cm="1">
        <f t="array" aca="1" ref="N53" ca="1">IF(AUTOEVENTO="Manual",ROUND(SUMPRODUCT((CÁLCULO!$M$15:$M$47=EVENTOS!$C53)*(OFFSET(CÁLCULO!$AA$15:$AA$47,0,N$13))),2),0)</f>
        <v>0</v>
      </c>
      <c r="O53" s="620" cm="1">
        <f t="array" aca="1" ref="O53" ca="1">IF(AUTOEVENTO="Manual",ROUND(SUMPRODUCT((CÁLCULO!$M$15:$M$47=EVENTOS!$C53)*(OFFSET(CÁLCULO!$AA$15:$AA$47,0,O$13))),2),0)</f>
        <v>0</v>
      </c>
      <c r="P53" s="620" cm="1">
        <f t="array" aca="1" ref="P53" ca="1">IF(AUTOEVENTO="Manual",ROUND(SUMPRODUCT((CÁLCULO!$M$15:$M$47=EVENTOS!$C53)*(OFFSET(CÁLCULO!$AA$15:$AA$47,0,P$13))),2),0)</f>
        <v>0</v>
      </c>
      <c r="Q53" s="620" cm="1">
        <f t="array" aca="1" ref="Q53" ca="1">IF(AUTOEVENTO="Manual",ROUND(SUMPRODUCT((CÁLCULO!$M$15:$M$47=EVENTOS!$C53)*(OFFSET(CÁLCULO!$AA$15:$AA$47,0,Q$13))),2),0)</f>
        <v>0</v>
      </c>
      <c r="R53" s="620" cm="1">
        <f t="array" aca="1" ref="R53" ca="1">IF(AUTOEVENTO="Manual",ROUND(SUMPRODUCT((CÁLCULO!$M$15:$M$47=EVENTOS!$C53)*(OFFSET(CÁLCULO!$AA$15:$AA$47,0,R$13))),2),0)</f>
        <v>0</v>
      </c>
      <c r="S53" s="620" cm="1">
        <f t="array" aca="1" ref="S53" ca="1">IF(AUTOEVENTO="Manual",ROUND(SUMPRODUCT((CÁLCULO!$M$15:$M$47=EVENTOS!$C53)*(OFFSET(CÁLCULO!$AA$15:$AA$47,0,S$13))),2),0)</f>
        <v>0</v>
      </c>
      <c r="T53" s="620" cm="1">
        <f t="array" aca="1" ref="T53" ca="1">IF(AUTOEVENTO="Manual",ROUND(SUMPRODUCT((CÁLCULO!$M$15:$M$47=EVENTOS!$C53)*(OFFSET(CÁLCULO!$AA$15:$AA$47,0,T$13))),2),0)</f>
        <v>0</v>
      </c>
      <c r="U53" s="620" cm="1">
        <f t="array" aca="1" ref="U53" ca="1">IF(AUTOEVENTO="Manual",ROUND(SUMPRODUCT((CÁLCULO!$M$15:$M$47=EVENTOS!$C53)*(OFFSET(CÁLCULO!$AA$15:$AA$47,0,U$13))),2),0)</f>
        <v>0</v>
      </c>
      <c r="V53" s="620" cm="1">
        <f t="array" aca="1" ref="V53" ca="1">IF(AUTOEVENTO="Manual",ROUND(SUMPRODUCT((CÁLCULO!$M$15:$M$47=EVENTOS!$C53)*(OFFSET(CÁLCULO!$AA$15:$AA$47,0,V$13))),2),0)</f>
        <v>0</v>
      </c>
      <c r="W53" s="620" cm="1">
        <f t="array" aca="1" ref="W53" ca="1">IF(AUTOEVENTO="Manual",ROUND(SUMPRODUCT((CÁLCULO!$M$15:$M$47=EVENTOS!$C53)*(OFFSET(CÁLCULO!$AA$15:$AA$47,0,W$13))),2),0)</f>
        <v>0</v>
      </c>
      <c r="X53" s="620" cm="1">
        <f t="array" aca="1" ref="X53" ca="1">IF(AUTOEVENTO="Manual",ROUND(SUMPRODUCT((CÁLCULO!$M$15:$M$47=EVENTOS!$C53)*(OFFSET(CÁLCULO!$AA$15:$AA$47,0,X$13))),2),0)</f>
        <v>0</v>
      </c>
      <c r="Y53" s="620" cm="1">
        <f t="array" aca="1" ref="Y53" ca="1">IF(AUTOEVENTO="Manual",ROUND(SUMPRODUCT((CÁLCULO!$M$15:$M$47=EVENTOS!$C53)*(OFFSET(CÁLCULO!$AA$15:$AA$47,0,Y$13))),2),0)</f>
        <v>0</v>
      </c>
    </row>
    <row r="54" spans="1:25" x14ac:dyDescent="0.2">
      <c r="A54" s="506" t="str">
        <f t="shared" si="3"/>
        <v/>
      </c>
      <c r="B54" t="str">
        <f t="shared" ca="1" si="4"/>
        <v/>
      </c>
      <c r="C54" s="182" t="str" cm="1">
        <f t="array" aca="1" ref="C54" ca="1">IF(OR(ROW(C54)=ROW(EVENTOS.firstrow)+1,AND(OFFSET(C54,-1,0)&lt;&gt;" ",OFFSET(C54,-1,1)&lt;&gt;"")),OFFSET(C54,-1,0)+1," ")</f>
        <v xml:space="preserve"> </v>
      </c>
      <c r="D54" s="496"/>
      <c r="E54" s="620" cm="1">
        <f t="array" aca="1" ref="E54" ca="1">IF(AUTOEVENTO="Manual",ROUND(SUMPRODUCT((CÁLCULO!$M$15:$M$47=EVENTOS!$C54)*(OFFSET(CÁLCULO!$AA$15:$AA$47,0,E$13))),2),0)</f>
        <v>0</v>
      </c>
      <c r="F54" s="183">
        <f ca="1">IF(AUTOEVENTO="Manual",ROUND(SUMPRODUCT((CÁLCULO!$M$15:$M$47=EVENTOS!$C54)*(OFFSET(CÁLCULO!$AA$15,0,1):OFFSET(CÁLCULO!$AL$47,0,-1))),2),0)</f>
        <v>0</v>
      </c>
      <c r="G54" s="621" t="str">
        <f t="shared" ca="1" si="6"/>
        <v/>
      </c>
      <c r="H54" s="620" cm="1">
        <f t="array" aca="1" ref="H54" ca="1">IF(AUTOEVENTO="Manual",ROUND(SUMPRODUCT((CÁLCULO!$M$15:$M$47=EVENTOS!$C54)*(OFFSET(CÁLCULO!$AA$15:$AA$47,0,H$13))),2),0)</f>
        <v>0</v>
      </c>
      <c r="I54" s="620" cm="1">
        <f t="array" aca="1" ref="I54" ca="1">IF(AUTOEVENTO="Manual",ROUND(SUMPRODUCT((CÁLCULO!$M$15:$M$47=EVENTOS!$C54)*(OFFSET(CÁLCULO!$AA$15:$AA$47,0,I$13))),2),0)</f>
        <v>0</v>
      </c>
      <c r="J54" s="620" cm="1">
        <f t="array" aca="1" ref="J54" ca="1">IF(AUTOEVENTO="Manual",ROUND(SUMPRODUCT((CÁLCULO!$M$15:$M$47=EVENTOS!$C54)*(OFFSET(CÁLCULO!$AA$15:$AA$47,0,J$13))),2),0)</f>
        <v>0</v>
      </c>
      <c r="K54" s="620" cm="1">
        <f t="array" aca="1" ref="K54" ca="1">IF(AUTOEVENTO="Manual",ROUND(SUMPRODUCT((CÁLCULO!$M$15:$M$47=EVENTOS!$C54)*(OFFSET(CÁLCULO!$AA$15:$AA$47,0,K$13))),2),0)</f>
        <v>0</v>
      </c>
      <c r="L54" s="620" cm="1">
        <f t="array" aca="1" ref="L54" ca="1">IF(AUTOEVENTO="Manual",ROUND(SUMPRODUCT((CÁLCULO!$M$15:$M$47=EVENTOS!$C54)*(OFFSET(CÁLCULO!$AA$15:$AA$47,0,L$13))),2),0)</f>
        <v>0</v>
      </c>
      <c r="M54" s="620" cm="1">
        <f t="array" aca="1" ref="M54" ca="1">IF(AUTOEVENTO="Manual",ROUND(SUMPRODUCT((CÁLCULO!$M$15:$M$47=EVENTOS!$C54)*(OFFSET(CÁLCULO!$AA$15:$AA$47,0,M$13))),2),0)</f>
        <v>0</v>
      </c>
      <c r="N54" s="620" cm="1">
        <f t="array" aca="1" ref="N54" ca="1">IF(AUTOEVENTO="Manual",ROUND(SUMPRODUCT((CÁLCULO!$M$15:$M$47=EVENTOS!$C54)*(OFFSET(CÁLCULO!$AA$15:$AA$47,0,N$13))),2),0)</f>
        <v>0</v>
      </c>
      <c r="O54" s="620" cm="1">
        <f t="array" aca="1" ref="O54" ca="1">IF(AUTOEVENTO="Manual",ROUND(SUMPRODUCT((CÁLCULO!$M$15:$M$47=EVENTOS!$C54)*(OFFSET(CÁLCULO!$AA$15:$AA$47,0,O$13))),2),0)</f>
        <v>0</v>
      </c>
      <c r="P54" s="620" cm="1">
        <f t="array" aca="1" ref="P54" ca="1">IF(AUTOEVENTO="Manual",ROUND(SUMPRODUCT((CÁLCULO!$M$15:$M$47=EVENTOS!$C54)*(OFFSET(CÁLCULO!$AA$15:$AA$47,0,P$13))),2),0)</f>
        <v>0</v>
      </c>
      <c r="Q54" s="620" cm="1">
        <f t="array" aca="1" ref="Q54" ca="1">IF(AUTOEVENTO="Manual",ROUND(SUMPRODUCT((CÁLCULO!$M$15:$M$47=EVENTOS!$C54)*(OFFSET(CÁLCULO!$AA$15:$AA$47,0,Q$13))),2),0)</f>
        <v>0</v>
      </c>
      <c r="R54" s="620" cm="1">
        <f t="array" aca="1" ref="R54" ca="1">IF(AUTOEVENTO="Manual",ROUND(SUMPRODUCT((CÁLCULO!$M$15:$M$47=EVENTOS!$C54)*(OFFSET(CÁLCULO!$AA$15:$AA$47,0,R$13))),2),0)</f>
        <v>0</v>
      </c>
      <c r="S54" s="620" cm="1">
        <f t="array" aca="1" ref="S54" ca="1">IF(AUTOEVENTO="Manual",ROUND(SUMPRODUCT((CÁLCULO!$M$15:$M$47=EVENTOS!$C54)*(OFFSET(CÁLCULO!$AA$15:$AA$47,0,S$13))),2),0)</f>
        <v>0</v>
      </c>
      <c r="T54" s="620" cm="1">
        <f t="array" aca="1" ref="T54" ca="1">IF(AUTOEVENTO="Manual",ROUND(SUMPRODUCT((CÁLCULO!$M$15:$M$47=EVENTOS!$C54)*(OFFSET(CÁLCULO!$AA$15:$AA$47,0,T$13))),2),0)</f>
        <v>0</v>
      </c>
      <c r="U54" s="620" cm="1">
        <f t="array" aca="1" ref="U54" ca="1">IF(AUTOEVENTO="Manual",ROUND(SUMPRODUCT((CÁLCULO!$M$15:$M$47=EVENTOS!$C54)*(OFFSET(CÁLCULO!$AA$15:$AA$47,0,U$13))),2),0)</f>
        <v>0</v>
      </c>
      <c r="V54" s="620" cm="1">
        <f t="array" aca="1" ref="V54" ca="1">IF(AUTOEVENTO="Manual",ROUND(SUMPRODUCT((CÁLCULO!$M$15:$M$47=EVENTOS!$C54)*(OFFSET(CÁLCULO!$AA$15:$AA$47,0,V$13))),2),0)</f>
        <v>0</v>
      </c>
      <c r="W54" s="620" cm="1">
        <f t="array" aca="1" ref="W54" ca="1">IF(AUTOEVENTO="Manual",ROUND(SUMPRODUCT((CÁLCULO!$M$15:$M$47=EVENTOS!$C54)*(OFFSET(CÁLCULO!$AA$15:$AA$47,0,W$13))),2),0)</f>
        <v>0</v>
      </c>
      <c r="X54" s="620" cm="1">
        <f t="array" aca="1" ref="X54" ca="1">IF(AUTOEVENTO="Manual",ROUND(SUMPRODUCT((CÁLCULO!$M$15:$M$47=EVENTOS!$C54)*(OFFSET(CÁLCULO!$AA$15:$AA$47,0,X$13))),2),0)</f>
        <v>0</v>
      </c>
      <c r="Y54" s="620" cm="1">
        <f t="array" aca="1" ref="Y54" ca="1">IF(AUTOEVENTO="Manual",ROUND(SUMPRODUCT((CÁLCULO!$M$15:$M$47=EVENTOS!$C54)*(OFFSET(CÁLCULO!$AA$15:$AA$47,0,Y$13))),2),0)</f>
        <v>0</v>
      </c>
    </row>
    <row r="55" spans="1:25" x14ac:dyDescent="0.2">
      <c r="A55" s="506" t="str">
        <f t="shared" si="3"/>
        <v/>
      </c>
      <c r="B55" t="str">
        <f t="shared" ca="1" si="4"/>
        <v/>
      </c>
      <c r="C55" s="182" t="str" cm="1">
        <f t="array" aca="1" ref="C55" ca="1">IF(OR(ROW(C55)=ROW(EVENTOS.firstrow)+1,AND(OFFSET(C55,-1,0)&lt;&gt;" ",OFFSET(C55,-1,1)&lt;&gt;"")),OFFSET(C55,-1,0)+1," ")</f>
        <v xml:space="preserve"> </v>
      </c>
      <c r="D55" s="496"/>
      <c r="E55" s="620" cm="1">
        <f t="array" aca="1" ref="E55" ca="1">IF(AUTOEVENTO="Manual",ROUND(SUMPRODUCT((CÁLCULO!$M$15:$M$47=EVENTOS!$C55)*(OFFSET(CÁLCULO!$AA$15:$AA$47,0,E$13))),2),0)</f>
        <v>0</v>
      </c>
      <c r="F55" s="183">
        <f ca="1">IF(AUTOEVENTO="Manual",ROUND(SUMPRODUCT((CÁLCULO!$M$15:$M$47=EVENTOS!$C55)*(OFFSET(CÁLCULO!$AA$15,0,1):OFFSET(CÁLCULO!$AL$47,0,-1))),2),0)</f>
        <v>0</v>
      </c>
      <c r="G55" s="621" t="str">
        <f t="shared" ca="1" si="6"/>
        <v/>
      </c>
      <c r="H55" s="620" cm="1">
        <f t="array" aca="1" ref="H55" ca="1">IF(AUTOEVENTO="Manual",ROUND(SUMPRODUCT((CÁLCULO!$M$15:$M$47=EVENTOS!$C55)*(OFFSET(CÁLCULO!$AA$15:$AA$47,0,H$13))),2),0)</f>
        <v>0</v>
      </c>
      <c r="I55" s="620" cm="1">
        <f t="array" aca="1" ref="I55" ca="1">IF(AUTOEVENTO="Manual",ROUND(SUMPRODUCT((CÁLCULO!$M$15:$M$47=EVENTOS!$C55)*(OFFSET(CÁLCULO!$AA$15:$AA$47,0,I$13))),2),0)</f>
        <v>0</v>
      </c>
      <c r="J55" s="620" cm="1">
        <f t="array" aca="1" ref="J55" ca="1">IF(AUTOEVENTO="Manual",ROUND(SUMPRODUCT((CÁLCULO!$M$15:$M$47=EVENTOS!$C55)*(OFFSET(CÁLCULO!$AA$15:$AA$47,0,J$13))),2),0)</f>
        <v>0</v>
      </c>
      <c r="K55" s="620" cm="1">
        <f t="array" aca="1" ref="K55" ca="1">IF(AUTOEVENTO="Manual",ROUND(SUMPRODUCT((CÁLCULO!$M$15:$M$47=EVENTOS!$C55)*(OFFSET(CÁLCULO!$AA$15:$AA$47,0,K$13))),2),0)</f>
        <v>0</v>
      </c>
      <c r="L55" s="620" cm="1">
        <f t="array" aca="1" ref="L55" ca="1">IF(AUTOEVENTO="Manual",ROUND(SUMPRODUCT((CÁLCULO!$M$15:$M$47=EVENTOS!$C55)*(OFFSET(CÁLCULO!$AA$15:$AA$47,0,L$13))),2),0)</f>
        <v>0</v>
      </c>
      <c r="M55" s="620" cm="1">
        <f t="array" aca="1" ref="M55" ca="1">IF(AUTOEVENTO="Manual",ROUND(SUMPRODUCT((CÁLCULO!$M$15:$M$47=EVENTOS!$C55)*(OFFSET(CÁLCULO!$AA$15:$AA$47,0,M$13))),2),0)</f>
        <v>0</v>
      </c>
      <c r="N55" s="620" cm="1">
        <f t="array" aca="1" ref="N55" ca="1">IF(AUTOEVENTO="Manual",ROUND(SUMPRODUCT((CÁLCULO!$M$15:$M$47=EVENTOS!$C55)*(OFFSET(CÁLCULO!$AA$15:$AA$47,0,N$13))),2),0)</f>
        <v>0</v>
      </c>
      <c r="O55" s="620" cm="1">
        <f t="array" aca="1" ref="O55" ca="1">IF(AUTOEVENTO="Manual",ROUND(SUMPRODUCT((CÁLCULO!$M$15:$M$47=EVENTOS!$C55)*(OFFSET(CÁLCULO!$AA$15:$AA$47,0,O$13))),2),0)</f>
        <v>0</v>
      </c>
      <c r="P55" s="620" cm="1">
        <f t="array" aca="1" ref="P55" ca="1">IF(AUTOEVENTO="Manual",ROUND(SUMPRODUCT((CÁLCULO!$M$15:$M$47=EVENTOS!$C55)*(OFFSET(CÁLCULO!$AA$15:$AA$47,0,P$13))),2),0)</f>
        <v>0</v>
      </c>
      <c r="Q55" s="620" cm="1">
        <f t="array" aca="1" ref="Q55" ca="1">IF(AUTOEVENTO="Manual",ROUND(SUMPRODUCT((CÁLCULO!$M$15:$M$47=EVENTOS!$C55)*(OFFSET(CÁLCULO!$AA$15:$AA$47,0,Q$13))),2),0)</f>
        <v>0</v>
      </c>
      <c r="R55" s="620" cm="1">
        <f t="array" aca="1" ref="R55" ca="1">IF(AUTOEVENTO="Manual",ROUND(SUMPRODUCT((CÁLCULO!$M$15:$M$47=EVENTOS!$C55)*(OFFSET(CÁLCULO!$AA$15:$AA$47,0,R$13))),2),0)</f>
        <v>0</v>
      </c>
      <c r="S55" s="620" cm="1">
        <f t="array" aca="1" ref="S55" ca="1">IF(AUTOEVENTO="Manual",ROUND(SUMPRODUCT((CÁLCULO!$M$15:$M$47=EVENTOS!$C55)*(OFFSET(CÁLCULO!$AA$15:$AA$47,0,S$13))),2),0)</f>
        <v>0</v>
      </c>
      <c r="T55" s="620" cm="1">
        <f t="array" aca="1" ref="T55" ca="1">IF(AUTOEVENTO="Manual",ROUND(SUMPRODUCT((CÁLCULO!$M$15:$M$47=EVENTOS!$C55)*(OFFSET(CÁLCULO!$AA$15:$AA$47,0,T$13))),2),0)</f>
        <v>0</v>
      </c>
      <c r="U55" s="620" cm="1">
        <f t="array" aca="1" ref="U55" ca="1">IF(AUTOEVENTO="Manual",ROUND(SUMPRODUCT((CÁLCULO!$M$15:$M$47=EVENTOS!$C55)*(OFFSET(CÁLCULO!$AA$15:$AA$47,0,U$13))),2),0)</f>
        <v>0</v>
      </c>
      <c r="V55" s="620" cm="1">
        <f t="array" aca="1" ref="V55" ca="1">IF(AUTOEVENTO="Manual",ROUND(SUMPRODUCT((CÁLCULO!$M$15:$M$47=EVENTOS!$C55)*(OFFSET(CÁLCULO!$AA$15:$AA$47,0,V$13))),2),0)</f>
        <v>0</v>
      </c>
      <c r="W55" s="620" cm="1">
        <f t="array" aca="1" ref="W55" ca="1">IF(AUTOEVENTO="Manual",ROUND(SUMPRODUCT((CÁLCULO!$M$15:$M$47=EVENTOS!$C55)*(OFFSET(CÁLCULO!$AA$15:$AA$47,0,W$13))),2),0)</f>
        <v>0</v>
      </c>
      <c r="X55" s="620" cm="1">
        <f t="array" aca="1" ref="X55" ca="1">IF(AUTOEVENTO="Manual",ROUND(SUMPRODUCT((CÁLCULO!$M$15:$M$47=EVENTOS!$C55)*(OFFSET(CÁLCULO!$AA$15:$AA$47,0,X$13))),2),0)</f>
        <v>0</v>
      </c>
      <c r="Y55" s="620" cm="1">
        <f t="array" aca="1" ref="Y55" ca="1">IF(AUTOEVENTO="Manual",ROUND(SUMPRODUCT((CÁLCULO!$M$15:$M$47=EVENTOS!$C55)*(OFFSET(CÁLCULO!$AA$15:$AA$47,0,Y$13))),2),0)</f>
        <v>0</v>
      </c>
    </row>
    <row r="56" spans="1:25" x14ac:dyDescent="0.2">
      <c r="A56" s="506" t="str">
        <f t="shared" si="3"/>
        <v/>
      </c>
      <c r="B56" t="str">
        <f t="shared" ca="1" si="4"/>
        <v/>
      </c>
      <c r="C56" s="182" t="str" cm="1">
        <f t="array" aca="1" ref="C56" ca="1">IF(OR(ROW(C56)=ROW(EVENTOS.firstrow)+1,AND(OFFSET(C56,-1,0)&lt;&gt;" ",OFFSET(C56,-1,1)&lt;&gt;"")),OFFSET(C56,-1,0)+1," ")</f>
        <v xml:space="preserve"> </v>
      </c>
      <c r="D56" s="496"/>
      <c r="E56" s="620" cm="1">
        <f t="array" aca="1" ref="E56" ca="1">IF(AUTOEVENTO="Manual",ROUND(SUMPRODUCT((CÁLCULO!$M$15:$M$47=EVENTOS!$C56)*(OFFSET(CÁLCULO!$AA$15:$AA$47,0,E$13))),2),0)</f>
        <v>0</v>
      </c>
      <c r="F56" s="183">
        <f ca="1">IF(AUTOEVENTO="Manual",ROUND(SUMPRODUCT((CÁLCULO!$M$15:$M$47=EVENTOS!$C56)*(OFFSET(CÁLCULO!$AA$15,0,1):OFFSET(CÁLCULO!$AL$47,0,-1))),2),0)</f>
        <v>0</v>
      </c>
      <c r="G56" s="621" t="str">
        <f t="shared" ca="1" si="6"/>
        <v/>
      </c>
      <c r="H56" s="620" cm="1">
        <f t="array" aca="1" ref="H56" ca="1">IF(AUTOEVENTO="Manual",ROUND(SUMPRODUCT((CÁLCULO!$M$15:$M$47=EVENTOS!$C56)*(OFFSET(CÁLCULO!$AA$15:$AA$47,0,H$13))),2),0)</f>
        <v>0</v>
      </c>
      <c r="I56" s="620" cm="1">
        <f t="array" aca="1" ref="I56" ca="1">IF(AUTOEVENTO="Manual",ROUND(SUMPRODUCT((CÁLCULO!$M$15:$M$47=EVENTOS!$C56)*(OFFSET(CÁLCULO!$AA$15:$AA$47,0,I$13))),2),0)</f>
        <v>0</v>
      </c>
      <c r="J56" s="620" cm="1">
        <f t="array" aca="1" ref="J56" ca="1">IF(AUTOEVENTO="Manual",ROUND(SUMPRODUCT((CÁLCULO!$M$15:$M$47=EVENTOS!$C56)*(OFFSET(CÁLCULO!$AA$15:$AA$47,0,J$13))),2),0)</f>
        <v>0</v>
      </c>
      <c r="K56" s="620" cm="1">
        <f t="array" aca="1" ref="K56" ca="1">IF(AUTOEVENTO="Manual",ROUND(SUMPRODUCT((CÁLCULO!$M$15:$M$47=EVENTOS!$C56)*(OFFSET(CÁLCULO!$AA$15:$AA$47,0,K$13))),2),0)</f>
        <v>0</v>
      </c>
      <c r="L56" s="620" cm="1">
        <f t="array" aca="1" ref="L56" ca="1">IF(AUTOEVENTO="Manual",ROUND(SUMPRODUCT((CÁLCULO!$M$15:$M$47=EVENTOS!$C56)*(OFFSET(CÁLCULO!$AA$15:$AA$47,0,L$13))),2),0)</f>
        <v>0</v>
      </c>
      <c r="M56" s="620" cm="1">
        <f t="array" aca="1" ref="M56" ca="1">IF(AUTOEVENTO="Manual",ROUND(SUMPRODUCT((CÁLCULO!$M$15:$M$47=EVENTOS!$C56)*(OFFSET(CÁLCULO!$AA$15:$AA$47,0,M$13))),2),0)</f>
        <v>0</v>
      </c>
      <c r="N56" s="620" cm="1">
        <f t="array" aca="1" ref="N56" ca="1">IF(AUTOEVENTO="Manual",ROUND(SUMPRODUCT((CÁLCULO!$M$15:$M$47=EVENTOS!$C56)*(OFFSET(CÁLCULO!$AA$15:$AA$47,0,N$13))),2),0)</f>
        <v>0</v>
      </c>
      <c r="O56" s="620" cm="1">
        <f t="array" aca="1" ref="O56" ca="1">IF(AUTOEVENTO="Manual",ROUND(SUMPRODUCT((CÁLCULO!$M$15:$M$47=EVENTOS!$C56)*(OFFSET(CÁLCULO!$AA$15:$AA$47,0,O$13))),2),0)</f>
        <v>0</v>
      </c>
      <c r="P56" s="620" cm="1">
        <f t="array" aca="1" ref="P56" ca="1">IF(AUTOEVENTO="Manual",ROUND(SUMPRODUCT((CÁLCULO!$M$15:$M$47=EVENTOS!$C56)*(OFFSET(CÁLCULO!$AA$15:$AA$47,0,P$13))),2),0)</f>
        <v>0</v>
      </c>
      <c r="Q56" s="620" cm="1">
        <f t="array" aca="1" ref="Q56" ca="1">IF(AUTOEVENTO="Manual",ROUND(SUMPRODUCT((CÁLCULO!$M$15:$M$47=EVENTOS!$C56)*(OFFSET(CÁLCULO!$AA$15:$AA$47,0,Q$13))),2),0)</f>
        <v>0</v>
      </c>
      <c r="R56" s="620" cm="1">
        <f t="array" aca="1" ref="R56" ca="1">IF(AUTOEVENTO="Manual",ROUND(SUMPRODUCT((CÁLCULO!$M$15:$M$47=EVENTOS!$C56)*(OFFSET(CÁLCULO!$AA$15:$AA$47,0,R$13))),2),0)</f>
        <v>0</v>
      </c>
      <c r="S56" s="620" cm="1">
        <f t="array" aca="1" ref="S56" ca="1">IF(AUTOEVENTO="Manual",ROUND(SUMPRODUCT((CÁLCULO!$M$15:$M$47=EVENTOS!$C56)*(OFFSET(CÁLCULO!$AA$15:$AA$47,0,S$13))),2),0)</f>
        <v>0</v>
      </c>
      <c r="T56" s="620" cm="1">
        <f t="array" aca="1" ref="T56" ca="1">IF(AUTOEVENTO="Manual",ROUND(SUMPRODUCT((CÁLCULO!$M$15:$M$47=EVENTOS!$C56)*(OFFSET(CÁLCULO!$AA$15:$AA$47,0,T$13))),2),0)</f>
        <v>0</v>
      </c>
      <c r="U56" s="620" cm="1">
        <f t="array" aca="1" ref="U56" ca="1">IF(AUTOEVENTO="Manual",ROUND(SUMPRODUCT((CÁLCULO!$M$15:$M$47=EVENTOS!$C56)*(OFFSET(CÁLCULO!$AA$15:$AA$47,0,U$13))),2),0)</f>
        <v>0</v>
      </c>
      <c r="V56" s="620" cm="1">
        <f t="array" aca="1" ref="V56" ca="1">IF(AUTOEVENTO="Manual",ROUND(SUMPRODUCT((CÁLCULO!$M$15:$M$47=EVENTOS!$C56)*(OFFSET(CÁLCULO!$AA$15:$AA$47,0,V$13))),2),0)</f>
        <v>0</v>
      </c>
      <c r="W56" s="620" cm="1">
        <f t="array" aca="1" ref="W56" ca="1">IF(AUTOEVENTO="Manual",ROUND(SUMPRODUCT((CÁLCULO!$M$15:$M$47=EVENTOS!$C56)*(OFFSET(CÁLCULO!$AA$15:$AA$47,0,W$13))),2),0)</f>
        <v>0</v>
      </c>
      <c r="X56" s="620" cm="1">
        <f t="array" aca="1" ref="X56" ca="1">IF(AUTOEVENTO="Manual",ROUND(SUMPRODUCT((CÁLCULO!$M$15:$M$47=EVENTOS!$C56)*(OFFSET(CÁLCULO!$AA$15:$AA$47,0,X$13))),2),0)</f>
        <v>0</v>
      </c>
      <c r="Y56" s="620" cm="1">
        <f t="array" aca="1" ref="Y56" ca="1">IF(AUTOEVENTO="Manual",ROUND(SUMPRODUCT((CÁLCULO!$M$15:$M$47=EVENTOS!$C56)*(OFFSET(CÁLCULO!$AA$15:$AA$47,0,Y$13))),2),0)</f>
        <v>0</v>
      </c>
    </row>
    <row r="57" spans="1:25" x14ac:dyDescent="0.2">
      <c r="A57" s="506" t="str">
        <f t="shared" si="3"/>
        <v/>
      </c>
      <c r="B57" t="str">
        <f t="shared" ca="1" si="4"/>
        <v/>
      </c>
      <c r="C57" s="182" t="str" cm="1">
        <f t="array" aca="1" ref="C57" ca="1">IF(OR(ROW(C57)=ROW(EVENTOS.firstrow)+1,AND(OFFSET(C57,-1,0)&lt;&gt;" ",OFFSET(C57,-1,1)&lt;&gt;"")),OFFSET(C57,-1,0)+1," ")</f>
        <v xml:space="preserve"> </v>
      </c>
      <c r="D57" s="496"/>
      <c r="E57" s="620" cm="1">
        <f t="array" aca="1" ref="E57" ca="1">IF(AUTOEVENTO="Manual",ROUND(SUMPRODUCT((CÁLCULO!$M$15:$M$47=EVENTOS!$C57)*(OFFSET(CÁLCULO!$AA$15:$AA$47,0,E$13))),2),0)</f>
        <v>0</v>
      </c>
      <c r="F57" s="183">
        <f ca="1">IF(AUTOEVENTO="Manual",ROUND(SUMPRODUCT((CÁLCULO!$M$15:$M$47=EVENTOS!$C57)*(OFFSET(CÁLCULO!$AA$15,0,1):OFFSET(CÁLCULO!$AL$47,0,-1))),2),0)</f>
        <v>0</v>
      </c>
      <c r="G57" s="621" t="str">
        <f t="shared" ca="1" si="6"/>
        <v/>
      </c>
      <c r="H57" s="620" cm="1">
        <f t="array" aca="1" ref="H57" ca="1">IF(AUTOEVENTO="Manual",ROUND(SUMPRODUCT((CÁLCULO!$M$15:$M$47=EVENTOS!$C57)*(OFFSET(CÁLCULO!$AA$15:$AA$47,0,H$13))),2),0)</f>
        <v>0</v>
      </c>
      <c r="I57" s="620" cm="1">
        <f t="array" aca="1" ref="I57" ca="1">IF(AUTOEVENTO="Manual",ROUND(SUMPRODUCT((CÁLCULO!$M$15:$M$47=EVENTOS!$C57)*(OFFSET(CÁLCULO!$AA$15:$AA$47,0,I$13))),2),0)</f>
        <v>0</v>
      </c>
      <c r="J57" s="620" cm="1">
        <f t="array" aca="1" ref="J57" ca="1">IF(AUTOEVENTO="Manual",ROUND(SUMPRODUCT((CÁLCULO!$M$15:$M$47=EVENTOS!$C57)*(OFFSET(CÁLCULO!$AA$15:$AA$47,0,J$13))),2),0)</f>
        <v>0</v>
      </c>
      <c r="K57" s="620" cm="1">
        <f t="array" aca="1" ref="K57" ca="1">IF(AUTOEVENTO="Manual",ROUND(SUMPRODUCT((CÁLCULO!$M$15:$M$47=EVENTOS!$C57)*(OFFSET(CÁLCULO!$AA$15:$AA$47,0,K$13))),2),0)</f>
        <v>0</v>
      </c>
      <c r="L57" s="620" cm="1">
        <f t="array" aca="1" ref="L57" ca="1">IF(AUTOEVENTO="Manual",ROUND(SUMPRODUCT((CÁLCULO!$M$15:$M$47=EVENTOS!$C57)*(OFFSET(CÁLCULO!$AA$15:$AA$47,0,L$13))),2),0)</f>
        <v>0</v>
      </c>
      <c r="M57" s="620" cm="1">
        <f t="array" aca="1" ref="M57" ca="1">IF(AUTOEVENTO="Manual",ROUND(SUMPRODUCT((CÁLCULO!$M$15:$M$47=EVENTOS!$C57)*(OFFSET(CÁLCULO!$AA$15:$AA$47,0,M$13))),2),0)</f>
        <v>0</v>
      </c>
      <c r="N57" s="620" cm="1">
        <f t="array" aca="1" ref="N57" ca="1">IF(AUTOEVENTO="Manual",ROUND(SUMPRODUCT((CÁLCULO!$M$15:$M$47=EVENTOS!$C57)*(OFFSET(CÁLCULO!$AA$15:$AA$47,0,N$13))),2),0)</f>
        <v>0</v>
      </c>
      <c r="O57" s="620" cm="1">
        <f t="array" aca="1" ref="O57" ca="1">IF(AUTOEVENTO="Manual",ROUND(SUMPRODUCT((CÁLCULO!$M$15:$M$47=EVENTOS!$C57)*(OFFSET(CÁLCULO!$AA$15:$AA$47,0,O$13))),2),0)</f>
        <v>0</v>
      </c>
      <c r="P57" s="620" cm="1">
        <f t="array" aca="1" ref="P57" ca="1">IF(AUTOEVENTO="Manual",ROUND(SUMPRODUCT((CÁLCULO!$M$15:$M$47=EVENTOS!$C57)*(OFFSET(CÁLCULO!$AA$15:$AA$47,0,P$13))),2),0)</f>
        <v>0</v>
      </c>
      <c r="Q57" s="620" cm="1">
        <f t="array" aca="1" ref="Q57" ca="1">IF(AUTOEVENTO="Manual",ROUND(SUMPRODUCT((CÁLCULO!$M$15:$M$47=EVENTOS!$C57)*(OFFSET(CÁLCULO!$AA$15:$AA$47,0,Q$13))),2),0)</f>
        <v>0</v>
      </c>
      <c r="R57" s="620" cm="1">
        <f t="array" aca="1" ref="R57" ca="1">IF(AUTOEVENTO="Manual",ROUND(SUMPRODUCT((CÁLCULO!$M$15:$M$47=EVENTOS!$C57)*(OFFSET(CÁLCULO!$AA$15:$AA$47,0,R$13))),2),0)</f>
        <v>0</v>
      </c>
      <c r="S57" s="620" cm="1">
        <f t="array" aca="1" ref="S57" ca="1">IF(AUTOEVENTO="Manual",ROUND(SUMPRODUCT((CÁLCULO!$M$15:$M$47=EVENTOS!$C57)*(OFFSET(CÁLCULO!$AA$15:$AA$47,0,S$13))),2),0)</f>
        <v>0</v>
      </c>
      <c r="T57" s="620" cm="1">
        <f t="array" aca="1" ref="T57" ca="1">IF(AUTOEVENTO="Manual",ROUND(SUMPRODUCT((CÁLCULO!$M$15:$M$47=EVENTOS!$C57)*(OFFSET(CÁLCULO!$AA$15:$AA$47,0,T$13))),2),0)</f>
        <v>0</v>
      </c>
      <c r="U57" s="620" cm="1">
        <f t="array" aca="1" ref="U57" ca="1">IF(AUTOEVENTO="Manual",ROUND(SUMPRODUCT((CÁLCULO!$M$15:$M$47=EVENTOS!$C57)*(OFFSET(CÁLCULO!$AA$15:$AA$47,0,U$13))),2),0)</f>
        <v>0</v>
      </c>
      <c r="V57" s="620" cm="1">
        <f t="array" aca="1" ref="V57" ca="1">IF(AUTOEVENTO="Manual",ROUND(SUMPRODUCT((CÁLCULO!$M$15:$M$47=EVENTOS!$C57)*(OFFSET(CÁLCULO!$AA$15:$AA$47,0,V$13))),2),0)</f>
        <v>0</v>
      </c>
      <c r="W57" s="620" cm="1">
        <f t="array" aca="1" ref="W57" ca="1">IF(AUTOEVENTO="Manual",ROUND(SUMPRODUCT((CÁLCULO!$M$15:$M$47=EVENTOS!$C57)*(OFFSET(CÁLCULO!$AA$15:$AA$47,0,W$13))),2),0)</f>
        <v>0</v>
      </c>
      <c r="X57" s="620" cm="1">
        <f t="array" aca="1" ref="X57" ca="1">IF(AUTOEVENTO="Manual",ROUND(SUMPRODUCT((CÁLCULO!$M$15:$M$47=EVENTOS!$C57)*(OFFSET(CÁLCULO!$AA$15:$AA$47,0,X$13))),2),0)</f>
        <v>0</v>
      </c>
      <c r="Y57" s="620" cm="1">
        <f t="array" aca="1" ref="Y57" ca="1">IF(AUTOEVENTO="Manual",ROUND(SUMPRODUCT((CÁLCULO!$M$15:$M$47=EVENTOS!$C57)*(OFFSET(CÁLCULO!$AA$15:$AA$47,0,Y$13))),2),0)</f>
        <v>0</v>
      </c>
    </row>
    <row r="58" spans="1:25" x14ac:dyDescent="0.2">
      <c r="A58" s="506" t="str">
        <f t="shared" si="3"/>
        <v/>
      </c>
      <c r="B58" t="str">
        <f t="shared" ca="1" si="4"/>
        <v/>
      </c>
      <c r="C58" s="182" t="str" cm="1">
        <f t="array" aca="1" ref="C58" ca="1">IF(OR(ROW(C58)=ROW(EVENTOS.firstrow)+1,AND(OFFSET(C58,-1,0)&lt;&gt;" ",OFFSET(C58,-1,1)&lt;&gt;"")),OFFSET(C58,-1,0)+1," ")</f>
        <v xml:space="preserve"> </v>
      </c>
      <c r="D58" s="496"/>
      <c r="E58" s="620" cm="1">
        <f t="array" aca="1" ref="E58" ca="1">IF(AUTOEVENTO="Manual",ROUND(SUMPRODUCT((CÁLCULO!$M$15:$M$47=EVENTOS!$C58)*(OFFSET(CÁLCULO!$AA$15:$AA$47,0,E$13))),2),0)</f>
        <v>0</v>
      </c>
      <c r="F58" s="183">
        <f ca="1">IF(AUTOEVENTO="Manual",ROUND(SUMPRODUCT((CÁLCULO!$M$15:$M$47=EVENTOS!$C58)*(OFFSET(CÁLCULO!$AA$15,0,1):OFFSET(CÁLCULO!$AL$47,0,-1))),2),0)</f>
        <v>0</v>
      </c>
      <c r="G58" s="621" t="str">
        <f t="shared" ca="1" si="6"/>
        <v/>
      </c>
      <c r="H58" s="620" cm="1">
        <f t="array" aca="1" ref="H58" ca="1">IF(AUTOEVENTO="Manual",ROUND(SUMPRODUCT((CÁLCULO!$M$15:$M$47=EVENTOS!$C58)*(OFFSET(CÁLCULO!$AA$15:$AA$47,0,H$13))),2),0)</f>
        <v>0</v>
      </c>
      <c r="I58" s="620" cm="1">
        <f t="array" aca="1" ref="I58" ca="1">IF(AUTOEVENTO="Manual",ROUND(SUMPRODUCT((CÁLCULO!$M$15:$M$47=EVENTOS!$C58)*(OFFSET(CÁLCULO!$AA$15:$AA$47,0,I$13))),2),0)</f>
        <v>0</v>
      </c>
      <c r="J58" s="620" cm="1">
        <f t="array" aca="1" ref="J58" ca="1">IF(AUTOEVENTO="Manual",ROUND(SUMPRODUCT((CÁLCULO!$M$15:$M$47=EVENTOS!$C58)*(OFFSET(CÁLCULO!$AA$15:$AA$47,0,J$13))),2),0)</f>
        <v>0</v>
      </c>
      <c r="K58" s="620" cm="1">
        <f t="array" aca="1" ref="K58" ca="1">IF(AUTOEVENTO="Manual",ROUND(SUMPRODUCT((CÁLCULO!$M$15:$M$47=EVENTOS!$C58)*(OFFSET(CÁLCULO!$AA$15:$AA$47,0,K$13))),2),0)</f>
        <v>0</v>
      </c>
      <c r="L58" s="620" cm="1">
        <f t="array" aca="1" ref="L58" ca="1">IF(AUTOEVENTO="Manual",ROUND(SUMPRODUCT((CÁLCULO!$M$15:$M$47=EVENTOS!$C58)*(OFFSET(CÁLCULO!$AA$15:$AA$47,0,L$13))),2),0)</f>
        <v>0</v>
      </c>
      <c r="M58" s="620" cm="1">
        <f t="array" aca="1" ref="M58" ca="1">IF(AUTOEVENTO="Manual",ROUND(SUMPRODUCT((CÁLCULO!$M$15:$M$47=EVENTOS!$C58)*(OFFSET(CÁLCULO!$AA$15:$AA$47,0,M$13))),2),0)</f>
        <v>0</v>
      </c>
      <c r="N58" s="620" cm="1">
        <f t="array" aca="1" ref="N58" ca="1">IF(AUTOEVENTO="Manual",ROUND(SUMPRODUCT((CÁLCULO!$M$15:$M$47=EVENTOS!$C58)*(OFFSET(CÁLCULO!$AA$15:$AA$47,0,N$13))),2),0)</f>
        <v>0</v>
      </c>
      <c r="O58" s="620" cm="1">
        <f t="array" aca="1" ref="O58" ca="1">IF(AUTOEVENTO="Manual",ROUND(SUMPRODUCT((CÁLCULO!$M$15:$M$47=EVENTOS!$C58)*(OFFSET(CÁLCULO!$AA$15:$AA$47,0,O$13))),2),0)</f>
        <v>0</v>
      </c>
      <c r="P58" s="620" cm="1">
        <f t="array" aca="1" ref="P58" ca="1">IF(AUTOEVENTO="Manual",ROUND(SUMPRODUCT((CÁLCULO!$M$15:$M$47=EVENTOS!$C58)*(OFFSET(CÁLCULO!$AA$15:$AA$47,0,P$13))),2),0)</f>
        <v>0</v>
      </c>
      <c r="Q58" s="620" cm="1">
        <f t="array" aca="1" ref="Q58" ca="1">IF(AUTOEVENTO="Manual",ROUND(SUMPRODUCT((CÁLCULO!$M$15:$M$47=EVENTOS!$C58)*(OFFSET(CÁLCULO!$AA$15:$AA$47,0,Q$13))),2),0)</f>
        <v>0</v>
      </c>
      <c r="R58" s="620" cm="1">
        <f t="array" aca="1" ref="R58" ca="1">IF(AUTOEVENTO="Manual",ROUND(SUMPRODUCT((CÁLCULO!$M$15:$M$47=EVENTOS!$C58)*(OFFSET(CÁLCULO!$AA$15:$AA$47,0,R$13))),2),0)</f>
        <v>0</v>
      </c>
      <c r="S58" s="620" cm="1">
        <f t="array" aca="1" ref="S58" ca="1">IF(AUTOEVENTO="Manual",ROUND(SUMPRODUCT((CÁLCULO!$M$15:$M$47=EVENTOS!$C58)*(OFFSET(CÁLCULO!$AA$15:$AA$47,0,S$13))),2),0)</f>
        <v>0</v>
      </c>
      <c r="T58" s="620" cm="1">
        <f t="array" aca="1" ref="T58" ca="1">IF(AUTOEVENTO="Manual",ROUND(SUMPRODUCT((CÁLCULO!$M$15:$M$47=EVENTOS!$C58)*(OFFSET(CÁLCULO!$AA$15:$AA$47,0,T$13))),2),0)</f>
        <v>0</v>
      </c>
      <c r="U58" s="620" cm="1">
        <f t="array" aca="1" ref="U58" ca="1">IF(AUTOEVENTO="Manual",ROUND(SUMPRODUCT((CÁLCULO!$M$15:$M$47=EVENTOS!$C58)*(OFFSET(CÁLCULO!$AA$15:$AA$47,0,U$13))),2),0)</f>
        <v>0</v>
      </c>
      <c r="V58" s="620" cm="1">
        <f t="array" aca="1" ref="V58" ca="1">IF(AUTOEVENTO="Manual",ROUND(SUMPRODUCT((CÁLCULO!$M$15:$M$47=EVENTOS!$C58)*(OFFSET(CÁLCULO!$AA$15:$AA$47,0,V$13))),2),0)</f>
        <v>0</v>
      </c>
      <c r="W58" s="620" cm="1">
        <f t="array" aca="1" ref="W58" ca="1">IF(AUTOEVENTO="Manual",ROUND(SUMPRODUCT((CÁLCULO!$M$15:$M$47=EVENTOS!$C58)*(OFFSET(CÁLCULO!$AA$15:$AA$47,0,W$13))),2),0)</f>
        <v>0</v>
      </c>
      <c r="X58" s="620" cm="1">
        <f t="array" aca="1" ref="X58" ca="1">IF(AUTOEVENTO="Manual",ROUND(SUMPRODUCT((CÁLCULO!$M$15:$M$47=EVENTOS!$C58)*(OFFSET(CÁLCULO!$AA$15:$AA$47,0,X$13))),2),0)</f>
        <v>0</v>
      </c>
      <c r="Y58" s="620" cm="1">
        <f t="array" aca="1" ref="Y58" ca="1">IF(AUTOEVENTO="Manual",ROUND(SUMPRODUCT((CÁLCULO!$M$15:$M$47=EVENTOS!$C58)*(OFFSET(CÁLCULO!$AA$15:$AA$47,0,Y$13))),2),0)</f>
        <v>0</v>
      </c>
    </row>
    <row r="59" spans="1:25" x14ac:dyDescent="0.2">
      <c r="A59" s="506" t="str">
        <f t="shared" si="3"/>
        <v/>
      </c>
      <c r="B59" t="str">
        <f t="shared" ca="1" si="4"/>
        <v/>
      </c>
      <c r="C59" s="182" t="str" cm="1">
        <f t="array" aca="1" ref="C59" ca="1">IF(OR(ROW(C59)=ROW(EVENTOS.firstrow)+1,AND(OFFSET(C59,-1,0)&lt;&gt;" ",OFFSET(C59,-1,1)&lt;&gt;"")),OFFSET(C59,-1,0)+1," ")</f>
        <v xml:space="preserve"> </v>
      </c>
      <c r="D59" s="496"/>
      <c r="E59" s="620" cm="1">
        <f t="array" aca="1" ref="E59" ca="1">IF(AUTOEVENTO="Manual",ROUND(SUMPRODUCT((CÁLCULO!$M$15:$M$47=EVENTOS!$C59)*(OFFSET(CÁLCULO!$AA$15:$AA$47,0,E$13))),2),0)</f>
        <v>0</v>
      </c>
      <c r="F59" s="183">
        <f ca="1">IF(AUTOEVENTO="Manual",ROUND(SUMPRODUCT((CÁLCULO!$M$15:$M$47=EVENTOS!$C59)*(OFFSET(CÁLCULO!$AA$15,0,1):OFFSET(CÁLCULO!$AL$47,0,-1))),2),0)</f>
        <v>0</v>
      </c>
      <c r="G59" s="621" t="str">
        <f t="shared" ca="1" si="6"/>
        <v/>
      </c>
      <c r="H59" s="620" cm="1">
        <f t="array" aca="1" ref="H59" ca="1">IF(AUTOEVENTO="Manual",ROUND(SUMPRODUCT((CÁLCULO!$M$15:$M$47=EVENTOS!$C59)*(OFFSET(CÁLCULO!$AA$15:$AA$47,0,H$13))),2),0)</f>
        <v>0</v>
      </c>
      <c r="I59" s="620" cm="1">
        <f t="array" aca="1" ref="I59" ca="1">IF(AUTOEVENTO="Manual",ROUND(SUMPRODUCT((CÁLCULO!$M$15:$M$47=EVENTOS!$C59)*(OFFSET(CÁLCULO!$AA$15:$AA$47,0,I$13))),2),0)</f>
        <v>0</v>
      </c>
      <c r="J59" s="620" cm="1">
        <f t="array" aca="1" ref="J59" ca="1">IF(AUTOEVENTO="Manual",ROUND(SUMPRODUCT((CÁLCULO!$M$15:$M$47=EVENTOS!$C59)*(OFFSET(CÁLCULO!$AA$15:$AA$47,0,J$13))),2),0)</f>
        <v>0</v>
      </c>
      <c r="K59" s="620" cm="1">
        <f t="array" aca="1" ref="K59" ca="1">IF(AUTOEVENTO="Manual",ROUND(SUMPRODUCT((CÁLCULO!$M$15:$M$47=EVENTOS!$C59)*(OFFSET(CÁLCULO!$AA$15:$AA$47,0,K$13))),2),0)</f>
        <v>0</v>
      </c>
      <c r="L59" s="620" cm="1">
        <f t="array" aca="1" ref="L59" ca="1">IF(AUTOEVENTO="Manual",ROUND(SUMPRODUCT((CÁLCULO!$M$15:$M$47=EVENTOS!$C59)*(OFFSET(CÁLCULO!$AA$15:$AA$47,0,L$13))),2),0)</f>
        <v>0</v>
      </c>
      <c r="M59" s="620" cm="1">
        <f t="array" aca="1" ref="M59" ca="1">IF(AUTOEVENTO="Manual",ROUND(SUMPRODUCT((CÁLCULO!$M$15:$M$47=EVENTOS!$C59)*(OFFSET(CÁLCULO!$AA$15:$AA$47,0,M$13))),2),0)</f>
        <v>0</v>
      </c>
      <c r="N59" s="620" cm="1">
        <f t="array" aca="1" ref="N59" ca="1">IF(AUTOEVENTO="Manual",ROUND(SUMPRODUCT((CÁLCULO!$M$15:$M$47=EVENTOS!$C59)*(OFFSET(CÁLCULO!$AA$15:$AA$47,0,N$13))),2),0)</f>
        <v>0</v>
      </c>
      <c r="O59" s="620" cm="1">
        <f t="array" aca="1" ref="O59" ca="1">IF(AUTOEVENTO="Manual",ROUND(SUMPRODUCT((CÁLCULO!$M$15:$M$47=EVENTOS!$C59)*(OFFSET(CÁLCULO!$AA$15:$AA$47,0,O$13))),2),0)</f>
        <v>0</v>
      </c>
      <c r="P59" s="620" cm="1">
        <f t="array" aca="1" ref="P59" ca="1">IF(AUTOEVENTO="Manual",ROUND(SUMPRODUCT((CÁLCULO!$M$15:$M$47=EVENTOS!$C59)*(OFFSET(CÁLCULO!$AA$15:$AA$47,0,P$13))),2),0)</f>
        <v>0</v>
      </c>
      <c r="Q59" s="620" cm="1">
        <f t="array" aca="1" ref="Q59" ca="1">IF(AUTOEVENTO="Manual",ROUND(SUMPRODUCT((CÁLCULO!$M$15:$M$47=EVENTOS!$C59)*(OFFSET(CÁLCULO!$AA$15:$AA$47,0,Q$13))),2),0)</f>
        <v>0</v>
      </c>
      <c r="R59" s="620" cm="1">
        <f t="array" aca="1" ref="R59" ca="1">IF(AUTOEVENTO="Manual",ROUND(SUMPRODUCT((CÁLCULO!$M$15:$M$47=EVENTOS!$C59)*(OFFSET(CÁLCULO!$AA$15:$AA$47,0,R$13))),2),0)</f>
        <v>0</v>
      </c>
      <c r="S59" s="620" cm="1">
        <f t="array" aca="1" ref="S59" ca="1">IF(AUTOEVENTO="Manual",ROUND(SUMPRODUCT((CÁLCULO!$M$15:$M$47=EVENTOS!$C59)*(OFFSET(CÁLCULO!$AA$15:$AA$47,0,S$13))),2),0)</f>
        <v>0</v>
      </c>
      <c r="T59" s="620" cm="1">
        <f t="array" aca="1" ref="T59" ca="1">IF(AUTOEVENTO="Manual",ROUND(SUMPRODUCT((CÁLCULO!$M$15:$M$47=EVENTOS!$C59)*(OFFSET(CÁLCULO!$AA$15:$AA$47,0,T$13))),2),0)</f>
        <v>0</v>
      </c>
      <c r="U59" s="620" cm="1">
        <f t="array" aca="1" ref="U59" ca="1">IF(AUTOEVENTO="Manual",ROUND(SUMPRODUCT((CÁLCULO!$M$15:$M$47=EVENTOS!$C59)*(OFFSET(CÁLCULO!$AA$15:$AA$47,0,U$13))),2),0)</f>
        <v>0</v>
      </c>
      <c r="V59" s="620" cm="1">
        <f t="array" aca="1" ref="V59" ca="1">IF(AUTOEVENTO="Manual",ROUND(SUMPRODUCT((CÁLCULO!$M$15:$M$47=EVENTOS!$C59)*(OFFSET(CÁLCULO!$AA$15:$AA$47,0,V$13))),2),0)</f>
        <v>0</v>
      </c>
      <c r="W59" s="620" cm="1">
        <f t="array" aca="1" ref="W59" ca="1">IF(AUTOEVENTO="Manual",ROUND(SUMPRODUCT((CÁLCULO!$M$15:$M$47=EVENTOS!$C59)*(OFFSET(CÁLCULO!$AA$15:$AA$47,0,W$13))),2),0)</f>
        <v>0</v>
      </c>
      <c r="X59" s="620" cm="1">
        <f t="array" aca="1" ref="X59" ca="1">IF(AUTOEVENTO="Manual",ROUND(SUMPRODUCT((CÁLCULO!$M$15:$M$47=EVENTOS!$C59)*(OFFSET(CÁLCULO!$AA$15:$AA$47,0,X$13))),2),0)</f>
        <v>0</v>
      </c>
      <c r="Y59" s="620" cm="1">
        <f t="array" aca="1" ref="Y59" ca="1">IF(AUTOEVENTO="Manual",ROUND(SUMPRODUCT((CÁLCULO!$M$15:$M$47=EVENTOS!$C59)*(OFFSET(CÁLCULO!$AA$15:$AA$47,0,Y$13))),2),0)</f>
        <v>0</v>
      </c>
    </row>
    <row r="60" spans="1:25" x14ac:dyDescent="0.2">
      <c r="A60" s="506" t="str">
        <f t="shared" si="3"/>
        <v/>
      </c>
      <c r="B60" t="str">
        <f t="shared" ca="1" si="4"/>
        <v/>
      </c>
      <c r="C60" s="182" t="str" cm="1">
        <f t="array" aca="1" ref="C60" ca="1">IF(OR(ROW(C60)=ROW(EVENTOS.firstrow)+1,AND(OFFSET(C60,-1,0)&lt;&gt;" ",OFFSET(C60,-1,1)&lt;&gt;"")),OFFSET(C60,-1,0)+1," ")</f>
        <v xml:space="preserve"> </v>
      </c>
      <c r="D60" s="496"/>
      <c r="E60" s="620" cm="1">
        <f t="array" aca="1" ref="E60" ca="1">IF(AUTOEVENTO="Manual",ROUND(SUMPRODUCT((CÁLCULO!$M$15:$M$47=EVENTOS!$C60)*(OFFSET(CÁLCULO!$AA$15:$AA$47,0,E$13))),2),0)</f>
        <v>0</v>
      </c>
      <c r="F60" s="183">
        <f ca="1">IF(AUTOEVENTO="Manual",ROUND(SUMPRODUCT((CÁLCULO!$M$15:$M$47=EVENTOS!$C60)*(OFFSET(CÁLCULO!$AA$15,0,1):OFFSET(CÁLCULO!$AL$47,0,-1))),2),0)</f>
        <v>0</v>
      </c>
      <c r="G60" s="621" t="str">
        <f t="shared" ca="1" si="6"/>
        <v/>
      </c>
      <c r="H60" s="620" cm="1">
        <f t="array" aca="1" ref="H60" ca="1">IF(AUTOEVENTO="Manual",ROUND(SUMPRODUCT((CÁLCULO!$M$15:$M$47=EVENTOS!$C60)*(OFFSET(CÁLCULO!$AA$15:$AA$47,0,H$13))),2),0)</f>
        <v>0</v>
      </c>
      <c r="I60" s="620" cm="1">
        <f t="array" aca="1" ref="I60" ca="1">IF(AUTOEVENTO="Manual",ROUND(SUMPRODUCT((CÁLCULO!$M$15:$M$47=EVENTOS!$C60)*(OFFSET(CÁLCULO!$AA$15:$AA$47,0,I$13))),2),0)</f>
        <v>0</v>
      </c>
      <c r="J60" s="620" cm="1">
        <f t="array" aca="1" ref="J60" ca="1">IF(AUTOEVENTO="Manual",ROUND(SUMPRODUCT((CÁLCULO!$M$15:$M$47=EVENTOS!$C60)*(OFFSET(CÁLCULO!$AA$15:$AA$47,0,J$13))),2),0)</f>
        <v>0</v>
      </c>
      <c r="K60" s="620" cm="1">
        <f t="array" aca="1" ref="K60" ca="1">IF(AUTOEVENTO="Manual",ROUND(SUMPRODUCT((CÁLCULO!$M$15:$M$47=EVENTOS!$C60)*(OFFSET(CÁLCULO!$AA$15:$AA$47,0,K$13))),2),0)</f>
        <v>0</v>
      </c>
      <c r="L60" s="620" cm="1">
        <f t="array" aca="1" ref="L60" ca="1">IF(AUTOEVENTO="Manual",ROUND(SUMPRODUCT((CÁLCULO!$M$15:$M$47=EVENTOS!$C60)*(OFFSET(CÁLCULO!$AA$15:$AA$47,0,L$13))),2),0)</f>
        <v>0</v>
      </c>
      <c r="M60" s="620" cm="1">
        <f t="array" aca="1" ref="M60" ca="1">IF(AUTOEVENTO="Manual",ROUND(SUMPRODUCT((CÁLCULO!$M$15:$M$47=EVENTOS!$C60)*(OFFSET(CÁLCULO!$AA$15:$AA$47,0,M$13))),2),0)</f>
        <v>0</v>
      </c>
      <c r="N60" s="620" cm="1">
        <f t="array" aca="1" ref="N60" ca="1">IF(AUTOEVENTO="Manual",ROUND(SUMPRODUCT((CÁLCULO!$M$15:$M$47=EVENTOS!$C60)*(OFFSET(CÁLCULO!$AA$15:$AA$47,0,N$13))),2),0)</f>
        <v>0</v>
      </c>
      <c r="O60" s="620" cm="1">
        <f t="array" aca="1" ref="O60" ca="1">IF(AUTOEVENTO="Manual",ROUND(SUMPRODUCT((CÁLCULO!$M$15:$M$47=EVENTOS!$C60)*(OFFSET(CÁLCULO!$AA$15:$AA$47,0,O$13))),2),0)</f>
        <v>0</v>
      </c>
      <c r="P60" s="620" cm="1">
        <f t="array" aca="1" ref="P60" ca="1">IF(AUTOEVENTO="Manual",ROUND(SUMPRODUCT((CÁLCULO!$M$15:$M$47=EVENTOS!$C60)*(OFFSET(CÁLCULO!$AA$15:$AA$47,0,P$13))),2),0)</f>
        <v>0</v>
      </c>
      <c r="Q60" s="620" cm="1">
        <f t="array" aca="1" ref="Q60" ca="1">IF(AUTOEVENTO="Manual",ROUND(SUMPRODUCT((CÁLCULO!$M$15:$M$47=EVENTOS!$C60)*(OFFSET(CÁLCULO!$AA$15:$AA$47,0,Q$13))),2),0)</f>
        <v>0</v>
      </c>
      <c r="R60" s="620" cm="1">
        <f t="array" aca="1" ref="R60" ca="1">IF(AUTOEVENTO="Manual",ROUND(SUMPRODUCT((CÁLCULO!$M$15:$M$47=EVENTOS!$C60)*(OFFSET(CÁLCULO!$AA$15:$AA$47,0,R$13))),2),0)</f>
        <v>0</v>
      </c>
      <c r="S60" s="620" cm="1">
        <f t="array" aca="1" ref="S60" ca="1">IF(AUTOEVENTO="Manual",ROUND(SUMPRODUCT((CÁLCULO!$M$15:$M$47=EVENTOS!$C60)*(OFFSET(CÁLCULO!$AA$15:$AA$47,0,S$13))),2),0)</f>
        <v>0</v>
      </c>
      <c r="T60" s="620" cm="1">
        <f t="array" aca="1" ref="T60" ca="1">IF(AUTOEVENTO="Manual",ROUND(SUMPRODUCT((CÁLCULO!$M$15:$M$47=EVENTOS!$C60)*(OFFSET(CÁLCULO!$AA$15:$AA$47,0,T$13))),2),0)</f>
        <v>0</v>
      </c>
      <c r="U60" s="620" cm="1">
        <f t="array" aca="1" ref="U60" ca="1">IF(AUTOEVENTO="Manual",ROUND(SUMPRODUCT((CÁLCULO!$M$15:$M$47=EVENTOS!$C60)*(OFFSET(CÁLCULO!$AA$15:$AA$47,0,U$13))),2),0)</f>
        <v>0</v>
      </c>
      <c r="V60" s="620" cm="1">
        <f t="array" aca="1" ref="V60" ca="1">IF(AUTOEVENTO="Manual",ROUND(SUMPRODUCT((CÁLCULO!$M$15:$M$47=EVENTOS!$C60)*(OFFSET(CÁLCULO!$AA$15:$AA$47,0,V$13))),2),0)</f>
        <v>0</v>
      </c>
      <c r="W60" s="620" cm="1">
        <f t="array" aca="1" ref="W60" ca="1">IF(AUTOEVENTO="Manual",ROUND(SUMPRODUCT((CÁLCULO!$M$15:$M$47=EVENTOS!$C60)*(OFFSET(CÁLCULO!$AA$15:$AA$47,0,W$13))),2),0)</f>
        <v>0</v>
      </c>
      <c r="X60" s="620" cm="1">
        <f t="array" aca="1" ref="X60" ca="1">IF(AUTOEVENTO="Manual",ROUND(SUMPRODUCT((CÁLCULO!$M$15:$M$47=EVENTOS!$C60)*(OFFSET(CÁLCULO!$AA$15:$AA$47,0,X$13))),2),0)</f>
        <v>0</v>
      </c>
      <c r="Y60" s="620" cm="1">
        <f t="array" aca="1" ref="Y60" ca="1">IF(AUTOEVENTO="Manual",ROUND(SUMPRODUCT((CÁLCULO!$M$15:$M$47=EVENTOS!$C60)*(OFFSET(CÁLCULO!$AA$15:$AA$47,0,Y$13))),2),0)</f>
        <v>0</v>
      </c>
    </row>
    <row r="61" spans="1:25" x14ac:dyDescent="0.2">
      <c r="A61" s="506" t="str">
        <f t="shared" si="3"/>
        <v/>
      </c>
      <c r="B61" t="str">
        <f t="shared" ca="1" si="4"/>
        <v/>
      </c>
      <c r="C61" s="182" t="str" cm="1">
        <f t="array" aca="1" ref="C61" ca="1">IF(OR(ROW(C61)=ROW(EVENTOS.firstrow)+1,AND(OFFSET(C61,-1,0)&lt;&gt;" ",OFFSET(C61,-1,1)&lt;&gt;"")),OFFSET(C61,-1,0)+1," ")</f>
        <v xml:space="preserve"> </v>
      </c>
      <c r="D61" s="496"/>
      <c r="E61" s="620" cm="1">
        <f t="array" aca="1" ref="E61" ca="1">IF(AUTOEVENTO="Manual",ROUND(SUMPRODUCT((CÁLCULO!$M$15:$M$47=EVENTOS!$C61)*(OFFSET(CÁLCULO!$AA$15:$AA$47,0,E$13))),2),0)</f>
        <v>0</v>
      </c>
      <c r="F61" s="183">
        <f ca="1">IF(AUTOEVENTO="Manual",ROUND(SUMPRODUCT((CÁLCULO!$M$15:$M$47=EVENTOS!$C61)*(OFFSET(CÁLCULO!$AA$15,0,1):OFFSET(CÁLCULO!$AL$47,0,-1))),2),0)</f>
        <v>0</v>
      </c>
      <c r="G61" s="621" t="str">
        <f t="shared" ca="1" si="6"/>
        <v/>
      </c>
      <c r="H61" s="620" cm="1">
        <f t="array" aca="1" ref="H61" ca="1">IF(AUTOEVENTO="Manual",ROUND(SUMPRODUCT((CÁLCULO!$M$15:$M$47=EVENTOS!$C61)*(OFFSET(CÁLCULO!$AA$15:$AA$47,0,H$13))),2),0)</f>
        <v>0</v>
      </c>
      <c r="I61" s="620" cm="1">
        <f t="array" aca="1" ref="I61" ca="1">IF(AUTOEVENTO="Manual",ROUND(SUMPRODUCT((CÁLCULO!$M$15:$M$47=EVENTOS!$C61)*(OFFSET(CÁLCULO!$AA$15:$AA$47,0,I$13))),2),0)</f>
        <v>0</v>
      </c>
      <c r="J61" s="620" cm="1">
        <f t="array" aca="1" ref="J61" ca="1">IF(AUTOEVENTO="Manual",ROUND(SUMPRODUCT((CÁLCULO!$M$15:$M$47=EVENTOS!$C61)*(OFFSET(CÁLCULO!$AA$15:$AA$47,0,J$13))),2),0)</f>
        <v>0</v>
      </c>
      <c r="K61" s="620" cm="1">
        <f t="array" aca="1" ref="K61" ca="1">IF(AUTOEVENTO="Manual",ROUND(SUMPRODUCT((CÁLCULO!$M$15:$M$47=EVENTOS!$C61)*(OFFSET(CÁLCULO!$AA$15:$AA$47,0,K$13))),2),0)</f>
        <v>0</v>
      </c>
      <c r="L61" s="620" cm="1">
        <f t="array" aca="1" ref="L61" ca="1">IF(AUTOEVENTO="Manual",ROUND(SUMPRODUCT((CÁLCULO!$M$15:$M$47=EVENTOS!$C61)*(OFFSET(CÁLCULO!$AA$15:$AA$47,0,L$13))),2),0)</f>
        <v>0</v>
      </c>
      <c r="M61" s="620" cm="1">
        <f t="array" aca="1" ref="M61" ca="1">IF(AUTOEVENTO="Manual",ROUND(SUMPRODUCT((CÁLCULO!$M$15:$M$47=EVENTOS!$C61)*(OFFSET(CÁLCULO!$AA$15:$AA$47,0,M$13))),2),0)</f>
        <v>0</v>
      </c>
      <c r="N61" s="620" cm="1">
        <f t="array" aca="1" ref="N61" ca="1">IF(AUTOEVENTO="Manual",ROUND(SUMPRODUCT((CÁLCULO!$M$15:$M$47=EVENTOS!$C61)*(OFFSET(CÁLCULO!$AA$15:$AA$47,0,N$13))),2),0)</f>
        <v>0</v>
      </c>
      <c r="O61" s="620" cm="1">
        <f t="array" aca="1" ref="O61" ca="1">IF(AUTOEVENTO="Manual",ROUND(SUMPRODUCT((CÁLCULO!$M$15:$M$47=EVENTOS!$C61)*(OFFSET(CÁLCULO!$AA$15:$AA$47,0,O$13))),2),0)</f>
        <v>0</v>
      </c>
      <c r="P61" s="620" cm="1">
        <f t="array" aca="1" ref="P61" ca="1">IF(AUTOEVENTO="Manual",ROUND(SUMPRODUCT((CÁLCULO!$M$15:$M$47=EVENTOS!$C61)*(OFFSET(CÁLCULO!$AA$15:$AA$47,0,P$13))),2),0)</f>
        <v>0</v>
      </c>
      <c r="Q61" s="620" cm="1">
        <f t="array" aca="1" ref="Q61" ca="1">IF(AUTOEVENTO="Manual",ROUND(SUMPRODUCT((CÁLCULO!$M$15:$M$47=EVENTOS!$C61)*(OFFSET(CÁLCULO!$AA$15:$AA$47,0,Q$13))),2),0)</f>
        <v>0</v>
      </c>
      <c r="R61" s="620" cm="1">
        <f t="array" aca="1" ref="R61" ca="1">IF(AUTOEVENTO="Manual",ROUND(SUMPRODUCT((CÁLCULO!$M$15:$M$47=EVENTOS!$C61)*(OFFSET(CÁLCULO!$AA$15:$AA$47,0,R$13))),2),0)</f>
        <v>0</v>
      </c>
      <c r="S61" s="620" cm="1">
        <f t="array" aca="1" ref="S61" ca="1">IF(AUTOEVENTO="Manual",ROUND(SUMPRODUCT((CÁLCULO!$M$15:$M$47=EVENTOS!$C61)*(OFFSET(CÁLCULO!$AA$15:$AA$47,0,S$13))),2),0)</f>
        <v>0</v>
      </c>
      <c r="T61" s="620" cm="1">
        <f t="array" aca="1" ref="T61" ca="1">IF(AUTOEVENTO="Manual",ROUND(SUMPRODUCT((CÁLCULO!$M$15:$M$47=EVENTOS!$C61)*(OFFSET(CÁLCULO!$AA$15:$AA$47,0,T$13))),2),0)</f>
        <v>0</v>
      </c>
      <c r="U61" s="620" cm="1">
        <f t="array" aca="1" ref="U61" ca="1">IF(AUTOEVENTO="Manual",ROUND(SUMPRODUCT((CÁLCULO!$M$15:$M$47=EVENTOS!$C61)*(OFFSET(CÁLCULO!$AA$15:$AA$47,0,U$13))),2),0)</f>
        <v>0</v>
      </c>
      <c r="V61" s="620" cm="1">
        <f t="array" aca="1" ref="V61" ca="1">IF(AUTOEVENTO="Manual",ROUND(SUMPRODUCT((CÁLCULO!$M$15:$M$47=EVENTOS!$C61)*(OFFSET(CÁLCULO!$AA$15:$AA$47,0,V$13))),2),0)</f>
        <v>0</v>
      </c>
      <c r="W61" s="620" cm="1">
        <f t="array" aca="1" ref="W61" ca="1">IF(AUTOEVENTO="Manual",ROUND(SUMPRODUCT((CÁLCULO!$M$15:$M$47=EVENTOS!$C61)*(OFFSET(CÁLCULO!$AA$15:$AA$47,0,W$13))),2),0)</f>
        <v>0</v>
      </c>
      <c r="X61" s="620" cm="1">
        <f t="array" aca="1" ref="X61" ca="1">IF(AUTOEVENTO="Manual",ROUND(SUMPRODUCT((CÁLCULO!$M$15:$M$47=EVENTOS!$C61)*(OFFSET(CÁLCULO!$AA$15:$AA$47,0,X$13))),2),0)</f>
        <v>0</v>
      </c>
      <c r="Y61" s="620" cm="1">
        <f t="array" aca="1" ref="Y61" ca="1">IF(AUTOEVENTO="Manual",ROUND(SUMPRODUCT((CÁLCULO!$M$15:$M$47=EVENTOS!$C61)*(OFFSET(CÁLCULO!$AA$15:$AA$47,0,Y$13))),2),0)</f>
        <v>0</v>
      </c>
    </row>
    <row r="62" spans="1:25" x14ac:dyDescent="0.2">
      <c r="A62" s="506" t="str">
        <f t="shared" si="3"/>
        <v/>
      </c>
      <c r="B62" t="str">
        <f t="shared" ca="1" si="4"/>
        <v/>
      </c>
      <c r="C62" s="182" t="str" cm="1">
        <f t="array" aca="1" ref="C62" ca="1">IF(OR(ROW(C62)=ROW(EVENTOS.firstrow)+1,AND(OFFSET(C62,-1,0)&lt;&gt;" ",OFFSET(C62,-1,1)&lt;&gt;"")),OFFSET(C62,-1,0)+1," ")</f>
        <v xml:space="preserve"> </v>
      </c>
      <c r="D62" s="496"/>
      <c r="E62" s="620" cm="1">
        <f t="array" aca="1" ref="E62" ca="1">IF(AUTOEVENTO="Manual",ROUND(SUMPRODUCT((CÁLCULO!$M$15:$M$47=EVENTOS!$C62)*(OFFSET(CÁLCULO!$AA$15:$AA$47,0,E$13))),2),0)</f>
        <v>0</v>
      </c>
      <c r="F62" s="183">
        <f ca="1">IF(AUTOEVENTO="Manual",ROUND(SUMPRODUCT((CÁLCULO!$M$15:$M$47=EVENTOS!$C62)*(OFFSET(CÁLCULO!$AA$15,0,1):OFFSET(CÁLCULO!$AL$47,0,-1))),2),0)</f>
        <v>0</v>
      </c>
      <c r="G62" s="621" t="str">
        <f t="shared" ca="1" si="6"/>
        <v/>
      </c>
      <c r="H62" s="620" cm="1">
        <f t="array" aca="1" ref="H62" ca="1">IF(AUTOEVENTO="Manual",ROUND(SUMPRODUCT((CÁLCULO!$M$15:$M$47=EVENTOS!$C62)*(OFFSET(CÁLCULO!$AA$15:$AA$47,0,H$13))),2),0)</f>
        <v>0</v>
      </c>
      <c r="I62" s="620" cm="1">
        <f t="array" aca="1" ref="I62" ca="1">IF(AUTOEVENTO="Manual",ROUND(SUMPRODUCT((CÁLCULO!$M$15:$M$47=EVENTOS!$C62)*(OFFSET(CÁLCULO!$AA$15:$AA$47,0,I$13))),2),0)</f>
        <v>0</v>
      </c>
      <c r="J62" s="620" cm="1">
        <f t="array" aca="1" ref="J62" ca="1">IF(AUTOEVENTO="Manual",ROUND(SUMPRODUCT((CÁLCULO!$M$15:$M$47=EVENTOS!$C62)*(OFFSET(CÁLCULO!$AA$15:$AA$47,0,J$13))),2),0)</f>
        <v>0</v>
      </c>
      <c r="K62" s="620" cm="1">
        <f t="array" aca="1" ref="K62" ca="1">IF(AUTOEVENTO="Manual",ROUND(SUMPRODUCT((CÁLCULO!$M$15:$M$47=EVENTOS!$C62)*(OFFSET(CÁLCULO!$AA$15:$AA$47,0,K$13))),2),0)</f>
        <v>0</v>
      </c>
      <c r="L62" s="620" cm="1">
        <f t="array" aca="1" ref="L62" ca="1">IF(AUTOEVENTO="Manual",ROUND(SUMPRODUCT((CÁLCULO!$M$15:$M$47=EVENTOS!$C62)*(OFFSET(CÁLCULO!$AA$15:$AA$47,0,L$13))),2),0)</f>
        <v>0</v>
      </c>
      <c r="M62" s="620" cm="1">
        <f t="array" aca="1" ref="M62" ca="1">IF(AUTOEVENTO="Manual",ROUND(SUMPRODUCT((CÁLCULO!$M$15:$M$47=EVENTOS!$C62)*(OFFSET(CÁLCULO!$AA$15:$AA$47,0,M$13))),2),0)</f>
        <v>0</v>
      </c>
      <c r="N62" s="620" cm="1">
        <f t="array" aca="1" ref="N62" ca="1">IF(AUTOEVENTO="Manual",ROUND(SUMPRODUCT((CÁLCULO!$M$15:$M$47=EVENTOS!$C62)*(OFFSET(CÁLCULO!$AA$15:$AA$47,0,N$13))),2),0)</f>
        <v>0</v>
      </c>
      <c r="O62" s="620" cm="1">
        <f t="array" aca="1" ref="O62" ca="1">IF(AUTOEVENTO="Manual",ROUND(SUMPRODUCT((CÁLCULO!$M$15:$M$47=EVENTOS!$C62)*(OFFSET(CÁLCULO!$AA$15:$AA$47,0,O$13))),2),0)</f>
        <v>0</v>
      </c>
      <c r="P62" s="620" cm="1">
        <f t="array" aca="1" ref="P62" ca="1">IF(AUTOEVENTO="Manual",ROUND(SUMPRODUCT((CÁLCULO!$M$15:$M$47=EVENTOS!$C62)*(OFFSET(CÁLCULO!$AA$15:$AA$47,0,P$13))),2),0)</f>
        <v>0</v>
      </c>
      <c r="Q62" s="620" cm="1">
        <f t="array" aca="1" ref="Q62" ca="1">IF(AUTOEVENTO="Manual",ROUND(SUMPRODUCT((CÁLCULO!$M$15:$M$47=EVENTOS!$C62)*(OFFSET(CÁLCULO!$AA$15:$AA$47,0,Q$13))),2),0)</f>
        <v>0</v>
      </c>
      <c r="R62" s="620" cm="1">
        <f t="array" aca="1" ref="R62" ca="1">IF(AUTOEVENTO="Manual",ROUND(SUMPRODUCT((CÁLCULO!$M$15:$M$47=EVENTOS!$C62)*(OFFSET(CÁLCULO!$AA$15:$AA$47,0,R$13))),2),0)</f>
        <v>0</v>
      </c>
      <c r="S62" s="620" cm="1">
        <f t="array" aca="1" ref="S62" ca="1">IF(AUTOEVENTO="Manual",ROUND(SUMPRODUCT((CÁLCULO!$M$15:$M$47=EVENTOS!$C62)*(OFFSET(CÁLCULO!$AA$15:$AA$47,0,S$13))),2),0)</f>
        <v>0</v>
      </c>
      <c r="T62" s="620" cm="1">
        <f t="array" aca="1" ref="T62" ca="1">IF(AUTOEVENTO="Manual",ROUND(SUMPRODUCT((CÁLCULO!$M$15:$M$47=EVENTOS!$C62)*(OFFSET(CÁLCULO!$AA$15:$AA$47,0,T$13))),2),0)</f>
        <v>0</v>
      </c>
      <c r="U62" s="620" cm="1">
        <f t="array" aca="1" ref="U62" ca="1">IF(AUTOEVENTO="Manual",ROUND(SUMPRODUCT((CÁLCULO!$M$15:$M$47=EVENTOS!$C62)*(OFFSET(CÁLCULO!$AA$15:$AA$47,0,U$13))),2),0)</f>
        <v>0</v>
      </c>
      <c r="V62" s="620" cm="1">
        <f t="array" aca="1" ref="V62" ca="1">IF(AUTOEVENTO="Manual",ROUND(SUMPRODUCT((CÁLCULO!$M$15:$M$47=EVENTOS!$C62)*(OFFSET(CÁLCULO!$AA$15:$AA$47,0,V$13))),2),0)</f>
        <v>0</v>
      </c>
      <c r="W62" s="620" cm="1">
        <f t="array" aca="1" ref="W62" ca="1">IF(AUTOEVENTO="Manual",ROUND(SUMPRODUCT((CÁLCULO!$M$15:$M$47=EVENTOS!$C62)*(OFFSET(CÁLCULO!$AA$15:$AA$47,0,W$13))),2),0)</f>
        <v>0</v>
      </c>
      <c r="X62" s="620" cm="1">
        <f t="array" aca="1" ref="X62" ca="1">IF(AUTOEVENTO="Manual",ROUND(SUMPRODUCT((CÁLCULO!$M$15:$M$47=EVENTOS!$C62)*(OFFSET(CÁLCULO!$AA$15:$AA$47,0,X$13))),2),0)</f>
        <v>0</v>
      </c>
      <c r="Y62" s="620" cm="1">
        <f t="array" aca="1" ref="Y62" ca="1">IF(AUTOEVENTO="Manual",ROUND(SUMPRODUCT((CÁLCULO!$M$15:$M$47=EVENTOS!$C62)*(OFFSET(CÁLCULO!$AA$15:$AA$47,0,Y$13))),2),0)</f>
        <v>0</v>
      </c>
    </row>
    <row r="63" spans="1:25" x14ac:dyDescent="0.2">
      <c r="A63" s="506" t="str">
        <f t="shared" si="3"/>
        <v/>
      </c>
      <c r="B63" t="str">
        <f t="shared" ca="1" si="4"/>
        <v/>
      </c>
      <c r="C63" s="182" t="str" cm="1">
        <f t="array" aca="1" ref="C63" ca="1">IF(OR(ROW(C63)=ROW(EVENTOS.firstrow)+1,AND(OFFSET(C63,-1,0)&lt;&gt;" ",OFFSET(C63,-1,1)&lt;&gt;"")),OFFSET(C63,-1,0)+1," ")</f>
        <v xml:space="preserve"> </v>
      </c>
      <c r="D63" s="496"/>
      <c r="E63" s="620" cm="1">
        <f t="array" aca="1" ref="E63" ca="1">IF(AUTOEVENTO="Manual",ROUND(SUMPRODUCT((CÁLCULO!$M$15:$M$47=EVENTOS!$C63)*(OFFSET(CÁLCULO!$AA$15:$AA$47,0,E$13))),2),0)</f>
        <v>0</v>
      </c>
      <c r="F63" s="183">
        <f ca="1">IF(AUTOEVENTO="Manual",ROUND(SUMPRODUCT((CÁLCULO!$M$15:$M$47=EVENTOS!$C63)*(OFFSET(CÁLCULO!$AA$15,0,1):OFFSET(CÁLCULO!$AL$47,0,-1))),2),0)</f>
        <v>0</v>
      </c>
      <c r="G63" s="621" t="str">
        <f t="shared" ca="1" si="6"/>
        <v/>
      </c>
      <c r="H63" s="620" cm="1">
        <f t="array" aca="1" ref="H63" ca="1">IF(AUTOEVENTO="Manual",ROUND(SUMPRODUCT((CÁLCULO!$M$15:$M$47=EVENTOS!$C63)*(OFFSET(CÁLCULO!$AA$15:$AA$47,0,H$13))),2),0)</f>
        <v>0</v>
      </c>
      <c r="I63" s="620" cm="1">
        <f t="array" aca="1" ref="I63" ca="1">IF(AUTOEVENTO="Manual",ROUND(SUMPRODUCT((CÁLCULO!$M$15:$M$47=EVENTOS!$C63)*(OFFSET(CÁLCULO!$AA$15:$AA$47,0,I$13))),2),0)</f>
        <v>0</v>
      </c>
      <c r="J63" s="620" cm="1">
        <f t="array" aca="1" ref="J63" ca="1">IF(AUTOEVENTO="Manual",ROUND(SUMPRODUCT((CÁLCULO!$M$15:$M$47=EVENTOS!$C63)*(OFFSET(CÁLCULO!$AA$15:$AA$47,0,J$13))),2),0)</f>
        <v>0</v>
      </c>
      <c r="K63" s="620" cm="1">
        <f t="array" aca="1" ref="K63" ca="1">IF(AUTOEVENTO="Manual",ROUND(SUMPRODUCT((CÁLCULO!$M$15:$M$47=EVENTOS!$C63)*(OFFSET(CÁLCULO!$AA$15:$AA$47,0,K$13))),2),0)</f>
        <v>0</v>
      </c>
      <c r="L63" s="620" cm="1">
        <f t="array" aca="1" ref="L63" ca="1">IF(AUTOEVENTO="Manual",ROUND(SUMPRODUCT((CÁLCULO!$M$15:$M$47=EVENTOS!$C63)*(OFFSET(CÁLCULO!$AA$15:$AA$47,0,L$13))),2),0)</f>
        <v>0</v>
      </c>
      <c r="M63" s="620" cm="1">
        <f t="array" aca="1" ref="M63" ca="1">IF(AUTOEVENTO="Manual",ROUND(SUMPRODUCT((CÁLCULO!$M$15:$M$47=EVENTOS!$C63)*(OFFSET(CÁLCULO!$AA$15:$AA$47,0,M$13))),2),0)</f>
        <v>0</v>
      </c>
      <c r="N63" s="620" cm="1">
        <f t="array" aca="1" ref="N63" ca="1">IF(AUTOEVENTO="Manual",ROUND(SUMPRODUCT((CÁLCULO!$M$15:$M$47=EVENTOS!$C63)*(OFFSET(CÁLCULO!$AA$15:$AA$47,0,N$13))),2),0)</f>
        <v>0</v>
      </c>
      <c r="O63" s="620" cm="1">
        <f t="array" aca="1" ref="O63" ca="1">IF(AUTOEVENTO="Manual",ROUND(SUMPRODUCT((CÁLCULO!$M$15:$M$47=EVENTOS!$C63)*(OFFSET(CÁLCULO!$AA$15:$AA$47,0,O$13))),2),0)</f>
        <v>0</v>
      </c>
      <c r="P63" s="620" cm="1">
        <f t="array" aca="1" ref="P63" ca="1">IF(AUTOEVENTO="Manual",ROUND(SUMPRODUCT((CÁLCULO!$M$15:$M$47=EVENTOS!$C63)*(OFFSET(CÁLCULO!$AA$15:$AA$47,0,P$13))),2),0)</f>
        <v>0</v>
      </c>
      <c r="Q63" s="620" cm="1">
        <f t="array" aca="1" ref="Q63" ca="1">IF(AUTOEVENTO="Manual",ROUND(SUMPRODUCT((CÁLCULO!$M$15:$M$47=EVENTOS!$C63)*(OFFSET(CÁLCULO!$AA$15:$AA$47,0,Q$13))),2),0)</f>
        <v>0</v>
      </c>
      <c r="R63" s="620" cm="1">
        <f t="array" aca="1" ref="R63" ca="1">IF(AUTOEVENTO="Manual",ROUND(SUMPRODUCT((CÁLCULO!$M$15:$M$47=EVENTOS!$C63)*(OFFSET(CÁLCULO!$AA$15:$AA$47,0,R$13))),2),0)</f>
        <v>0</v>
      </c>
      <c r="S63" s="620" cm="1">
        <f t="array" aca="1" ref="S63" ca="1">IF(AUTOEVENTO="Manual",ROUND(SUMPRODUCT((CÁLCULO!$M$15:$M$47=EVENTOS!$C63)*(OFFSET(CÁLCULO!$AA$15:$AA$47,0,S$13))),2),0)</f>
        <v>0</v>
      </c>
      <c r="T63" s="620" cm="1">
        <f t="array" aca="1" ref="T63" ca="1">IF(AUTOEVENTO="Manual",ROUND(SUMPRODUCT((CÁLCULO!$M$15:$M$47=EVENTOS!$C63)*(OFFSET(CÁLCULO!$AA$15:$AA$47,0,T$13))),2),0)</f>
        <v>0</v>
      </c>
      <c r="U63" s="620" cm="1">
        <f t="array" aca="1" ref="U63" ca="1">IF(AUTOEVENTO="Manual",ROUND(SUMPRODUCT((CÁLCULO!$M$15:$M$47=EVENTOS!$C63)*(OFFSET(CÁLCULO!$AA$15:$AA$47,0,U$13))),2),0)</f>
        <v>0</v>
      </c>
      <c r="V63" s="620" cm="1">
        <f t="array" aca="1" ref="V63" ca="1">IF(AUTOEVENTO="Manual",ROUND(SUMPRODUCT((CÁLCULO!$M$15:$M$47=EVENTOS!$C63)*(OFFSET(CÁLCULO!$AA$15:$AA$47,0,V$13))),2),0)</f>
        <v>0</v>
      </c>
      <c r="W63" s="620" cm="1">
        <f t="array" aca="1" ref="W63" ca="1">IF(AUTOEVENTO="Manual",ROUND(SUMPRODUCT((CÁLCULO!$M$15:$M$47=EVENTOS!$C63)*(OFFSET(CÁLCULO!$AA$15:$AA$47,0,W$13))),2),0)</f>
        <v>0</v>
      </c>
      <c r="X63" s="620" cm="1">
        <f t="array" aca="1" ref="X63" ca="1">IF(AUTOEVENTO="Manual",ROUND(SUMPRODUCT((CÁLCULO!$M$15:$M$47=EVENTOS!$C63)*(OFFSET(CÁLCULO!$AA$15:$AA$47,0,X$13))),2),0)</f>
        <v>0</v>
      </c>
      <c r="Y63" s="620" cm="1">
        <f t="array" aca="1" ref="Y63" ca="1">IF(AUTOEVENTO="Manual",ROUND(SUMPRODUCT((CÁLCULO!$M$15:$M$47=EVENTOS!$C63)*(OFFSET(CÁLCULO!$AA$15:$AA$47,0,Y$13))),2),0)</f>
        <v>0</v>
      </c>
    </row>
    <row r="64" spans="1:25" x14ac:dyDescent="0.2">
      <c r="A64" s="506" t="str">
        <f t="shared" si="3"/>
        <v/>
      </c>
      <c r="B64" t="str">
        <f t="shared" ca="1" si="4"/>
        <v/>
      </c>
      <c r="C64" s="182" t="str" cm="1">
        <f t="array" aca="1" ref="C64" ca="1">IF(OR(ROW(C64)=ROW(EVENTOS.firstrow)+1,AND(OFFSET(C64,-1,0)&lt;&gt;" ",OFFSET(C64,-1,1)&lt;&gt;"")),OFFSET(C64,-1,0)+1," ")</f>
        <v xml:space="preserve"> </v>
      </c>
      <c r="D64" s="496"/>
      <c r="E64" s="620" cm="1">
        <f t="array" aca="1" ref="E64" ca="1">IF(AUTOEVENTO="Manual",ROUND(SUMPRODUCT((CÁLCULO!$M$15:$M$47=EVENTOS!$C64)*(OFFSET(CÁLCULO!$AA$15:$AA$47,0,E$13))),2),0)</f>
        <v>0</v>
      </c>
      <c r="F64" s="183">
        <f ca="1">IF(AUTOEVENTO="Manual",ROUND(SUMPRODUCT((CÁLCULO!$M$15:$M$47=EVENTOS!$C64)*(OFFSET(CÁLCULO!$AA$15,0,1):OFFSET(CÁLCULO!$AL$47,0,-1))),2),0)</f>
        <v>0</v>
      </c>
      <c r="G64" s="621" t="str">
        <f t="shared" ca="1" si="6"/>
        <v/>
      </c>
      <c r="H64" s="620" cm="1">
        <f t="array" aca="1" ref="H64" ca="1">IF(AUTOEVENTO="Manual",ROUND(SUMPRODUCT((CÁLCULO!$M$15:$M$47=EVENTOS!$C64)*(OFFSET(CÁLCULO!$AA$15:$AA$47,0,H$13))),2),0)</f>
        <v>0</v>
      </c>
      <c r="I64" s="620" cm="1">
        <f t="array" aca="1" ref="I64" ca="1">IF(AUTOEVENTO="Manual",ROUND(SUMPRODUCT((CÁLCULO!$M$15:$M$47=EVENTOS!$C64)*(OFFSET(CÁLCULO!$AA$15:$AA$47,0,I$13))),2),0)</f>
        <v>0</v>
      </c>
      <c r="J64" s="620" cm="1">
        <f t="array" aca="1" ref="J64" ca="1">IF(AUTOEVENTO="Manual",ROUND(SUMPRODUCT((CÁLCULO!$M$15:$M$47=EVENTOS!$C64)*(OFFSET(CÁLCULO!$AA$15:$AA$47,0,J$13))),2),0)</f>
        <v>0</v>
      </c>
      <c r="K64" s="620" cm="1">
        <f t="array" aca="1" ref="K64" ca="1">IF(AUTOEVENTO="Manual",ROUND(SUMPRODUCT((CÁLCULO!$M$15:$M$47=EVENTOS!$C64)*(OFFSET(CÁLCULO!$AA$15:$AA$47,0,K$13))),2),0)</f>
        <v>0</v>
      </c>
      <c r="L64" s="620" cm="1">
        <f t="array" aca="1" ref="L64" ca="1">IF(AUTOEVENTO="Manual",ROUND(SUMPRODUCT((CÁLCULO!$M$15:$M$47=EVENTOS!$C64)*(OFFSET(CÁLCULO!$AA$15:$AA$47,0,L$13))),2),0)</f>
        <v>0</v>
      </c>
      <c r="M64" s="620" cm="1">
        <f t="array" aca="1" ref="M64" ca="1">IF(AUTOEVENTO="Manual",ROUND(SUMPRODUCT((CÁLCULO!$M$15:$M$47=EVENTOS!$C64)*(OFFSET(CÁLCULO!$AA$15:$AA$47,0,M$13))),2),0)</f>
        <v>0</v>
      </c>
      <c r="N64" s="620" cm="1">
        <f t="array" aca="1" ref="N64" ca="1">IF(AUTOEVENTO="Manual",ROUND(SUMPRODUCT((CÁLCULO!$M$15:$M$47=EVENTOS!$C64)*(OFFSET(CÁLCULO!$AA$15:$AA$47,0,N$13))),2),0)</f>
        <v>0</v>
      </c>
      <c r="O64" s="620" cm="1">
        <f t="array" aca="1" ref="O64" ca="1">IF(AUTOEVENTO="Manual",ROUND(SUMPRODUCT((CÁLCULO!$M$15:$M$47=EVENTOS!$C64)*(OFFSET(CÁLCULO!$AA$15:$AA$47,0,O$13))),2),0)</f>
        <v>0</v>
      </c>
      <c r="P64" s="620" cm="1">
        <f t="array" aca="1" ref="P64" ca="1">IF(AUTOEVENTO="Manual",ROUND(SUMPRODUCT((CÁLCULO!$M$15:$M$47=EVENTOS!$C64)*(OFFSET(CÁLCULO!$AA$15:$AA$47,0,P$13))),2),0)</f>
        <v>0</v>
      </c>
      <c r="Q64" s="620" cm="1">
        <f t="array" aca="1" ref="Q64" ca="1">IF(AUTOEVENTO="Manual",ROUND(SUMPRODUCT((CÁLCULO!$M$15:$M$47=EVENTOS!$C64)*(OFFSET(CÁLCULO!$AA$15:$AA$47,0,Q$13))),2),0)</f>
        <v>0</v>
      </c>
      <c r="R64" s="620" cm="1">
        <f t="array" aca="1" ref="R64" ca="1">IF(AUTOEVENTO="Manual",ROUND(SUMPRODUCT((CÁLCULO!$M$15:$M$47=EVENTOS!$C64)*(OFFSET(CÁLCULO!$AA$15:$AA$47,0,R$13))),2),0)</f>
        <v>0</v>
      </c>
      <c r="S64" s="620" cm="1">
        <f t="array" aca="1" ref="S64" ca="1">IF(AUTOEVENTO="Manual",ROUND(SUMPRODUCT((CÁLCULO!$M$15:$M$47=EVENTOS!$C64)*(OFFSET(CÁLCULO!$AA$15:$AA$47,0,S$13))),2),0)</f>
        <v>0</v>
      </c>
      <c r="T64" s="620" cm="1">
        <f t="array" aca="1" ref="T64" ca="1">IF(AUTOEVENTO="Manual",ROUND(SUMPRODUCT((CÁLCULO!$M$15:$M$47=EVENTOS!$C64)*(OFFSET(CÁLCULO!$AA$15:$AA$47,0,T$13))),2),0)</f>
        <v>0</v>
      </c>
      <c r="U64" s="620" cm="1">
        <f t="array" aca="1" ref="U64" ca="1">IF(AUTOEVENTO="Manual",ROUND(SUMPRODUCT((CÁLCULO!$M$15:$M$47=EVENTOS!$C64)*(OFFSET(CÁLCULO!$AA$15:$AA$47,0,U$13))),2),0)</f>
        <v>0</v>
      </c>
      <c r="V64" s="620" cm="1">
        <f t="array" aca="1" ref="V64" ca="1">IF(AUTOEVENTO="Manual",ROUND(SUMPRODUCT((CÁLCULO!$M$15:$M$47=EVENTOS!$C64)*(OFFSET(CÁLCULO!$AA$15:$AA$47,0,V$13))),2),0)</f>
        <v>0</v>
      </c>
      <c r="W64" s="620" cm="1">
        <f t="array" aca="1" ref="W64" ca="1">IF(AUTOEVENTO="Manual",ROUND(SUMPRODUCT((CÁLCULO!$M$15:$M$47=EVENTOS!$C64)*(OFFSET(CÁLCULO!$AA$15:$AA$47,0,W$13))),2),0)</f>
        <v>0</v>
      </c>
      <c r="X64" s="620" cm="1">
        <f t="array" aca="1" ref="X64" ca="1">IF(AUTOEVENTO="Manual",ROUND(SUMPRODUCT((CÁLCULO!$M$15:$M$47=EVENTOS!$C64)*(OFFSET(CÁLCULO!$AA$15:$AA$47,0,X$13))),2),0)</f>
        <v>0</v>
      </c>
      <c r="Y64" s="620" cm="1">
        <f t="array" aca="1" ref="Y64" ca="1">IF(AUTOEVENTO="Manual",ROUND(SUMPRODUCT((CÁLCULO!$M$15:$M$47=EVENTOS!$C64)*(OFFSET(CÁLCULO!$AA$15:$AA$47,0,Y$13))),2),0)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PASSOS MG</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Mateus Junior Rosa</v>
      </c>
      <c r="V70" s="398" t="str">
        <f t="array" aca="1" ref="V70:V72" ca="1">OFFSET(Import.RespOrçamento,0,-1) &amp; " " &amp; Import.RespOrçamento</f>
        <v>Nome: Mateus Junior Rosa</v>
      </c>
    </row>
    <row r="71" spans="1:25" x14ac:dyDescent="0.2">
      <c r="A71" s="506" t="s">
        <v>536</v>
      </c>
      <c r="D71" s="494">
        <f>DADOS!$C$25</f>
        <v>45945</v>
      </c>
      <c r="L71" s="398" t="str">
        <f ca="1"/>
        <v>CREA/CAU: 386.526/D</v>
      </c>
      <c r="V71" s="398" t="str">
        <f ca="1"/>
        <v>CREA/CAU: 386.526/D</v>
      </c>
    </row>
    <row r="72" spans="1:25" x14ac:dyDescent="0.2">
      <c r="A72" s="506" t="s">
        <v>536</v>
      </c>
      <c r="D72" s="9" t="s">
        <v>694</v>
      </c>
      <c r="L72" s="398" t="str">
        <f ca="1"/>
        <v xml:space="preserve">ART/RRT: </v>
      </c>
      <c r="V72" s="398" t="str">
        <f ca="1"/>
        <v xml:space="preserve">ART/RRT: </v>
      </c>
    </row>
  </sheetData>
  <sheetProtection algorithmName="SHA-512" hashValue="iAtTUQum0jVr24SeHWqDTlvhcMsXUOIz8i1EiqNOSrAKXqAfYu7GwA63lDhHyFG5PfzfKLfiqf4D5KtroYiyhA==" saltValue="AqG9Cxc2yjdFUZFfwK4QMw=="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314" priority="1" stopIfTrue="1">
      <formula>OR(AUTOEVENTO&lt;&gt;"Manual",ACOMPANHAMENTO="BM",C$10=0,C$13=0,$C1=" ")</formula>
    </cfRule>
  </conditionalFormatting>
  <conditionalFormatting sqref="A15 C15:XFD15">
    <cfRule type="expression" dxfId="313"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15"/>
  <sheetViews>
    <sheetView showGridLines="0" view="pageBreakPreview" zoomScale="85" zoomScaleNormal="100" zoomScaleSheetLayoutView="85" workbookViewId="0">
      <pane xSplit="8" ySplit="15" topLeftCell="I37"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5" t="str" cm="1">
        <f t="array" ref="F6">IF(ACOMPANHAMENTO="BM","MEMÓRIA DE CÁLCULO","PLQ - PLANILHA DE LEVANTAMENTO DE QUANTIDADES")</f>
        <v>MEMÓRIA DE CÁLCULO</v>
      </c>
      <c r="G6" s="735"/>
      <c r="H6" s="735"/>
      <c r="I6" s="141"/>
      <c r="K6" s="141"/>
      <c r="L6" s="141"/>
      <c r="M6" s="142"/>
      <c r="N6" s="141"/>
      <c r="P6" s="141"/>
      <c r="Q6" s="736" t="s">
        <v>644</v>
      </c>
      <c r="R6" s="737"/>
      <c r="Y6" s="681" t="s">
        <v>644</v>
      </c>
      <c r="Z6" s="681"/>
    </row>
    <row r="7" spans="1:59" ht="15" customHeight="1" x14ac:dyDescent="0.2">
      <c r="F7" s="738" t="str" cm="1">
        <f t="array" ref="F7">IF(ACOMPANHAMENTO="BM","","Memória de Cálculo")&amp;" - "&amp;import.recurso</f>
        <v xml:space="preserve"> - (SELECIONAR)</v>
      </c>
      <c r="G7" s="738"/>
      <c r="H7" s="738"/>
      <c r="I7" s="143"/>
      <c r="K7" s="143"/>
      <c r="L7" s="143"/>
      <c r="M7" s="144"/>
      <c r="N7" s="143"/>
      <c r="P7" s="143"/>
      <c r="Q7" s="739" t="s">
        <v>647</v>
      </c>
      <c r="R7" s="740"/>
      <c r="Y7" s="682" t="s">
        <v>647</v>
      </c>
      <c r="Z7" s="682"/>
    </row>
    <row r="8" spans="1:59" ht="12.75" customHeight="1" x14ac:dyDescent="0.2">
      <c r="AE8" s="476"/>
    </row>
    <row r="9" spans="1:59" ht="12.75" customHeight="1" x14ac:dyDescent="0.2">
      <c r="E9" s="683" t="s">
        <v>708</v>
      </c>
      <c r="F9" s="683"/>
      <c r="G9" s="683" t="s">
        <v>707</v>
      </c>
      <c r="H9" s="683"/>
      <c r="I9" s="87" t="s">
        <v>650</v>
      </c>
      <c r="K9" s="145" t="s">
        <v>652</v>
      </c>
      <c r="L9" s="146"/>
      <c r="M9" s="146"/>
      <c r="N9" s="146"/>
      <c r="O9" s="146"/>
      <c r="P9" s="146"/>
      <c r="Q9" s="146"/>
      <c r="R9" s="147"/>
      <c r="S9" s="683" t="s">
        <v>650</v>
      </c>
      <c r="T9" s="683"/>
      <c r="U9" s="683" t="s">
        <v>652</v>
      </c>
      <c r="V9" s="683"/>
      <c r="W9" s="683"/>
      <c r="X9" s="683"/>
      <c r="Y9" s="683"/>
      <c r="Z9" s="683"/>
    </row>
    <row r="10" spans="1:59" ht="12.75" customHeight="1" x14ac:dyDescent="0.2">
      <c r="A10" s="601" t="s">
        <v>768</v>
      </c>
      <c r="E10" s="680" t="str">
        <f>Import.Apelido</f>
        <v>PRAÇA SÃO FRANCISCO</v>
      </c>
      <c r="F10" s="680"/>
      <c r="G10" s="680" cm="1">
        <f t="array" ref="G10">Import.TransfereGOV</f>
        <v>0</v>
      </c>
      <c r="H10" s="680"/>
      <c r="I10" s="90">
        <f>Import.CR</f>
        <v>0</v>
      </c>
      <c r="K10" s="148" t="str">
        <f>Import.Proponente</f>
        <v>PRFEITURA MUNICIPAL DE PASSOS</v>
      </c>
      <c r="L10" s="149"/>
      <c r="M10" s="100"/>
      <c r="N10" s="149"/>
      <c r="O10" s="149"/>
      <c r="P10" s="149"/>
      <c r="Q10" s="149"/>
      <c r="R10" s="91"/>
      <c r="S10" s="680">
        <f>Import.CR</f>
        <v>0</v>
      </c>
      <c r="T10" s="680"/>
      <c r="U10" s="680" t="str">
        <f>Import.Proponente</f>
        <v>PRFEITURA MUNICIPAL DE PASSOS</v>
      </c>
      <c r="V10" s="680"/>
      <c r="W10" s="680"/>
      <c r="X10" s="680"/>
      <c r="Y10" s="680"/>
      <c r="Z10" s="680"/>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IF(COUNTIF($J$15:$J$47,"►E")&gt;0,"Não pode haver serviços sem agrupador de eventos",
  IF(COUNTIF($P$11:$AA$11,"▼")&gt;0,"Não pode haver frentes de obra sem quantidades",
  IF(COUNTIF($P$11:$AA$11,"Nome &gt;100")&gt;0,"Nome da frente de obra com mais de 100 caracteres","")))))</f>
        <v/>
      </c>
      <c r="N11" s="573" t="str">
        <f ca="1">IF(OR(COUNTIF($J$15:$J$47,"►E")&gt;0,COUNTIF($J$15:$J$47,"►Q")&gt;0),"",
IF(COUNTIF($J$15:$J$47,"►S")&gt;0,"Preencha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IF(COUNTIF($J$15:$J$47,"►E")&gt;0,"Falta Definir o Agrupador de Evento na linha "&amp;MATCH("►E",$J$15:$J$47,0)+ROW($J$14),
  IF(COUNTIF($J$15:$J$47,"►Q")&gt;0,"Falta preencher a quantidade do serviço na linha "&amp;MATCH("►Q",$J$15:$J$47,0)+ROW($J$14),
  IF(COUNTIF($J$15:$J$47,"►S")&gt;0,"Verifique as quantidades preenchidas na linha "&amp;MATCH("►S",$J$15:$J$47,0)+ROW($J$14),
  IF(AND(COUNTIF($P$11:$AA$11,"▼")=0,COUNTIF($J$15:$J$47,"◄")&gt;0),"Falta Preencher o Memorial de Cálculo na linha "&amp;MATCH("◄",$J$15:$J$47,0)+ROW($J$14),"")))))</f>
        <v/>
      </c>
      <c r="J12" s="151" t="s">
        <v>764</v>
      </c>
      <c r="K12" s="152" t="s">
        <v>770</v>
      </c>
      <c r="L12" s="151" t="s">
        <v>764</v>
      </c>
      <c r="M12" s="570" cm="1">
        <f t="array" ref="M12">IF(ACOMPANHAMENTO="BM",0,MAX($M$15:$M$47))</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REFORMA PRAÇA SÃO FRANCISCO</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cm="1">
        <f t="array" ref="D15">IF(TIPOORCAMENTO="LICITADO","CTEF","LOTE")</f>
        <v>LOTE</v>
      </c>
      <c r="E15" s="741">
        <f>Import.DescLote</f>
        <v>0</v>
      </c>
      <c r="F15" s="741"/>
      <c r="G15" s="741"/>
      <c r="H15" s="741"/>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ROUND(SUM(OFFSET(AB$15,1,0):AB$47),2)</f>
        <v>0</v>
      </c>
      <c r="AC15" s="177">
        <f ca="1">SUM(OFFSET(AC$15,1,0):AC$47)</f>
        <v>0</v>
      </c>
      <c r="AD15" s="177">
        <f ca="1">SUM(OFFSET(AD$15,1,0):AD$47)</f>
        <v>0</v>
      </c>
      <c r="AE15" s="177">
        <f ca="1">SUM(OFFSET(AE$15,1,0):AE$47)</f>
        <v>0</v>
      </c>
      <c r="AF15" s="177">
        <f ca="1">SUM(OFFSET(AF$15,1,0):AF$47)</f>
        <v>0</v>
      </c>
      <c r="AG15" s="177">
        <f ca="1">SUM(OFFSET(AG$15,1,0):AG$47)</f>
        <v>0</v>
      </c>
      <c r="AH15" s="177">
        <f ca="1">SUM(OFFSET(AH$15,1,0):AH$47)</f>
        <v>0</v>
      </c>
      <c r="AI15" s="177">
        <f ca="1">SUM(OFFSET(AI$15,1,0):AI$47)</f>
        <v>0</v>
      </c>
      <c r="AJ15" s="177">
        <f ca="1">SUM(OFFSET(AJ$15,1,0):AJ$47)</f>
        <v>0</v>
      </c>
      <c r="AK15" s="177">
        <f ca="1">SUM(OFFSET(AK$15,1,0):AK$47)</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ht="12.75" x14ac:dyDescent="0.2">
      <c r="A16" s="7" t="str">
        <f t="shared" ref="A16:A44" ca="1" si="8">IFERROR(IF(AUTOEVENTO="Manual",IF(K16&lt;&gt;"",MIN(VALUE(LEFT(K16,FIND(".",K16)-1)),COUNTA(EVENTOS.Lista)),0),IF(OR($B16&gt;AUTOEVENTO,$B16="S",$B16=0),SUBSTITUTE(OFFSET($A16,-1,0),IF($D16="Serviço",".",""),""),$L16&amp;".")),0)</f>
        <v>1.</v>
      </c>
      <c r="B16" s="7">
        <f ca="1">OFFSET(ORÇAMENTO!C$15,$L16,0)</f>
        <v>1</v>
      </c>
      <c r="C16" s="7" t="str">
        <f ca="1">OFFSET(ORÇAMENTO!L$15,$L16,0)</f>
        <v>F</v>
      </c>
      <c r="D16" s="116" t="str">
        <f ca="1">OFFSET(ORÇAMENTO!N$15,$L16,0)</f>
        <v>Meta</v>
      </c>
      <c r="E16" s="117" t="str">
        <f ca="1">OFFSET(ORÇAMENTO!O$15,$L16,0)</f>
        <v>1.</v>
      </c>
      <c r="F16" s="163" t="str">
        <f ca="1">OFFSET(ORÇAMENTO!R$15,$L16,0)</f>
        <v>REFORMA PRAÇA SÃO FRANCISCO</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f t="shared" ref="L16:L44"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ht="12.75" x14ac:dyDescent="0.2">
      <c r="A17" s="7" t="str">
        <f t="shared" ca="1" si="8"/>
        <v>2.</v>
      </c>
      <c r="B17" s="7">
        <f ca="1">OFFSET(ORÇAMENTO!C$15,$L17,0)</f>
        <v>2</v>
      </c>
      <c r="C17" s="7" t="str">
        <f ca="1">OFFSET(ORÇAMENTO!L$15,$L17,0)</f>
        <v>F</v>
      </c>
      <c r="D17" s="116" t="str">
        <f ca="1">OFFSET(ORÇAMENTO!N$15,$L17,0)</f>
        <v>Nível 2</v>
      </c>
      <c r="E17" s="117" t="str">
        <f ca="1">OFFSET(ORÇAMENTO!O$15,$L17,0)</f>
        <v>1.1.</v>
      </c>
      <c r="F17" s="163" t="str">
        <f ca="1">OFFSET(ORÇAMENTO!R$15,$L17,0)</f>
        <v>PLACA DA OBRA</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ht="76.5" x14ac:dyDescent="0.2">
      <c r="A18" s="7" t="str">
        <f t="shared" ca="1" si="8"/>
        <v>2</v>
      </c>
      <c r="B18" s="7" t="str">
        <f ca="1">OFFSET(ORÇAMENTO!C$15,$L18,0)</f>
        <v>S</v>
      </c>
      <c r="C18" s="7" t="str">
        <f ca="1">OFFSET(ORÇAMENTO!L$15,$L18,0)</f>
        <v/>
      </c>
      <c r="D18" s="116" t="str">
        <f ca="1">OFFSET(ORÇAMENTO!N$15,$L18,0)</f>
        <v>Serviço</v>
      </c>
      <c r="E18" s="117" t="str">
        <f ca="1">OFFSET(ORÇAMENTO!O$15,$L18,0)</f>
        <v>-</v>
      </c>
      <c r="F18" s="163" t="str">
        <f ca="1">OFFSET(ORÇAMENTO!R$15,$L18,0)</f>
        <v>(Código não identificado nas referências)</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1.5</v>
      </c>
      <c r="I18" s="468" t="s">
        <v>1039</v>
      </c>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PLACA DA OBRA</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ht="12.75" x14ac:dyDescent="0.2">
      <c r="A19" s="7" t="str">
        <f ca="1">IFERROR(IF(AUTOEVENTO="Manual",IF(K19&lt;&gt;"",MIN(VALUE(LEFT(K19,FIND(".",K19)-1)),COUNTA(EVENTOS.Lista)),0),IF(OR($B19&gt;AUTOEVENTO,$B19="S",$B19=0),SUBSTITUTE(OFFSET($A19,-1,0),IF($D19="Serviço",".",""),""),$L19&amp;".")),0)</f>
        <v>4.</v>
      </c>
      <c r="B19" s="7">
        <f ca="1">OFFSET(ORÇAMENTO!C$15,$L19,0)</f>
        <v>2</v>
      </c>
      <c r="C19" s="7" t="str">
        <f ca="1">OFFSET(ORÇAMENTO!L$15,$L19,0)</f>
        <v>F</v>
      </c>
      <c r="D19" s="116" t="str">
        <f ca="1">OFFSET(ORÇAMENTO!N$15,$L19,0)</f>
        <v>Nível 2</v>
      </c>
      <c r="E19" s="117" t="str">
        <f ca="1">OFFSET(ORÇAMENTO!O$15,$L19,0)</f>
        <v>1.2.</v>
      </c>
      <c r="F19" s="163" t="str">
        <f ca="1">OFFSET(ORÇAMENTO!R$15,$L19,0)</f>
        <v>CANTEIRO DE OBRAS</v>
      </c>
      <c r="G19" s="164" t="str">
        <f ca="1">IF($D19&lt;&gt;"Serviço","",OFFSET(ORÇAMENTO!S$15,$L19,0))</f>
        <v/>
      </c>
      <c r="H19" s="122" cm="1">
        <f t="array" aca="1" ref="H19" ca="1">IF($D19&lt;&gt;"Serviço",0,IF(ACOMPANHAMENTO="BM",ROUND(OFFSET(ORÇAMENTO!AJ$15,$L19,0),15-13*ORÇAMENTO!$AF$7),IF(IFERROR(CÁLCULO.FrentesPreenchidas,0)=0,0,SUM(ROUND(OFFSET($P19,0,1,1,CÁLCULO.FrentesPreenchidas),15-13*ORÇAMENTO!$AF$7)))))</f>
        <v>0</v>
      </c>
      <c r="I19" s="468"/>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c r="L19" s="165">
        <f ca="1">OFFSET(L19,-1,0)+1</f>
        <v>4</v>
      </c>
      <c r="M19" s="166" t="str">
        <f ca="1">IF($D19&lt;&gt;"Serviço","",
          IF(AUTOEVENTO="manual",$A19,
                IF(ISERROR(MATCH($A19,$A$15:OFFSET($A19,-1,0),0)),MAX($M$15:OFFSET(M19,-1,0))+1,
                      INDEX($M$15:OFFSET(M19,-1,0),MATCH($A19,$A$15:OFFSET($A19,-1,0),0)))))</f>
        <v/>
      </c>
      <c r="N19" s="167" t="str">
        <f ca="1">IF($D19&lt;&gt;"Serviço","",
         IF(AUTOEVENTO="Manual",
                IF($A19=0,"&lt;-- defina o número do agrupador",
                       OFFSET(EVENTOS!$D$15,$A19-$A$15,0)),
                OFFSET($F$15,$A19,0)))</f>
        <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0</v>
      </c>
      <c r="AN19" s="171">
        <f ca="1">IF(OR($D19&lt;&gt;"Serviço",AND(AUTOEVENTO="Manual",$M19=$A$15)),0,
         IF(OFFSET(CRONOPLE!$F$15,$M19-$A$15,AN$13)=0,10^12,OFFSET(CRONOPLE!$F$15,$M19-$A$15,AN$13)))</f>
        <v>0</v>
      </c>
      <c r="AO19" s="171">
        <f ca="1">IF(OR($D19&lt;&gt;"Serviço",AND(AUTOEVENTO="Manual",$M19=$A$15)),0,
         IF(OFFSET(CRONOPLE!$F$15,$M19-$A$15,AO$13)=0,10^12,OFFSET(CRONOPLE!$F$15,$M19-$A$15,AO$13)))</f>
        <v>0</v>
      </c>
      <c r="AP19" s="171">
        <f ca="1">IF(OR($D19&lt;&gt;"Serviço",AND(AUTOEVENTO="Manual",$M19=$A$15)),0,
         IF(OFFSET(CRONOPLE!$F$15,$M19-$A$15,AP$13)=0,10^12,OFFSET(CRONOPLE!$F$15,$M19-$A$15,AP$13)))</f>
        <v>0</v>
      </c>
      <c r="AQ19" s="171">
        <f ca="1">IF(OR($D19&lt;&gt;"Serviço",AND(AUTOEVENTO="Manual",$M19=$A$15)),0,
         IF(OFFSET(CRONOPLE!$F$15,$M19-$A$15,AQ$13)=0,10^12,OFFSET(CRONOPLE!$F$15,$M19-$A$15,AQ$13)))</f>
        <v>0</v>
      </c>
      <c r="AR19" s="171">
        <f ca="1">IF(OR($D19&lt;&gt;"Serviço",AND(AUTOEVENTO="Manual",$M19=$A$15)),0,
         IF(OFFSET(CRONOPLE!$F$15,$M19-$A$15,AR$13)=0,10^12,OFFSET(CRONOPLE!$F$15,$M19-$A$15,AR$13)))</f>
        <v>0</v>
      </c>
      <c r="AS19" s="171">
        <f ca="1">IF(OR($D19&lt;&gt;"Serviço",AND(AUTOEVENTO="Manual",$M19=$A$15)),0,
         IF(OFFSET(CRONOPLE!$F$15,$M19-$A$15,AS$13)=0,10^12,OFFSET(CRONOPLE!$F$15,$M19-$A$15,AS$13)))</f>
        <v>0</v>
      </c>
      <c r="AT19" s="171">
        <f ca="1">IF(OR($D19&lt;&gt;"Serviço",AND(AUTOEVENTO="Manual",$M19=$A$15)),0,
         IF(OFFSET(CRONOPLE!$F$15,$M19-$A$15,AT$13)=0,10^12,OFFSET(CRONOPLE!$F$15,$M19-$A$15,AT$13)))</f>
        <v>0</v>
      </c>
      <c r="AU19" s="171">
        <f ca="1">IF(OR($D19&lt;&gt;"Serviço",AND(AUTOEVENTO="Manual",$M19=$A$15)),0,
         IF(OFFSET(CRONOPLE!$F$15,$M19-$A$15,AU$13)=0,10^12,OFFSET(CRONOPLE!$F$15,$M19-$A$15,AU$13)))</f>
        <v>0</v>
      </c>
      <c r="AV19" s="171">
        <f ca="1">IF(OR($D19&lt;&gt;"Serviço",AND(AUTOEVENTO="Manual",$M19=$A$15)),0,
         IF(OFFSET(CRONOPLE!$F$15,$M19-$A$15,AV$13)=0,10^12,OFFSET(CRONOPLE!$F$15,$M19-$A$15,AV$13)))</f>
        <v>0</v>
      </c>
      <c r="AX19" s="172" cm="1">
        <f t="array" aca="1" ref="AX19" ca="1">IF(OR($D19&lt;&gt;"Serviço",AND(AUTOEVENTO="Manual",$M19=$A$15),$M19&gt;(ROW(PLE.lastrow)-ROW(PLE.firstrow))),0,
           IF(OFFSET(PLE!$G$15,$M19-$A$15,AX$13)="",10^12,OFFSET(PLE!$G$15,$M19-$A$15,AX$13)))</f>
        <v>0</v>
      </c>
      <c r="AY19" s="172" cm="1">
        <f t="array" aca="1" ref="AY19" ca="1">IF(OR($D19&lt;&gt;"Serviço",AND(AUTOEVENTO="Manual",$M19=$A$15),$M19&gt;(ROW(PLE.lastrow)-ROW(PLE.firstrow))),0,
           IF(OFFSET(PLE!$G$15,$M19-$A$15,AY$13)="",10^12,OFFSET(PLE!$G$15,$M19-$A$15,AY$13)))</f>
        <v>0</v>
      </c>
      <c r="AZ19" s="172" cm="1">
        <f t="array" aca="1" ref="AZ19" ca="1">IF(OR($D19&lt;&gt;"Serviço",AND(AUTOEVENTO="Manual",$M19=$A$15),$M19&gt;(ROW(PLE.lastrow)-ROW(PLE.firstrow))),0,
           IF(OFFSET(PLE!$G$15,$M19-$A$15,AZ$13)="",10^12,OFFSET(PLE!$G$15,$M19-$A$15,AZ$13)))</f>
        <v>0</v>
      </c>
      <c r="BA19" s="172" cm="1">
        <f t="array" aca="1" ref="BA19" ca="1">IF(OR($D19&lt;&gt;"Serviço",AND(AUTOEVENTO="Manual",$M19=$A$15),$M19&gt;(ROW(PLE.lastrow)-ROW(PLE.firstrow))),0,
           IF(OFFSET(PLE!$G$15,$M19-$A$15,BA$13)="",10^12,OFFSET(PLE!$G$15,$M19-$A$15,BA$13)))</f>
        <v>0</v>
      </c>
      <c r="BB19" s="172" cm="1">
        <f t="array" aca="1" ref="BB19" ca="1">IF(OR($D19&lt;&gt;"Serviço",AND(AUTOEVENTO="Manual",$M19=$A$15),$M19&gt;(ROW(PLE.lastrow)-ROW(PLE.firstrow))),0,
           IF(OFFSET(PLE!$G$15,$M19-$A$15,BB$13)="",10^12,OFFSET(PLE!$G$15,$M19-$A$15,BB$13)))</f>
        <v>0</v>
      </c>
      <c r="BC19" s="172" cm="1">
        <f t="array" aca="1" ref="BC19" ca="1">IF(OR($D19&lt;&gt;"Serviço",AND(AUTOEVENTO="Manual",$M19=$A$15),$M19&gt;(ROW(PLE.lastrow)-ROW(PLE.firstrow))),0,
           IF(OFFSET(PLE!$G$15,$M19-$A$15,BC$13)="",10^12,OFFSET(PLE!$G$15,$M19-$A$15,BC$13)))</f>
        <v>0</v>
      </c>
      <c r="BD19" s="172" cm="1">
        <f t="array" aca="1" ref="BD19" ca="1">IF(OR($D19&lt;&gt;"Serviço",AND(AUTOEVENTO="Manual",$M19=$A$15),$M19&gt;(ROW(PLE.lastrow)-ROW(PLE.firstrow))),0,
           IF(OFFSET(PLE!$G$15,$M19-$A$15,BD$13)="",10^12,OFFSET(PLE!$G$15,$M19-$A$15,BD$13)))</f>
        <v>0</v>
      </c>
      <c r="BE19" s="172" cm="1">
        <f t="array" aca="1" ref="BE19" ca="1">IF(OR($D19&lt;&gt;"Serviço",AND(AUTOEVENTO="Manual",$M19=$A$15),$M19&gt;(ROW(PLE.lastrow)-ROW(PLE.firstrow))),0,
           IF(OFFSET(PLE!$G$15,$M19-$A$15,BE$13)="",10^12,OFFSET(PLE!$G$15,$M19-$A$15,BE$13)))</f>
        <v>0</v>
      </c>
      <c r="BF19" s="172" cm="1">
        <f t="array" aca="1" ref="BF19" ca="1">IF(OR($D19&lt;&gt;"Serviço",AND(AUTOEVENTO="Manual",$M19=$A$15),$M19&gt;(ROW(PLE.lastrow)-ROW(PLE.firstrow))),0,
           IF(OFFSET(PLE!$G$15,$M19-$A$15,BF$13)="",10^12,OFFSET(PLE!$G$15,$M19-$A$15,BF$13)))</f>
        <v>0</v>
      </c>
      <c r="BG19" s="172" cm="1">
        <f t="array" aca="1" ref="BG19" ca="1">IF(OR($D19&lt;&gt;"Serviço",AND(AUTOEVENTO="Manual",$M19=$A$15),$M19&gt;(ROW(PLE.lastrow)-ROW(PLE.firstrow))),0,
           IF(OFFSET(PLE!$G$15,$M19-$A$15,BG$13)="",10^12,OFFSET(PLE!$G$15,$M19-$A$15,BG$13)))</f>
        <v>0</v>
      </c>
    </row>
    <row r="20" spans="1:59" ht="89.25" x14ac:dyDescent="0.2">
      <c r="A20" s="7" t="str">
        <f t="shared" ca="1" si="8"/>
        <v>4</v>
      </c>
      <c r="B20" s="7" t="str">
        <f ca="1">OFFSET(ORÇAMENTO!C$15,$L20,0)</f>
        <v>S</v>
      </c>
      <c r="C20" s="7" t="str">
        <f ca="1">OFFSET(ORÇAMENTO!L$15,$L20,0)</f>
        <v/>
      </c>
      <c r="D20" s="116" t="str">
        <f ca="1">OFFSET(ORÇAMENTO!N$15,$L20,0)</f>
        <v>Serviço</v>
      </c>
      <c r="E20" s="117" t="str">
        <f ca="1">OFFSET(ORÇAMENTO!O$15,$L20,0)</f>
        <v>-</v>
      </c>
      <c r="F20" s="163" t="str">
        <f ca="1">OFFSET(ORÇAMENTO!R$15,$L20,0)</f>
        <v>(Código não identificado nas referências)</v>
      </c>
      <c r="G20" s="164" t="str">
        <f ca="1">IF($D20&lt;&gt;"Serviço","",OFFSET(ORÇAMENTO!S$15,$L20,0))</f>
        <v>-</v>
      </c>
      <c r="H20" s="122" cm="1">
        <f t="array" aca="1" ref="H20" ca="1">IF($D20&lt;&gt;"Serviço",0,IF(ACOMPANHAMENTO="BM",ROUND(OFFSET(ORÇAMENTO!AJ$15,$L20,0),15-13*ORÇAMENTO!$AF$7),IF(IFERROR(CÁLCULO.FrentesPreenchidas,0)=0,0,SUM(ROUND(OFFSET($P20,0,1,1,CÁLCULO.FrentesPreenchidas),15-13*ORÇAMENTO!$AF$7)))))</f>
        <v>3</v>
      </c>
      <c r="I20" s="468" t="s">
        <v>1040</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c r="L20" s="165">
        <f t="shared" ca="1" si="9"/>
        <v>5</v>
      </c>
      <c r="M20" s="166">
        <f ca="1">IF($D20&lt;&gt;"Serviço","",
          IF(AUTOEVENTO="manual",$A20,
                IF(ISERROR(MATCH($A20,$A$15:OFFSET($A20,-1,0),0)),MAX($M$15:OFFSET(M20,-1,0))+1,
                      INDEX($M$15:OFFSET(M20,-1,0),MATCH($A20,$A$15:OFFSET($A20,-1,0),0)))))</f>
        <v>2</v>
      </c>
      <c r="N20" s="167" t="str">
        <f ca="1">IF($D20&lt;&gt;"Serviço","",
         IF(AUTOEVENTO="Manual",
                IF($A20=0,"&lt;-- defina o número do agrupador",
                       OFFSET(EVENTOS!$D$15,$A20-$A$15,0)),
                OFFSET($F$15,$A20,0)))</f>
        <v>CANTEIRO DE OBRAS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ht="25.5" x14ac:dyDescent="0.2">
      <c r="A21" s="7" t="str">
        <f t="shared" ca="1" si="8"/>
        <v>4</v>
      </c>
      <c r="B21" s="7" t="str">
        <f ca="1">OFFSET(ORÇAMENTO!C$15,$L21,0)</f>
        <v>S</v>
      </c>
      <c r="C21" s="7" t="str">
        <f ca="1">OFFSET(ORÇAMENTO!L$15,$L21,0)</f>
        <v/>
      </c>
      <c r="D21" s="116" t="str">
        <f ca="1">OFFSET(ORÇAMENTO!N$15,$L21,0)</f>
        <v>Serviço</v>
      </c>
      <c r="E21" s="117" t="str">
        <f ca="1">OFFSET(ORÇAMENTO!O$15,$L21,0)</f>
        <v>-</v>
      </c>
      <c r="F21" s="163" t="str">
        <f ca="1">OFFSET(ORÇAMENTO!R$15,$L21,0)</f>
        <v>(Código não identificado nas referências)</v>
      </c>
      <c r="G21" s="164" t="str">
        <f ca="1">IF($D21&lt;&gt;"Serviço","",OFFSET(ORÇAMENTO!S$15,$L21,0))</f>
        <v>-</v>
      </c>
      <c r="H21" s="122" cm="1">
        <f t="array" aca="1" ref="H21" ca="1">IF($D21&lt;&gt;"Serviço",0,IF(ACOMPANHAMENTO="BM",ROUND(OFFSET(ORÇAMENTO!AJ$15,$L21,0),15-13*ORÇAMENTO!$AF$7),IF(IFERROR(CÁLCULO.FrentesPreenchidas,0)=0,0,SUM(ROUND(OFFSET($P21,0,1,1,CÁLCULO.FrentesPreenchidas),15-13*ORÇAMENTO!$AF$7)))))</f>
        <v>1</v>
      </c>
      <c r="I21" s="468" t="s">
        <v>1041</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c r="L21" s="165">
        <f t="shared" ca="1" si="9"/>
        <v>6</v>
      </c>
      <c r="M21" s="166">
        <f ca="1">IF($D21&lt;&gt;"Serviço","",
          IF(AUTOEVENTO="manual",$A21,
                IF(ISERROR(MATCH($A21,$A$15:OFFSET($A21,-1,0),0)),MAX($M$15:OFFSET(M21,-1,0))+1,
                      INDEX($M$15:OFFSET(M21,-1,0),MATCH($A21,$A$15:OFFSET($A21,-1,0),0)))))</f>
        <v>2</v>
      </c>
      <c r="N21" s="167" t="str">
        <f ca="1">IF($D21&lt;&gt;"Serviço","",
         IF(AUTOEVENTO="Manual",
                IF($A21=0,"&lt;-- defina o número do agrupador",
                       OFFSET(EVENTOS!$D$15,$A21-$A$15,0)),
                OFFSET($F$15,$A21,0)))</f>
        <v>CANTEIRO DE OBRAS</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1000000000000</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cm="1">
        <f t="array" aca="1" ref="AX21" ca="1">IF(OR($D21&lt;&gt;"Serviço",AND(AUTOEVENTO="Manual",$M21=$A$15),$M21&gt;(ROW(PLE.lastrow)-ROW(PLE.firstrow))),0,
           IF(OFFSET(PLE!$G$15,$M21-$A$15,AX$13)="",10^12,OFFSET(PLE!$G$15,$M21-$A$15,AX$13)))</f>
        <v>1000000000000</v>
      </c>
      <c r="AY21" s="172" cm="1">
        <f t="array" aca="1" ref="AY21" ca="1">IF(OR($D21&lt;&gt;"Serviço",AND(AUTOEVENTO="Manual",$M21=$A$15),$M21&gt;(ROW(PLE.lastrow)-ROW(PLE.firstrow))),0,
           IF(OFFSET(PLE!$G$15,$M21-$A$15,AY$13)="",10^12,OFFSET(PLE!$G$15,$M21-$A$15,AY$13)))</f>
        <v>1000000000000</v>
      </c>
      <c r="AZ21" s="172" cm="1">
        <f t="array" aca="1" ref="AZ21" ca="1">IF(OR($D21&lt;&gt;"Serviço",AND(AUTOEVENTO="Manual",$M21=$A$15),$M21&gt;(ROW(PLE.lastrow)-ROW(PLE.firstrow))),0,
           IF(OFFSET(PLE!$G$15,$M21-$A$15,AZ$13)="",10^12,OFFSET(PLE!$G$15,$M21-$A$15,AZ$13)))</f>
        <v>1000000000000</v>
      </c>
      <c r="BA21" s="172" cm="1">
        <f t="array" aca="1" ref="BA21" ca="1">IF(OR($D21&lt;&gt;"Serviço",AND(AUTOEVENTO="Manual",$M21=$A$15),$M21&gt;(ROW(PLE.lastrow)-ROW(PLE.firstrow))),0,
           IF(OFFSET(PLE!$G$15,$M21-$A$15,BA$13)="",10^12,OFFSET(PLE!$G$15,$M21-$A$15,BA$13)))</f>
        <v>1000000000000</v>
      </c>
      <c r="BB21" s="172" cm="1">
        <f t="array" aca="1" ref="BB21" ca="1">IF(OR($D21&lt;&gt;"Serviço",AND(AUTOEVENTO="Manual",$M21=$A$15),$M21&gt;(ROW(PLE.lastrow)-ROW(PLE.firstrow))),0,
           IF(OFFSET(PLE!$G$15,$M21-$A$15,BB$13)="",10^12,OFFSET(PLE!$G$15,$M21-$A$15,BB$13)))</f>
        <v>1000000000000</v>
      </c>
      <c r="BC21" s="172" cm="1">
        <f t="array" aca="1" ref="BC21" ca="1">IF(OR($D21&lt;&gt;"Serviço",AND(AUTOEVENTO="Manual",$M21=$A$15),$M21&gt;(ROW(PLE.lastrow)-ROW(PLE.firstrow))),0,
           IF(OFFSET(PLE!$G$15,$M21-$A$15,BC$13)="",10^12,OFFSET(PLE!$G$15,$M21-$A$15,BC$13)))</f>
        <v>1000000000000</v>
      </c>
      <c r="BD21" s="172" cm="1">
        <f t="array" aca="1" ref="BD21" ca="1">IF(OR($D21&lt;&gt;"Serviço",AND(AUTOEVENTO="Manual",$M21=$A$15),$M21&gt;(ROW(PLE.lastrow)-ROW(PLE.firstrow))),0,
           IF(OFFSET(PLE!$G$15,$M21-$A$15,BD$13)="",10^12,OFFSET(PLE!$G$15,$M21-$A$15,BD$13)))</f>
        <v>1000000000000</v>
      </c>
      <c r="BE21" s="172" cm="1">
        <f t="array" aca="1" ref="BE21" ca="1">IF(OR($D21&lt;&gt;"Serviço",AND(AUTOEVENTO="Manual",$M21=$A$15),$M21&gt;(ROW(PLE.lastrow)-ROW(PLE.firstrow))),0,
           IF(OFFSET(PLE!$G$15,$M21-$A$15,BE$13)="",10^12,OFFSET(PLE!$G$15,$M21-$A$15,BE$13)))</f>
        <v>1000000000000</v>
      </c>
      <c r="BF21" s="172" cm="1">
        <f t="array" aca="1" ref="BF21" ca="1">IF(OR($D21&lt;&gt;"Serviço",AND(AUTOEVENTO="Manual",$M21=$A$15),$M21&gt;(ROW(PLE.lastrow)-ROW(PLE.firstrow))),0,
           IF(OFFSET(PLE!$G$15,$M21-$A$15,BF$13)="",10^12,OFFSET(PLE!$G$15,$M21-$A$15,BF$13)))</f>
        <v>1000000000000</v>
      </c>
      <c r="BG21" s="172" cm="1">
        <f t="array" aca="1" ref="BG21" ca="1">IF(OR($D21&lt;&gt;"Serviço",AND(AUTOEVENTO="Manual",$M21=$A$15),$M21&gt;(ROW(PLE.lastrow)-ROW(PLE.firstrow))),0,
           IF(OFFSET(PLE!$G$15,$M21-$A$15,BG$13)="",10^12,OFFSET(PLE!$G$15,$M21-$A$15,BG$13)))</f>
        <v>1000000000000</v>
      </c>
    </row>
    <row r="22" spans="1:59" ht="102" x14ac:dyDescent="0.2">
      <c r="A22" s="7" t="str">
        <f ca="1">IFERROR(IF(AUTOEVENTO="Manual",IF(K22&lt;&gt;"",MIN(VALUE(LEFT(K22,FIND(".",K22)-1)),COUNTA(EVENTOS.Lista)),0),IF(OR($B22&gt;AUTOEVENTO,$B22="S",$B22=0),SUBSTITUTE(OFFSET($A22,-1,0),IF($D22="Serviço",".",""),""),$L22&amp;".")),0)</f>
        <v>4</v>
      </c>
      <c r="B22" s="7" t="str">
        <f ca="1">OFFSET(ORÇAMENTO!C$15,$L22,0)</f>
        <v>S</v>
      </c>
      <c r="C22" s="7" t="str">
        <f ca="1">OFFSET(ORÇAMENTO!L$15,$L22,0)</f>
        <v/>
      </c>
      <c r="D22" s="116" t="str">
        <f ca="1">OFFSET(ORÇAMENTO!N$15,$L22,0)</f>
        <v>Serviço</v>
      </c>
      <c r="E22" s="117" t="str">
        <f ca="1">OFFSET(ORÇAMENTO!O$15,$L22,0)</f>
        <v>-</v>
      </c>
      <c r="F22" s="163" t="str">
        <f ca="1">OFFSET(ORÇAMENTO!R$15,$L22,0)</f>
        <v>(Código não identificado nas referências)</v>
      </c>
      <c r="G22" s="164" t="str">
        <f ca="1">IF($D22&lt;&gt;"Serviço","",OFFSET(ORÇAMENTO!S$15,$L22,0))</f>
        <v>-</v>
      </c>
      <c r="H22" s="122" cm="1">
        <f t="array" aca="1" ref="H22" ca="1">IF($D22&lt;&gt;"Serviço",0,IF(ACOMPANHAMENTO="BM",ROUND(OFFSET(ORÇAMENTO!AJ$15,$L22,0),15-13*ORÇAMENTO!$AF$7),IF(IFERROR(CÁLCULO.FrentesPreenchidas,0)=0,0,SUM(ROUND(OFFSET($P22,0,1,1,CÁLCULO.FrentesPreenchidas),15-13*ORÇAMENTO!$AF$7)))))</f>
        <v>3</v>
      </c>
      <c r="I22" s="468" t="s">
        <v>1042</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c r="L22" s="165">
        <f ca="1">OFFSET(L22,-1,0)+1</f>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CANTEIRO DE OBRAS</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ht="25.5" x14ac:dyDescent="0.2">
      <c r="A23" s="7" t="str">
        <f ca="1">IFERROR(IF(AUTOEVENTO="Manual",IF(K23&lt;&gt;"",MIN(VALUE(LEFT(K23,FIND(".",K23)-1)),COUNTA(EVENTOS.Lista)),0),IF(OR($B23&gt;AUTOEVENTO,$B23="S",$B23=0),SUBSTITUTE(OFFSET($A23,-1,0),IF($D23="Serviço",".",""),""),$L23&amp;".")),0)</f>
        <v>4</v>
      </c>
      <c r="B23" s="7" t="str">
        <f ca="1">OFFSET(ORÇAMENTO!C$15,$L23,0)</f>
        <v>S</v>
      </c>
      <c r="C23" s="7" t="str">
        <f ca="1">OFFSET(ORÇAMENTO!L$15,$L23,0)</f>
        <v/>
      </c>
      <c r="D23" s="116" t="str">
        <f ca="1">OFFSET(ORÇAMENTO!N$15,$L23,0)</f>
        <v>Serviço</v>
      </c>
      <c r="E23" s="117" t="str">
        <f ca="1">OFFSET(ORÇAMENTO!O$15,$L23,0)</f>
        <v>-</v>
      </c>
      <c r="F23" s="163" t="str">
        <f ca="1">OFFSET(ORÇAMENTO!R$15,$L23,0)</f>
        <v>(Código não identificado nas referências)</v>
      </c>
      <c r="G23" s="164" t="str">
        <f ca="1">IF($D23&lt;&gt;"Serviço","",OFFSET(ORÇAMENTO!S$15,$L23,0))</f>
        <v>-</v>
      </c>
      <c r="H23" s="122" cm="1">
        <f t="array" aca="1" ref="H23" ca="1">IF($D23&lt;&gt;"Serviço",0,IF(ACOMPANHAMENTO="BM",ROUND(OFFSET(ORÇAMENTO!AJ$15,$L23,0),15-13*ORÇAMENTO!$AF$7),IF(IFERROR(CÁLCULO.FrentesPreenchidas,0)=0,0,SUM(ROUND(OFFSET($P23,0,1,1,CÁLCULO.FrentesPreenchidas),15-13*ORÇAMENTO!$AF$7)))))</f>
        <v>1</v>
      </c>
      <c r="I23" s="468" t="s">
        <v>1041</v>
      </c>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c r="L23" s="165">
        <f t="shared" ref="L23:L24" ca="1" si="10">OFFSET(L23,-1,0)+1</f>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CANTEIRO DE OBRAS</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ht="38.25" x14ac:dyDescent="0.2">
      <c r="A24" s="7" t="str">
        <f ca="1">IFERROR(IF(AUTOEVENTO="Manual",IF(K24&lt;&gt;"",MIN(VALUE(LEFT(K24,FIND(".",K24)-1)),COUNTA(EVENTOS.Lista)),0),IF(OR($B24&gt;AUTOEVENTO,$B24="S",$B24=0),SUBSTITUTE(OFFSET($A24,-1,0),IF($D24="Serviço",".",""),""),$L24&amp;".")),0)</f>
        <v>4</v>
      </c>
      <c r="B24" s="7" t="str">
        <f ca="1">OFFSET(ORÇAMENTO!C$15,$L24,0)</f>
        <v>S</v>
      </c>
      <c r="C24" s="7" t="str">
        <f ca="1">OFFSET(ORÇAMENTO!L$15,$L24,0)</f>
        <v/>
      </c>
      <c r="D24" s="116" t="str">
        <f ca="1">OFFSET(ORÇAMENTO!N$15,$L24,0)</f>
        <v>Serviço</v>
      </c>
      <c r="E24" s="117" t="str">
        <f ca="1">OFFSET(ORÇAMENTO!O$15,$L24,0)</f>
        <v>-</v>
      </c>
      <c r="F24" s="163" t="str">
        <f ca="1">OFFSET(ORÇAMENTO!R$15,$L24,0)</f>
        <v>(Código não identificado nas referências)</v>
      </c>
      <c r="G24" s="164" t="str">
        <f ca="1">IF($D24&lt;&gt;"Serviço","",OFFSET(ORÇAMENTO!S$15,$L24,0))</f>
        <v>-</v>
      </c>
      <c r="H24" s="122" cm="1">
        <f t="array" aca="1" ref="H24" ca="1">IF($D24&lt;&gt;"Serviço",0,IF(ACOMPANHAMENTO="BM",ROUND(OFFSET(ORÇAMENTO!AJ$15,$L24,0),15-13*ORÇAMENTO!$AF$7),IF(IFERROR(CÁLCULO.FrentesPreenchidas,0)=0,0,SUM(ROUND(OFFSET($P24,0,1,1,CÁLCULO.FrentesPreenchidas),15-13*ORÇAMENTO!$AF$7)))))</f>
        <v>2</v>
      </c>
      <c r="I24" s="468" t="s">
        <v>1043</v>
      </c>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f t="shared" ca="1" si="10"/>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CANTEIRO DE OBRAS</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ht="12.75" x14ac:dyDescent="0.2">
      <c r="A25" s="7" t="str">
        <f t="shared" ca="1" si="8"/>
        <v>10.</v>
      </c>
      <c r="B25" s="7">
        <f ca="1">OFFSET(ORÇAMENTO!C$15,$L25,0)</f>
        <v>2</v>
      </c>
      <c r="C25" s="7" t="str">
        <f ca="1">OFFSET(ORÇAMENTO!L$15,$L25,0)</f>
        <v>F</v>
      </c>
      <c r="D25" s="116" t="str">
        <f ca="1">OFFSET(ORÇAMENTO!N$15,$L25,0)</f>
        <v>Nível 2</v>
      </c>
      <c r="E25" s="117" t="str">
        <f ca="1">OFFSET(ORÇAMENTO!O$15,$L25,0)</f>
        <v>1.3.</v>
      </c>
      <c r="F25" s="163" t="str">
        <f ca="1">OFFSET(ORÇAMENTO!R$15,$L25,0)</f>
        <v>DEMOLIÇÃO</v>
      </c>
      <c r="G25" s="164" t="str">
        <f ca="1">IF($D25&lt;&gt;"Serviço","",OFFSET(ORÇAMENTO!S$15,$L25,0))</f>
        <v/>
      </c>
      <c r="H25" s="122" cm="1">
        <f t="array" aca="1" ref="H25" ca="1">IF($D25&lt;&gt;"Serviço",0,IF(ACOMPANHAMENTO="BM",ROUND(OFFSET(ORÇAMENTO!AJ$15,$L25,0),15-13*ORÇAMENTO!$AF$7),IF(IFERROR(CÁLCULO.FrentesPreenchidas,0)=0,0,SUM(ROUND(OFFSET($P25,0,1,1,CÁLCULO.FrentesPreenchidas),15-13*ORÇAMENTO!$AF$7)))))</f>
        <v>0</v>
      </c>
      <c r="I25" s="468"/>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c r="L25" s="165">
        <f t="shared" ca="1" si="9"/>
        <v>10</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0</v>
      </c>
      <c r="AN25" s="171">
        <f ca="1">IF(OR($D25&lt;&gt;"Serviço",AND(AUTOEVENTO="Manual",$M25=$A$15)),0,
         IF(OFFSET(CRONOPLE!$F$15,$M25-$A$15,AN$13)=0,10^12,OFFSET(CRONOPLE!$F$15,$M25-$A$15,AN$13)))</f>
        <v>0</v>
      </c>
      <c r="AO25" s="171">
        <f ca="1">IF(OR($D25&lt;&gt;"Serviço",AND(AUTOEVENTO="Manual",$M25=$A$15)),0,
         IF(OFFSET(CRONOPLE!$F$15,$M25-$A$15,AO$13)=0,10^12,OFFSET(CRONOPLE!$F$15,$M25-$A$15,AO$13)))</f>
        <v>0</v>
      </c>
      <c r="AP25" s="171">
        <f ca="1">IF(OR($D25&lt;&gt;"Serviço",AND(AUTOEVENTO="Manual",$M25=$A$15)),0,
         IF(OFFSET(CRONOPLE!$F$15,$M25-$A$15,AP$13)=0,10^12,OFFSET(CRONOPLE!$F$15,$M25-$A$15,AP$13)))</f>
        <v>0</v>
      </c>
      <c r="AQ25" s="171">
        <f ca="1">IF(OR($D25&lt;&gt;"Serviço",AND(AUTOEVENTO="Manual",$M25=$A$15)),0,
         IF(OFFSET(CRONOPLE!$F$15,$M25-$A$15,AQ$13)=0,10^12,OFFSET(CRONOPLE!$F$15,$M25-$A$15,AQ$13)))</f>
        <v>0</v>
      </c>
      <c r="AR25" s="171">
        <f ca="1">IF(OR($D25&lt;&gt;"Serviço",AND(AUTOEVENTO="Manual",$M25=$A$15)),0,
         IF(OFFSET(CRONOPLE!$F$15,$M25-$A$15,AR$13)=0,10^12,OFFSET(CRONOPLE!$F$15,$M25-$A$15,AR$13)))</f>
        <v>0</v>
      </c>
      <c r="AS25" s="171">
        <f ca="1">IF(OR($D25&lt;&gt;"Serviço",AND(AUTOEVENTO="Manual",$M25=$A$15)),0,
         IF(OFFSET(CRONOPLE!$F$15,$M25-$A$15,AS$13)=0,10^12,OFFSET(CRONOPLE!$F$15,$M25-$A$15,AS$13)))</f>
        <v>0</v>
      </c>
      <c r="AT25" s="171">
        <f ca="1">IF(OR($D25&lt;&gt;"Serviço",AND(AUTOEVENTO="Manual",$M25=$A$15)),0,
         IF(OFFSET(CRONOPLE!$F$15,$M25-$A$15,AT$13)=0,10^12,OFFSET(CRONOPLE!$F$15,$M25-$A$15,AT$13)))</f>
        <v>0</v>
      </c>
      <c r="AU25" s="171">
        <f ca="1">IF(OR($D25&lt;&gt;"Serviço",AND(AUTOEVENTO="Manual",$M25=$A$15)),0,
         IF(OFFSET(CRONOPLE!$F$15,$M25-$A$15,AU$13)=0,10^12,OFFSET(CRONOPLE!$F$15,$M25-$A$15,AU$13)))</f>
        <v>0</v>
      </c>
      <c r="AV25" s="171">
        <f ca="1">IF(OR($D25&lt;&gt;"Serviço",AND(AUTOEVENTO="Manual",$M25=$A$15)),0,
         IF(OFFSET(CRONOPLE!$F$15,$M25-$A$15,AV$13)=0,10^12,OFFSET(CRONOPLE!$F$15,$M25-$A$15,AV$13)))</f>
        <v>0</v>
      </c>
      <c r="AX25" s="172" cm="1">
        <f t="array" aca="1" ref="AX25" ca="1">IF(OR($D25&lt;&gt;"Serviço",AND(AUTOEVENTO="Manual",$M25=$A$15),$M25&gt;(ROW(PLE.lastrow)-ROW(PLE.firstrow))),0,
           IF(OFFSET(PLE!$G$15,$M25-$A$15,AX$13)="",10^12,OFFSET(PLE!$G$15,$M25-$A$15,AX$13)))</f>
        <v>0</v>
      </c>
      <c r="AY25" s="172" cm="1">
        <f t="array" aca="1" ref="AY25" ca="1">IF(OR($D25&lt;&gt;"Serviço",AND(AUTOEVENTO="Manual",$M25=$A$15),$M25&gt;(ROW(PLE.lastrow)-ROW(PLE.firstrow))),0,
           IF(OFFSET(PLE!$G$15,$M25-$A$15,AY$13)="",10^12,OFFSET(PLE!$G$15,$M25-$A$15,AY$13)))</f>
        <v>0</v>
      </c>
      <c r="AZ25" s="172" cm="1">
        <f t="array" aca="1" ref="AZ25" ca="1">IF(OR($D25&lt;&gt;"Serviço",AND(AUTOEVENTO="Manual",$M25=$A$15),$M25&gt;(ROW(PLE.lastrow)-ROW(PLE.firstrow))),0,
           IF(OFFSET(PLE!$G$15,$M25-$A$15,AZ$13)="",10^12,OFFSET(PLE!$G$15,$M25-$A$15,AZ$13)))</f>
        <v>0</v>
      </c>
      <c r="BA25" s="172" cm="1">
        <f t="array" aca="1" ref="BA25" ca="1">IF(OR($D25&lt;&gt;"Serviço",AND(AUTOEVENTO="Manual",$M25=$A$15),$M25&gt;(ROW(PLE.lastrow)-ROW(PLE.firstrow))),0,
           IF(OFFSET(PLE!$G$15,$M25-$A$15,BA$13)="",10^12,OFFSET(PLE!$G$15,$M25-$A$15,BA$13)))</f>
        <v>0</v>
      </c>
      <c r="BB25" s="172" cm="1">
        <f t="array" aca="1" ref="BB25" ca="1">IF(OR($D25&lt;&gt;"Serviço",AND(AUTOEVENTO="Manual",$M25=$A$15),$M25&gt;(ROW(PLE.lastrow)-ROW(PLE.firstrow))),0,
           IF(OFFSET(PLE!$G$15,$M25-$A$15,BB$13)="",10^12,OFFSET(PLE!$G$15,$M25-$A$15,BB$13)))</f>
        <v>0</v>
      </c>
      <c r="BC25" s="172" cm="1">
        <f t="array" aca="1" ref="BC25" ca="1">IF(OR($D25&lt;&gt;"Serviço",AND(AUTOEVENTO="Manual",$M25=$A$15),$M25&gt;(ROW(PLE.lastrow)-ROW(PLE.firstrow))),0,
           IF(OFFSET(PLE!$G$15,$M25-$A$15,BC$13)="",10^12,OFFSET(PLE!$G$15,$M25-$A$15,BC$13)))</f>
        <v>0</v>
      </c>
      <c r="BD25" s="172" cm="1">
        <f t="array" aca="1" ref="BD25" ca="1">IF(OR($D25&lt;&gt;"Serviço",AND(AUTOEVENTO="Manual",$M25=$A$15),$M25&gt;(ROW(PLE.lastrow)-ROW(PLE.firstrow))),0,
           IF(OFFSET(PLE!$G$15,$M25-$A$15,BD$13)="",10^12,OFFSET(PLE!$G$15,$M25-$A$15,BD$13)))</f>
        <v>0</v>
      </c>
      <c r="BE25" s="172" cm="1">
        <f t="array" aca="1" ref="BE25" ca="1">IF(OR($D25&lt;&gt;"Serviço",AND(AUTOEVENTO="Manual",$M25=$A$15),$M25&gt;(ROW(PLE.lastrow)-ROW(PLE.firstrow))),0,
           IF(OFFSET(PLE!$G$15,$M25-$A$15,BE$13)="",10^12,OFFSET(PLE!$G$15,$M25-$A$15,BE$13)))</f>
        <v>0</v>
      </c>
      <c r="BF25" s="172" cm="1">
        <f t="array" aca="1" ref="BF25" ca="1">IF(OR($D25&lt;&gt;"Serviço",AND(AUTOEVENTO="Manual",$M25=$A$15),$M25&gt;(ROW(PLE.lastrow)-ROW(PLE.firstrow))),0,
           IF(OFFSET(PLE!$G$15,$M25-$A$15,BF$13)="",10^12,OFFSET(PLE!$G$15,$M25-$A$15,BF$13)))</f>
        <v>0</v>
      </c>
      <c r="BG25" s="172" cm="1">
        <f t="array" aca="1" ref="BG25" ca="1">IF(OR($D25&lt;&gt;"Serviço",AND(AUTOEVENTO="Manual",$M25=$A$15),$M25&gt;(ROW(PLE.lastrow)-ROW(PLE.firstrow))),0,
           IF(OFFSET(PLE!$G$15,$M25-$A$15,BG$13)="",10^12,OFFSET(PLE!$G$15,$M25-$A$15,BG$13)))</f>
        <v>0</v>
      </c>
    </row>
    <row r="26" spans="1:59" ht="38.25" x14ac:dyDescent="0.2">
      <c r="A26" s="7" t="str">
        <f t="shared" ca="1" si="8"/>
        <v>10</v>
      </c>
      <c r="B26" s="7" t="str">
        <f ca="1">OFFSET(ORÇAMENTO!C$15,$L26,0)</f>
        <v>S</v>
      </c>
      <c r="C26" s="7" t="str">
        <f ca="1">OFFSET(ORÇAMENTO!L$15,$L26,0)</f>
        <v/>
      </c>
      <c r="D26" s="116" t="str">
        <f ca="1">OFFSET(ORÇAMENTO!N$15,$L26,0)</f>
        <v>Serviço</v>
      </c>
      <c r="E26" s="117" t="str">
        <f ca="1">OFFSET(ORÇAMENTO!O$15,$L26,0)</f>
        <v>-</v>
      </c>
      <c r="F26" s="163" t="str">
        <f ca="1">OFFSET(ORÇAMENTO!R$15,$L26,0)</f>
        <v>(Código não identificado nas referências)</v>
      </c>
      <c r="G26" s="164" t="str">
        <f ca="1">IF($D26&lt;&gt;"Serviço","",OFFSET(ORÇAMENTO!S$15,$L26,0))</f>
        <v>-</v>
      </c>
      <c r="H26" s="122" cm="1">
        <f t="array" aca="1" ref="H26" ca="1">IF($D26&lt;&gt;"Serviço",0,IF(ACOMPANHAMENTO="BM",ROUND(OFFSET(ORÇAMENTO!AJ$15,$L26,0),15-13*ORÇAMENTO!$AF$7),IF(IFERROR(CÁLCULO.FrentesPreenchidas,0)=0,0,SUM(ROUND(OFFSET($P26,0,1,1,CÁLCULO.FrentesPreenchidas),15-13*ORÇAMENTO!$AF$7)))))</f>
        <v>1545</v>
      </c>
      <c r="I26" s="468" t="s">
        <v>1044</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c r="L26" s="165">
        <f t="shared" ca="1" si="9"/>
        <v>11</v>
      </c>
      <c r="M26" s="166">
        <f ca="1">IF($D26&lt;&gt;"Serviço","",
          IF(AUTOEVENTO="manual",$A26,
                IF(ISERROR(MATCH($A26,$A$15:OFFSET($A26,-1,0),0)),MAX($M$15:OFFSET(M26,-1,0))+1,
                      INDEX($M$15:OFFSET(M26,-1,0),MATCH($A26,$A$15:OFFSET($A26,-1,0),0)))))</f>
        <v>3</v>
      </c>
      <c r="N26" s="167" t="str">
        <f ca="1">IF($D26&lt;&gt;"Serviço","",
         IF(AUTOEVENTO="Manual",
                IF($A26=0,"&lt;-- defina o número do agrupador",
                       OFFSET(EVENTOS!$D$15,$A26-$A$15,0)),
                OFFSET($F$15,$A26,0)))</f>
        <v>DEMOLIÇÃO</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ht="38.25" x14ac:dyDescent="0.2">
      <c r="A27" s="7" t="str">
        <f t="shared" ca="1" si="8"/>
        <v>10</v>
      </c>
      <c r="B27" s="7" t="str">
        <f ca="1">OFFSET(ORÇAMENTO!C$15,$L27,0)</f>
        <v>S</v>
      </c>
      <c r="C27" s="7" t="str">
        <f ca="1">OFFSET(ORÇAMENTO!L$15,$L27,0)</f>
        <v/>
      </c>
      <c r="D27" s="116" t="str">
        <f ca="1">OFFSET(ORÇAMENTO!N$15,$L27,0)</f>
        <v>Serviço</v>
      </c>
      <c r="E27" s="117" t="str">
        <f ca="1">OFFSET(ORÇAMENTO!O$15,$L27,0)</f>
        <v>-</v>
      </c>
      <c r="F27" s="163" t="str">
        <f ca="1">OFFSET(ORÇAMENTO!R$15,$L27,0)</f>
        <v>(Código não identificado nas referências)</v>
      </c>
      <c r="G27" s="164" t="str">
        <f ca="1">IF($D27&lt;&gt;"Serviço","",OFFSET(ORÇAMENTO!S$15,$L27,0))</f>
        <v>-</v>
      </c>
      <c r="H27" s="122" cm="1">
        <f t="array" aca="1" ref="H27" ca="1">IF($D27&lt;&gt;"Serviço",0,IF(ACOMPANHAMENTO="BM",ROUND(OFFSET(ORÇAMENTO!AJ$15,$L27,0),15-13*ORÇAMENTO!$AF$7),IF(IFERROR(CÁLCULO.FrentesPreenchidas,0)=0,0,SUM(ROUND(OFFSET($P27,0,1,1,CÁLCULO.FrentesPreenchidas),15-13*ORÇAMENTO!$AF$7)))))</f>
        <v>1619</v>
      </c>
      <c r="I27" s="468" t="s">
        <v>1045</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c r="L27" s="165">
        <f t="shared" ca="1" si="9"/>
        <v>12</v>
      </c>
      <c r="M27" s="166">
        <f ca="1">IF($D27&lt;&gt;"Serviço","",
          IF(AUTOEVENTO="manual",$A27,
                IF(ISERROR(MATCH($A27,$A$15:OFFSET($A27,-1,0),0)),MAX($M$15:OFFSET(M27,-1,0))+1,
                      INDEX($M$15:OFFSET(M27,-1,0),MATCH($A27,$A$15:OFFSET($A27,-1,0),0)))))</f>
        <v>3</v>
      </c>
      <c r="N27" s="167" t="str">
        <f ca="1">IF($D27&lt;&gt;"Serviço","",
         IF(AUTOEVENTO="Manual",
                IF($A27=0,"&lt;-- defina o número do agrupador",
                       OFFSET(EVENTOS!$D$15,$A27-$A$15,0)),
                OFFSET($F$15,$A27,0)))</f>
        <v>DEMOLIÇÃO</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ht="38.25" x14ac:dyDescent="0.2">
      <c r="A28" s="7" t="str">
        <f t="shared" ca="1" si="8"/>
        <v>10</v>
      </c>
      <c r="B28" s="7" t="str">
        <f ca="1">OFFSET(ORÇAMENTO!C$15,$L28,0)</f>
        <v>S</v>
      </c>
      <c r="C28" s="7" t="str">
        <f ca="1">OFFSET(ORÇAMENTO!L$15,$L28,0)</f>
        <v/>
      </c>
      <c r="D28" s="116" t="str">
        <f ca="1">OFFSET(ORÇAMENTO!N$15,$L28,0)</f>
        <v>Serviço</v>
      </c>
      <c r="E28" s="117" t="str">
        <f ca="1">OFFSET(ORÇAMENTO!O$15,$L28,0)</f>
        <v>-</v>
      </c>
      <c r="F28" s="163" t="str">
        <f ca="1">OFFSET(ORÇAMENTO!R$15,$L28,0)</f>
        <v>(Código não identificado nas referências)</v>
      </c>
      <c r="G28" s="164" t="str">
        <f ca="1">IF($D28&lt;&gt;"Serviço","",OFFSET(ORÇAMENTO!S$15,$L28,0))</f>
        <v>-</v>
      </c>
      <c r="H28" s="122" cm="1">
        <f t="array" aca="1" ref="H28" ca="1">IF($D28&lt;&gt;"Serviço",0,IF(ACOMPANHAMENTO="BM",ROUND(OFFSET(ORÇAMENTO!AJ$15,$L28,0),15-13*ORÇAMENTO!$AF$7),IF(IFERROR(CÁLCULO.FrentesPreenchidas,0)=0,0,SUM(ROUND(OFFSET($P28,0,1,1,CÁLCULO.FrentesPreenchidas),15-13*ORÇAMENTO!$AF$7)))))</f>
        <v>37.200000000000003</v>
      </c>
      <c r="I28" s="468" t="s">
        <v>1046</v>
      </c>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f t="shared" ca="1" si="9"/>
        <v>13</v>
      </c>
      <c r="M28" s="166">
        <f ca="1">IF($D28&lt;&gt;"Serviço","",
          IF(AUTOEVENTO="manual",$A28,
                IF(ISERROR(MATCH($A28,$A$15:OFFSET($A28,-1,0),0)),MAX($M$15:OFFSET(M28,-1,0))+1,
                      INDEX($M$15:OFFSET(M28,-1,0),MATCH($A28,$A$15:OFFSET($A28,-1,0),0)))))</f>
        <v>3</v>
      </c>
      <c r="N28" s="167" t="str">
        <f ca="1">IF($D28&lt;&gt;"Serviço","",
         IF(AUTOEVENTO="Manual",
                IF($A28=0,"&lt;-- defina o número do agrupador",
                       OFFSET(EVENTOS!$D$15,$A28-$A$15,0)),
                OFFSET($F$15,$A28,0)))</f>
        <v>DEMOLIÇÃO</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ht="63.75" x14ac:dyDescent="0.2">
      <c r="A29" s="7" t="str">
        <f t="shared" ca="1" si="8"/>
        <v>10</v>
      </c>
      <c r="B29" s="7" t="str">
        <f ca="1">OFFSET(ORÇAMENTO!C$15,$L29,0)</f>
        <v>S</v>
      </c>
      <c r="C29" s="7" t="str">
        <f ca="1">OFFSET(ORÇAMENTO!L$15,$L29,0)</f>
        <v/>
      </c>
      <c r="D29" s="116" t="str">
        <f ca="1">OFFSET(ORÇAMENTO!N$15,$L29,0)</f>
        <v>Serviço</v>
      </c>
      <c r="E29" s="117" t="str">
        <f ca="1">OFFSET(ORÇAMENTO!O$15,$L29,0)</f>
        <v>-</v>
      </c>
      <c r="F29" s="163" t="str">
        <f ca="1">OFFSET(ORÇAMENTO!R$15,$L29,0)</f>
        <v>(Código não identificado nas referências)</v>
      </c>
      <c r="G29" s="164" t="str">
        <f ca="1">IF($D29&lt;&gt;"Serviço","",OFFSET(ORÇAMENTO!S$15,$L29,0))</f>
        <v>-</v>
      </c>
      <c r="H29" s="122" cm="1">
        <f t="array" aca="1" ref="H29" ca="1">IF($D29&lt;&gt;"Serviço",0,IF(ACOMPANHAMENTO="BM",ROUND(OFFSET(ORÇAMENTO!AJ$15,$L29,0),15-13*ORÇAMENTO!$AF$7),IF(IFERROR(CÁLCULO.FrentesPreenchidas,0)=0,0,SUM(ROUND(OFFSET($P29,0,1,1,CÁLCULO.FrentesPreenchidas),15-13*ORÇAMENTO!$AF$7)))))</f>
        <v>75</v>
      </c>
      <c r="I29" s="468" t="s">
        <v>1047</v>
      </c>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c r="L29" s="165">
        <f t="shared" ca="1" si="9"/>
        <v>14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DEMOLIÇÃO</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ht="51" x14ac:dyDescent="0.2">
      <c r="A30" s="7" t="str">
        <f t="shared" ca="1" si="8"/>
        <v>10</v>
      </c>
      <c r="B30" s="7" t="str">
        <f ca="1">OFFSET(ORÇAMENTO!C$15,$L30,0)</f>
        <v>S</v>
      </c>
      <c r="C30" s="7" t="str">
        <f ca="1">OFFSET(ORÇAMENTO!L$15,$L30,0)</f>
        <v/>
      </c>
      <c r="D30" s="116" t="str">
        <f ca="1">OFFSET(ORÇAMENTO!N$15,$L30,0)</f>
        <v>Serviço</v>
      </c>
      <c r="E30" s="117" t="str">
        <f ca="1">OFFSET(ORÇAMENTO!O$15,$L30,0)</f>
        <v>-</v>
      </c>
      <c r="F30" s="163" t="str">
        <f ca="1">OFFSET(ORÇAMENTO!R$15,$L30,0)</f>
        <v>(Código não identificado nas referências)</v>
      </c>
      <c r="G30" s="164" t="str">
        <f ca="1">IF($D30&lt;&gt;"Serviço","",OFFSET(ORÇAMENTO!S$15,$L30,0))</f>
        <v>-</v>
      </c>
      <c r="H30" s="122" cm="1">
        <f t="array" aca="1" ref="H30" ca="1">IF($D30&lt;&gt;"Serviço",0,IF(ACOMPANHAMENTO="BM",ROUND(OFFSET(ORÇAMENTO!AJ$15,$L30,0),15-13*ORÇAMENTO!$AF$7),IF(IFERROR(CÁLCULO.FrentesPreenchidas,0)=0,0,SUM(ROUND(OFFSET($P30,0,1,1,CÁLCULO.FrentesPreenchidas),15-13*ORÇAMENTO!$AF$7)))))</f>
        <v>198.9</v>
      </c>
      <c r="I30" s="468" t="s">
        <v>1048</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c r="L30" s="165">
        <f t="shared" ca="1" si="9"/>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DEMOLIÇÃO</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ht="38.25" x14ac:dyDescent="0.2">
      <c r="A31" s="7" t="str">
        <f t="shared" ca="1" si="8"/>
        <v>10</v>
      </c>
      <c r="B31" s="7" t="str">
        <f ca="1">OFFSET(ORÇAMENTO!C$15,$L31,0)</f>
        <v>S</v>
      </c>
      <c r="C31" s="7" t="str">
        <f ca="1">OFFSET(ORÇAMENTO!L$15,$L31,0)</f>
        <v/>
      </c>
      <c r="D31" s="116" t="str">
        <f ca="1">OFFSET(ORÇAMENTO!N$15,$L31,0)</f>
        <v>Serviço</v>
      </c>
      <c r="E31" s="117" t="str">
        <f ca="1">OFFSET(ORÇAMENTO!O$15,$L31,0)</f>
        <v>-</v>
      </c>
      <c r="F31" s="163" t="str">
        <f ca="1">OFFSET(ORÇAMENTO!R$15,$L31,0)</f>
        <v>(Código não identificado nas referências)</v>
      </c>
      <c r="G31" s="164" t="str">
        <f ca="1">IF($D31&lt;&gt;"Serviço","",OFFSET(ORÇAMENTO!S$15,$L31,0))</f>
        <v>-</v>
      </c>
      <c r="H31" s="122" cm="1">
        <f t="array" aca="1" ref="H31" ca="1">IF($D31&lt;&gt;"Serviço",0,IF(ACOMPANHAMENTO="BM",ROUND(OFFSET(ORÇAMENTO!AJ$15,$L31,0),15-13*ORÇAMENTO!$AF$7),IF(IFERROR(CÁLCULO.FrentesPreenchidas,0)=0,0,SUM(ROUND(OFFSET($P31,0,1,1,CÁLCULO.FrentesPreenchidas),15-13*ORÇAMENTO!$AF$7)))))</f>
        <v>2983.5</v>
      </c>
      <c r="I31" s="468" t="s">
        <v>1049</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c r="L31" s="165">
        <f t="shared" ca="1" si="9"/>
        <v>16</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DEMOLIÇÃO</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ht="12.75" x14ac:dyDescent="0.2">
      <c r="A32" s="7" t="str">
        <f t="shared" ca="1" si="8"/>
        <v>10</v>
      </c>
      <c r="B32" s="7" t="str">
        <f ca="1">OFFSET(ORÇAMENTO!C$15,$L32,0)</f>
        <v>S</v>
      </c>
      <c r="C32" s="7" t="str">
        <f ca="1">OFFSET(ORÇAMENTO!L$15,$L32,0)</f>
        <v/>
      </c>
      <c r="D32" s="116" t="str">
        <f ca="1">OFFSET(ORÇAMENTO!N$15,$L32,0)</f>
        <v>Serviço</v>
      </c>
      <c r="E32" s="117" t="str">
        <f ca="1">OFFSET(ORÇAMENTO!O$15,$L32,0)</f>
        <v>-</v>
      </c>
      <c r="F32" s="163" t="str">
        <f ca="1">OFFSET(ORÇAMENTO!R$15,$L32,0)</f>
        <v>(Código não identificado nas referências)</v>
      </c>
      <c r="G32" s="164" t="str">
        <f ca="1">IF($D32&lt;&gt;"Serviço","",OFFSET(ORÇAMENTO!S$15,$L32,0))</f>
        <v>-</v>
      </c>
      <c r="H32" s="122" cm="1">
        <f t="array" aca="1" ref="H32" ca="1">IF($D32&lt;&gt;"Serviço",0,IF(ACOMPANHAMENTO="BM",ROUND(OFFSET(ORÇAMENTO!AJ$15,$L32,0),15-13*ORÇAMENTO!$AF$7),IF(IFERROR(CÁLCULO.FrentesPreenchidas,0)=0,0,SUM(ROUND(OFFSET($P32,0,1,1,CÁLCULO.FrentesPreenchidas),15-13*ORÇAMENTO!$AF$7)))))</f>
        <v>344</v>
      </c>
      <c r="I32" s="468" t="s">
        <v>1050</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c r="L32" s="165">
        <f t="shared" ca="1" si="9"/>
        <v>17</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DEMOLIÇÃO</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ht="51" x14ac:dyDescent="0.2">
      <c r="A33" s="7" t="str">
        <f t="shared" ca="1" si="8"/>
        <v>10</v>
      </c>
      <c r="B33" s="7" t="str">
        <f ca="1">OFFSET(ORÇAMENTO!C$15,$L33,0)</f>
        <v>S</v>
      </c>
      <c r="C33" s="7" t="str">
        <f ca="1">OFFSET(ORÇAMENTO!L$15,$L33,0)</f>
        <v/>
      </c>
      <c r="D33" s="116" t="str">
        <f ca="1">OFFSET(ORÇAMENTO!N$15,$L33,0)</f>
        <v>Serviço</v>
      </c>
      <c r="E33" s="117" t="str">
        <f ca="1">OFFSET(ORÇAMENTO!O$15,$L33,0)</f>
        <v>-</v>
      </c>
      <c r="F33" s="163" t="str">
        <f ca="1">OFFSET(ORÇAMENTO!R$15,$L33,0)</f>
        <v>(Código não identificado nas referências)</v>
      </c>
      <c r="G33" s="164" t="str">
        <f ca="1">IF($D33&lt;&gt;"Serviço","",OFFSET(ORÇAMENTO!S$15,$L33,0))</f>
        <v>-</v>
      </c>
      <c r="H33" s="122" cm="1">
        <f t="array" aca="1" ref="H33" ca="1">IF($D33&lt;&gt;"Serviço",0,IF(ACOMPANHAMENTO="BM",ROUND(OFFSET(ORÇAMENTO!AJ$15,$L33,0),15-13*ORÇAMENTO!$AF$7),IF(IFERROR(CÁLCULO.FrentesPreenchidas,0)=0,0,SUM(ROUND(OFFSET($P33,0,1,1,CÁLCULO.FrentesPreenchidas),15-13*ORÇAMENTO!$AF$7)))))</f>
        <v>23</v>
      </c>
      <c r="I33" s="468" t="s">
        <v>1051</v>
      </c>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c r="L33" s="165">
        <f t="shared" ca="1" si="9"/>
        <v>18</v>
      </c>
      <c r="M33" s="166">
        <f ca="1">IF($D33&lt;&gt;"Serviço","",
          IF(AUTOEVENTO="manual",$A33,
                IF(ISERROR(MATCH($A33,$A$15:OFFSET($A33,-1,0),0)),MAX($M$15:OFFSET(M33,-1,0))+1,
                      INDEX($M$15:OFFSET(M33,-1,0),MATCH($A33,$A$15:OFFSET($A33,-1,0),0)))))</f>
        <v>3</v>
      </c>
      <c r="N33" s="167" t="str">
        <f ca="1">IF($D33&lt;&gt;"Serviço","",
         IF(AUTOEVENTO="Manual",
                IF($A33=0,"&lt;-- defina o número do agrupador",
                       OFFSET(EVENTOS!$D$15,$A33-$A$15,0)),
                OFFSET($F$15,$A33,0)))</f>
        <v>DEMOLIÇÃO</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ht="12.75" x14ac:dyDescent="0.2">
      <c r="A34" s="7" t="str">
        <f t="shared" ca="1" si="8"/>
        <v>10</v>
      </c>
      <c r="B34" s="7" t="str">
        <f ca="1">OFFSET(ORÇAMENTO!C$15,$L34,0)</f>
        <v>S</v>
      </c>
      <c r="C34" s="7" t="str">
        <f ca="1">OFFSET(ORÇAMENTO!L$15,$L34,0)</f>
        <v/>
      </c>
      <c r="D34" s="116" t="str">
        <f ca="1">OFFSET(ORÇAMENTO!N$15,$L34,0)</f>
        <v>Serviço</v>
      </c>
      <c r="E34" s="117" t="str">
        <f ca="1">OFFSET(ORÇAMENTO!O$15,$L34,0)</f>
        <v>-</v>
      </c>
      <c r="F34" s="163" t="str">
        <f ca="1">OFFSET(ORÇAMENTO!R$15,$L34,0)</f>
        <v>(Código não identificado nas referências)</v>
      </c>
      <c r="G34" s="164" t="str">
        <f ca="1">IF($D34&lt;&gt;"Serviço","",OFFSET(ORÇAMENTO!S$15,$L34,0))</f>
        <v>-</v>
      </c>
      <c r="H34" s="122" cm="1">
        <f t="array" aca="1" ref="H34" ca="1">IF($D34&lt;&gt;"Serviço",0,IF(ACOMPANHAMENTO="BM",ROUND(OFFSET(ORÇAMENTO!AJ$15,$L34,0),15-13*ORÇAMENTO!$AF$7),IF(IFERROR(CÁLCULO.FrentesPreenchidas,0)=0,0,SUM(ROUND(OFFSET($P34,0,1,1,CÁLCULO.FrentesPreenchidas),15-13*ORÇAMENTO!$AF$7)))))</f>
        <v>27</v>
      </c>
      <c r="I34" s="468" t="s">
        <v>1052</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c r="L34" s="165">
        <f t="shared" ca="1" si="9"/>
        <v>19</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DEMOLIÇÃO</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1000000000000</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cm="1">
        <f t="array" aca="1" ref="AX34" ca="1">IF(OR($D34&lt;&gt;"Serviço",AND(AUTOEVENTO="Manual",$M34=$A$15),$M34&gt;(ROW(PLE.lastrow)-ROW(PLE.firstrow))),0,
           IF(OFFSET(PLE!$G$15,$M34-$A$15,AX$13)="",10^12,OFFSET(PLE!$G$15,$M34-$A$15,AX$13)))</f>
        <v>1000000000000</v>
      </c>
      <c r="AY34" s="172" cm="1">
        <f t="array" aca="1" ref="AY34" ca="1">IF(OR($D34&lt;&gt;"Serviço",AND(AUTOEVENTO="Manual",$M34=$A$15),$M34&gt;(ROW(PLE.lastrow)-ROW(PLE.firstrow))),0,
           IF(OFFSET(PLE!$G$15,$M34-$A$15,AY$13)="",10^12,OFFSET(PLE!$G$15,$M34-$A$15,AY$13)))</f>
        <v>1000000000000</v>
      </c>
      <c r="AZ34" s="172" cm="1">
        <f t="array" aca="1" ref="AZ34" ca="1">IF(OR($D34&lt;&gt;"Serviço",AND(AUTOEVENTO="Manual",$M34=$A$15),$M34&gt;(ROW(PLE.lastrow)-ROW(PLE.firstrow))),0,
           IF(OFFSET(PLE!$G$15,$M34-$A$15,AZ$13)="",10^12,OFFSET(PLE!$G$15,$M34-$A$15,AZ$13)))</f>
        <v>1000000000000</v>
      </c>
      <c r="BA34" s="172" cm="1">
        <f t="array" aca="1" ref="BA34" ca="1">IF(OR($D34&lt;&gt;"Serviço",AND(AUTOEVENTO="Manual",$M34=$A$15),$M34&gt;(ROW(PLE.lastrow)-ROW(PLE.firstrow))),0,
           IF(OFFSET(PLE!$G$15,$M34-$A$15,BA$13)="",10^12,OFFSET(PLE!$G$15,$M34-$A$15,BA$13)))</f>
        <v>1000000000000</v>
      </c>
      <c r="BB34" s="172" cm="1">
        <f t="array" aca="1" ref="BB34" ca="1">IF(OR($D34&lt;&gt;"Serviço",AND(AUTOEVENTO="Manual",$M34=$A$15),$M34&gt;(ROW(PLE.lastrow)-ROW(PLE.firstrow))),0,
           IF(OFFSET(PLE!$G$15,$M34-$A$15,BB$13)="",10^12,OFFSET(PLE!$G$15,$M34-$A$15,BB$13)))</f>
        <v>1000000000000</v>
      </c>
      <c r="BC34" s="172" cm="1">
        <f t="array" aca="1" ref="BC34" ca="1">IF(OR($D34&lt;&gt;"Serviço",AND(AUTOEVENTO="Manual",$M34=$A$15),$M34&gt;(ROW(PLE.lastrow)-ROW(PLE.firstrow))),0,
           IF(OFFSET(PLE!$G$15,$M34-$A$15,BC$13)="",10^12,OFFSET(PLE!$G$15,$M34-$A$15,BC$13)))</f>
        <v>1000000000000</v>
      </c>
      <c r="BD34" s="172" cm="1">
        <f t="array" aca="1" ref="BD34" ca="1">IF(OR($D34&lt;&gt;"Serviço",AND(AUTOEVENTO="Manual",$M34=$A$15),$M34&gt;(ROW(PLE.lastrow)-ROW(PLE.firstrow))),0,
           IF(OFFSET(PLE!$G$15,$M34-$A$15,BD$13)="",10^12,OFFSET(PLE!$G$15,$M34-$A$15,BD$13)))</f>
        <v>1000000000000</v>
      </c>
      <c r="BE34" s="172" cm="1">
        <f t="array" aca="1" ref="BE34" ca="1">IF(OR($D34&lt;&gt;"Serviço",AND(AUTOEVENTO="Manual",$M34=$A$15),$M34&gt;(ROW(PLE.lastrow)-ROW(PLE.firstrow))),0,
           IF(OFFSET(PLE!$G$15,$M34-$A$15,BE$13)="",10^12,OFFSET(PLE!$G$15,$M34-$A$15,BE$13)))</f>
        <v>1000000000000</v>
      </c>
      <c r="BF34" s="172" cm="1">
        <f t="array" aca="1" ref="BF34" ca="1">IF(OR($D34&lt;&gt;"Serviço",AND(AUTOEVENTO="Manual",$M34=$A$15),$M34&gt;(ROW(PLE.lastrow)-ROW(PLE.firstrow))),0,
           IF(OFFSET(PLE!$G$15,$M34-$A$15,BF$13)="",10^12,OFFSET(PLE!$G$15,$M34-$A$15,BF$13)))</f>
        <v>1000000000000</v>
      </c>
      <c r="BG34" s="172" cm="1">
        <f t="array" aca="1" ref="BG34" ca="1">IF(OR($D34&lt;&gt;"Serviço",AND(AUTOEVENTO="Manual",$M34=$A$15),$M34&gt;(ROW(PLE.lastrow)-ROW(PLE.firstrow))),0,
           IF(OFFSET(PLE!$G$15,$M34-$A$15,BG$13)="",10^12,OFFSET(PLE!$G$15,$M34-$A$15,BG$13)))</f>
        <v>1000000000000</v>
      </c>
    </row>
    <row r="35" spans="1:59" ht="12.75" x14ac:dyDescent="0.2">
      <c r="A35" s="7" t="str">
        <f t="shared" ca="1" si="8"/>
        <v>20.</v>
      </c>
      <c r="B35" s="7">
        <f ca="1">OFFSET(ORÇAMENTO!C$15,$L35,0)</f>
        <v>2</v>
      </c>
      <c r="C35" s="7" t="str">
        <f ca="1">OFFSET(ORÇAMENTO!L$15,$L35,0)</f>
        <v>F</v>
      </c>
      <c r="D35" s="116" t="str">
        <f ca="1">OFFSET(ORÇAMENTO!N$15,$L35,0)</f>
        <v>Nível 2</v>
      </c>
      <c r="E35" s="117" t="str">
        <f ca="1">OFFSET(ORÇAMENTO!O$15,$L35,0)</f>
        <v>1.4.</v>
      </c>
      <c r="F35" s="163" t="str">
        <f ca="1">OFFSET(ORÇAMENTO!R$15,$L35,0)</f>
        <v>CONSTRUÇÃO</v>
      </c>
      <c r="G35" s="164" t="str">
        <f ca="1">IF($D35&lt;&gt;"Serviço","",OFFSET(ORÇAMENTO!S$15,$L35,0))</f>
        <v/>
      </c>
      <c r="H35" s="122" cm="1">
        <f t="array" aca="1" ref="H35" ca="1">IF($D35&lt;&gt;"Serviço",0,IF(ACOMPANHAMENTO="BM",ROUND(OFFSET(ORÇAMENTO!AJ$15,$L35,0),15-13*ORÇAMENTO!$AF$7),IF(IFERROR(CÁLCULO.FrentesPreenchidas,0)=0,0,SUM(ROUND(OFFSET($P35,0,1,1,CÁLCULO.FrentesPreenchidas),15-13*ORÇAMENTO!$AF$7)))))</f>
        <v>0</v>
      </c>
      <c r="I35" s="468"/>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c r="L35" s="165">
        <f t="shared" ca="1" si="9"/>
        <v>20</v>
      </c>
      <c r="M35" s="166" t="str">
        <f ca="1">IF($D35&lt;&gt;"Serviço","",
          IF(AUTOEVENTO="manual",$A35,
                IF(ISERROR(MATCH($A35,$A$15:OFFSET($A35,-1,0),0)),MAX($M$15:OFFSET(M35,-1,0))+1,
                      INDEX($M$15:OFFSET(M35,-1,0),MATCH($A35,$A$15:OFFSET($A35,-1,0),0)))))</f>
        <v/>
      </c>
      <c r="N35" s="167" t="str">
        <f ca="1">IF($D35&lt;&gt;"Serviço","",
         IF(AUTOEVENTO="Manual",
                IF($A35=0,"&lt;-- defina o número do agrupador",
                       OFFSET(EVENTOS!$D$15,$A35-$A$15,0)),
                OFFSET($F$15,$A35,0)))</f>
        <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0</v>
      </c>
      <c r="AN35" s="171">
        <f ca="1">IF(OR($D35&lt;&gt;"Serviço",AND(AUTOEVENTO="Manual",$M35=$A$15)),0,
         IF(OFFSET(CRONOPLE!$F$15,$M35-$A$15,AN$13)=0,10^12,OFFSET(CRONOPLE!$F$15,$M35-$A$15,AN$13)))</f>
        <v>0</v>
      </c>
      <c r="AO35" s="171">
        <f ca="1">IF(OR($D35&lt;&gt;"Serviço",AND(AUTOEVENTO="Manual",$M35=$A$15)),0,
         IF(OFFSET(CRONOPLE!$F$15,$M35-$A$15,AO$13)=0,10^12,OFFSET(CRONOPLE!$F$15,$M35-$A$15,AO$13)))</f>
        <v>0</v>
      </c>
      <c r="AP35" s="171">
        <f ca="1">IF(OR($D35&lt;&gt;"Serviço",AND(AUTOEVENTO="Manual",$M35=$A$15)),0,
         IF(OFFSET(CRONOPLE!$F$15,$M35-$A$15,AP$13)=0,10^12,OFFSET(CRONOPLE!$F$15,$M35-$A$15,AP$13)))</f>
        <v>0</v>
      </c>
      <c r="AQ35" s="171">
        <f ca="1">IF(OR($D35&lt;&gt;"Serviço",AND(AUTOEVENTO="Manual",$M35=$A$15)),0,
         IF(OFFSET(CRONOPLE!$F$15,$M35-$A$15,AQ$13)=0,10^12,OFFSET(CRONOPLE!$F$15,$M35-$A$15,AQ$13)))</f>
        <v>0</v>
      </c>
      <c r="AR35" s="171">
        <f ca="1">IF(OR($D35&lt;&gt;"Serviço",AND(AUTOEVENTO="Manual",$M35=$A$15)),0,
         IF(OFFSET(CRONOPLE!$F$15,$M35-$A$15,AR$13)=0,10^12,OFFSET(CRONOPLE!$F$15,$M35-$A$15,AR$13)))</f>
        <v>0</v>
      </c>
      <c r="AS35" s="171">
        <f ca="1">IF(OR($D35&lt;&gt;"Serviço",AND(AUTOEVENTO="Manual",$M35=$A$15)),0,
         IF(OFFSET(CRONOPLE!$F$15,$M35-$A$15,AS$13)=0,10^12,OFFSET(CRONOPLE!$F$15,$M35-$A$15,AS$13)))</f>
        <v>0</v>
      </c>
      <c r="AT35" s="171">
        <f ca="1">IF(OR($D35&lt;&gt;"Serviço",AND(AUTOEVENTO="Manual",$M35=$A$15)),0,
         IF(OFFSET(CRONOPLE!$F$15,$M35-$A$15,AT$13)=0,10^12,OFFSET(CRONOPLE!$F$15,$M35-$A$15,AT$13)))</f>
        <v>0</v>
      </c>
      <c r="AU35" s="171">
        <f ca="1">IF(OR($D35&lt;&gt;"Serviço",AND(AUTOEVENTO="Manual",$M35=$A$15)),0,
         IF(OFFSET(CRONOPLE!$F$15,$M35-$A$15,AU$13)=0,10^12,OFFSET(CRONOPLE!$F$15,$M35-$A$15,AU$13)))</f>
        <v>0</v>
      </c>
      <c r="AV35" s="171">
        <f ca="1">IF(OR($D35&lt;&gt;"Serviço",AND(AUTOEVENTO="Manual",$M35=$A$15)),0,
         IF(OFFSET(CRONOPLE!$F$15,$M35-$A$15,AV$13)=0,10^12,OFFSET(CRONOPLE!$F$15,$M35-$A$15,AV$13)))</f>
        <v>0</v>
      </c>
      <c r="AX35" s="172" cm="1">
        <f t="array" aca="1" ref="AX35" ca="1">IF(OR($D35&lt;&gt;"Serviço",AND(AUTOEVENTO="Manual",$M35=$A$15),$M35&gt;(ROW(PLE.lastrow)-ROW(PLE.firstrow))),0,
           IF(OFFSET(PLE!$G$15,$M35-$A$15,AX$13)="",10^12,OFFSET(PLE!$G$15,$M35-$A$15,AX$13)))</f>
        <v>0</v>
      </c>
      <c r="AY35" s="172" cm="1">
        <f t="array" aca="1" ref="AY35" ca="1">IF(OR($D35&lt;&gt;"Serviço",AND(AUTOEVENTO="Manual",$M35=$A$15),$M35&gt;(ROW(PLE.lastrow)-ROW(PLE.firstrow))),0,
           IF(OFFSET(PLE!$G$15,$M35-$A$15,AY$13)="",10^12,OFFSET(PLE!$G$15,$M35-$A$15,AY$13)))</f>
        <v>0</v>
      </c>
      <c r="AZ35" s="172" cm="1">
        <f t="array" aca="1" ref="AZ35" ca="1">IF(OR($D35&lt;&gt;"Serviço",AND(AUTOEVENTO="Manual",$M35=$A$15),$M35&gt;(ROW(PLE.lastrow)-ROW(PLE.firstrow))),0,
           IF(OFFSET(PLE!$G$15,$M35-$A$15,AZ$13)="",10^12,OFFSET(PLE!$G$15,$M35-$A$15,AZ$13)))</f>
        <v>0</v>
      </c>
      <c r="BA35" s="172" cm="1">
        <f t="array" aca="1" ref="BA35" ca="1">IF(OR($D35&lt;&gt;"Serviço",AND(AUTOEVENTO="Manual",$M35=$A$15),$M35&gt;(ROW(PLE.lastrow)-ROW(PLE.firstrow))),0,
           IF(OFFSET(PLE!$G$15,$M35-$A$15,BA$13)="",10^12,OFFSET(PLE!$G$15,$M35-$A$15,BA$13)))</f>
        <v>0</v>
      </c>
      <c r="BB35" s="172" cm="1">
        <f t="array" aca="1" ref="BB35" ca="1">IF(OR($D35&lt;&gt;"Serviço",AND(AUTOEVENTO="Manual",$M35=$A$15),$M35&gt;(ROW(PLE.lastrow)-ROW(PLE.firstrow))),0,
           IF(OFFSET(PLE!$G$15,$M35-$A$15,BB$13)="",10^12,OFFSET(PLE!$G$15,$M35-$A$15,BB$13)))</f>
        <v>0</v>
      </c>
      <c r="BC35" s="172" cm="1">
        <f t="array" aca="1" ref="BC35" ca="1">IF(OR($D35&lt;&gt;"Serviço",AND(AUTOEVENTO="Manual",$M35=$A$15),$M35&gt;(ROW(PLE.lastrow)-ROW(PLE.firstrow))),0,
           IF(OFFSET(PLE!$G$15,$M35-$A$15,BC$13)="",10^12,OFFSET(PLE!$G$15,$M35-$A$15,BC$13)))</f>
        <v>0</v>
      </c>
      <c r="BD35" s="172" cm="1">
        <f t="array" aca="1" ref="BD35" ca="1">IF(OR($D35&lt;&gt;"Serviço",AND(AUTOEVENTO="Manual",$M35=$A$15),$M35&gt;(ROW(PLE.lastrow)-ROW(PLE.firstrow))),0,
           IF(OFFSET(PLE!$G$15,$M35-$A$15,BD$13)="",10^12,OFFSET(PLE!$G$15,$M35-$A$15,BD$13)))</f>
        <v>0</v>
      </c>
      <c r="BE35" s="172" cm="1">
        <f t="array" aca="1" ref="BE35" ca="1">IF(OR($D35&lt;&gt;"Serviço",AND(AUTOEVENTO="Manual",$M35=$A$15),$M35&gt;(ROW(PLE.lastrow)-ROW(PLE.firstrow))),0,
           IF(OFFSET(PLE!$G$15,$M35-$A$15,BE$13)="",10^12,OFFSET(PLE!$G$15,$M35-$A$15,BE$13)))</f>
        <v>0</v>
      </c>
      <c r="BF35" s="172" cm="1">
        <f t="array" aca="1" ref="BF35" ca="1">IF(OR($D35&lt;&gt;"Serviço",AND(AUTOEVENTO="Manual",$M35=$A$15),$M35&gt;(ROW(PLE.lastrow)-ROW(PLE.firstrow))),0,
           IF(OFFSET(PLE!$G$15,$M35-$A$15,BF$13)="",10^12,OFFSET(PLE!$G$15,$M35-$A$15,BF$13)))</f>
        <v>0</v>
      </c>
      <c r="BG35" s="172" cm="1">
        <f t="array" aca="1" ref="BG35" ca="1">IF(OR($D35&lt;&gt;"Serviço",AND(AUTOEVENTO="Manual",$M35=$A$15),$M35&gt;(ROW(PLE.lastrow)-ROW(PLE.firstrow))),0,
           IF(OFFSET(PLE!$G$15,$M35-$A$15,BG$13)="",10^12,OFFSET(PLE!$G$15,$M35-$A$15,BG$13)))</f>
        <v>0</v>
      </c>
    </row>
    <row r="36" spans="1:59" ht="38.25" x14ac:dyDescent="0.2">
      <c r="A36" s="7" t="str">
        <f t="shared" ca="1" si="8"/>
        <v>20</v>
      </c>
      <c r="B36" s="7" t="str">
        <f ca="1">OFFSET(ORÇAMENTO!C$15,$L36,0)</f>
        <v>S</v>
      </c>
      <c r="C36" s="7" t="str">
        <f ca="1">OFFSET(ORÇAMENTO!L$15,$L36,0)</f>
        <v/>
      </c>
      <c r="D36" s="116" t="str">
        <f ca="1">OFFSET(ORÇAMENTO!N$15,$L36,0)</f>
        <v>Serviço</v>
      </c>
      <c r="E36" s="117" t="str">
        <f ca="1">OFFSET(ORÇAMENTO!O$15,$L36,0)</f>
        <v>-</v>
      </c>
      <c r="F36" s="163" t="str">
        <f ca="1">OFFSET(ORÇAMENTO!R$15,$L36,0)</f>
        <v>(Código não identificado nas referências)</v>
      </c>
      <c r="G36" s="164" t="str">
        <f ca="1">IF($D36&lt;&gt;"Serviço","",OFFSET(ORÇAMENTO!S$15,$L36,0))</f>
        <v>-</v>
      </c>
      <c r="H36" s="122" cm="1">
        <f t="array" aca="1" ref="H36" ca="1">IF($D36&lt;&gt;"Serviço",0,IF(ACOMPANHAMENTO="BM",ROUND(OFFSET(ORÇAMENTO!AJ$15,$L36,0),15-13*ORÇAMENTO!$AF$7),IF(IFERROR(CÁLCULO.FrentesPreenchidas,0)=0,0,SUM(ROUND(OFFSET($P36,0,1,1,CÁLCULO.FrentesPreenchidas),15-13*ORÇAMENTO!$AF$7)))))</f>
        <v>20.7</v>
      </c>
      <c r="I36" s="468" t="s">
        <v>1065</v>
      </c>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c r="L36" s="165">
        <f t="shared" ca="1" si="9"/>
        <v>21</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CONSTRUÇÃO</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ht="63.75" x14ac:dyDescent="0.2">
      <c r="A37" s="7" t="str">
        <f t="shared" ca="1" si="8"/>
        <v>20</v>
      </c>
      <c r="B37" s="7" t="str">
        <f ca="1">OFFSET(ORÇAMENTO!C$15,$L37,0)</f>
        <v>S</v>
      </c>
      <c r="C37" s="7" t="str">
        <f ca="1">OFFSET(ORÇAMENTO!L$15,$L37,0)</f>
        <v/>
      </c>
      <c r="D37" s="116" t="str">
        <f ca="1">OFFSET(ORÇAMENTO!N$15,$L37,0)</f>
        <v>Serviço</v>
      </c>
      <c r="E37" s="117" t="str">
        <f ca="1">OFFSET(ORÇAMENTO!O$15,$L37,0)</f>
        <v>-</v>
      </c>
      <c r="F37" s="163" t="str">
        <f ca="1">OFFSET(ORÇAMENTO!R$15,$L37,0)</f>
        <v>(Código não identificado nas referências)</v>
      </c>
      <c r="G37" s="164" t="str">
        <f ca="1">IF($D37&lt;&gt;"Serviço","",OFFSET(ORÇAMENTO!S$15,$L37,0))</f>
        <v>-</v>
      </c>
      <c r="H37" s="122" cm="1">
        <f t="array" aca="1" ref="H37" ca="1">IF($D37&lt;&gt;"Serviço",0,IF(ACOMPANHAMENTO="BM",ROUND(OFFSET(ORÇAMENTO!AJ$15,$L37,0),15-13*ORÇAMENTO!$AF$7),IF(IFERROR(CÁLCULO.FrentesPreenchidas,0)=0,0,SUM(ROUND(OFFSET($P37,0,1,1,CÁLCULO.FrentesPreenchidas),15-13*ORÇAMENTO!$AF$7)))))</f>
        <v>594</v>
      </c>
      <c r="I37" s="468" t="s">
        <v>1063</v>
      </c>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f t="shared" ca="1" si="9"/>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CONSTRUÇÃO</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ht="25.5" x14ac:dyDescent="0.2">
      <c r="A38" s="7" t="str">
        <f t="shared" ca="1" si="8"/>
        <v>20</v>
      </c>
      <c r="B38" s="7" t="str">
        <f ca="1">OFFSET(ORÇAMENTO!C$15,$L38,0)</f>
        <v>S</v>
      </c>
      <c r="C38" s="7" t="str">
        <f ca="1">OFFSET(ORÇAMENTO!L$15,$L38,0)</f>
        <v/>
      </c>
      <c r="D38" s="116" t="str">
        <f ca="1">OFFSET(ORÇAMENTO!N$15,$L38,0)</f>
        <v>Serviço</v>
      </c>
      <c r="E38" s="117" t="str">
        <f ca="1">OFFSET(ORÇAMENTO!O$15,$L38,0)</f>
        <v>-</v>
      </c>
      <c r="F38" s="163" t="str">
        <f ca="1">OFFSET(ORÇAMENTO!R$15,$L38,0)</f>
        <v>(Código não identificado nas referências)</v>
      </c>
      <c r="G38" s="164" t="str">
        <f ca="1">IF($D38&lt;&gt;"Serviço","",OFFSET(ORÇAMENTO!S$15,$L38,0))</f>
        <v>-</v>
      </c>
      <c r="H38" s="122" cm="1">
        <f t="array" aca="1" ref="H38" ca="1">IF($D38&lt;&gt;"Serviço",0,IF(ACOMPANHAMENTO="BM",ROUND(OFFSET(ORÇAMENTO!AJ$15,$L38,0),15-13*ORÇAMENTO!$AF$7),IF(IFERROR(CÁLCULO.FrentesPreenchidas,0)=0,0,SUM(ROUND(OFFSET($P38,0,1,1,CÁLCULO.FrentesPreenchidas),15-13*ORÇAMENTO!$AF$7)))))</f>
        <v>948</v>
      </c>
      <c r="I38" s="468" t="s">
        <v>1053</v>
      </c>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f t="shared" ca="1" si="9"/>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CONSTRUÇÃO</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ht="51" x14ac:dyDescent="0.2">
      <c r="A39" s="7" t="str">
        <f t="shared" ca="1" si="8"/>
        <v>20</v>
      </c>
      <c r="B39" s="7" t="str">
        <f ca="1">OFFSET(ORÇAMENTO!C$15,$L39,0)</f>
        <v>S</v>
      </c>
      <c r="C39" s="7" t="str">
        <f ca="1">OFFSET(ORÇAMENTO!L$15,$L39,0)</f>
        <v/>
      </c>
      <c r="D39" s="116" t="str">
        <f ca="1">OFFSET(ORÇAMENTO!N$15,$L39,0)</f>
        <v>Serviço</v>
      </c>
      <c r="E39" s="117" t="str">
        <f ca="1">OFFSET(ORÇAMENTO!O$15,$L39,0)</f>
        <v>-</v>
      </c>
      <c r="F39" s="163" t="str">
        <f ca="1">OFFSET(ORÇAMENTO!R$15,$L39,0)</f>
        <v>(Código não identificado nas referências)</v>
      </c>
      <c r="G39" s="164" t="str">
        <f ca="1">IF($D39&lt;&gt;"Serviço","",OFFSET(ORÇAMENTO!S$15,$L39,0))</f>
        <v>-</v>
      </c>
      <c r="H39" s="122" cm="1">
        <f t="array" aca="1" ref="H39" ca="1">IF($D39&lt;&gt;"Serviço",0,IF(ACOMPANHAMENTO="BM",ROUND(OFFSET(ORÇAMENTO!AJ$15,$L39,0),15-13*ORÇAMENTO!$AF$7),IF(IFERROR(CÁLCULO.FrentesPreenchidas,0)=0,0,SUM(ROUND(OFFSET($P39,0,1,1,CÁLCULO.FrentesPreenchidas),15-13*ORÇAMENTO!$AF$7)))))</f>
        <v>16</v>
      </c>
      <c r="I39" s="468" t="s">
        <v>1054</v>
      </c>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c r="L39" s="165">
        <f t="shared" ca="1" si="9"/>
        <v>24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CONSTRUÇÃO</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ht="38.25" x14ac:dyDescent="0.2">
      <c r="A40" s="7" t="str">
        <f t="shared" ca="1" si="8"/>
        <v>20</v>
      </c>
      <c r="B40" s="7" t="str">
        <f ca="1">OFFSET(ORÇAMENTO!C$15,$L40,0)</f>
        <v>S</v>
      </c>
      <c r="C40" s="7" t="str">
        <f ca="1">OFFSET(ORÇAMENTO!L$15,$L40,0)</f>
        <v/>
      </c>
      <c r="D40" s="116" t="str">
        <f ca="1">OFFSET(ORÇAMENTO!N$15,$L40,0)</f>
        <v>Serviço</v>
      </c>
      <c r="E40" s="117" t="str">
        <f ca="1">OFFSET(ORÇAMENTO!O$15,$L40,0)</f>
        <v>-</v>
      </c>
      <c r="F40" s="163" t="str">
        <f ca="1">OFFSET(ORÇAMENTO!R$15,$L40,0)</f>
        <v>(Código não identificado nas referências)</v>
      </c>
      <c r="G40" s="164" t="str">
        <f ca="1">IF($D40&lt;&gt;"Serviço","",OFFSET(ORÇAMENTO!S$15,$L40,0))</f>
        <v>-</v>
      </c>
      <c r="H40" s="122" cm="1">
        <f t="array" aca="1" ref="H40" ca="1">IF($D40&lt;&gt;"Serviço",0,IF(ACOMPANHAMENTO="BM",ROUND(OFFSET(ORÇAMENTO!AJ$15,$L40,0),15-13*ORÇAMENTO!$AF$7),IF(IFERROR(CÁLCULO.FrentesPreenchidas,0)=0,0,SUM(ROUND(OFFSET($P40,0,1,1,CÁLCULO.FrentesPreenchidas),15-13*ORÇAMENTO!$AF$7)))))</f>
        <v>5</v>
      </c>
      <c r="I40" s="468" t="s">
        <v>1064</v>
      </c>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c r="L40" s="165">
        <f t="shared" ca="1" si="9"/>
        <v>25</v>
      </c>
      <c r="M40" s="166">
        <f ca="1">IF($D40&lt;&gt;"Serviço","",
          IF(AUTOEVENTO="manual",$A40,
                IF(ISERROR(MATCH($A40,$A$15:OFFSET($A40,-1,0),0)),MAX($M$15:OFFSET(M40,-1,0))+1,
                      INDEX($M$15:OFFSET(M40,-1,0),MATCH($A40,$A$15:OFFSET($A40,-1,0),0)))))</f>
        <v>4</v>
      </c>
      <c r="N40" s="167" t="str">
        <f ca="1">IF($D40&lt;&gt;"Serviço","",
         IF(AUTOEVENTO="Manual",
                IF($A40=0,"&lt;-- defina o número do agrupador",
                       OFFSET(EVENTOS!$D$15,$A40-$A$15,0)),
                OFFSET($F$15,$A40,0)))</f>
        <v>CONSTRUÇÃO</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ht="51" x14ac:dyDescent="0.2">
      <c r="A41" s="7" t="str">
        <f t="shared" ca="1" si="8"/>
        <v>20</v>
      </c>
      <c r="B41" s="7" t="str">
        <f ca="1">OFFSET(ORÇAMENTO!C$15,$L41,0)</f>
        <v>S</v>
      </c>
      <c r="C41" s="7" t="str">
        <f ca="1">OFFSET(ORÇAMENTO!L$15,$L41,0)</f>
        <v/>
      </c>
      <c r="D41" s="116" t="str">
        <f ca="1">OFFSET(ORÇAMENTO!N$15,$L41,0)</f>
        <v>Serviço</v>
      </c>
      <c r="E41" s="117" t="str">
        <f ca="1">OFFSET(ORÇAMENTO!O$15,$L41,0)</f>
        <v>-</v>
      </c>
      <c r="F41" s="163" t="str">
        <f ca="1">OFFSET(ORÇAMENTO!R$15,$L41,0)</f>
        <v>(Código não identificado nas referências)</v>
      </c>
      <c r="G41" s="164" t="str">
        <f ca="1">IF($D41&lt;&gt;"Serviço","",OFFSET(ORÇAMENTO!S$15,$L41,0))</f>
        <v>-</v>
      </c>
      <c r="H41" s="122" cm="1">
        <f t="array" aca="1" ref="H41" ca="1">IF($D41&lt;&gt;"Serviço",0,IF(ACOMPANHAMENTO="BM",ROUND(OFFSET(ORÇAMENTO!AJ$15,$L41,0),15-13*ORÇAMENTO!$AF$7),IF(IFERROR(CÁLCULO.FrentesPreenchidas,0)=0,0,SUM(ROUND(OFFSET($P41,0,1,1,CÁLCULO.FrentesPreenchidas),15-13*ORÇAMENTO!$AF$7)))))</f>
        <v>113</v>
      </c>
      <c r="I41" s="468" t="s">
        <v>1055</v>
      </c>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c r="L41" s="165">
        <f t="shared" ca="1" si="9"/>
        <v>26</v>
      </c>
      <c r="M41" s="166">
        <f ca="1">IF($D41&lt;&gt;"Serviço","",
          IF(AUTOEVENTO="manual",$A41,
                IF(ISERROR(MATCH($A41,$A$15:OFFSET($A41,-1,0),0)),MAX($M$15:OFFSET(M41,-1,0))+1,
                      INDEX($M$15:OFFSET(M41,-1,0),MATCH($A41,$A$15:OFFSET($A41,-1,0),0)))))</f>
        <v>4</v>
      </c>
      <c r="N41" s="167" t="str">
        <f ca="1">IF($D41&lt;&gt;"Serviço","",
         IF(AUTOEVENTO="Manual",
                IF($A41=0,"&lt;-- defina o número do agrupador",
                       OFFSET(EVENTOS!$D$15,$A41-$A$15,0)),
                OFFSET($F$15,$A41,0)))</f>
        <v>CONSTRUÇÃO</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ht="12.75" x14ac:dyDescent="0.2">
      <c r="A42" s="7" t="str">
        <f t="shared" ca="1" si="8"/>
        <v>27.</v>
      </c>
      <c r="B42" s="7">
        <f ca="1">OFFSET(ORÇAMENTO!C$15,$L42,0)</f>
        <v>2</v>
      </c>
      <c r="C42" s="7" t="str">
        <f ca="1">OFFSET(ORÇAMENTO!L$15,$L42,0)</f>
        <v>F</v>
      </c>
      <c r="D42" s="116" t="str">
        <f ca="1">OFFSET(ORÇAMENTO!N$15,$L42,0)</f>
        <v>Nível 2</v>
      </c>
      <c r="E42" s="117" t="str">
        <f ca="1">OFFSET(ORÇAMENTO!O$15,$L42,0)</f>
        <v>1.5.</v>
      </c>
      <c r="F42" s="163" t="str">
        <f ca="1">OFFSET(ORÇAMENTO!R$15,$L42,0)</f>
        <v>ILUMINAÇÃO</v>
      </c>
      <c r="G42" s="164" t="str">
        <f ca="1">IF($D42&lt;&gt;"Serviço","",OFFSET(ORÇAMENTO!S$15,$L42,0))</f>
        <v/>
      </c>
      <c r="H42" s="122" cm="1">
        <f t="array" aca="1" ref="H42" ca="1">IF($D42&lt;&gt;"Serviço",0,IF(ACOMPANHAMENTO="BM",ROUND(OFFSET(ORÇAMENTO!AJ$15,$L42,0),15-13*ORÇAMENTO!$AF$7),IF(IFERROR(CÁLCULO.FrentesPreenchidas,0)=0,0,SUM(ROUND(OFFSET($P42,0,1,1,CÁLCULO.FrentesPreenchidas),15-13*ORÇAMENTO!$AF$7)))))</f>
        <v>0</v>
      </c>
      <c r="I42" s="468"/>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c r="L42" s="165">
        <f t="shared" ca="1" si="9"/>
        <v>27</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0</v>
      </c>
      <c r="AN42" s="171">
        <f ca="1">IF(OR($D42&lt;&gt;"Serviço",AND(AUTOEVENTO="Manual",$M42=$A$15)),0,
         IF(OFFSET(CRONOPLE!$F$15,$M42-$A$15,AN$13)=0,10^12,OFFSET(CRONOPLE!$F$15,$M42-$A$15,AN$13)))</f>
        <v>0</v>
      </c>
      <c r="AO42" s="171">
        <f ca="1">IF(OR($D42&lt;&gt;"Serviço",AND(AUTOEVENTO="Manual",$M42=$A$15)),0,
         IF(OFFSET(CRONOPLE!$F$15,$M42-$A$15,AO$13)=0,10^12,OFFSET(CRONOPLE!$F$15,$M42-$A$15,AO$13)))</f>
        <v>0</v>
      </c>
      <c r="AP42" s="171">
        <f ca="1">IF(OR($D42&lt;&gt;"Serviço",AND(AUTOEVENTO="Manual",$M42=$A$15)),0,
         IF(OFFSET(CRONOPLE!$F$15,$M42-$A$15,AP$13)=0,10^12,OFFSET(CRONOPLE!$F$15,$M42-$A$15,AP$13)))</f>
        <v>0</v>
      </c>
      <c r="AQ42" s="171">
        <f ca="1">IF(OR($D42&lt;&gt;"Serviço",AND(AUTOEVENTO="Manual",$M42=$A$15)),0,
         IF(OFFSET(CRONOPLE!$F$15,$M42-$A$15,AQ$13)=0,10^12,OFFSET(CRONOPLE!$F$15,$M42-$A$15,AQ$13)))</f>
        <v>0</v>
      </c>
      <c r="AR42" s="171">
        <f ca="1">IF(OR($D42&lt;&gt;"Serviço",AND(AUTOEVENTO="Manual",$M42=$A$15)),0,
         IF(OFFSET(CRONOPLE!$F$15,$M42-$A$15,AR$13)=0,10^12,OFFSET(CRONOPLE!$F$15,$M42-$A$15,AR$13)))</f>
        <v>0</v>
      </c>
      <c r="AS42" s="171">
        <f ca="1">IF(OR($D42&lt;&gt;"Serviço",AND(AUTOEVENTO="Manual",$M42=$A$15)),0,
         IF(OFFSET(CRONOPLE!$F$15,$M42-$A$15,AS$13)=0,10^12,OFFSET(CRONOPLE!$F$15,$M42-$A$15,AS$13)))</f>
        <v>0</v>
      </c>
      <c r="AT42" s="171">
        <f ca="1">IF(OR($D42&lt;&gt;"Serviço",AND(AUTOEVENTO="Manual",$M42=$A$15)),0,
         IF(OFFSET(CRONOPLE!$F$15,$M42-$A$15,AT$13)=0,10^12,OFFSET(CRONOPLE!$F$15,$M42-$A$15,AT$13)))</f>
        <v>0</v>
      </c>
      <c r="AU42" s="171">
        <f ca="1">IF(OR($D42&lt;&gt;"Serviço",AND(AUTOEVENTO="Manual",$M42=$A$15)),0,
         IF(OFFSET(CRONOPLE!$F$15,$M42-$A$15,AU$13)=0,10^12,OFFSET(CRONOPLE!$F$15,$M42-$A$15,AU$13)))</f>
        <v>0</v>
      </c>
      <c r="AV42" s="171">
        <f ca="1">IF(OR($D42&lt;&gt;"Serviço",AND(AUTOEVENTO="Manual",$M42=$A$15)),0,
         IF(OFFSET(CRONOPLE!$F$15,$M42-$A$15,AV$13)=0,10^12,OFFSET(CRONOPLE!$F$15,$M42-$A$15,AV$13)))</f>
        <v>0</v>
      </c>
      <c r="AX42" s="172" cm="1">
        <f t="array" aca="1" ref="AX42" ca="1">IF(OR($D42&lt;&gt;"Serviço",AND(AUTOEVENTO="Manual",$M42=$A$15),$M42&gt;(ROW(PLE.lastrow)-ROW(PLE.firstrow))),0,
           IF(OFFSET(PLE!$G$15,$M42-$A$15,AX$13)="",10^12,OFFSET(PLE!$G$15,$M42-$A$15,AX$13)))</f>
        <v>0</v>
      </c>
      <c r="AY42" s="172" cm="1">
        <f t="array" aca="1" ref="AY42" ca="1">IF(OR($D42&lt;&gt;"Serviço",AND(AUTOEVENTO="Manual",$M42=$A$15),$M42&gt;(ROW(PLE.lastrow)-ROW(PLE.firstrow))),0,
           IF(OFFSET(PLE!$G$15,$M42-$A$15,AY$13)="",10^12,OFFSET(PLE!$G$15,$M42-$A$15,AY$13)))</f>
        <v>0</v>
      </c>
      <c r="AZ42" s="172" cm="1">
        <f t="array" aca="1" ref="AZ42" ca="1">IF(OR($D42&lt;&gt;"Serviço",AND(AUTOEVENTO="Manual",$M42=$A$15),$M42&gt;(ROW(PLE.lastrow)-ROW(PLE.firstrow))),0,
           IF(OFFSET(PLE!$G$15,$M42-$A$15,AZ$13)="",10^12,OFFSET(PLE!$G$15,$M42-$A$15,AZ$13)))</f>
        <v>0</v>
      </c>
      <c r="BA42" s="172" cm="1">
        <f t="array" aca="1" ref="BA42" ca="1">IF(OR($D42&lt;&gt;"Serviço",AND(AUTOEVENTO="Manual",$M42=$A$15),$M42&gt;(ROW(PLE.lastrow)-ROW(PLE.firstrow))),0,
           IF(OFFSET(PLE!$G$15,$M42-$A$15,BA$13)="",10^12,OFFSET(PLE!$G$15,$M42-$A$15,BA$13)))</f>
        <v>0</v>
      </c>
      <c r="BB42" s="172" cm="1">
        <f t="array" aca="1" ref="BB42" ca="1">IF(OR($D42&lt;&gt;"Serviço",AND(AUTOEVENTO="Manual",$M42=$A$15),$M42&gt;(ROW(PLE.lastrow)-ROW(PLE.firstrow))),0,
           IF(OFFSET(PLE!$G$15,$M42-$A$15,BB$13)="",10^12,OFFSET(PLE!$G$15,$M42-$A$15,BB$13)))</f>
        <v>0</v>
      </c>
      <c r="BC42" s="172" cm="1">
        <f t="array" aca="1" ref="BC42" ca="1">IF(OR($D42&lt;&gt;"Serviço",AND(AUTOEVENTO="Manual",$M42=$A$15),$M42&gt;(ROW(PLE.lastrow)-ROW(PLE.firstrow))),0,
           IF(OFFSET(PLE!$G$15,$M42-$A$15,BC$13)="",10^12,OFFSET(PLE!$G$15,$M42-$A$15,BC$13)))</f>
        <v>0</v>
      </c>
      <c r="BD42" s="172" cm="1">
        <f t="array" aca="1" ref="BD42" ca="1">IF(OR($D42&lt;&gt;"Serviço",AND(AUTOEVENTO="Manual",$M42=$A$15),$M42&gt;(ROW(PLE.lastrow)-ROW(PLE.firstrow))),0,
           IF(OFFSET(PLE!$G$15,$M42-$A$15,BD$13)="",10^12,OFFSET(PLE!$G$15,$M42-$A$15,BD$13)))</f>
        <v>0</v>
      </c>
      <c r="BE42" s="172" cm="1">
        <f t="array" aca="1" ref="BE42" ca="1">IF(OR($D42&lt;&gt;"Serviço",AND(AUTOEVENTO="Manual",$M42=$A$15),$M42&gt;(ROW(PLE.lastrow)-ROW(PLE.firstrow))),0,
           IF(OFFSET(PLE!$G$15,$M42-$A$15,BE$13)="",10^12,OFFSET(PLE!$G$15,$M42-$A$15,BE$13)))</f>
        <v>0</v>
      </c>
      <c r="BF42" s="172" cm="1">
        <f t="array" aca="1" ref="BF42" ca="1">IF(OR($D42&lt;&gt;"Serviço",AND(AUTOEVENTO="Manual",$M42=$A$15),$M42&gt;(ROW(PLE.lastrow)-ROW(PLE.firstrow))),0,
           IF(OFFSET(PLE!$G$15,$M42-$A$15,BF$13)="",10^12,OFFSET(PLE!$G$15,$M42-$A$15,BF$13)))</f>
        <v>0</v>
      </c>
      <c r="BG42" s="172" cm="1">
        <f t="array" aca="1" ref="BG42" ca="1">IF(OR($D42&lt;&gt;"Serviço",AND(AUTOEVENTO="Manual",$M42=$A$15),$M42&gt;(ROW(PLE.lastrow)-ROW(PLE.firstrow))),0,
           IF(OFFSET(PLE!$G$15,$M42-$A$15,BG$13)="",10^12,OFFSET(PLE!$G$15,$M42-$A$15,BG$13)))</f>
        <v>0</v>
      </c>
    </row>
    <row r="43" spans="1:59" ht="38.25" x14ac:dyDescent="0.2">
      <c r="A43" s="7" t="str">
        <f t="shared" ca="1" si="8"/>
        <v>27</v>
      </c>
      <c r="B43" s="7" t="str">
        <f ca="1">OFFSET(ORÇAMENTO!C$15,$L43,0)</f>
        <v>S</v>
      </c>
      <c r="C43" s="7" t="str">
        <f ca="1">OFFSET(ORÇAMENTO!L$15,$L43,0)</f>
        <v/>
      </c>
      <c r="D43" s="116" t="str">
        <f ca="1">OFFSET(ORÇAMENTO!N$15,$L43,0)</f>
        <v>Serviço</v>
      </c>
      <c r="E43" s="117" t="str">
        <f ca="1">OFFSET(ORÇAMENTO!O$15,$L43,0)</f>
        <v>-</v>
      </c>
      <c r="F43" s="163" t="str">
        <f ca="1">OFFSET(ORÇAMENTO!R$15,$L43,0)</f>
        <v>(Código não identificado nas referências)</v>
      </c>
      <c r="G43" s="164" t="str">
        <f ca="1">IF($D43&lt;&gt;"Serviço","",OFFSET(ORÇAMENTO!S$15,$L43,0))</f>
        <v>-</v>
      </c>
      <c r="H43" s="122" cm="1">
        <f t="array" aca="1" ref="H43" ca="1">IF($D43&lt;&gt;"Serviço",0,IF(ACOMPANHAMENTO="BM",ROUND(OFFSET(ORÇAMENTO!AJ$15,$L43,0),15-13*ORÇAMENTO!$AF$7),IF(IFERROR(CÁLCULO.FrentesPreenchidas,0)=0,0,SUM(ROUND(OFFSET($P43,0,1,1,CÁLCULO.FrentesPreenchidas),15-13*ORÇAMENTO!$AF$7)))))</f>
        <v>4</v>
      </c>
      <c r="I43" s="468" t="s">
        <v>1060</v>
      </c>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c r="L43" s="165">
        <f t="shared" ca="1" si="9"/>
        <v>28</v>
      </c>
      <c r="M43" s="166">
        <f ca="1">IF($D43&lt;&gt;"Serviço","",
          IF(AUTOEVENTO="manual",$A43,
                IF(ISERROR(MATCH($A43,$A$15:OFFSET($A43,-1,0),0)),MAX($M$15:OFFSET(M43,-1,0))+1,
                      INDEX($M$15:OFFSET(M43,-1,0),MATCH($A43,$A$15:OFFSET($A43,-1,0),0)))))</f>
        <v>5</v>
      </c>
      <c r="N43" s="167" t="str">
        <f ca="1">IF($D43&lt;&gt;"Serviço","",
         IF(AUTOEVENTO="Manual",
                IF($A43=0,"&lt;-- defina o número do agrupador",
                       OFFSET(EVENTOS!$D$15,$A43-$A$15,0)),
                OFFSET($F$15,$A43,0)))</f>
        <v>ILUMINAÇÃO</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ht="51" x14ac:dyDescent="0.2">
      <c r="A44" s="7" t="str">
        <f t="shared" ca="1" si="8"/>
        <v>27</v>
      </c>
      <c r="B44" s="7" t="str">
        <f ca="1">OFFSET(ORÇAMENTO!C$15,$L44,0)</f>
        <v>S</v>
      </c>
      <c r="C44" s="7" t="str">
        <f ca="1">OFFSET(ORÇAMENTO!L$15,$L44,0)</f>
        <v/>
      </c>
      <c r="D44" s="116" t="str">
        <f ca="1">OFFSET(ORÇAMENTO!N$15,$L44,0)</f>
        <v>Serviço</v>
      </c>
      <c r="E44" s="117" t="str">
        <f ca="1">OFFSET(ORÇAMENTO!O$15,$L44,0)</f>
        <v>-</v>
      </c>
      <c r="F44" s="163" t="str">
        <f ca="1">OFFSET(ORÇAMENTO!R$15,$L44,0)</f>
        <v>(Código não identificado nas referências)</v>
      </c>
      <c r="G44" s="164" t="str">
        <f ca="1">IF($D44&lt;&gt;"Serviço","",OFFSET(ORÇAMENTO!S$15,$L44,0))</f>
        <v>-</v>
      </c>
      <c r="H44" s="122" cm="1">
        <f t="array" aca="1" ref="H44" ca="1">IF($D44&lt;&gt;"Serviço",0,IF(ACOMPANHAMENTO="BM",ROUND(OFFSET(ORÇAMENTO!AJ$15,$L44,0),15-13*ORÇAMENTO!$AF$7),IF(IFERROR(CÁLCULO.FrentesPreenchidas,0)=0,0,SUM(ROUND(OFFSET($P44,0,1,1,CÁLCULO.FrentesPreenchidas),15-13*ORÇAMENTO!$AF$7)))))</f>
        <v>1</v>
      </c>
      <c r="I44" s="468" t="s">
        <v>1056</v>
      </c>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c r="L44" s="165">
        <f t="shared" ca="1" si="9"/>
        <v>29</v>
      </c>
      <c r="M44" s="166">
        <f ca="1">IF($D44&lt;&gt;"Serviço","",
          IF(AUTOEVENTO="manual",$A44,
                IF(ISERROR(MATCH($A44,$A$15:OFFSET($A44,-1,0),0)),MAX($M$15:OFFSET(M44,-1,0))+1,
                      INDEX($M$15:OFFSET(M44,-1,0),MATCH($A44,$A$15:OFFSET($A44,-1,0),0)))))</f>
        <v>5</v>
      </c>
      <c r="N44" s="167" t="str">
        <f ca="1">IF($D44&lt;&gt;"Serviço","",
         IF(AUTOEVENTO="Manual",
                IF($A44=0,"&lt;-- defina o número do agrupador",
                       OFFSET(EVENTOS!$D$15,$A44-$A$15,0)),
                OFFSET($F$15,$A44,0)))</f>
        <v>ILUMINAÇÃO</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ht="12.75" x14ac:dyDescent="0.2">
      <c r="A45" s="7" t="str">
        <f ca="1">IFERROR(IF(AUTOEVENTO="Manual",IF(K45&lt;&gt;"",MIN(VALUE(LEFT(K45,FIND(".",K45)-1)),COUNTA(EVENTOS.Lista)),0),IF(OR($B45&gt;AUTOEVENTO,$B45="S",$B45=0),SUBSTITUTE(OFFSET($A45,-1,0),IF($D45="Serviço",".",""),""),$L45&amp;".")),0)</f>
        <v>30.</v>
      </c>
      <c r="B45" s="7">
        <f ca="1">OFFSET(ORÇAMENTO!C$15,$L45,0)</f>
        <v>2</v>
      </c>
      <c r="C45" s="7" t="str">
        <f ca="1">OFFSET(ORÇAMENTO!L$15,$L45,0)</f>
        <v>F</v>
      </c>
      <c r="D45" s="116" t="str">
        <f ca="1">OFFSET(ORÇAMENTO!N$15,$L45,0)</f>
        <v>Nível 2</v>
      </c>
      <c r="E45" s="117" t="str">
        <f ca="1">OFFSET(ORÇAMENTO!O$15,$L45,0)</f>
        <v>1.6.</v>
      </c>
      <c r="F45" s="163" t="str">
        <f ca="1">OFFSET(ORÇAMENTO!R$15,$L45,0)</f>
        <v>ENTREGA FINAL DA OBRA</v>
      </c>
      <c r="G45" s="164" t="str">
        <f ca="1">IF($D45&lt;&gt;"Serviço","",OFFSET(ORÇAMENTO!S$15,$L45,0))</f>
        <v/>
      </c>
      <c r="H45" s="122" cm="1">
        <f t="array" aca="1" ref="H45" ca="1">IF($D45&lt;&gt;"Serviço",0,IF(ACOMPANHAMENTO="BM",ROUND(OFFSET(ORÇAMENTO!AJ$15,$L45,0),15-13*ORÇAMENTO!$AF$7),IF(IFERROR(CÁLCULO.FrentesPreenchidas,0)=0,0,SUM(ROUND(OFFSET($P45,0,1,1,CÁLCULO.FrentesPreenchidas),15-13*ORÇAMENTO!$AF$7)))))</f>
        <v>0</v>
      </c>
      <c r="I45" s="468"/>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c r="L45" s="165">
        <f ca="1">OFFSET(L45,-1,0)+1</f>
        <v>30</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0</v>
      </c>
      <c r="AN45" s="171">
        <f ca="1">IF(OR($D45&lt;&gt;"Serviço",AND(AUTOEVENTO="Manual",$M45=$A$15)),0,
         IF(OFFSET(CRONOPLE!$F$15,$M45-$A$15,AN$13)=0,10^12,OFFSET(CRONOPLE!$F$15,$M45-$A$15,AN$13)))</f>
        <v>0</v>
      </c>
      <c r="AO45" s="171">
        <f ca="1">IF(OR($D45&lt;&gt;"Serviço",AND(AUTOEVENTO="Manual",$M45=$A$15)),0,
         IF(OFFSET(CRONOPLE!$F$15,$M45-$A$15,AO$13)=0,10^12,OFFSET(CRONOPLE!$F$15,$M45-$A$15,AO$13)))</f>
        <v>0</v>
      </c>
      <c r="AP45" s="171">
        <f ca="1">IF(OR($D45&lt;&gt;"Serviço",AND(AUTOEVENTO="Manual",$M45=$A$15)),0,
         IF(OFFSET(CRONOPLE!$F$15,$M45-$A$15,AP$13)=0,10^12,OFFSET(CRONOPLE!$F$15,$M45-$A$15,AP$13)))</f>
        <v>0</v>
      </c>
      <c r="AQ45" s="171">
        <f ca="1">IF(OR($D45&lt;&gt;"Serviço",AND(AUTOEVENTO="Manual",$M45=$A$15)),0,
         IF(OFFSET(CRONOPLE!$F$15,$M45-$A$15,AQ$13)=0,10^12,OFFSET(CRONOPLE!$F$15,$M45-$A$15,AQ$13)))</f>
        <v>0</v>
      </c>
      <c r="AR45" s="171">
        <f ca="1">IF(OR($D45&lt;&gt;"Serviço",AND(AUTOEVENTO="Manual",$M45=$A$15)),0,
         IF(OFFSET(CRONOPLE!$F$15,$M45-$A$15,AR$13)=0,10^12,OFFSET(CRONOPLE!$F$15,$M45-$A$15,AR$13)))</f>
        <v>0</v>
      </c>
      <c r="AS45" s="171">
        <f ca="1">IF(OR($D45&lt;&gt;"Serviço",AND(AUTOEVENTO="Manual",$M45=$A$15)),0,
         IF(OFFSET(CRONOPLE!$F$15,$M45-$A$15,AS$13)=0,10^12,OFFSET(CRONOPLE!$F$15,$M45-$A$15,AS$13)))</f>
        <v>0</v>
      </c>
      <c r="AT45" s="171">
        <f ca="1">IF(OR($D45&lt;&gt;"Serviço",AND(AUTOEVENTO="Manual",$M45=$A$15)),0,
         IF(OFFSET(CRONOPLE!$F$15,$M45-$A$15,AT$13)=0,10^12,OFFSET(CRONOPLE!$F$15,$M45-$A$15,AT$13)))</f>
        <v>0</v>
      </c>
      <c r="AU45" s="171">
        <f ca="1">IF(OR($D45&lt;&gt;"Serviço",AND(AUTOEVENTO="Manual",$M45=$A$15)),0,
         IF(OFFSET(CRONOPLE!$F$15,$M45-$A$15,AU$13)=0,10^12,OFFSET(CRONOPLE!$F$15,$M45-$A$15,AU$13)))</f>
        <v>0</v>
      </c>
      <c r="AV45" s="171">
        <f ca="1">IF(OR($D45&lt;&gt;"Serviço",AND(AUTOEVENTO="Manual",$M45=$A$15)),0,
         IF(OFFSET(CRONOPLE!$F$15,$M45-$A$15,AV$13)=0,10^12,OFFSET(CRONOPLE!$F$15,$M45-$A$15,AV$13)))</f>
        <v>0</v>
      </c>
      <c r="AX45" s="172" cm="1">
        <f t="array" aca="1" ref="AX45" ca="1">IF(OR($D45&lt;&gt;"Serviço",AND(AUTOEVENTO="Manual",$M45=$A$15),$M45&gt;(ROW(PLE.lastrow)-ROW(PLE.firstrow))),0,
           IF(OFFSET(PLE!$G$15,$M45-$A$15,AX$13)="",10^12,OFFSET(PLE!$G$15,$M45-$A$15,AX$13)))</f>
        <v>0</v>
      </c>
      <c r="AY45" s="172" cm="1">
        <f t="array" aca="1" ref="AY45" ca="1">IF(OR($D45&lt;&gt;"Serviço",AND(AUTOEVENTO="Manual",$M45=$A$15),$M45&gt;(ROW(PLE.lastrow)-ROW(PLE.firstrow))),0,
           IF(OFFSET(PLE!$G$15,$M45-$A$15,AY$13)="",10^12,OFFSET(PLE!$G$15,$M45-$A$15,AY$13)))</f>
        <v>0</v>
      </c>
      <c r="AZ45" s="172" cm="1">
        <f t="array" aca="1" ref="AZ45" ca="1">IF(OR($D45&lt;&gt;"Serviço",AND(AUTOEVENTO="Manual",$M45=$A$15),$M45&gt;(ROW(PLE.lastrow)-ROW(PLE.firstrow))),0,
           IF(OFFSET(PLE!$G$15,$M45-$A$15,AZ$13)="",10^12,OFFSET(PLE!$G$15,$M45-$A$15,AZ$13)))</f>
        <v>0</v>
      </c>
      <c r="BA45" s="172" cm="1">
        <f t="array" aca="1" ref="BA45" ca="1">IF(OR($D45&lt;&gt;"Serviço",AND(AUTOEVENTO="Manual",$M45=$A$15),$M45&gt;(ROW(PLE.lastrow)-ROW(PLE.firstrow))),0,
           IF(OFFSET(PLE!$G$15,$M45-$A$15,BA$13)="",10^12,OFFSET(PLE!$G$15,$M45-$A$15,BA$13)))</f>
        <v>0</v>
      </c>
      <c r="BB45" s="172" cm="1">
        <f t="array" aca="1" ref="BB45" ca="1">IF(OR($D45&lt;&gt;"Serviço",AND(AUTOEVENTO="Manual",$M45=$A$15),$M45&gt;(ROW(PLE.lastrow)-ROW(PLE.firstrow))),0,
           IF(OFFSET(PLE!$G$15,$M45-$A$15,BB$13)="",10^12,OFFSET(PLE!$G$15,$M45-$A$15,BB$13)))</f>
        <v>0</v>
      </c>
      <c r="BC45" s="172" cm="1">
        <f t="array" aca="1" ref="BC45" ca="1">IF(OR($D45&lt;&gt;"Serviço",AND(AUTOEVENTO="Manual",$M45=$A$15),$M45&gt;(ROW(PLE.lastrow)-ROW(PLE.firstrow))),0,
           IF(OFFSET(PLE!$G$15,$M45-$A$15,BC$13)="",10^12,OFFSET(PLE!$G$15,$M45-$A$15,BC$13)))</f>
        <v>0</v>
      </c>
      <c r="BD45" s="172" cm="1">
        <f t="array" aca="1" ref="BD45" ca="1">IF(OR($D45&lt;&gt;"Serviço",AND(AUTOEVENTO="Manual",$M45=$A$15),$M45&gt;(ROW(PLE.lastrow)-ROW(PLE.firstrow))),0,
           IF(OFFSET(PLE!$G$15,$M45-$A$15,BD$13)="",10^12,OFFSET(PLE!$G$15,$M45-$A$15,BD$13)))</f>
        <v>0</v>
      </c>
      <c r="BE45" s="172" cm="1">
        <f t="array" aca="1" ref="BE45" ca="1">IF(OR($D45&lt;&gt;"Serviço",AND(AUTOEVENTO="Manual",$M45=$A$15),$M45&gt;(ROW(PLE.lastrow)-ROW(PLE.firstrow))),0,
           IF(OFFSET(PLE!$G$15,$M45-$A$15,BE$13)="",10^12,OFFSET(PLE!$G$15,$M45-$A$15,BE$13)))</f>
        <v>0</v>
      </c>
      <c r="BF45" s="172" cm="1">
        <f t="array" aca="1" ref="BF45" ca="1">IF(OR($D45&lt;&gt;"Serviço",AND(AUTOEVENTO="Manual",$M45=$A$15),$M45&gt;(ROW(PLE.lastrow)-ROW(PLE.firstrow))),0,
           IF(OFFSET(PLE!$G$15,$M45-$A$15,BF$13)="",10^12,OFFSET(PLE!$G$15,$M45-$A$15,BF$13)))</f>
        <v>0</v>
      </c>
      <c r="BG45" s="172" cm="1">
        <f t="array" aca="1" ref="BG45" ca="1">IF(OR($D45&lt;&gt;"Serviço",AND(AUTOEVENTO="Manual",$M45=$A$15),$M45&gt;(ROW(PLE.lastrow)-ROW(PLE.firstrow))),0,
           IF(OFFSET(PLE!$G$15,$M45-$A$15,BG$13)="",10^12,OFFSET(PLE!$G$15,$M45-$A$15,BG$13)))</f>
        <v>0</v>
      </c>
    </row>
    <row r="46" spans="1:59" ht="12.75" x14ac:dyDescent="0.2">
      <c r="A46" s="7" t="str">
        <f ca="1">IFERROR(IF(AUTOEVENTO="Manual",IF(K46&lt;&gt;"",MIN(VALUE(LEFT(K46,FIND(".",K46)-1)),COUNTA(EVENTOS.Lista)),0),IF(OR($B46&gt;AUTOEVENTO,$B46="S",$B46=0),SUBSTITUTE(OFFSET($A46,-1,0),IF($D46="Serviço",".",""),""),$L46&amp;".")),0)</f>
        <v>30</v>
      </c>
      <c r="B46" s="7" t="str">
        <f ca="1">OFFSET(ORÇAMENTO!C$15,$L46,0)</f>
        <v>S</v>
      </c>
      <c r="C46" s="7" t="str">
        <f ca="1">OFFSET(ORÇAMENTO!L$15,$L46,0)</f>
        <v/>
      </c>
      <c r="D46" s="116" t="str">
        <f ca="1">OFFSET(ORÇAMENTO!N$15,$L46,0)</f>
        <v>Serviço</v>
      </c>
      <c r="E46" s="117" t="str">
        <f ca="1">OFFSET(ORÇAMENTO!O$15,$L46,0)</f>
        <v>-</v>
      </c>
      <c r="F46" s="163" t="str">
        <f ca="1">OFFSET(ORÇAMENTO!R$15,$L46,0)</f>
        <v>(Código não identificado nas referências)</v>
      </c>
      <c r="G46" s="164" t="str">
        <f ca="1">IF($D46&lt;&gt;"Serviço","",OFFSET(ORÇAMENTO!S$15,$L46,0))</f>
        <v>-</v>
      </c>
      <c r="H46" s="122" cm="1">
        <f t="array" aca="1" ref="H46" ca="1">IF($D46&lt;&gt;"Serviço",0,IF(ACOMPANHAMENTO="BM",ROUND(OFFSET(ORÇAMENTO!AJ$15,$L46,0),15-13*ORÇAMENTO!$AF$7),IF(IFERROR(CÁLCULO.FrentesPreenchidas,0)=0,0,SUM(ROUND(OFFSET($P46,0,1,1,CÁLCULO.FrentesPreenchidas),15-13*ORÇAMENTO!$AF$7)))))</f>
        <v>3</v>
      </c>
      <c r="I46" s="468" t="s">
        <v>1057</v>
      </c>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f ca="1">OFFSET(L46,-1,0)+1</f>
        <v>31</v>
      </c>
      <c r="M46" s="166">
        <f ca="1">IF($D46&lt;&gt;"Serviço","",
          IF(AUTOEVENTO="manual",$A46,
                IF(ISERROR(MATCH($A46,$A$15:OFFSET($A46,-1,0),0)),MAX($M$15:OFFSET(M46,-1,0))+1,
                      INDEX($M$15:OFFSET(M46,-1,0),MATCH($A46,$A$15:OFFSET($A46,-1,0),0)))))</f>
        <v>6</v>
      </c>
      <c r="N46" s="167" t="str">
        <f ca="1">IF($D46&lt;&gt;"Serviço","",
         IF(AUTOEVENTO="Manual",
                IF($A46=0,"&lt;-- defina o número do agrupador",
                       OFFSET(EVENTOS!$D$15,$A46-$A$15,0)),
                OFFSET($F$15,$A46,0)))</f>
        <v>ENTREGA FINAL DA OBRA</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ht="5.0999999999999996" customHeight="1" x14ac:dyDescent="0.2">
      <c r="B47" s="7">
        <f ca="1">OFFSET(ORÇAMENTO!C$15,ROW(B47)-ROW(B$15),0)</f>
        <v>-1</v>
      </c>
      <c r="C47" s="7" t="str">
        <f ca="1">OFFSET(ORÇAMENTO!L$15,ROW(C47)-ROW(C$15),0)</f>
        <v>F</v>
      </c>
      <c r="D47" s="634" t="s">
        <v>700</v>
      </c>
      <c r="E47" s="618"/>
      <c r="F47" s="619"/>
      <c r="G47" s="619"/>
      <c r="H47" s="619"/>
      <c r="I47" s="419"/>
      <c r="K47" s="569"/>
      <c r="L47" s="165">
        <f t="shared" ref="L47" ca="1" si="11">OFFSET(L47,-1,0)+1</f>
        <v>32</v>
      </c>
      <c r="M47" s="421"/>
      <c r="N47" s="420"/>
      <c r="O47" s="635"/>
      <c r="Q47" s="618"/>
      <c r="R47" s="619"/>
      <c r="S47" s="619"/>
      <c r="T47" s="619"/>
      <c r="U47" s="619"/>
      <c r="V47" s="619"/>
      <c r="W47" s="619"/>
      <c r="X47" s="619"/>
      <c r="Y47" s="619"/>
      <c r="Z47" s="419"/>
      <c r="AB47" s="636"/>
      <c r="AC47" s="637"/>
      <c r="AD47" s="637"/>
      <c r="AE47" s="637"/>
      <c r="AF47" s="637"/>
      <c r="AG47" s="637"/>
      <c r="AH47" s="637"/>
      <c r="AI47" s="637"/>
      <c r="AJ47" s="637"/>
      <c r="AK47" s="133"/>
      <c r="AM47" s="636"/>
      <c r="AN47" s="637"/>
      <c r="AO47" s="637"/>
      <c r="AP47" s="637"/>
      <c r="AQ47" s="637"/>
      <c r="AR47" s="637"/>
      <c r="AS47" s="637"/>
      <c r="AT47" s="637"/>
      <c r="AU47" s="637"/>
      <c r="AV47" s="133"/>
      <c r="AX47" s="636"/>
      <c r="AY47" s="637"/>
      <c r="AZ47" s="637"/>
      <c r="BA47" s="637"/>
      <c r="BB47" s="637"/>
      <c r="BC47" s="637"/>
      <c r="BD47" s="637"/>
      <c r="BE47" s="637"/>
      <c r="BF47" s="637"/>
      <c r="BG47" s="133"/>
    </row>
    <row r="48" spans="1:59" ht="12.75" customHeight="1" x14ac:dyDescent="0.2"/>
    <row r="49" spans="3:25" ht="12.75" customHeight="1" x14ac:dyDescent="0.2"/>
    <row r="50" spans="3:25" ht="12.75" customHeight="1" x14ac:dyDescent="0.2"/>
    <row r="51" spans="3:25" ht="15" customHeight="1" x14ac:dyDescent="0.2">
      <c r="F51" s="179" t="str">
        <f>Import.Município</f>
        <v>PASSOS MG</v>
      </c>
      <c r="I51" s="460"/>
      <c r="J51" s="460"/>
      <c r="K51" s="460"/>
      <c r="L51" s="460"/>
      <c r="M51" s="461"/>
      <c r="N51" s="417"/>
      <c r="T51" s="139"/>
      <c r="U51" s="139"/>
      <c r="V51" s="180"/>
      <c r="W51" s="180"/>
      <c r="X51" s="180"/>
      <c r="Y51" s="180"/>
    </row>
    <row r="52" spans="3:25" ht="12.75" customHeight="1" x14ac:dyDescent="0.2">
      <c r="F52" s="9" t="s">
        <v>693</v>
      </c>
      <c r="I52" s="181" t="s">
        <v>696</v>
      </c>
      <c r="J52" s="181"/>
      <c r="K52" s="181"/>
      <c r="L52" s="181"/>
      <c r="T52" s="181" t="s">
        <v>696</v>
      </c>
      <c r="U52" s="181"/>
    </row>
    <row r="53" spans="3:25" ht="12.75" customHeight="1" x14ac:dyDescent="0.2">
      <c r="I53" s="398" t="str">
        <f t="array" aca="1" ref="I53:I55" ca="1">OFFSET(Import.RespOrçamento,0,-1) &amp; " " &amp; Import.RespOrçamento</f>
        <v>Nome: Mateus Junior Rosa</v>
      </c>
      <c r="K53" s="79"/>
      <c r="L53" s="79"/>
      <c r="T53" s="398" t="str">
        <f t="array" aca="1" ref="T53:T55" ca="1">OFFSET(Import.RespOrçamento,0,-1) &amp; " " &amp; Import.RespOrçamento</f>
        <v>Nome: Mateus Junior Rosa</v>
      </c>
      <c r="U53" s="78"/>
    </row>
    <row r="54" spans="3:25" ht="12.75" customHeight="1" x14ac:dyDescent="0.2">
      <c r="F54" s="459">
        <f>DADOS!$C$25</f>
        <v>45945</v>
      </c>
      <c r="I54" s="398" t="str">
        <f ca="1"/>
        <v>CREA/CAU: 386.526/D</v>
      </c>
      <c r="K54" s="79"/>
      <c r="L54" s="79"/>
      <c r="T54" s="398" t="str">
        <f ca="1"/>
        <v>CREA/CAU: 386.526/D</v>
      </c>
      <c r="U54" s="78"/>
    </row>
    <row r="55" spans="3:25" ht="12.75" customHeight="1" x14ac:dyDescent="0.2">
      <c r="F55" s="140" t="s">
        <v>694</v>
      </c>
      <c r="I55" s="398" t="str">
        <f ca="1"/>
        <v xml:space="preserve">ART/RRT: </v>
      </c>
      <c r="K55" s="79"/>
      <c r="L55" s="79"/>
      <c r="T55" s="398" t="str">
        <f ca="1"/>
        <v xml:space="preserve">ART/RRT: </v>
      </c>
      <c r="U55" s="78"/>
    </row>
    <row r="56" spans="3:25" ht="12.75" customHeight="1" x14ac:dyDescent="0.2">
      <c r="C56"/>
      <c r="M56"/>
    </row>
    <row r="57" spans="3:25" ht="12.75" customHeight="1" x14ac:dyDescent="0.2">
      <c r="C57"/>
      <c r="M57"/>
    </row>
    <row r="58" spans="3:25" ht="12.75" customHeight="1" x14ac:dyDescent="0.2">
      <c r="C58"/>
      <c r="M58"/>
    </row>
    <row r="59" spans="3:25" ht="12.75" customHeight="1" x14ac:dyDescent="0.2">
      <c r="C59"/>
      <c r="M59"/>
    </row>
    <row r="60" spans="3:25" ht="12.75" customHeight="1" x14ac:dyDescent="0.2">
      <c r="C60"/>
      <c r="M60"/>
    </row>
    <row r="61" spans="3:25" ht="12.75" customHeight="1" x14ac:dyDescent="0.2">
      <c r="C61"/>
      <c r="M61"/>
    </row>
    <row r="62" spans="3:25" ht="12.75" customHeight="1" x14ac:dyDescent="0.2">
      <c r="C62"/>
      <c r="M62"/>
    </row>
    <row r="63" spans="3:25" ht="12.75" customHeight="1" x14ac:dyDescent="0.2">
      <c r="C63"/>
      <c r="M63"/>
    </row>
    <row r="64" spans="3:25"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60959" spans="3:13" ht="12.75" customHeight="1" x14ac:dyDescent="0.2">
      <c r="C60959"/>
      <c r="M60959"/>
    </row>
    <row r="60975" spans="3:13" ht="12.75" customHeight="1" x14ac:dyDescent="0.2">
      <c r="C60975"/>
      <c r="M60975"/>
    </row>
    <row r="60991" spans="3:13" ht="12.75" customHeight="1" x14ac:dyDescent="0.2">
      <c r="C60991"/>
      <c r="M60991"/>
    </row>
    <row r="61007" spans="3:13" ht="12.75" customHeight="1" x14ac:dyDescent="0.2">
      <c r="C61007"/>
      <c r="M61007"/>
    </row>
    <row r="61020" spans="3:13" ht="12.75" customHeight="1" x14ac:dyDescent="0.2">
      <c r="C61020"/>
      <c r="M61020"/>
    </row>
    <row r="61021" spans="3:13" ht="12.75" customHeight="1" x14ac:dyDescent="0.2">
      <c r="C61021"/>
      <c r="M61021"/>
    </row>
    <row r="61023" spans="3:13" ht="12.75" customHeight="1" x14ac:dyDescent="0.2">
      <c r="C61023"/>
      <c r="M61023"/>
    </row>
    <row r="61034" spans="3:13" ht="12.75" customHeight="1" x14ac:dyDescent="0.2">
      <c r="C61034"/>
      <c r="M61034"/>
    </row>
    <row r="61035" spans="3:13" ht="12.75" customHeight="1" x14ac:dyDescent="0.2">
      <c r="C61035"/>
      <c r="M61035"/>
    </row>
    <row r="61036" spans="3:13" ht="12.75" customHeight="1" x14ac:dyDescent="0.2">
      <c r="C61036"/>
      <c r="M61036"/>
    </row>
    <row r="61037" spans="3:13" ht="12.75" customHeight="1" x14ac:dyDescent="0.2">
      <c r="C61037"/>
      <c r="M61037"/>
    </row>
    <row r="61039" spans="3:13" ht="12.75" customHeight="1" x14ac:dyDescent="0.2">
      <c r="C61039"/>
      <c r="M61039"/>
    </row>
    <row r="61050" spans="3:13" ht="12.75" customHeight="1" x14ac:dyDescent="0.2">
      <c r="C61050"/>
      <c r="M61050"/>
    </row>
    <row r="61051" spans="3:13" ht="12.75" customHeight="1" x14ac:dyDescent="0.2">
      <c r="C61051"/>
      <c r="M61051"/>
    </row>
    <row r="61052" spans="3:13" ht="12.75" customHeight="1" x14ac:dyDescent="0.2">
      <c r="C61052"/>
      <c r="M61052"/>
    </row>
    <row r="61053" spans="3:13" ht="12.75" customHeight="1" x14ac:dyDescent="0.2">
      <c r="C61053"/>
      <c r="M61053"/>
    </row>
    <row r="61055" spans="3:13" ht="12.75" customHeight="1" x14ac:dyDescent="0.2">
      <c r="C61055"/>
      <c r="M61055"/>
    </row>
    <row r="61066" spans="3:13" ht="12.75" customHeight="1" x14ac:dyDescent="0.2">
      <c r="C61066"/>
      <c r="M61066"/>
    </row>
    <row r="61067" spans="3:13" ht="12.75" customHeight="1" x14ac:dyDescent="0.2">
      <c r="C61067"/>
      <c r="M61067"/>
    </row>
    <row r="61068" spans="3:13" ht="12.75" customHeight="1" x14ac:dyDescent="0.2">
      <c r="C61068"/>
      <c r="M61068"/>
    </row>
    <row r="61069" spans="3:13" ht="12.75" customHeight="1" x14ac:dyDescent="0.2">
      <c r="C61069"/>
      <c r="M61069"/>
    </row>
    <row r="61071" spans="3:13" ht="12.75" customHeight="1" x14ac:dyDescent="0.2">
      <c r="C61071"/>
      <c r="M61071"/>
    </row>
    <row r="61082" spans="3:13" ht="12.75" customHeight="1" x14ac:dyDescent="0.2">
      <c r="C61082"/>
      <c r="M61082"/>
    </row>
    <row r="61083" spans="3:13" ht="12.75" customHeight="1" x14ac:dyDescent="0.2">
      <c r="C61083"/>
      <c r="M61083"/>
    </row>
    <row r="61084" spans="3:13" ht="12.75" customHeight="1" x14ac:dyDescent="0.2">
      <c r="C61084"/>
      <c r="M61084"/>
    </row>
    <row r="61085" spans="3:13" ht="12.75" customHeight="1" x14ac:dyDescent="0.2">
      <c r="C61085"/>
      <c r="M61085"/>
    </row>
    <row r="61087" spans="3:13" ht="12.75" customHeight="1" x14ac:dyDescent="0.2">
      <c r="C61087"/>
      <c r="M61087"/>
    </row>
    <row r="61098" spans="3:13" ht="12.75" customHeight="1" x14ac:dyDescent="0.2">
      <c r="C61098"/>
      <c r="M61098"/>
    </row>
    <row r="61099" spans="3:13" ht="12.75" customHeight="1" x14ac:dyDescent="0.2">
      <c r="C61099"/>
      <c r="M61099"/>
    </row>
    <row r="61100" spans="3:13" ht="12.75" customHeight="1" x14ac:dyDescent="0.2">
      <c r="C61100"/>
      <c r="M61100"/>
    </row>
    <row r="61101" spans="3:13" ht="12.75" customHeight="1" x14ac:dyDescent="0.2">
      <c r="C61101"/>
      <c r="M61101"/>
    </row>
    <row r="61103" spans="3:13" ht="12.75" customHeight="1" x14ac:dyDescent="0.2">
      <c r="C61103"/>
      <c r="M61103"/>
    </row>
    <row r="61114" spans="3:13" ht="12.75" customHeight="1" x14ac:dyDescent="0.2">
      <c r="C61114"/>
      <c r="M61114"/>
    </row>
    <row r="61115" spans="3:13" ht="12.75" customHeight="1" x14ac:dyDescent="0.2">
      <c r="C61115"/>
      <c r="M61115"/>
    </row>
    <row r="61116" spans="3:13" ht="12.75" customHeight="1" x14ac:dyDescent="0.2">
      <c r="C61116"/>
      <c r="M61116"/>
    </row>
    <row r="61117" spans="3:13" ht="12.75" customHeight="1" x14ac:dyDescent="0.2">
      <c r="C61117"/>
      <c r="M61117"/>
    </row>
    <row r="61119" spans="3:13" ht="12.75" customHeight="1" x14ac:dyDescent="0.2">
      <c r="C61119"/>
      <c r="M61119"/>
    </row>
    <row r="61130" spans="3:13" ht="12.75" customHeight="1" x14ac:dyDescent="0.2">
      <c r="C61130"/>
      <c r="M61130"/>
    </row>
    <row r="61131" spans="3:13" ht="12.75" customHeight="1" x14ac:dyDescent="0.2">
      <c r="C61131"/>
      <c r="M61131"/>
    </row>
    <row r="61132" spans="3:13" ht="12.75" customHeight="1" x14ac:dyDescent="0.2">
      <c r="C61132"/>
      <c r="M61132"/>
    </row>
    <row r="61133" spans="3:13" ht="12.75" customHeight="1" x14ac:dyDescent="0.2">
      <c r="C61133"/>
      <c r="M61133"/>
    </row>
    <row r="61135" spans="3:13" ht="12.75" customHeight="1" x14ac:dyDescent="0.2">
      <c r="C61135"/>
      <c r="M61135"/>
    </row>
    <row r="61146" spans="3:13" ht="12.75" customHeight="1" x14ac:dyDescent="0.2">
      <c r="C61146"/>
      <c r="M61146"/>
    </row>
    <row r="61147" spans="3:13" ht="12.75" customHeight="1" x14ac:dyDescent="0.2">
      <c r="C61147"/>
      <c r="M61147"/>
    </row>
    <row r="61148" spans="3:13" ht="12.75" customHeight="1" x14ac:dyDescent="0.2">
      <c r="C61148"/>
      <c r="M61148"/>
    </row>
    <row r="61149" spans="3:13" ht="12.75" customHeight="1" x14ac:dyDescent="0.2">
      <c r="C61149"/>
      <c r="M61149"/>
    </row>
    <row r="61151" spans="3:13" ht="12.75" customHeight="1" x14ac:dyDescent="0.2">
      <c r="C61151"/>
      <c r="M61151"/>
    </row>
    <row r="61159" spans="3:13" ht="12.75" customHeight="1" x14ac:dyDescent="0.2">
      <c r="C61159"/>
      <c r="M61159"/>
    </row>
    <row r="61162" spans="3:13" ht="12.75" customHeight="1" x14ac:dyDescent="0.2">
      <c r="C61162"/>
      <c r="M61162"/>
    </row>
    <row r="61163" spans="3:13" ht="12.75" customHeight="1" x14ac:dyDescent="0.2">
      <c r="C61163"/>
      <c r="M61163"/>
    </row>
    <row r="61164" spans="3:13" ht="12.75" customHeight="1" x14ac:dyDescent="0.2">
      <c r="C61164"/>
      <c r="M61164"/>
    </row>
    <row r="61165" spans="3:13" ht="12.75" customHeight="1" x14ac:dyDescent="0.2">
      <c r="C61165"/>
      <c r="M61165"/>
    </row>
    <row r="61167" spans="3:13" ht="12.75" customHeight="1" x14ac:dyDescent="0.2">
      <c r="C61167"/>
      <c r="M61167"/>
    </row>
    <row r="61175" spans="3:13" ht="12.75" customHeight="1" x14ac:dyDescent="0.2">
      <c r="C61175"/>
      <c r="M61175"/>
    </row>
    <row r="61178" spans="3:13" ht="12.75" customHeight="1" x14ac:dyDescent="0.2">
      <c r="C61178"/>
      <c r="M61178"/>
    </row>
    <row r="61179" spans="3:13" ht="12.75" customHeight="1" x14ac:dyDescent="0.2">
      <c r="C61179"/>
      <c r="M61179"/>
    </row>
    <row r="61180" spans="3:13" ht="12.75" customHeight="1" x14ac:dyDescent="0.2">
      <c r="C61180"/>
      <c r="M61180"/>
    </row>
    <row r="61181" spans="3:13" ht="12.75" customHeight="1" x14ac:dyDescent="0.2">
      <c r="C61181"/>
      <c r="M61181"/>
    </row>
    <row r="61183" spans="3:13" ht="12.75" customHeight="1" x14ac:dyDescent="0.2">
      <c r="C61183"/>
      <c r="M61183"/>
    </row>
    <row r="61191" spans="3:13" ht="12.75" customHeight="1" x14ac:dyDescent="0.2">
      <c r="C61191"/>
      <c r="M61191"/>
    </row>
    <row r="61192" spans="3:13" ht="12.75" customHeight="1" x14ac:dyDescent="0.2">
      <c r="C61192"/>
      <c r="M61192"/>
    </row>
    <row r="61194" spans="3:13" ht="12.75" customHeight="1" x14ac:dyDescent="0.2">
      <c r="C61194"/>
      <c r="M61194"/>
    </row>
    <row r="61195" spans="3:13" ht="12.75" customHeight="1" x14ac:dyDescent="0.2">
      <c r="C61195"/>
      <c r="M61195"/>
    </row>
    <row r="61196" spans="3:13" ht="12.75" customHeight="1" x14ac:dyDescent="0.2">
      <c r="C61196"/>
      <c r="M61196"/>
    </row>
    <row r="61197" spans="3:13" ht="12.75" customHeight="1" x14ac:dyDescent="0.2">
      <c r="C61197"/>
      <c r="M61197"/>
    </row>
    <row r="61199" spans="3:13" ht="12.75" customHeight="1" x14ac:dyDescent="0.2">
      <c r="C61199"/>
      <c r="M61199"/>
    </row>
    <row r="61207" spans="3:13" ht="12.75" customHeight="1" x14ac:dyDescent="0.2">
      <c r="C61207"/>
      <c r="M61207"/>
    </row>
    <row r="61208" spans="3:13" ht="12.75" customHeight="1" x14ac:dyDescent="0.2">
      <c r="C61208"/>
      <c r="M61208"/>
    </row>
    <row r="61209" spans="3:13" ht="12.75" customHeight="1" x14ac:dyDescent="0.2">
      <c r="C61209"/>
      <c r="M61209"/>
    </row>
    <row r="61210" spans="3:13" ht="12.75" customHeight="1" x14ac:dyDescent="0.2">
      <c r="C61210"/>
      <c r="M61210"/>
    </row>
    <row r="61211" spans="3:13" ht="12.75" customHeight="1" x14ac:dyDescent="0.2">
      <c r="C61211"/>
      <c r="M61211"/>
    </row>
    <row r="61212" spans="3:13" ht="12.75" customHeight="1" x14ac:dyDescent="0.2">
      <c r="C61212"/>
      <c r="M61212"/>
    </row>
    <row r="61213" spans="3:13" ht="12.75" customHeight="1" x14ac:dyDescent="0.2">
      <c r="C61213"/>
      <c r="M61213"/>
    </row>
    <row r="61215" spans="3:13" ht="12.75" customHeight="1" x14ac:dyDescent="0.2">
      <c r="C61215"/>
      <c r="M61215"/>
    </row>
    <row r="61223" spans="3:13" ht="12.75" customHeight="1" x14ac:dyDescent="0.2">
      <c r="C61223"/>
      <c r="M61223"/>
    </row>
    <row r="61224" spans="3:13" ht="12.75" customHeight="1" x14ac:dyDescent="0.2">
      <c r="C61224"/>
      <c r="M61224"/>
    </row>
    <row r="61225" spans="3:13" ht="12.75" customHeight="1" x14ac:dyDescent="0.2">
      <c r="C61225"/>
      <c r="M61225"/>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1" spans="3:13" ht="12.75" customHeight="1" x14ac:dyDescent="0.2">
      <c r="C61231"/>
      <c r="M61231"/>
    </row>
    <row r="61237" spans="3:13" ht="12.75" customHeight="1" x14ac:dyDescent="0.2">
      <c r="C61237"/>
      <c r="M61237"/>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53" spans="3:13" ht="12.75" customHeight="1" x14ac:dyDescent="0.2">
      <c r="C61253"/>
      <c r="M6125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300" spans="3:13" ht="12.75" customHeight="1" x14ac:dyDescent="0.2">
      <c r="C61300"/>
      <c r="M61300"/>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6" spans="3:13" ht="12.75" customHeight="1" x14ac:dyDescent="0.2">
      <c r="C61316"/>
      <c r="M61316"/>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sheetData>
  <sheetProtection algorithmName="SHA-512" hashValue="J1MseWwYGauWHigMKQD0DgyoJPwMc4J5wnVpK9J9ihHPecuANEWohLFSncuvMpE9fO4sI1EVwDiysgleDjCCjw==" saltValue="Vs1B3JKtlnBFqOxBq5+4uA==" spinCount="100000" sheet="1" objects="1" scenarios="1" autoFilter="0"/>
  <autoFilter ref="C15:C47"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6:I18 D22:G22 I22 D25:I35 D20:I21">
    <cfRule type="expression" dxfId="312" priority="14714" stopIfTrue="1">
      <formula>$B14=1</formula>
    </cfRule>
    <cfRule type="expression" dxfId="311" priority="14715" stopIfTrue="1">
      <formula>OR($B14=0,$B14=2,$B14=3,$B14=4)</formula>
    </cfRule>
  </conditionalFormatting>
  <conditionalFormatting sqref="M12:N18 M20:N22 M25:N35 M47:N47">
    <cfRule type="expression" dxfId="310" priority="14716" stopIfTrue="1">
      <formula>ACOMPANHAMENTO="BM"</formula>
    </cfRule>
    <cfRule type="expression" dxfId="309" priority="14717" stopIfTrue="1">
      <formula>OR($B12=0,$B12=2,$B12=3,$B12=4)</formula>
    </cfRule>
    <cfRule type="expression" dxfId="308" priority="14718" stopIfTrue="1">
      <formula>$B12=1</formula>
    </cfRule>
  </conditionalFormatting>
  <conditionalFormatting sqref="K12:K18 K20:K22 K25:K35 K47">
    <cfRule type="expression" dxfId="307" priority="14719" stopIfTrue="1">
      <formula>OR(ACOMPANHAMENTO="BM",$A$12&lt;&gt;"Manual")</formula>
    </cfRule>
    <cfRule type="expression" dxfId="306" priority="14720" stopIfTrue="1">
      <formula>$B12=1</formula>
    </cfRule>
    <cfRule type="expression" dxfId="305" priority="14721" stopIfTrue="1">
      <formula>OR($B12=2,$B12=3,$B12=4,$B12=0)</formula>
    </cfRule>
  </conditionalFormatting>
  <conditionalFormatting sqref="O12:AA18 O20:AA22 O25:AA35 O47:AA47">
    <cfRule type="expression" dxfId="304" priority="8305" stopIfTrue="1">
      <formula>ACOMPANHAMENTO="BM"</formula>
    </cfRule>
    <cfRule type="expression" dxfId="303" priority="14723" stopIfTrue="1">
      <formula>AND(O$12&lt;&gt;".",OR($B12=0,$B12=2,$B12=3,$B12=4,AND(O$12="",$B12&lt;&gt;"Empty"),OFFSET(O$1,0,-1)=0))</formula>
    </cfRule>
    <cfRule type="expression" dxfId="302" priority="14724" stopIfTrue="1">
      <formula>AND($B12=1,O$1=1)</formula>
    </cfRule>
  </conditionalFormatting>
  <conditionalFormatting sqref="Q15:Z15">
    <cfRule type="expression" dxfId="301" priority="14722">
      <formula>Q$11="▼"</formula>
    </cfRule>
  </conditionalFormatting>
  <conditionalFormatting sqref="O15">
    <cfRule type="expression" dxfId="300" priority="8304">
      <formula>O$11="▼"</formula>
    </cfRule>
  </conditionalFormatting>
  <conditionalFormatting sqref="N14 N16:N18 N20:N22 N25:N35">
    <cfRule type="expression" dxfId="299" priority="5339">
      <formula>$J14="►"</formula>
    </cfRule>
  </conditionalFormatting>
  <conditionalFormatting sqref="N12">
    <cfRule type="cellIs" dxfId="298" priority="5337" operator="notEqual">
      <formula>"FRENTES DE OBRA:"</formula>
    </cfRule>
  </conditionalFormatting>
  <conditionalFormatting sqref="Q14:AA14">
    <cfRule type="expression" dxfId="297" priority="3122">
      <formula>Q14&lt;&gt;ROUND(Q14,2)</formula>
    </cfRule>
  </conditionalFormatting>
  <conditionalFormatting sqref="H14">
    <cfRule type="expression" dxfId="296" priority="2682" stopIfTrue="1">
      <formula>$B14=1</formula>
    </cfRule>
    <cfRule type="expression" dxfId="295" priority="2683" stopIfTrue="1">
      <formula>OR($B14=0,$B14=2,$B14=3,$B14=4)</formula>
    </cfRule>
  </conditionalFormatting>
  <conditionalFormatting sqref="H14 H16:H18 H20:H22 H25:H35">
    <cfRule type="expression" dxfId="294" priority="2681">
      <formula>$J14="►S"</formula>
    </cfRule>
  </conditionalFormatting>
  <conditionalFormatting sqref="Q16:AA18 Q25:AA27 Q20:AA21">
    <cfRule type="expression" dxfId="293" priority="276">
      <formula>Q16&lt;&gt;ROUND(Q16,2)</formula>
    </cfRule>
  </conditionalFormatting>
  <conditionalFormatting sqref="Q28:AA35">
    <cfRule type="expression" dxfId="292" priority="269">
      <formula>Q28&lt;&gt;ROUND(Q28,2)</formula>
    </cfRule>
  </conditionalFormatting>
  <conditionalFormatting sqref="Q22:AA22">
    <cfRule type="expression" dxfId="291" priority="83">
      <formula>Q22&lt;&gt;ROUND(Q22,2)</formula>
    </cfRule>
  </conditionalFormatting>
  <conditionalFormatting sqref="H22">
    <cfRule type="expression" dxfId="290" priority="81" stopIfTrue="1">
      <formula>$B22=1</formula>
    </cfRule>
    <cfRule type="expression" dxfId="289" priority="82" stopIfTrue="1">
      <formula>OR($B22=0,$B22=2,$B22=3,$B22=4)</formula>
    </cfRule>
  </conditionalFormatting>
  <conditionalFormatting sqref="D19:G19 I19">
    <cfRule type="expression" dxfId="288" priority="71" stopIfTrue="1">
      <formula>$B19=1</formula>
    </cfRule>
    <cfRule type="expression" dxfId="287" priority="72" stopIfTrue="1">
      <formula>OR($B19=0,$B19=2,$B19=3,$B19=4)</formula>
    </cfRule>
  </conditionalFormatting>
  <conditionalFormatting sqref="M19:N19">
    <cfRule type="expression" dxfId="286" priority="73" stopIfTrue="1">
      <formula>ACOMPANHAMENTO="BM"</formula>
    </cfRule>
    <cfRule type="expression" dxfId="285" priority="74" stopIfTrue="1">
      <formula>OR($B19=0,$B19=2,$B19=3,$B19=4)</formula>
    </cfRule>
    <cfRule type="expression" dxfId="284" priority="75" stopIfTrue="1">
      <formula>$B19=1</formula>
    </cfRule>
  </conditionalFormatting>
  <conditionalFormatting sqref="K19">
    <cfRule type="expression" dxfId="283" priority="76" stopIfTrue="1">
      <formula>OR(ACOMPANHAMENTO="BM",$A$12&lt;&gt;"Manual")</formula>
    </cfRule>
    <cfRule type="expression" dxfId="282" priority="77" stopIfTrue="1">
      <formula>$B19=1</formula>
    </cfRule>
    <cfRule type="expression" dxfId="281" priority="78" stopIfTrue="1">
      <formula>OR($B19=2,$B19=3,$B19=4,$B19=0)</formula>
    </cfRule>
  </conditionalFormatting>
  <conditionalFormatting sqref="O19:AA19">
    <cfRule type="expression" dxfId="280" priority="70" stopIfTrue="1">
      <formula>ACOMPANHAMENTO="BM"</formula>
    </cfRule>
    <cfRule type="expression" dxfId="279" priority="79" stopIfTrue="1">
      <formula>AND(O$12&lt;&gt;".",OR($B19=0,$B19=2,$B19=3,$B19=4,AND(O$12="",$B19&lt;&gt;"Empty"),OFFSET(O$1,0,-1)=0))</formula>
    </cfRule>
    <cfRule type="expression" dxfId="278" priority="80" stopIfTrue="1">
      <formula>AND($B19=1,O$1=1)</formula>
    </cfRule>
  </conditionalFormatting>
  <conditionalFormatting sqref="N19">
    <cfRule type="expression" dxfId="277" priority="69">
      <formula>$J19="►"</formula>
    </cfRule>
  </conditionalFormatting>
  <conditionalFormatting sqref="Q19:AA19">
    <cfRule type="expression" dxfId="276" priority="68">
      <formula>Q19&lt;&gt;ROUND(Q19,2)</formula>
    </cfRule>
  </conditionalFormatting>
  <conditionalFormatting sqref="H19">
    <cfRule type="expression" dxfId="275" priority="66" stopIfTrue="1">
      <formula>$B19=1</formula>
    </cfRule>
    <cfRule type="expression" dxfId="274" priority="67" stopIfTrue="1">
      <formula>OR($B19=0,$B19=2,$B19=3,$B19=4)</formula>
    </cfRule>
  </conditionalFormatting>
  <conditionalFormatting sqref="H19">
    <cfRule type="expression" dxfId="273" priority="65">
      <formula>$J19="►S"</formula>
    </cfRule>
  </conditionalFormatting>
  <conditionalFormatting sqref="D23:G24 I23:I24">
    <cfRule type="expression" dxfId="272" priority="55" stopIfTrue="1">
      <formula>$B23=1</formula>
    </cfRule>
    <cfRule type="expression" dxfId="271" priority="56" stopIfTrue="1">
      <formula>OR($B23=0,$B23=2,$B23=3,$B23=4)</formula>
    </cfRule>
  </conditionalFormatting>
  <conditionalFormatting sqref="M23:N24">
    <cfRule type="expression" dxfId="270" priority="57" stopIfTrue="1">
      <formula>ACOMPANHAMENTO="BM"</formula>
    </cfRule>
    <cfRule type="expression" dxfId="269" priority="58" stopIfTrue="1">
      <formula>OR($B23=0,$B23=2,$B23=3,$B23=4)</formula>
    </cfRule>
    <cfRule type="expression" dxfId="268" priority="59" stopIfTrue="1">
      <formula>$B23=1</formula>
    </cfRule>
  </conditionalFormatting>
  <conditionalFormatting sqref="K23:K24">
    <cfRule type="expression" dxfId="267" priority="60" stopIfTrue="1">
      <formula>OR(ACOMPANHAMENTO="BM",$A$12&lt;&gt;"Manual")</formula>
    </cfRule>
    <cfRule type="expression" dxfId="266" priority="61" stopIfTrue="1">
      <formula>$B23=1</formula>
    </cfRule>
    <cfRule type="expression" dxfId="265" priority="62" stopIfTrue="1">
      <formula>OR($B23=2,$B23=3,$B23=4,$B23=0)</formula>
    </cfRule>
  </conditionalFormatting>
  <conditionalFormatting sqref="O23:AA24">
    <cfRule type="expression" dxfId="264" priority="54" stopIfTrue="1">
      <formula>ACOMPANHAMENTO="BM"</formula>
    </cfRule>
    <cfRule type="expression" dxfId="263" priority="63" stopIfTrue="1">
      <formula>AND(O$12&lt;&gt;".",OR($B23=0,$B23=2,$B23=3,$B23=4,AND(O$12="",$B23&lt;&gt;"Empty"),OFFSET(O$1,0,-1)=0))</formula>
    </cfRule>
    <cfRule type="expression" dxfId="262" priority="64" stopIfTrue="1">
      <formula>AND($B23=1,O$1=1)</formula>
    </cfRule>
  </conditionalFormatting>
  <conditionalFormatting sqref="N23:N24">
    <cfRule type="expression" dxfId="261" priority="53">
      <formula>$J23="►"</formula>
    </cfRule>
  </conditionalFormatting>
  <conditionalFormatting sqref="Q23:AA24">
    <cfRule type="expression" dxfId="260" priority="52">
      <formula>Q23&lt;&gt;ROUND(Q23,2)</formula>
    </cfRule>
  </conditionalFormatting>
  <conditionalFormatting sqref="H23:H24">
    <cfRule type="expression" dxfId="259" priority="50" stopIfTrue="1">
      <formula>$B23=1</formula>
    </cfRule>
    <cfRule type="expression" dxfId="258" priority="51" stopIfTrue="1">
      <formula>OR($B23=0,$B23=2,$B23=3,$B23=4)</formula>
    </cfRule>
  </conditionalFormatting>
  <conditionalFormatting sqref="H23:H24">
    <cfRule type="expression" dxfId="257" priority="49">
      <formula>$J23="►S"</formula>
    </cfRule>
  </conditionalFormatting>
  <conditionalFormatting sqref="D36:G44 I36:I44">
    <cfRule type="expression" dxfId="256" priority="39" stopIfTrue="1">
      <formula>$B36=1</formula>
    </cfRule>
    <cfRule type="expression" dxfId="255" priority="40" stopIfTrue="1">
      <formula>OR($B36=0,$B36=2,$B36=3,$B36=4)</formula>
    </cfRule>
  </conditionalFormatting>
  <conditionalFormatting sqref="M36:N44">
    <cfRule type="expression" dxfId="254" priority="41" stopIfTrue="1">
      <formula>ACOMPANHAMENTO="BM"</formula>
    </cfRule>
    <cfRule type="expression" dxfId="253" priority="42" stopIfTrue="1">
      <formula>OR($B36=0,$B36=2,$B36=3,$B36=4)</formula>
    </cfRule>
    <cfRule type="expression" dxfId="252" priority="43" stopIfTrue="1">
      <formula>$B36=1</formula>
    </cfRule>
  </conditionalFormatting>
  <conditionalFormatting sqref="K36:K44">
    <cfRule type="expression" dxfId="251" priority="44" stopIfTrue="1">
      <formula>OR(ACOMPANHAMENTO="BM",$A$12&lt;&gt;"Manual")</formula>
    </cfRule>
    <cfRule type="expression" dxfId="250" priority="45" stopIfTrue="1">
      <formula>$B36=1</formula>
    </cfRule>
    <cfRule type="expression" dxfId="249" priority="46" stopIfTrue="1">
      <formula>OR($B36=2,$B36=3,$B36=4,$B36=0)</formula>
    </cfRule>
  </conditionalFormatting>
  <conditionalFormatting sqref="O36:AA44">
    <cfRule type="expression" dxfId="248" priority="38" stopIfTrue="1">
      <formula>ACOMPANHAMENTO="BM"</formula>
    </cfRule>
    <cfRule type="expression" dxfId="247" priority="47" stopIfTrue="1">
      <formula>AND(O$12&lt;&gt;".",OR($B36=0,$B36=2,$B36=3,$B36=4,AND(O$12="",$B36&lt;&gt;"Empty"),OFFSET(O$1,0,-1)=0))</formula>
    </cfRule>
    <cfRule type="expression" dxfId="246" priority="48" stopIfTrue="1">
      <formula>AND($B36=1,O$1=1)</formula>
    </cfRule>
  </conditionalFormatting>
  <conditionalFormatting sqref="N36:N44">
    <cfRule type="expression" dxfId="245" priority="37">
      <formula>$J36="►"</formula>
    </cfRule>
  </conditionalFormatting>
  <conditionalFormatting sqref="Q36:AA44">
    <cfRule type="expression" dxfId="244" priority="36">
      <formula>Q36&lt;&gt;ROUND(Q36,2)</formula>
    </cfRule>
  </conditionalFormatting>
  <conditionalFormatting sqref="H36:H44">
    <cfRule type="expression" dxfId="243" priority="34" stopIfTrue="1">
      <formula>$B36=1</formula>
    </cfRule>
    <cfRule type="expression" dxfId="242" priority="35" stopIfTrue="1">
      <formula>OR($B36=0,$B36=2,$B36=3,$B36=4)</formula>
    </cfRule>
  </conditionalFormatting>
  <conditionalFormatting sqref="H36:H44">
    <cfRule type="expression" dxfId="241" priority="33">
      <formula>$J36="►S"</formula>
    </cfRule>
  </conditionalFormatting>
  <conditionalFormatting sqref="D45:G45 I45">
    <cfRule type="expression" dxfId="240" priority="23" stopIfTrue="1">
      <formula>$B45=1</formula>
    </cfRule>
    <cfRule type="expression" dxfId="239" priority="24" stopIfTrue="1">
      <formula>OR($B45=0,$B45=2,$B45=3,$B45=4)</formula>
    </cfRule>
  </conditionalFormatting>
  <conditionalFormatting sqref="M45:N45">
    <cfRule type="expression" dxfId="238" priority="25" stopIfTrue="1">
      <formula>ACOMPANHAMENTO="BM"</formula>
    </cfRule>
    <cfRule type="expression" dxfId="237" priority="26" stopIfTrue="1">
      <formula>OR($B45=0,$B45=2,$B45=3,$B45=4)</formula>
    </cfRule>
    <cfRule type="expression" dxfId="236" priority="27" stopIfTrue="1">
      <formula>$B45=1</formula>
    </cfRule>
  </conditionalFormatting>
  <conditionalFormatting sqref="K45">
    <cfRule type="expression" dxfId="235" priority="28" stopIfTrue="1">
      <formula>OR(ACOMPANHAMENTO="BM",$A$12&lt;&gt;"Manual")</formula>
    </cfRule>
    <cfRule type="expression" dxfId="234" priority="29" stopIfTrue="1">
      <formula>$B45=1</formula>
    </cfRule>
    <cfRule type="expression" dxfId="233" priority="30" stopIfTrue="1">
      <formula>OR($B45=2,$B45=3,$B45=4,$B45=0)</formula>
    </cfRule>
  </conditionalFormatting>
  <conditionalFormatting sqref="O45:AA45">
    <cfRule type="expression" dxfId="232" priority="22" stopIfTrue="1">
      <formula>ACOMPANHAMENTO="BM"</formula>
    </cfRule>
    <cfRule type="expression" dxfId="231" priority="31" stopIfTrue="1">
      <formula>AND(O$12&lt;&gt;".",OR($B45=0,$B45=2,$B45=3,$B45=4,AND(O$12="",$B45&lt;&gt;"Empty"),OFFSET(O$1,0,-1)=0))</formula>
    </cfRule>
    <cfRule type="expression" dxfId="230" priority="32" stopIfTrue="1">
      <formula>AND($B45=1,O$1=1)</formula>
    </cfRule>
  </conditionalFormatting>
  <conditionalFormatting sqref="N45">
    <cfRule type="expression" dxfId="229" priority="21">
      <formula>$J45="►"</formula>
    </cfRule>
  </conditionalFormatting>
  <conditionalFormatting sqref="Q45:AA45">
    <cfRule type="expression" dxfId="228" priority="20">
      <formula>Q45&lt;&gt;ROUND(Q45,2)</formula>
    </cfRule>
  </conditionalFormatting>
  <conditionalFormatting sqref="H45">
    <cfRule type="expression" dxfId="227" priority="18" stopIfTrue="1">
      <formula>$B45=1</formula>
    </cfRule>
    <cfRule type="expression" dxfId="226" priority="19" stopIfTrue="1">
      <formula>OR($B45=0,$B45=2,$B45=3,$B45=4)</formula>
    </cfRule>
  </conditionalFormatting>
  <conditionalFormatting sqref="H45">
    <cfRule type="expression" dxfId="225" priority="17">
      <formula>$J45="►S"</formula>
    </cfRule>
  </conditionalFormatting>
  <conditionalFormatting sqref="D46:G46 I46">
    <cfRule type="expression" dxfId="224" priority="7" stopIfTrue="1">
      <formula>$B46=1</formula>
    </cfRule>
    <cfRule type="expression" dxfId="223" priority="8" stopIfTrue="1">
      <formula>OR($B46=0,$B46=2,$B46=3,$B46=4)</formula>
    </cfRule>
  </conditionalFormatting>
  <conditionalFormatting sqref="M46:N46">
    <cfRule type="expression" dxfId="222" priority="9" stopIfTrue="1">
      <formula>ACOMPANHAMENTO="BM"</formula>
    </cfRule>
    <cfRule type="expression" dxfId="221" priority="10" stopIfTrue="1">
      <formula>OR($B46=0,$B46=2,$B46=3,$B46=4)</formula>
    </cfRule>
    <cfRule type="expression" dxfId="220" priority="11" stopIfTrue="1">
      <formula>$B46=1</formula>
    </cfRule>
  </conditionalFormatting>
  <conditionalFormatting sqref="K46">
    <cfRule type="expression" dxfId="219" priority="12" stopIfTrue="1">
      <formula>OR(ACOMPANHAMENTO="BM",$A$12&lt;&gt;"Manual")</formula>
    </cfRule>
    <cfRule type="expression" dxfId="218" priority="13" stopIfTrue="1">
      <formula>$B46=1</formula>
    </cfRule>
    <cfRule type="expression" dxfId="217" priority="14" stopIfTrue="1">
      <formula>OR($B46=2,$B46=3,$B46=4,$B46=0)</formula>
    </cfRule>
  </conditionalFormatting>
  <conditionalFormatting sqref="O46:AA46">
    <cfRule type="expression" dxfId="216" priority="6" stopIfTrue="1">
      <formula>ACOMPANHAMENTO="BM"</formula>
    </cfRule>
    <cfRule type="expression" dxfId="215" priority="15" stopIfTrue="1">
      <formula>AND(O$12&lt;&gt;".",OR($B46=0,$B46=2,$B46=3,$B46=4,AND(O$12="",$B46&lt;&gt;"Empty"),OFFSET(O$1,0,-1)=0))</formula>
    </cfRule>
    <cfRule type="expression" dxfId="214" priority="16" stopIfTrue="1">
      <formula>AND($B46=1,O$1=1)</formula>
    </cfRule>
  </conditionalFormatting>
  <conditionalFormatting sqref="N46">
    <cfRule type="expression" dxfId="213" priority="5">
      <formula>$J46="►"</formula>
    </cfRule>
  </conditionalFormatting>
  <conditionalFormatting sqref="Q46:AA46">
    <cfRule type="expression" dxfId="212" priority="4">
      <formula>Q46&lt;&gt;ROUND(Q46,2)</formula>
    </cfRule>
  </conditionalFormatting>
  <conditionalFormatting sqref="H46">
    <cfRule type="expression" dxfId="211" priority="2" stopIfTrue="1">
      <formula>$B46=1</formula>
    </cfRule>
    <cfRule type="expression" dxfId="210" priority="3" stopIfTrue="1">
      <formula>OR($B46=0,$B46=2,$B46=3,$B46=4)</formula>
    </cfRule>
  </conditionalFormatting>
  <conditionalFormatting sqref="H46">
    <cfRule type="expression" dxfId="209" priority="1">
      <formula>$J46="►S"</formula>
    </cfRule>
  </conditionalFormatting>
  <dataValidations count="4">
    <dataValidation type="decimal" operator="greaterThan" allowBlank="1" showErrorMessage="1" error="Apenas números decimais maiores que zero." sqref="O14 Q14:Z14 Q16:Z46 O16:O46"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46"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46"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portrait" r:id="rId1"/>
  <headerFooter alignWithMargins="0">
    <oddHeader>&amp;C&amp;14I</oddHeader>
    <oddFooter>&amp;LPMv3.16&amp;R&amp;P / &amp;N</oddFooter>
  </headerFooter>
  <rowBreaks count="1" manualBreakCount="1">
    <brk id="38" min="4" max="8" man="1"/>
  </rowBreaks>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IF(AUTOEVENTO="Manual",IF(EVENTOS!$F1&gt;0,"F",""),IF(AND(B1&gt;0,B1&lt;=MAX(CÁLCULO!$M$15:$M$47)),"F",""))</f>
        <v>#REF!</v>
      </c>
      <c r="B1" s="247" t="e">
        <f ca="1">OFFSET(B1,-1,0)+1</f>
        <v>#REF!</v>
      </c>
      <c r="C1" s="514" t="e">
        <f ca="1">IF(AUTOEVENTO="Manual",IF($B1&gt;0,OFFSET(EVENTOS!$D$15,$B1-$B$15,0),0),IF(B1&lt;=MAX(CÁLCULO!$M$15:$M$47),VLOOKUP($B1,CÁLCULO!$M$15:$N$47,2,FALSE),0))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1" t="s">
        <v>757</v>
      </c>
      <c r="AD2" s="752"/>
      <c r="AE2" s="753"/>
    </row>
    <row r="3" spans="1:31" ht="12.75" customHeight="1" x14ac:dyDescent="0.2">
      <c r="G3" s="82"/>
      <c r="AD3" s="483"/>
      <c r="AE3" s="483"/>
    </row>
    <row r="4" spans="1:31" ht="12.75" customHeight="1" x14ac:dyDescent="0.2">
      <c r="B4" s="683" t="s">
        <v>652</v>
      </c>
      <c r="C4" s="683"/>
      <c r="D4" s="683"/>
      <c r="G4" s="721" t="s">
        <v>650</v>
      </c>
      <c r="H4" s="721"/>
      <c r="I4" s="721"/>
      <c r="J4" s="721" t="s">
        <v>707</v>
      </c>
      <c r="K4" s="721"/>
      <c r="L4" s="721"/>
      <c r="M4" s="208" t="s">
        <v>758</v>
      </c>
      <c r="N4" s="212"/>
      <c r="P4" s="186"/>
      <c r="Q4" s="186"/>
      <c r="R4" s="186"/>
      <c r="U4" s="484"/>
      <c r="V4" s="186"/>
      <c r="W4" s="186"/>
      <c r="X4" s="186"/>
      <c r="Y4" s="186"/>
      <c r="AD4" s="483"/>
      <c r="AE4" s="485"/>
    </row>
    <row r="5" spans="1:31" ht="12.75" customHeight="1" x14ac:dyDescent="0.2">
      <c r="B5" s="680" t="str">
        <f>Import.Proponente</f>
        <v>PRFEITURA MUNICIPAL DE PASSOS</v>
      </c>
      <c r="C5" s="680"/>
      <c r="D5" s="680"/>
      <c r="G5" s="719">
        <f>Import.CR</f>
        <v>0</v>
      </c>
      <c r="H5" s="719"/>
      <c r="I5" s="719"/>
      <c r="J5" s="719">
        <f>Import.SICONV</f>
        <v>0</v>
      </c>
      <c r="K5" s="719"/>
      <c r="L5" s="719"/>
      <c r="M5" s="732" t="str">
        <f>Import.Apelido</f>
        <v>PRAÇA SÃO FRANCISCO</v>
      </c>
      <c r="N5" s="733"/>
      <c r="O5" s="733"/>
      <c r="P5" s="733"/>
      <c r="Q5" s="733"/>
      <c r="R5" s="733"/>
      <c r="S5" s="733"/>
      <c r="T5" s="733"/>
      <c r="U5" s="733"/>
      <c r="V5" s="733"/>
      <c r="W5" s="733"/>
      <c r="X5" s="733"/>
      <c r="Y5" s="733"/>
      <c r="Z5" s="733"/>
      <c r="AA5" s="733"/>
      <c r="AB5" s="733"/>
      <c r="AC5" s="733"/>
      <c r="AD5" s="733"/>
      <c r="AE5" s="754"/>
    </row>
    <row r="6" spans="1:31" ht="14.25" customHeight="1" x14ac:dyDescent="0.25">
      <c r="B6" s="249" t="str" cm="1">
        <f t="array" aca="1" ref="B6" ca="1">IF(ACOMPANHAMENTO="BM","NO ACOMPANHAMENTO POR BM, UTILIZE A ABA CRONO",
  IF(MAX($B$14:$B$65)&lt;MAX(CÁLCULO!$M$15:$M$47),"ERRO: NÚMERO DE EVENTOS INSUFICIENTE, CLIQUE EM ATUALIZAR LINHAS",
  IF(ROUND(OFFSET(CRONO!$AG$45,0,-1),2)&lt;&gt;CRONO!$R$36,"ERRO: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28"/>
      <c r="C8" s="729"/>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MATCH(VALUE(A8),CÁLCULO!$M$15:$M$47,0)-2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59" t="s">
        <v>760</v>
      </c>
      <c r="C12" s="759"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59"/>
      <c r="C13" s="759"/>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IF(AUTOEVENTO="Manual",IF(EVENTOS!$F15&gt;0,"F",""),IF(AND(B15&gt;0,B15&lt;=MAX(CÁLCULO!$M$15:$M$47)),"F",""))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IF(AUTOEVENTO="Manual",IF(EVENTOS!$F16&gt;0,"F",""),IF(AND(B16&gt;0,B16&lt;=MAX(CÁLCULO!$M$15:$M$47)),"F",""))</f>
        <v>F</v>
      </c>
      <c r="B16" s="247">
        <f t="shared" ref="B16:B64" ca="1" si="1">OFFSET(B16,-1,0)+1</f>
        <v>1</v>
      </c>
      <c r="C16" s="514" t="str">
        <f ca="1">IF(AUTOEVENTO="Manual",IF($B16&gt;0,OFFSET(EVENTOS!$D$15,$B16-$B$15,0),0),IF(B16&lt;=MAX(CÁLCULO!$M$15:$M$47),VLOOKUP($B16,CÁLCULO!$M$15:$N$47,2,FALSE),0))</f>
        <v>PLACA DA OBRA</v>
      </c>
      <c r="D16" s="554"/>
      <c r="E16" s="248"/>
      <c r="F16" t="str">
        <f t="shared" ref="F16:F64" ca="1" si="2">IF($C16=0,"",CONCATENATE($B16,". ",$C16))</f>
        <v>1. PLACA DA OBRA</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IF(AUTOEVENTO="Manual",IF(EVENTOS!$F17&gt;0,"F",""),IF(AND(B17&gt;0,B17&lt;=MAX(CÁLCULO!$M$15:$M$47)),"F",""))</f>
        <v>F</v>
      </c>
      <c r="B17" s="247">
        <f t="shared" ca="1" si="1"/>
        <v>2</v>
      </c>
      <c r="C17" s="514" t="str">
        <f ca="1">IF(AUTOEVENTO="Manual",IF($B17&gt;0,OFFSET(EVENTOS!$D$15,$B17-$B$15,0),0),IF(B17&lt;=MAX(CÁLCULO!$M$15:$M$47),VLOOKUP($B17,CÁLCULO!$M$15:$N$47,2,FALSE),0))</f>
        <v>CANTEIRO DE OBRAS</v>
      </c>
      <c r="D17" s="554"/>
      <c r="E17" s="248"/>
      <c r="F17" t="str">
        <f t="shared" ca="1" si="2"/>
        <v>2. CANTEIRO DE OBRAS</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IF(AUTOEVENTO="Manual",IF(EVENTOS!$F18&gt;0,"F",""),IF(AND(B18&gt;0,B18&lt;=MAX(CÁLCULO!$M$15:$M$47)),"F",""))</f>
        <v>F</v>
      </c>
      <c r="B18" s="247">
        <f t="shared" ca="1" si="1"/>
        <v>3</v>
      </c>
      <c r="C18" s="514" t="str">
        <f ca="1">IF(AUTOEVENTO="Manual",IF($B18&gt;0,OFFSET(EVENTOS!$D$15,$B18-$B$15,0),0),IF(B18&lt;=MAX(CÁLCULO!$M$15:$M$47),VLOOKUP($B18,CÁLCULO!$M$15:$N$47,2,FALSE),0))</f>
        <v>DEMOLIÇÃO</v>
      </c>
      <c r="D18" s="554"/>
      <c r="E18" s="248"/>
      <c r="F18" t="str">
        <f t="shared" ca="1" si="2"/>
        <v>3. DEMOLIÇÃO</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IF(AUTOEVENTO="Manual",IF(EVENTOS!$F19&gt;0,"F",""),IF(AND(B19&gt;0,B19&lt;=MAX(CÁLCULO!$M$15:$M$47)),"F",""))</f>
        <v>F</v>
      </c>
      <c r="B19" s="247">
        <f t="shared" ca="1" si="1"/>
        <v>4</v>
      </c>
      <c r="C19" s="514" t="str">
        <f ca="1">IF(AUTOEVENTO="Manual",IF($B19&gt;0,OFFSET(EVENTOS!$D$15,$B19-$B$15,0),0),IF(B19&lt;=MAX(CÁLCULO!$M$15:$M$47),VLOOKUP($B19,CÁLCULO!$M$15:$N$47,2,FALSE),0))</f>
        <v>CONSTRUÇÃO</v>
      </c>
      <c r="D19" s="554"/>
      <c r="E19" s="248"/>
      <c r="F19" t="str">
        <f t="shared" ca="1" si="2"/>
        <v>4. CONSTRUÇÃO</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IF(AUTOEVENTO="Manual",IF(EVENTOS!$F20&gt;0,"F",""),IF(AND(B20&gt;0,B20&lt;=MAX(CÁLCULO!$M$15:$M$47)),"F",""))</f>
        <v>F</v>
      </c>
      <c r="B20" s="247">
        <f t="shared" ca="1" si="1"/>
        <v>5</v>
      </c>
      <c r="C20" s="514" t="str">
        <f ca="1">IF(AUTOEVENTO="Manual",IF($B20&gt;0,OFFSET(EVENTOS!$D$15,$B20-$B$15,0),0),IF(B20&lt;=MAX(CÁLCULO!$M$15:$M$47),VLOOKUP($B20,CÁLCULO!$M$15:$N$47,2,FALSE),0))</f>
        <v>ILUMINAÇÃO</v>
      </c>
      <c r="D20" s="554"/>
      <c r="E20" s="248"/>
      <c r="F20" t="str">
        <f t="shared" ca="1" si="2"/>
        <v>5. ILUMINAÇÃO</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IF(AUTOEVENTO="Manual",IF(EVENTOS!$F21&gt;0,"F",""),IF(AND(B21&gt;0,B21&lt;=MAX(CÁLCULO!$M$15:$M$47)),"F",""))</f>
        <v>F</v>
      </c>
      <c r="B21" s="247">
        <f t="shared" ca="1" si="1"/>
        <v>6</v>
      </c>
      <c r="C21" s="514" t="str">
        <f ca="1">IF(AUTOEVENTO="Manual",IF($B21&gt;0,OFFSET(EVENTOS!$D$15,$B21-$B$15,0),0),IF(B21&lt;=MAX(CÁLCULO!$M$15:$M$47),VLOOKUP($B21,CÁLCULO!$M$15:$N$47,2,FALSE),0))</f>
        <v>ENTREGA FINAL DA OBRA</v>
      </c>
      <c r="D21" s="554"/>
      <c r="E21" s="248"/>
      <c r="F21" t="str">
        <f t="shared" ca="1" si="2"/>
        <v>6. ENTREGA FINAL DA OBRA</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IF(AUTOEVENTO="Manual",IF(EVENTOS!$F22&gt;0,"F",""),IF(AND(B22&gt;0,B22&lt;=MAX(CÁLCULO!$M$15:$M$47)),"F",""))</f>
        <v/>
      </c>
      <c r="B22" s="247">
        <f t="shared" ca="1" si="1"/>
        <v>7</v>
      </c>
      <c r="C22" s="514">
        <f ca="1">IF(AUTOEVENTO="Manual",IF($B22&gt;0,OFFSET(EVENTOS!$D$15,$B22-$B$15,0),0),IF(B22&lt;=MAX(CÁLCULO!$M$15:$M$47),VLOOKUP($B22,CÁLCULO!$M$15:$N$47,2,FALSE),0))</f>
        <v>0</v>
      </c>
      <c r="D22" s="554"/>
      <c r="E22" s="248"/>
      <c r="F22" t="str">
        <f t="shared" ca="1" si="2"/>
        <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IF(AUTOEVENTO="Manual",IF(EVENTOS!$F23&gt;0,"F",""),IF(AND(B23&gt;0,B23&lt;=MAX(CÁLCULO!$M$15:$M$47)),"F",""))</f>
        <v/>
      </c>
      <c r="B23" s="247">
        <f t="shared" ca="1" si="1"/>
        <v>8</v>
      </c>
      <c r="C23" s="514">
        <f ca="1">IF(AUTOEVENTO="Manual",IF($B23&gt;0,OFFSET(EVENTOS!$D$15,$B23-$B$15,0),0),IF(B23&lt;=MAX(CÁLCULO!$M$15:$M$47),VLOOKUP($B23,CÁLCULO!$M$15:$N$47,2,FALSE),0))</f>
        <v>0</v>
      </c>
      <c r="D23" s="554"/>
      <c r="E23" s="248"/>
      <c r="F23" t="str">
        <f t="shared" ca="1" si="2"/>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IF(AUTOEVENTO="Manual",IF(EVENTOS!$F24&gt;0,"F",""),IF(AND(B24&gt;0,B24&lt;=MAX(CÁLCULO!$M$15:$M$47)),"F",""))</f>
        <v/>
      </c>
      <c r="B24" s="247">
        <f t="shared" ca="1" si="1"/>
        <v>9</v>
      </c>
      <c r="C24" s="514">
        <f ca="1">IF(AUTOEVENTO="Manual",IF($B24&gt;0,OFFSET(EVENTOS!$D$15,$B24-$B$15,0),0),IF(B24&lt;=MAX(CÁLCULO!$M$15:$M$47),VLOOKUP($B24,CÁLCULO!$M$15:$N$47,2,FALSE),0))</f>
        <v>0</v>
      </c>
      <c r="D24" s="554"/>
      <c r="E24" s="248"/>
      <c r="F24" t="str">
        <f t="shared" ca="1" si="2"/>
        <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IF(AUTOEVENTO="Manual",IF(EVENTOS!$F25&gt;0,"F",""),IF(AND(B25&gt;0,B25&lt;=MAX(CÁLCULO!$M$15:$M$47)),"F",""))</f>
        <v/>
      </c>
      <c r="B25" s="247">
        <f t="shared" ca="1" si="1"/>
        <v>10</v>
      </c>
      <c r="C25" s="514">
        <f ca="1">IF(AUTOEVENTO="Manual",IF($B25&gt;0,OFFSET(EVENTOS!$D$15,$B25-$B$15,0),0),IF(B25&lt;=MAX(CÁLCULO!$M$15:$M$47),VLOOKUP($B25,CÁLCULO!$M$15:$N$47,2,FALSE),0))</f>
        <v>0</v>
      </c>
      <c r="D25" s="554"/>
      <c r="E25" s="248"/>
      <c r="F25" t="str">
        <f t="shared" ca="1" si="2"/>
        <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x14ac:dyDescent="0.2">
      <c r="A26" s="7" t="str">
        <f ca="1">IF(AUTOEVENTO="Manual",IF(EVENTOS!$F26&gt;0,"F",""),IF(AND(B26&gt;0,B26&lt;=MAX(CÁLCULO!$M$15:$M$47)),"F",""))</f>
        <v/>
      </c>
      <c r="B26" s="247">
        <f t="shared" ca="1" si="1"/>
        <v>11</v>
      </c>
      <c r="C26" s="514">
        <f ca="1">IF(AUTOEVENTO="Manual",IF($B26&gt;0,OFFSET(EVENTOS!$D$15,$B26-$B$15,0),0),IF(B26&lt;=MAX(CÁLCULO!$M$15:$M$47),VLOOKUP($B26,CÁLCULO!$M$15:$N$47,2,FALSE),0))</f>
        <v>0</v>
      </c>
      <c r="D26" s="554"/>
      <c r="E26" s="248"/>
      <c r="F26" t="str">
        <f t="shared" ca="1" si="2"/>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x14ac:dyDescent="0.2">
      <c r="A27" s="7" t="str">
        <f ca="1">IF(AUTOEVENTO="Manual",IF(EVENTOS!$F27&gt;0,"F",""),IF(AND(B27&gt;0,B27&lt;=MAX(CÁLCULO!$M$15:$M$47)),"F",""))</f>
        <v/>
      </c>
      <c r="B27" s="247">
        <f t="shared" ca="1" si="1"/>
        <v>12</v>
      </c>
      <c r="C27" s="514">
        <f ca="1">IF(AUTOEVENTO="Manual",IF($B27&gt;0,OFFSET(EVENTOS!$D$15,$B27-$B$15,0),0),IF(B27&lt;=MAX(CÁLCULO!$M$15:$M$47),VLOOKUP($B27,CÁLCULO!$M$15:$N$47,2,FALSE),0))</f>
        <v>0</v>
      </c>
      <c r="D27" s="554"/>
      <c r="E27" s="248"/>
      <c r="F27"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x14ac:dyDescent="0.2">
      <c r="A28" s="7" t="str">
        <f ca="1">IF(AUTOEVENTO="Manual",IF(EVENTOS!$F28&gt;0,"F",""),IF(AND(B28&gt;0,B28&lt;=MAX(CÁLCULO!$M$15:$M$47)),"F",""))</f>
        <v/>
      </c>
      <c r="B28" s="247">
        <f t="shared" ca="1" si="1"/>
        <v>13</v>
      </c>
      <c r="C28" s="514">
        <f ca="1">IF(AUTOEVENTO="Manual",IF($B28&gt;0,OFFSET(EVENTOS!$D$15,$B28-$B$15,0),0),IF(B28&lt;=MAX(CÁLCULO!$M$15:$M$47),VLOOKUP($B28,CÁLCULO!$M$15:$N$47,2,FALSE),0))</f>
        <v>0</v>
      </c>
      <c r="D28" s="554"/>
      <c r="E28" s="248"/>
      <c r="F2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x14ac:dyDescent="0.2">
      <c r="A29" s="7" t="str">
        <f ca="1">IF(AUTOEVENTO="Manual",IF(EVENTOS!$F29&gt;0,"F",""),IF(AND(B29&gt;0,B29&lt;=MAX(CÁLCULO!$M$15:$M$47)),"F",""))</f>
        <v/>
      </c>
      <c r="B29" s="247">
        <f t="shared" ca="1" si="1"/>
        <v>14</v>
      </c>
      <c r="C29" s="514">
        <f ca="1">IF(AUTOEVENTO="Manual",IF($B29&gt;0,OFFSET(EVENTOS!$D$15,$B29-$B$15,0),0),IF(B29&lt;=MAX(CÁLCULO!$M$15:$M$47),VLOOKUP($B29,CÁLCULO!$M$15:$N$47,2,FALSE),0))</f>
        <v>0</v>
      </c>
      <c r="D29" s="554"/>
      <c r="E29" s="248"/>
      <c r="F29"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x14ac:dyDescent="0.2">
      <c r="A30" s="7" t="str">
        <f ca="1">IF(AUTOEVENTO="Manual",IF(EVENTOS!$F30&gt;0,"F",""),IF(AND(B30&gt;0,B30&lt;=MAX(CÁLCULO!$M$15:$M$47)),"F",""))</f>
        <v/>
      </c>
      <c r="B30" s="247">
        <f t="shared" ca="1" si="1"/>
        <v>15</v>
      </c>
      <c r="C30" s="514">
        <f ca="1">IF(AUTOEVENTO="Manual",IF($B30&gt;0,OFFSET(EVENTOS!$D$15,$B30-$B$15,0),0),IF(B30&lt;=MAX(CÁLCULO!$M$15:$M$47),VLOOKUP($B30,CÁLCULO!$M$15:$N$47,2,FALSE),0))</f>
        <v>0</v>
      </c>
      <c r="D30" s="554"/>
      <c r="E30" s="248"/>
      <c r="F30"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x14ac:dyDescent="0.2">
      <c r="A31" s="7" t="str">
        <f ca="1">IF(AUTOEVENTO="Manual",IF(EVENTOS!$F31&gt;0,"F",""),IF(AND(B31&gt;0,B31&lt;=MAX(CÁLCULO!$M$15:$M$47)),"F",""))</f>
        <v/>
      </c>
      <c r="B31" s="247">
        <f t="shared" ca="1" si="1"/>
        <v>16</v>
      </c>
      <c r="C31" s="514">
        <f ca="1">IF(AUTOEVENTO="Manual",IF($B31&gt;0,OFFSET(EVENTOS!$D$15,$B31-$B$15,0),0),IF(B31&lt;=MAX(CÁLCULO!$M$15:$M$47),VLOOKUP($B31,CÁLCULO!$M$15:$N$47,2,FALSE),0))</f>
        <v>0</v>
      </c>
      <c r="D31" s="554"/>
      <c r="E31" s="248"/>
      <c r="F31"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x14ac:dyDescent="0.2">
      <c r="A32" s="7" t="str">
        <f ca="1">IF(AUTOEVENTO="Manual",IF(EVENTOS!$F32&gt;0,"F",""),IF(AND(B32&gt;0,B32&lt;=MAX(CÁLCULO!$M$15:$M$47)),"F",""))</f>
        <v/>
      </c>
      <c r="B32" s="247">
        <f t="shared" ca="1" si="1"/>
        <v>17</v>
      </c>
      <c r="C32" s="514">
        <f ca="1">IF(AUTOEVENTO="Manual",IF($B32&gt;0,OFFSET(EVENTOS!$D$15,$B32-$B$15,0),0),IF(B32&lt;=MAX(CÁLCULO!$M$15:$M$47),VLOOKUP($B32,CÁLCULO!$M$15:$N$47,2,FALSE),0))</f>
        <v>0</v>
      </c>
      <c r="D32" s="554"/>
      <c r="E32" s="248"/>
      <c r="F32"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x14ac:dyDescent="0.2">
      <c r="A33" s="7" t="str">
        <f ca="1">IF(AUTOEVENTO="Manual",IF(EVENTOS!$F33&gt;0,"F",""),IF(AND(B33&gt;0,B33&lt;=MAX(CÁLCULO!$M$15:$M$47)),"F",""))</f>
        <v/>
      </c>
      <c r="B33" s="247">
        <f t="shared" ca="1" si="1"/>
        <v>18</v>
      </c>
      <c r="C33" s="514">
        <f ca="1">IF(AUTOEVENTO="Manual",IF($B33&gt;0,OFFSET(EVENTOS!$D$15,$B33-$B$15,0),0),IF(B33&lt;=MAX(CÁLCULO!$M$15:$M$47),VLOOKUP($B33,CÁLCULO!$M$15:$N$47,2,FALSE),0))</f>
        <v>0</v>
      </c>
      <c r="D33" s="554"/>
      <c r="E33" s="248"/>
      <c r="F33"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x14ac:dyDescent="0.2">
      <c r="A34" s="7" t="str">
        <f ca="1">IF(AUTOEVENTO="Manual",IF(EVENTOS!$F34&gt;0,"F",""),IF(AND(B34&gt;0,B34&lt;=MAX(CÁLCULO!$M$15:$M$47)),"F",""))</f>
        <v/>
      </c>
      <c r="B34" s="247">
        <f t="shared" ca="1" si="1"/>
        <v>19</v>
      </c>
      <c r="C34" s="514">
        <f ca="1">IF(AUTOEVENTO="Manual",IF($B34&gt;0,OFFSET(EVENTOS!$D$15,$B34-$B$15,0),0),IF(B34&lt;=MAX(CÁLCULO!$M$15:$M$47),VLOOKUP($B34,CÁLCULO!$M$15:$N$47,2,FALSE),0))</f>
        <v>0</v>
      </c>
      <c r="D34" s="554"/>
      <c r="E34" s="248"/>
      <c r="F34"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x14ac:dyDescent="0.2">
      <c r="A35" s="7" t="str">
        <f ca="1">IF(AUTOEVENTO="Manual",IF(EVENTOS!$F35&gt;0,"F",""),IF(AND(B35&gt;0,B35&lt;=MAX(CÁLCULO!$M$15:$M$47)),"F",""))</f>
        <v/>
      </c>
      <c r="B35" s="247">
        <f t="shared" ca="1" si="1"/>
        <v>20</v>
      </c>
      <c r="C35" s="514">
        <f ca="1">IF(AUTOEVENTO="Manual",IF($B35&gt;0,OFFSET(EVENTOS!$D$15,$B35-$B$15,0),0),IF(B35&lt;=MAX(CÁLCULO!$M$15:$M$47),VLOOKUP($B35,CÁLCULO!$M$15:$N$47,2,FALSE),0))</f>
        <v>0</v>
      </c>
      <c r="D35" s="554"/>
      <c r="E35" s="248"/>
      <c r="F35"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x14ac:dyDescent="0.2">
      <c r="A36" s="7" t="str">
        <f ca="1">IF(AUTOEVENTO="Manual",IF(EVENTOS!$F36&gt;0,"F",""),IF(AND(B36&gt;0,B36&lt;=MAX(CÁLCULO!$M$15:$M$47)),"F",""))</f>
        <v/>
      </c>
      <c r="B36" s="247">
        <f t="shared" ca="1" si="1"/>
        <v>21</v>
      </c>
      <c r="C36" s="514">
        <f ca="1">IF(AUTOEVENTO="Manual",IF($B36&gt;0,OFFSET(EVENTOS!$D$15,$B36-$B$15,0),0),IF(B36&lt;=MAX(CÁLCULO!$M$15:$M$47),VLOOKUP($B36,CÁLCULO!$M$15:$N$47,2,FALSE),0))</f>
        <v>0</v>
      </c>
      <c r="D36" s="554"/>
      <c r="E36" s="248"/>
      <c r="F36"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x14ac:dyDescent="0.2">
      <c r="A37" s="7" t="str">
        <f ca="1">IF(AUTOEVENTO="Manual",IF(EVENTOS!$F37&gt;0,"F",""),IF(AND(B37&gt;0,B37&lt;=MAX(CÁLCULO!$M$15:$M$47)),"F",""))</f>
        <v/>
      </c>
      <c r="B37" s="247">
        <f t="shared" ca="1" si="1"/>
        <v>22</v>
      </c>
      <c r="C37" s="514">
        <f ca="1">IF(AUTOEVENTO="Manual",IF($B37&gt;0,OFFSET(EVENTOS!$D$15,$B37-$B$15,0),0),IF(B37&lt;=MAX(CÁLCULO!$M$15:$M$47),VLOOKUP($B37,CÁLCULO!$M$15:$N$47,2,FALSE),0))</f>
        <v>0</v>
      </c>
      <c r="D37" s="554"/>
      <c r="E37" s="248"/>
      <c r="F37"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x14ac:dyDescent="0.2">
      <c r="A38" s="7" t="str">
        <f ca="1">IF(AUTOEVENTO="Manual",IF(EVENTOS!$F38&gt;0,"F",""),IF(AND(B38&gt;0,B38&lt;=MAX(CÁLCULO!$M$15:$M$47)),"F",""))</f>
        <v/>
      </c>
      <c r="B38" s="247">
        <f t="shared" ca="1" si="1"/>
        <v>23</v>
      </c>
      <c r="C38" s="514">
        <f ca="1">IF(AUTOEVENTO="Manual",IF($B38&gt;0,OFFSET(EVENTOS!$D$15,$B38-$B$15,0),0),IF(B38&lt;=MAX(CÁLCULO!$M$15:$M$47),VLOOKUP($B38,CÁLCULO!$M$15:$N$47,2,FALSE),0))</f>
        <v>0</v>
      </c>
      <c r="D38" s="554"/>
      <c r="E38" s="248"/>
      <c r="F3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x14ac:dyDescent="0.2">
      <c r="A39" s="7" t="str">
        <f ca="1">IF(AUTOEVENTO="Manual",IF(EVENTOS!$F39&gt;0,"F",""),IF(AND(B39&gt;0,B39&lt;=MAX(CÁLCULO!$M$15:$M$47)),"F",""))</f>
        <v/>
      </c>
      <c r="B39" s="247">
        <f t="shared" ca="1" si="1"/>
        <v>24</v>
      </c>
      <c r="C39" s="514">
        <f ca="1">IF(AUTOEVENTO="Manual",IF($B39&gt;0,OFFSET(EVENTOS!$D$15,$B39-$B$15,0),0),IF(B39&lt;=MAX(CÁLCULO!$M$15:$M$47),VLOOKUP($B39,CÁLCULO!$M$15:$N$47,2,FALSE),0))</f>
        <v>0</v>
      </c>
      <c r="D39" s="554"/>
      <c r="E39" s="248"/>
      <c r="F39"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x14ac:dyDescent="0.2">
      <c r="A40" s="7" t="str">
        <f ca="1">IF(AUTOEVENTO="Manual",IF(EVENTOS!$F40&gt;0,"F",""),IF(AND(B40&gt;0,B40&lt;=MAX(CÁLCULO!$M$15:$M$47)),"F",""))</f>
        <v/>
      </c>
      <c r="B40" s="247">
        <f t="shared" ca="1" si="1"/>
        <v>25</v>
      </c>
      <c r="C40" s="514">
        <f ca="1">IF(AUTOEVENTO="Manual",IF($B40&gt;0,OFFSET(EVENTOS!$D$15,$B40-$B$15,0),0),IF(B40&lt;=MAX(CÁLCULO!$M$15:$M$47),VLOOKUP($B40,CÁLCULO!$M$15:$N$47,2,FALSE),0))</f>
        <v>0</v>
      </c>
      <c r="D40" s="554"/>
      <c r="E40" s="248"/>
      <c r="F40"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x14ac:dyDescent="0.2">
      <c r="A41" s="7" t="str">
        <f ca="1">IF(AUTOEVENTO="Manual",IF(EVENTOS!$F41&gt;0,"F",""),IF(AND(B41&gt;0,B41&lt;=MAX(CÁLCULO!$M$15:$M$47)),"F",""))</f>
        <v/>
      </c>
      <c r="B41" s="247">
        <f t="shared" ca="1" si="1"/>
        <v>26</v>
      </c>
      <c r="C41" s="514">
        <f ca="1">IF(AUTOEVENTO="Manual",IF($B41&gt;0,OFFSET(EVENTOS!$D$15,$B41-$B$15,0),0),IF(B41&lt;=MAX(CÁLCULO!$M$15:$M$47),VLOOKUP($B41,CÁLCULO!$M$15:$N$47,2,FALSE),0))</f>
        <v>0</v>
      </c>
      <c r="D41" s="554"/>
      <c r="E41" s="248"/>
      <c r="F41"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x14ac:dyDescent="0.2">
      <c r="A42" s="7" t="str">
        <f ca="1">IF(AUTOEVENTO="Manual",IF(EVENTOS!$F42&gt;0,"F",""),IF(AND(B42&gt;0,B42&lt;=MAX(CÁLCULO!$M$15:$M$47)),"F",""))</f>
        <v/>
      </c>
      <c r="B42" s="247">
        <f t="shared" ca="1" si="1"/>
        <v>27</v>
      </c>
      <c r="C42" s="514">
        <f ca="1">IF(AUTOEVENTO="Manual",IF($B42&gt;0,OFFSET(EVENTOS!$D$15,$B42-$B$15,0),0),IF(B42&lt;=MAX(CÁLCULO!$M$15:$M$47),VLOOKUP($B42,CÁLCULO!$M$15:$N$47,2,FALSE),0))</f>
        <v>0</v>
      </c>
      <c r="D42" s="554"/>
      <c r="E42" s="248"/>
      <c r="F42"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x14ac:dyDescent="0.2">
      <c r="A43" s="7" t="str">
        <f ca="1">IF(AUTOEVENTO="Manual",IF(EVENTOS!$F43&gt;0,"F",""),IF(AND(B43&gt;0,B43&lt;=MAX(CÁLCULO!$M$15:$M$47)),"F",""))</f>
        <v/>
      </c>
      <c r="B43" s="247">
        <f t="shared" ca="1" si="1"/>
        <v>28</v>
      </c>
      <c r="C43" s="514">
        <f ca="1">IF(AUTOEVENTO="Manual",IF($B43&gt;0,OFFSET(EVENTOS!$D$15,$B43-$B$15,0),0),IF(B43&lt;=MAX(CÁLCULO!$M$15:$M$47),VLOOKUP($B43,CÁLCULO!$M$15:$N$47,2,FALSE),0))</f>
        <v>0</v>
      </c>
      <c r="D43" s="554"/>
      <c r="E43" s="248"/>
      <c r="F43"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x14ac:dyDescent="0.2">
      <c r="A44" s="7" t="str">
        <f ca="1">IF(AUTOEVENTO="Manual",IF(EVENTOS!$F44&gt;0,"F",""),IF(AND(B44&gt;0,B44&lt;=MAX(CÁLCULO!$M$15:$M$47)),"F",""))</f>
        <v/>
      </c>
      <c r="B44" s="247">
        <f t="shared" ca="1" si="1"/>
        <v>29</v>
      </c>
      <c r="C44" s="514">
        <f ca="1">IF(AUTOEVENTO="Manual",IF($B44&gt;0,OFFSET(EVENTOS!$D$15,$B44-$B$15,0),0),IF(B44&lt;=MAX(CÁLCULO!$M$15:$M$47),VLOOKUP($B44,CÁLCULO!$M$15:$N$47,2,FALSE),0))</f>
        <v>0</v>
      </c>
      <c r="D44" s="554"/>
      <c r="E44" s="248"/>
      <c r="F44"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x14ac:dyDescent="0.2">
      <c r="A45" s="7" t="str">
        <f ca="1">IF(AUTOEVENTO="Manual",IF(EVENTOS!$F45&gt;0,"F",""),IF(AND(B45&gt;0,B45&lt;=MAX(CÁLCULO!$M$15:$M$47)),"F",""))</f>
        <v/>
      </c>
      <c r="B45" s="247">
        <f t="shared" ca="1" si="1"/>
        <v>30</v>
      </c>
      <c r="C45" s="514">
        <f ca="1">IF(AUTOEVENTO="Manual",IF($B45&gt;0,OFFSET(EVENTOS!$D$15,$B45-$B$15,0),0),IF(B45&lt;=MAX(CÁLCULO!$M$15:$M$47),VLOOKUP($B45,CÁLCULO!$M$15:$N$47,2,FALSE),0))</f>
        <v>0</v>
      </c>
      <c r="D45" s="554"/>
      <c r="E45" s="248"/>
      <c r="F45"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x14ac:dyDescent="0.2">
      <c r="A46" s="7" t="str">
        <f ca="1">IF(AUTOEVENTO="Manual",IF(EVENTOS!$F46&gt;0,"F",""),IF(AND(B46&gt;0,B46&lt;=MAX(CÁLCULO!$M$15:$M$47)),"F",""))</f>
        <v/>
      </c>
      <c r="B46" s="247">
        <f t="shared" ca="1" si="1"/>
        <v>31</v>
      </c>
      <c r="C46" s="514">
        <f ca="1">IF(AUTOEVENTO="Manual",IF($B46&gt;0,OFFSET(EVENTOS!$D$15,$B46-$B$15,0),0),IF(B46&lt;=MAX(CÁLCULO!$M$15:$M$47),VLOOKUP($B46,CÁLCULO!$M$15:$N$47,2,FALSE),0))</f>
        <v>0</v>
      </c>
      <c r="D46" s="554"/>
      <c r="E46" s="248"/>
      <c r="F46"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x14ac:dyDescent="0.2">
      <c r="A47" s="7" t="str">
        <f ca="1">IF(AUTOEVENTO="Manual",IF(EVENTOS!$F47&gt;0,"F",""),IF(AND(B47&gt;0,B47&lt;=MAX(CÁLCULO!$M$15:$M$47)),"F",""))</f>
        <v/>
      </c>
      <c r="B47" s="247">
        <f t="shared" ca="1" si="1"/>
        <v>32</v>
      </c>
      <c r="C47" s="514">
        <f ca="1">IF(AUTOEVENTO="Manual",IF($B47&gt;0,OFFSET(EVENTOS!$D$15,$B47-$B$15,0),0),IF(B47&lt;=MAX(CÁLCULO!$M$15:$M$47),VLOOKUP($B47,CÁLCULO!$M$15:$N$47,2,FALSE),0))</f>
        <v>0</v>
      </c>
      <c r="D47" s="554"/>
      <c r="E47" s="248"/>
      <c r="F47"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x14ac:dyDescent="0.2">
      <c r="A48" s="7" t="str">
        <f ca="1">IF(AUTOEVENTO="Manual",IF(EVENTOS!$F48&gt;0,"F",""),IF(AND(B48&gt;0,B48&lt;=MAX(CÁLCULO!$M$15:$M$47)),"F",""))</f>
        <v/>
      </c>
      <c r="B48" s="247">
        <f t="shared" ca="1" si="1"/>
        <v>33</v>
      </c>
      <c r="C48" s="514">
        <f ca="1">IF(AUTOEVENTO="Manual",IF($B48&gt;0,OFFSET(EVENTOS!$D$15,$B48-$B$15,0),0),IF(B48&lt;=MAX(CÁLCULO!$M$15:$M$47),VLOOKUP($B48,CÁLCULO!$M$15:$N$47,2,FALSE),0))</f>
        <v>0</v>
      </c>
      <c r="D48" s="554"/>
      <c r="E48" s="248"/>
      <c r="F4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x14ac:dyDescent="0.2">
      <c r="A49" s="7" t="str">
        <f ca="1">IF(AUTOEVENTO="Manual",IF(EVENTOS!$F49&gt;0,"F",""),IF(AND(B49&gt;0,B49&lt;=MAX(CÁLCULO!$M$15:$M$47)),"F",""))</f>
        <v/>
      </c>
      <c r="B49" s="247">
        <f t="shared" ca="1" si="1"/>
        <v>34</v>
      </c>
      <c r="C49" s="514">
        <f ca="1">IF(AUTOEVENTO="Manual",IF($B49&gt;0,OFFSET(EVENTOS!$D$15,$B49-$B$15,0),0),IF(B49&lt;=MAX(CÁLCULO!$M$15:$M$47),VLOOKUP($B49,CÁLCULO!$M$15:$N$47,2,FALSE),0))</f>
        <v>0</v>
      </c>
      <c r="D49" s="554"/>
      <c r="E49" s="248"/>
      <c r="F49"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x14ac:dyDescent="0.2">
      <c r="A50" s="7" t="str">
        <f ca="1">IF(AUTOEVENTO="Manual",IF(EVENTOS!$F50&gt;0,"F",""),IF(AND(B50&gt;0,B50&lt;=MAX(CÁLCULO!$M$15:$M$47)),"F",""))</f>
        <v/>
      </c>
      <c r="B50" s="247">
        <f t="shared" ca="1" si="1"/>
        <v>35</v>
      </c>
      <c r="C50" s="514">
        <f ca="1">IF(AUTOEVENTO="Manual",IF($B50&gt;0,OFFSET(EVENTOS!$D$15,$B50-$B$15,0),0),IF(B50&lt;=MAX(CÁLCULO!$M$15:$M$47),VLOOKUP($B50,CÁLCULO!$M$15:$N$47,2,FALSE),0))</f>
        <v>0</v>
      </c>
      <c r="D50" s="554"/>
      <c r="E50" s="248"/>
      <c r="F50"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x14ac:dyDescent="0.2">
      <c r="A51" s="7" t="str">
        <f ca="1">IF(AUTOEVENTO="Manual",IF(EVENTOS!$F51&gt;0,"F",""),IF(AND(B51&gt;0,B51&lt;=MAX(CÁLCULO!$M$15:$M$47)),"F",""))</f>
        <v/>
      </c>
      <c r="B51" s="247">
        <f t="shared" ca="1" si="1"/>
        <v>36</v>
      </c>
      <c r="C51" s="514">
        <f ca="1">IF(AUTOEVENTO="Manual",IF($B51&gt;0,OFFSET(EVENTOS!$D$15,$B51-$B$15,0),0),IF(B51&lt;=MAX(CÁLCULO!$M$15:$M$47),VLOOKUP($B51,CÁLCULO!$M$15:$N$47,2,FALSE),0))</f>
        <v>0</v>
      </c>
      <c r="D51" s="554"/>
      <c r="E51" s="248"/>
      <c r="F51"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x14ac:dyDescent="0.2">
      <c r="A52" s="7" t="str">
        <f ca="1">IF(AUTOEVENTO="Manual",IF(EVENTOS!$F52&gt;0,"F",""),IF(AND(B52&gt;0,B52&lt;=MAX(CÁLCULO!$M$15:$M$47)),"F",""))</f>
        <v/>
      </c>
      <c r="B52" s="247">
        <f t="shared" ca="1" si="1"/>
        <v>37</v>
      </c>
      <c r="C52" s="514">
        <f ca="1">IF(AUTOEVENTO="Manual",IF($B52&gt;0,OFFSET(EVENTOS!$D$15,$B52-$B$15,0),0),IF(B52&lt;=MAX(CÁLCULO!$M$15:$M$47),VLOOKUP($B52,CÁLCULO!$M$15:$N$47,2,FALSE),0))</f>
        <v>0</v>
      </c>
      <c r="D52" s="554"/>
      <c r="E52" s="248"/>
      <c r="F52"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x14ac:dyDescent="0.2">
      <c r="A53" s="7" t="str">
        <f ca="1">IF(AUTOEVENTO="Manual",IF(EVENTOS!$F53&gt;0,"F",""),IF(AND(B53&gt;0,B53&lt;=MAX(CÁLCULO!$M$15:$M$47)),"F",""))</f>
        <v/>
      </c>
      <c r="B53" s="247">
        <f t="shared" ca="1" si="1"/>
        <v>38</v>
      </c>
      <c r="C53" s="514">
        <f ca="1">IF(AUTOEVENTO="Manual",IF($B53&gt;0,OFFSET(EVENTOS!$D$15,$B53-$B$15,0),0),IF(B53&lt;=MAX(CÁLCULO!$M$15:$M$47),VLOOKUP($B53,CÁLCULO!$M$15:$N$47,2,FALSE),0))</f>
        <v>0</v>
      </c>
      <c r="D53" s="554"/>
      <c r="E53" s="248"/>
      <c r="F53"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x14ac:dyDescent="0.2">
      <c r="A54" s="7" t="str">
        <f ca="1">IF(AUTOEVENTO="Manual",IF(EVENTOS!$F54&gt;0,"F",""),IF(AND(B54&gt;0,B54&lt;=MAX(CÁLCULO!$M$15:$M$47)),"F",""))</f>
        <v/>
      </c>
      <c r="B54" s="247">
        <f t="shared" ca="1" si="1"/>
        <v>39</v>
      </c>
      <c r="C54" s="514">
        <f ca="1">IF(AUTOEVENTO="Manual",IF($B54&gt;0,OFFSET(EVENTOS!$D$15,$B54-$B$15,0),0),IF(B54&lt;=MAX(CÁLCULO!$M$15:$M$47),VLOOKUP($B54,CÁLCULO!$M$15:$N$47,2,FALSE),0))</f>
        <v>0</v>
      </c>
      <c r="D54" s="554"/>
      <c r="E54" s="248"/>
      <c r="F54"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x14ac:dyDescent="0.2">
      <c r="A55" s="7" t="str">
        <f ca="1">IF(AUTOEVENTO="Manual",IF(EVENTOS!$F55&gt;0,"F",""),IF(AND(B55&gt;0,B55&lt;=MAX(CÁLCULO!$M$15:$M$47)),"F",""))</f>
        <v/>
      </c>
      <c r="B55" s="247">
        <f t="shared" ca="1" si="1"/>
        <v>40</v>
      </c>
      <c r="C55" s="514">
        <f ca="1">IF(AUTOEVENTO="Manual",IF($B55&gt;0,OFFSET(EVENTOS!$D$15,$B55-$B$15,0),0),IF(B55&lt;=MAX(CÁLCULO!$M$15:$M$47),VLOOKUP($B55,CÁLCULO!$M$15:$N$47,2,FALSE),0))</f>
        <v>0</v>
      </c>
      <c r="D55" s="554"/>
      <c r="E55" s="248"/>
      <c r="F55"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x14ac:dyDescent="0.2">
      <c r="A56" s="7" t="str">
        <f ca="1">IF(AUTOEVENTO="Manual",IF(EVENTOS!$F56&gt;0,"F",""),IF(AND(B56&gt;0,B56&lt;=MAX(CÁLCULO!$M$15:$M$47)),"F",""))</f>
        <v/>
      </c>
      <c r="B56" s="247">
        <f t="shared" ca="1" si="1"/>
        <v>41</v>
      </c>
      <c r="C56" s="514">
        <f ca="1">IF(AUTOEVENTO="Manual",IF($B56&gt;0,OFFSET(EVENTOS!$D$15,$B56-$B$15,0),0),IF(B56&lt;=MAX(CÁLCULO!$M$15:$M$47),VLOOKUP($B56,CÁLCULO!$M$15:$N$47,2,FALSE),0))</f>
        <v>0</v>
      </c>
      <c r="D56" s="554"/>
      <c r="E56" s="248"/>
      <c r="F56"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x14ac:dyDescent="0.2">
      <c r="A57" s="7" t="str">
        <f ca="1">IF(AUTOEVENTO="Manual",IF(EVENTOS!$F57&gt;0,"F",""),IF(AND(B57&gt;0,B57&lt;=MAX(CÁLCULO!$M$15:$M$47)),"F",""))</f>
        <v/>
      </c>
      <c r="B57" s="247">
        <f t="shared" ca="1" si="1"/>
        <v>42</v>
      </c>
      <c r="C57" s="514">
        <f ca="1">IF(AUTOEVENTO="Manual",IF($B57&gt;0,OFFSET(EVENTOS!$D$15,$B57-$B$15,0),0),IF(B57&lt;=MAX(CÁLCULO!$M$15:$M$47),VLOOKUP($B57,CÁLCULO!$M$15:$N$47,2,FALSE),0))</f>
        <v>0</v>
      </c>
      <c r="D57" s="554"/>
      <c r="E57" s="248"/>
      <c r="F57"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x14ac:dyDescent="0.2">
      <c r="A58" s="7" t="str">
        <f ca="1">IF(AUTOEVENTO="Manual",IF(EVENTOS!$F58&gt;0,"F",""),IF(AND(B58&gt;0,B58&lt;=MAX(CÁLCULO!$M$15:$M$47)),"F",""))</f>
        <v/>
      </c>
      <c r="B58" s="247">
        <f t="shared" ca="1" si="1"/>
        <v>43</v>
      </c>
      <c r="C58" s="514">
        <f ca="1">IF(AUTOEVENTO="Manual",IF($B58&gt;0,OFFSET(EVENTOS!$D$15,$B58-$B$15,0),0),IF(B58&lt;=MAX(CÁLCULO!$M$15:$M$47),VLOOKUP($B58,CÁLCULO!$M$15:$N$47,2,FALSE),0))</f>
        <v>0</v>
      </c>
      <c r="D58" s="554"/>
      <c r="E58" s="248"/>
      <c r="F5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x14ac:dyDescent="0.2">
      <c r="A59" s="7" t="str">
        <f ca="1">IF(AUTOEVENTO="Manual",IF(EVENTOS!$F59&gt;0,"F",""),IF(AND(B59&gt;0,B59&lt;=MAX(CÁLCULO!$M$15:$M$47)),"F",""))</f>
        <v/>
      </c>
      <c r="B59" s="247">
        <f t="shared" ca="1" si="1"/>
        <v>44</v>
      </c>
      <c r="C59" s="514">
        <f ca="1">IF(AUTOEVENTO="Manual",IF($B59&gt;0,OFFSET(EVENTOS!$D$15,$B59-$B$15,0),0),IF(B59&lt;=MAX(CÁLCULO!$M$15:$M$47),VLOOKUP($B59,CÁLCULO!$M$15:$N$47,2,FALSE),0))</f>
        <v>0</v>
      </c>
      <c r="D59" s="554"/>
      <c r="E59" s="248"/>
      <c r="F59"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x14ac:dyDescent="0.2">
      <c r="A60" s="7" t="str">
        <f ca="1">IF(AUTOEVENTO="Manual",IF(EVENTOS!$F60&gt;0,"F",""),IF(AND(B60&gt;0,B60&lt;=MAX(CÁLCULO!$M$15:$M$47)),"F",""))</f>
        <v/>
      </c>
      <c r="B60" s="247">
        <f t="shared" ca="1" si="1"/>
        <v>45</v>
      </c>
      <c r="C60" s="514">
        <f ca="1">IF(AUTOEVENTO="Manual",IF($B60&gt;0,OFFSET(EVENTOS!$D$15,$B60-$B$15,0),0),IF(B60&lt;=MAX(CÁLCULO!$M$15:$M$47),VLOOKUP($B60,CÁLCULO!$M$15:$N$47,2,FALSE),0))</f>
        <v>0</v>
      </c>
      <c r="D60" s="554"/>
      <c r="E60" s="248"/>
      <c r="F60"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x14ac:dyDescent="0.2">
      <c r="A61" s="7" t="str">
        <f ca="1">IF(AUTOEVENTO="Manual",IF(EVENTOS!$F61&gt;0,"F",""),IF(AND(B61&gt;0,B61&lt;=MAX(CÁLCULO!$M$15:$M$47)),"F",""))</f>
        <v/>
      </c>
      <c r="B61" s="247">
        <f t="shared" ca="1" si="1"/>
        <v>46</v>
      </c>
      <c r="C61" s="514">
        <f ca="1">IF(AUTOEVENTO="Manual",IF($B61&gt;0,OFFSET(EVENTOS!$D$15,$B61-$B$15,0),0),IF(B61&lt;=MAX(CÁLCULO!$M$15:$M$47),VLOOKUP($B61,CÁLCULO!$M$15:$N$47,2,FALSE),0))</f>
        <v>0</v>
      </c>
      <c r="D61" s="554"/>
      <c r="E61" s="248"/>
      <c r="F61"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x14ac:dyDescent="0.2">
      <c r="A62" s="7" t="str">
        <f ca="1">IF(AUTOEVENTO="Manual",IF(EVENTOS!$F62&gt;0,"F",""),IF(AND(B62&gt;0,B62&lt;=MAX(CÁLCULO!$M$15:$M$47)),"F",""))</f>
        <v/>
      </c>
      <c r="B62" s="247">
        <f t="shared" ca="1" si="1"/>
        <v>47</v>
      </c>
      <c r="C62" s="514">
        <f ca="1">IF(AUTOEVENTO="Manual",IF($B62&gt;0,OFFSET(EVENTOS!$D$15,$B62-$B$15,0),0),IF(B62&lt;=MAX(CÁLCULO!$M$15:$M$47),VLOOKUP($B62,CÁLCULO!$M$15:$N$47,2,FALSE),0))</f>
        <v>0</v>
      </c>
      <c r="D62" s="554"/>
      <c r="E62" s="248"/>
      <c r="F62"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x14ac:dyDescent="0.2">
      <c r="A63" s="7" t="str">
        <f ca="1">IF(AUTOEVENTO="Manual",IF(EVENTOS!$F63&gt;0,"F",""),IF(AND(B63&gt;0,B63&lt;=MAX(CÁLCULO!$M$15:$M$47)),"F",""))</f>
        <v/>
      </c>
      <c r="B63" s="247">
        <f t="shared" ca="1" si="1"/>
        <v>48</v>
      </c>
      <c r="C63" s="514">
        <f ca="1">IF(AUTOEVENTO="Manual",IF($B63&gt;0,OFFSET(EVENTOS!$D$15,$B63-$B$15,0),0),IF(B63&lt;=MAX(CÁLCULO!$M$15:$M$47),VLOOKUP($B63,CÁLCULO!$M$15:$N$47,2,FALSE),0))</f>
        <v>0</v>
      </c>
      <c r="D63" s="554"/>
      <c r="E63" s="248"/>
      <c r="F63"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x14ac:dyDescent="0.2">
      <c r="A64" s="7" t="str">
        <f ca="1">IF(AUTOEVENTO="Manual",IF(EVENTOS!$F64&gt;0,"F",""),IF(AND(B64&gt;0,B64&lt;=MAX(CÁLCULO!$M$15:$M$47)),"F",""))</f>
        <v/>
      </c>
      <c r="B64" s="247">
        <f t="shared" ca="1" si="1"/>
        <v>49</v>
      </c>
      <c r="C64" s="514">
        <f ca="1">IF(AUTOEVENTO="Manual",IF($B64&gt;0,OFFSET(EVENTOS!$D$15,$B64-$B$15,0),0),IF(B64&lt;=MAX(CÁLCULO!$M$15:$M$47),VLOOKUP($B64,CÁLCULO!$M$15:$N$47,2,FALSE),0))</f>
        <v>0</v>
      </c>
      <c r="D64" s="554"/>
      <c r="E64" s="248"/>
      <c r="F64"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58">
        <f>(ROW($G67)-ROW($G$67))/8*12+1</f>
        <v>1</v>
      </c>
      <c r="I67" s="758"/>
      <c r="J67" s="758">
        <f>H67+1</f>
        <v>2</v>
      </c>
      <c r="K67" s="758"/>
      <c r="L67" s="758">
        <f>J67+1</f>
        <v>3</v>
      </c>
      <c r="M67" s="758"/>
      <c r="N67" s="758">
        <f>L67+1</f>
        <v>4</v>
      </c>
      <c r="O67" s="758"/>
      <c r="P67" s="758">
        <f>N67+1</f>
        <v>5</v>
      </c>
      <c r="Q67" s="758"/>
      <c r="R67" s="758">
        <f>P67+1</f>
        <v>6</v>
      </c>
      <c r="S67" s="758"/>
      <c r="T67" s="758">
        <f>R67+1</f>
        <v>7</v>
      </c>
      <c r="U67" s="758"/>
      <c r="V67" s="758">
        <f>T67+1</f>
        <v>8</v>
      </c>
      <c r="W67" s="758"/>
      <c r="X67" s="758">
        <f>V67+1</f>
        <v>9</v>
      </c>
      <c r="Y67" s="758"/>
      <c r="Z67" s="758">
        <f>X67+1</f>
        <v>10</v>
      </c>
      <c r="AA67" s="758"/>
      <c r="AB67" s="758">
        <f>Z67+1</f>
        <v>11</v>
      </c>
      <c r="AC67" s="758"/>
      <c r="AD67" s="758">
        <f>AB67+1</f>
        <v>12</v>
      </c>
      <c r="AE67" s="758"/>
    </row>
    <row r="68" spans="1:31" ht="12.75" customHeight="1" x14ac:dyDescent="0.2">
      <c r="A68" s="7" t="s">
        <v>536</v>
      </c>
      <c r="C68" s="755" t="s">
        <v>780</v>
      </c>
      <c r="G68" s="551" t="s">
        <v>781</v>
      </c>
      <c r="H68" s="744" t="e">
        <f ca="1">OFFSET(CRONO!$T$36,0,CRONOPLE!H67)</f>
        <v>#DIV/0!</v>
      </c>
      <c r="I68" s="744"/>
      <c r="J68" s="744" t="e">
        <f ca="1">OFFSET(CRONO!$T$36,0,CRONOPLE!J67)</f>
        <v>#DIV/0!</v>
      </c>
      <c r="K68" s="744"/>
      <c r="L68" s="744" t="e">
        <f ca="1">OFFSET(CRONO!$T$36,0,CRONOPLE!L67)</f>
        <v>#DIV/0!</v>
      </c>
      <c r="M68" s="744"/>
      <c r="N68" s="744" t="e">
        <f ca="1">OFFSET(CRONO!$T$36,0,CRONOPLE!N67)</f>
        <v>#DIV/0!</v>
      </c>
      <c r="O68" s="744"/>
      <c r="P68" s="744" t="e">
        <f ca="1">OFFSET(CRONO!$T$36,0,CRONOPLE!P67)</f>
        <v>#DIV/0!</v>
      </c>
      <c r="Q68" s="744"/>
      <c r="R68" s="744" t="e">
        <f ca="1">OFFSET(CRONO!$T$36,0,CRONOPLE!R67)</f>
        <v>#DIV/0!</v>
      </c>
      <c r="S68" s="744"/>
      <c r="T68" s="744" t="e">
        <f ca="1">OFFSET(CRONO!$T$36,0,CRONOPLE!T67)</f>
        <v>#DIV/0!</v>
      </c>
      <c r="U68" s="744"/>
      <c r="V68" s="744" t="e">
        <f ca="1">OFFSET(CRONO!$T$36,0,CRONOPLE!V67)</f>
        <v>#DIV/0!</v>
      </c>
      <c r="W68" s="744"/>
      <c r="X68" s="744" t="e">
        <f ca="1">OFFSET(CRONO!$T$36,0,CRONOPLE!X67)</f>
        <v>#DIV/0!</v>
      </c>
      <c r="Y68" s="744"/>
      <c r="Z68" s="744" t="e">
        <f ca="1">OFFSET(CRONO!$T$36,0,CRONOPLE!Z67)</f>
        <v>#DIV/0!</v>
      </c>
      <c r="AA68" s="744"/>
      <c r="AB68" s="744" t="e">
        <f ca="1">OFFSET(CRONO!$T$36,0,CRONOPLE!AB67)</f>
        <v>#DIV/0!</v>
      </c>
      <c r="AC68" s="744"/>
      <c r="AD68" s="744" t="e">
        <f ca="1">OFFSET(CRONO!$T$36,0,CRONOPLE!AD67)</f>
        <v>#DIV/0!</v>
      </c>
      <c r="AE68" s="744"/>
    </row>
    <row r="69" spans="1:31" ht="12.75" customHeight="1" x14ac:dyDescent="0.2">
      <c r="A69" s="7" t="s">
        <v>536</v>
      </c>
      <c r="C69" s="756"/>
      <c r="G69" s="487" t="s">
        <v>782</v>
      </c>
      <c r="H69" s="757">
        <f ca="1">OFFSET(CRONO!$T$40,0,CRONOPLE!H67)</f>
        <v>0</v>
      </c>
      <c r="I69" s="757"/>
      <c r="J69" s="742">
        <f ca="1">OFFSET(CRONO!$T$40,0,CRONOPLE!J67)</f>
        <v>0</v>
      </c>
      <c r="K69" s="743"/>
      <c r="L69" s="742">
        <f ca="1">OFFSET(CRONO!$T$40,0,CRONOPLE!L67)</f>
        <v>0</v>
      </c>
      <c r="M69" s="743"/>
      <c r="N69" s="742">
        <f ca="1">OFFSET(CRONO!$T$40,0,CRONOPLE!N67)</f>
        <v>0</v>
      </c>
      <c r="O69" s="743"/>
      <c r="P69" s="742">
        <f ca="1">OFFSET(CRONO!$T$40,0,CRONOPLE!P67)</f>
        <v>0</v>
      </c>
      <c r="Q69" s="743"/>
      <c r="R69" s="742">
        <f ca="1">OFFSET(CRONO!$T$40,0,CRONOPLE!R67)</f>
        <v>0</v>
      </c>
      <c r="S69" s="743"/>
      <c r="T69" s="742">
        <f ca="1">OFFSET(CRONO!$T$40,0,CRONOPLE!T67)</f>
        <v>0</v>
      </c>
      <c r="U69" s="743"/>
      <c r="V69" s="742">
        <f ca="1">OFFSET(CRONO!$T$40,0,CRONOPLE!V67)</f>
        <v>0</v>
      </c>
      <c r="W69" s="743"/>
      <c r="X69" s="742">
        <f ca="1">OFFSET(CRONO!$T$40,0,CRONOPLE!X67)</f>
        <v>0</v>
      </c>
      <c r="Y69" s="743"/>
      <c r="Z69" s="742">
        <f ca="1">OFFSET(CRONO!$T$40,0,CRONOPLE!Z67)</f>
        <v>0</v>
      </c>
      <c r="AA69" s="743"/>
      <c r="AB69" s="742">
        <f ca="1">OFFSET(CRONO!$T$40,0,CRONOPLE!AB67)</f>
        <v>0</v>
      </c>
      <c r="AC69" s="743"/>
      <c r="AD69" s="742">
        <f ca="1">OFFSET(CRONO!$T$40,0,CRONOPLE!AD67)</f>
        <v>0</v>
      </c>
      <c r="AE69" s="743"/>
    </row>
    <row r="70" spans="1:31" ht="12.75" customHeight="1" x14ac:dyDescent="0.2">
      <c r="A70" s="7" t="s">
        <v>536</v>
      </c>
      <c r="C70" s="755" t="s">
        <v>783</v>
      </c>
      <c r="G70" s="551" t="s">
        <v>781</v>
      </c>
      <c r="H70" s="744" t="e">
        <f ca="1">OFFSET(CRONO!$T$41,0,CRONOPLE!H67)</f>
        <v>#DIV/0!</v>
      </c>
      <c r="I70" s="744"/>
      <c r="J70" s="747" t="e">
        <f ca="1">OFFSET(CRONO!$T$41,0,CRONOPLE!J67)</f>
        <v>#DIV/0!</v>
      </c>
      <c r="K70" s="748"/>
      <c r="L70" s="747" t="e">
        <f ca="1">OFFSET(CRONO!$T$41,0,CRONOPLE!L67)</f>
        <v>#DIV/0!</v>
      </c>
      <c r="M70" s="748"/>
      <c r="N70" s="747" t="e">
        <f ca="1">OFFSET(CRONO!$T$41,0,CRONOPLE!N67)</f>
        <v>#DIV/0!</v>
      </c>
      <c r="O70" s="748"/>
      <c r="P70" s="747" t="e">
        <f ca="1">OFFSET(CRONO!$T$41,0,CRONOPLE!P67)</f>
        <v>#DIV/0!</v>
      </c>
      <c r="Q70" s="748"/>
      <c r="R70" s="747" t="e">
        <f ca="1">OFFSET(CRONO!$T$41,0,CRONOPLE!R67)</f>
        <v>#DIV/0!</v>
      </c>
      <c r="S70" s="748"/>
      <c r="T70" s="747" t="e">
        <f ca="1">OFFSET(CRONO!$T$41,0,CRONOPLE!T67)</f>
        <v>#DIV/0!</v>
      </c>
      <c r="U70" s="748"/>
      <c r="V70" s="747" t="e">
        <f ca="1">OFFSET(CRONO!$T$41,0,CRONOPLE!V67)</f>
        <v>#DIV/0!</v>
      </c>
      <c r="W70" s="748"/>
      <c r="X70" s="747" t="e">
        <f ca="1">OFFSET(CRONO!$T$41,0,CRONOPLE!X67)</f>
        <v>#DIV/0!</v>
      </c>
      <c r="Y70" s="748"/>
      <c r="Z70" s="747" t="e">
        <f ca="1">OFFSET(CRONO!$T$41,0,CRONOPLE!Z67)</f>
        <v>#DIV/0!</v>
      </c>
      <c r="AA70" s="748"/>
      <c r="AB70" s="747" t="e">
        <f ca="1">OFFSET(CRONO!$T$41,0,CRONOPLE!AB67)</f>
        <v>#DIV/0!</v>
      </c>
      <c r="AC70" s="748"/>
      <c r="AD70" s="747" t="e">
        <f ca="1">OFFSET(CRONO!$T$41,0,CRONOPLE!AD67)</f>
        <v>#DIV/0!</v>
      </c>
      <c r="AE70" s="748"/>
    </row>
    <row r="71" spans="1:31" ht="12.75" customHeight="1" x14ac:dyDescent="0.2">
      <c r="A71" s="7" t="s">
        <v>536</v>
      </c>
      <c r="C71" s="761"/>
      <c r="G71" s="487" t="s">
        <v>782</v>
      </c>
      <c r="H71" s="760">
        <f ca="1">OFFSET(CRONO!$T$45,0,CRONOPLE!H67)</f>
        <v>0</v>
      </c>
      <c r="I71" s="760"/>
      <c r="J71" s="749">
        <f ca="1">OFFSET(CRONO!$T$45,0,CRONOPLE!J67)</f>
        <v>0</v>
      </c>
      <c r="K71" s="750"/>
      <c r="L71" s="749">
        <f ca="1">OFFSET(CRONO!$T$45,0,CRONOPLE!L67)</f>
        <v>0</v>
      </c>
      <c r="M71" s="750"/>
      <c r="N71" s="749">
        <f ca="1">OFFSET(CRONO!$T$45,0,CRONOPLE!N67)</f>
        <v>0</v>
      </c>
      <c r="O71" s="750"/>
      <c r="P71" s="749">
        <f ca="1">OFFSET(CRONO!$T$45,0,CRONOPLE!P67)</f>
        <v>0</v>
      </c>
      <c r="Q71" s="750"/>
      <c r="R71" s="749">
        <f ca="1">OFFSET(CRONO!$T$45,0,CRONOPLE!R67)</f>
        <v>0</v>
      </c>
      <c r="S71" s="750"/>
      <c r="T71" s="749">
        <f ca="1">OFFSET(CRONO!$T$45,0,CRONOPLE!T67)</f>
        <v>0</v>
      </c>
      <c r="U71" s="750"/>
      <c r="V71" s="749">
        <f ca="1">OFFSET(CRONO!$T$45,0,CRONOPLE!V67)</f>
        <v>0</v>
      </c>
      <c r="W71" s="750"/>
      <c r="X71" s="749">
        <f ca="1">OFFSET(CRONO!$T$45,0,CRONOPLE!X67)</f>
        <v>0</v>
      </c>
      <c r="Y71" s="750"/>
      <c r="Z71" s="749">
        <f ca="1">OFFSET(CRONO!$T$45,0,CRONOPLE!Z67)</f>
        <v>0</v>
      </c>
      <c r="AA71" s="750"/>
      <c r="AB71" s="749">
        <f ca="1">OFFSET(CRONO!$T$45,0,CRONOPLE!AB67)</f>
        <v>0</v>
      </c>
      <c r="AC71" s="750"/>
      <c r="AD71" s="749">
        <f ca="1">OFFSET(CRONO!$T$45,0,CRONOPLE!AD67)</f>
        <v>0</v>
      </c>
      <c r="AE71" s="750"/>
    </row>
    <row r="72" spans="1:31" ht="12.75" customHeight="1" x14ac:dyDescent="0.2">
      <c r="A72" s="7" t="s">
        <v>536</v>
      </c>
      <c r="C72" s="552" t="s">
        <v>784</v>
      </c>
      <c r="D72" s="550"/>
      <c r="G72" s="551" t="s">
        <v>781</v>
      </c>
      <c r="H72" s="744" t="e">
        <f ca="1">OFFSET(CRONO!$T$46,0,CRONOPLE!H67)</f>
        <v>#DIV/0!</v>
      </c>
      <c r="I72" s="744"/>
      <c r="J72" s="745" t="e">
        <f ca="1">OFFSET(CRONO!$T$46,0,CRONOPLE!J67)</f>
        <v>#DIV/0!</v>
      </c>
      <c r="K72" s="746"/>
      <c r="L72" s="745" t="e">
        <f ca="1">OFFSET(CRONO!$T$46,0,CRONOPLE!L67)</f>
        <v>#DIV/0!</v>
      </c>
      <c r="M72" s="746"/>
      <c r="N72" s="745" t="e">
        <f ca="1">OFFSET(CRONO!$T$46,0,CRONOPLE!N67)</f>
        <v>#DIV/0!</v>
      </c>
      <c r="O72" s="746"/>
      <c r="P72" s="745" t="e">
        <f ca="1">OFFSET(CRONO!$T$46,0,CRONOPLE!P67)</f>
        <v>#DIV/0!</v>
      </c>
      <c r="Q72" s="746"/>
      <c r="R72" s="745" t="e">
        <f ca="1">OFFSET(CRONO!$T$46,0,CRONOPLE!R67)</f>
        <v>#DIV/0!</v>
      </c>
      <c r="S72" s="746"/>
      <c r="T72" s="745" t="e">
        <f ca="1">OFFSET(CRONO!$T$46,0,CRONOPLE!T67)</f>
        <v>#DIV/0!</v>
      </c>
      <c r="U72" s="746"/>
      <c r="V72" s="745" t="e">
        <f ca="1">OFFSET(CRONO!$T$46,0,CRONOPLE!V67)</f>
        <v>#DIV/0!</v>
      </c>
      <c r="W72" s="746"/>
      <c r="X72" s="745" t="e">
        <f ca="1">OFFSET(CRONO!$T$46,0,CRONOPLE!X67)</f>
        <v>#DIV/0!</v>
      </c>
      <c r="Y72" s="746"/>
      <c r="Z72" s="745" t="e">
        <f ca="1">OFFSET(CRONO!$T$46,0,CRONOPLE!Z67)</f>
        <v>#DIV/0!</v>
      </c>
      <c r="AA72" s="746"/>
      <c r="AB72" s="745" t="e">
        <f ca="1">OFFSET(CRONO!$T$46,0,CRONOPLE!AB67)</f>
        <v>#DIV/0!</v>
      </c>
      <c r="AC72" s="746"/>
      <c r="AD72" s="745" t="e">
        <f ca="1">OFFSET(CRONO!$T$46,0,CRONOPLE!AD67)</f>
        <v>#DIV/0!</v>
      </c>
      <c r="AE72" s="746"/>
    </row>
    <row r="73" spans="1:31" ht="15" customHeight="1" x14ac:dyDescent="0.25">
      <c r="A73" s="7" t="s">
        <v>536</v>
      </c>
      <c r="C73" s="549"/>
      <c r="G73" s="583" t="str">
        <f ca="1">IF(COUNTIF(H73:AF73,"%Adm&gt;%Global")&gt;0,"Verificar proporcionalidade da Administração Local","")</f>
        <v/>
      </c>
      <c r="H73" s="535" t="e">
        <f ca="1">IF(H72="","",IF(ROUND(H72,4)&gt;ROUND(H70,4),"%Adm&gt;%Global",""))</f>
        <v>#DIV/0!</v>
      </c>
      <c r="J73" s="535" t="e">
        <f t="shared" ref="J73" ca="1" si="3">IF(J72="","",IF(ROUND(J72,4)&gt;ROUND(J70,4),"%Adm&gt;%Global",""))</f>
        <v>#DIV/0!</v>
      </c>
      <c r="L73" s="535" t="e">
        <f t="shared" ref="L73" ca="1" si="4">IF(L72="","",IF(ROUND(L72,4)&gt;ROUND(L70,4),"%Adm&gt;%Global",""))</f>
        <v>#DIV/0!</v>
      </c>
      <c r="N73" s="535" t="e">
        <f t="shared" ref="N73" ca="1" si="5">IF(N72="","",IF(ROUND(N72,4)&gt;ROUND(N70,4),"%Adm&gt;%Global",""))</f>
        <v>#DIV/0!</v>
      </c>
      <c r="P73" s="535" t="e">
        <f t="shared" ref="P73" ca="1" si="6">IF(P72="","",IF(ROUND(P72,4)&gt;ROUND(P70,4),"%Adm&gt;%Global",""))</f>
        <v>#DIV/0!</v>
      </c>
      <c r="R73" s="535" t="e">
        <f t="shared" ref="R73" ca="1" si="7">IF(R72="","",IF(ROUND(R72,4)&gt;ROUND(R70,4),"%Adm&gt;%Global",""))</f>
        <v>#DIV/0!</v>
      </c>
      <c r="T73" s="535" t="e">
        <f t="shared" ref="T73" ca="1" si="8">IF(T72="","",IF(ROUND(T72,4)&gt;ROUND(T70,4),"%Adm&gt;%Global",""))</f>
        <v>#DIV/0!</v>
      </c>
      <c r="V73" s="535" t="e">
        <f t="shared" ref="V73" ca="1" si="9">IF(V72="","",IF(ROUND(V72,4)&gt;ROUND(V70,4),"%Adm&gt;%Global",""))</f>
        <v>#DIV/0!</v>
      </c>
      <c r="X73" s="535" t="e">
        <f t="shared" ref="X73" ca="1" si="10">IF(X72="","",IF(ROUND(X72,4)&gt;ROUND(X70,4),"%Adm&gt;%Global",""))</f>
        <v>#DIV/0!</v>
      </c>
      <c r="Z73" s="535" t="e">
        <f t="shared" ref="Z73" ca="1" si="11">IF(Z72="","",IF(ROUND(Z72,4)&gt;ROUND(Z70,4),"%Adm&gt;%Global",""))</f>
        <v>#DIV/0!</v>
      </c>
      <c r="AB73" s="535" t="e">
        <f t="shared" ref="AB73" ca="1" si="12">IF(AB72="","",IF(ROUND(AB72,4)&gt;ROUND(AB70,4),"%Adm&gt;%Global",""))</f>
        <v>#DIV/0!</v>
      </c>
      <c r="AD73" s="535" t="e">
        <f t="shared" ref="AD73" ca="1" si="13">IF(AD72="","",IF(ROUND(AD72,4)&gt;ROUND(AD70,4),"%Adm&gt;%Global",""))</f>
        <v>#DIV/0!</v>
      </c>
    </row>
    <row r="74" spans="1:31" x14ac:dyDescent="0.2">
      <c r="A74" s="7" t="s">
        <v>536</v>
      </c>
    </row>
    <row r="75" spans="1:31" ht="15" x14ac:dyDescent="0.2">
      <c r="A75" s="7" t="s">
        <v>536</v>
      </c>
      <c r="B75" s="138" t="str">
        <f>Import.Município</f>
        <v>PASSOS MG</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Mateus Junior Rosa</v>
      </c>
    </row>
    <row r="78" spans="1:31" ht="16.5" x14ac:dyDescent="0.3">
      <c r="A78" s="7" t="s">
        <v>536</v>
      </c>
      <c r="B78" s="762">
        <f>DADOS!$C$25</f>
        <v>45945</v>
      </c>
      <c r="C78" s="762"/>
      <c r="F78" s="185"/>
      <c r="G78" s="185"/>
      <c r="H78" s="185"/>
      <c r="I78" s="185"/>
      <c r="J78" s="185"/>
      <c r="K78" s="185"/>
      <c r="L78" s="187"/>
      <c r="V78" s="398" t="str">
        <f ca="1"/>
        <v>CREA/CAU: 386.526/D</v>
      </c>
    </row>
    <row r="79" spans="1:31" x14ac:dyDescent="0.2">
      <c r="A79" s="7" t="s">
        <v>536</v>
      </c>
      <c r="B79" s="9" t="s">
        <v>694</v>
      </c>
      <c r="F79" s="185"/>
      <c r="G79" s="185"/>
      <c r="H79" s="185"/>
      <c r="I79" s="185"/>
      <c r="J79" s="185"/>
      <c r="K79" s="185"/>
      <c r="L79" s="187"/>
      <c r="V79" s="398" t="str">
        <f ca="1"/>
        <v xml:space="preserve">ART/RRT: </v>
      </c>
    </row>
  </sheetData>
  <sheetProtection algorithmName="SHA-512" hashValue="c1DTAN34yjgNFgXp5uWfavduEbpyNIoTptdtmsGXzNuBBglEcqIBXZ7V0gpoYOLYQcZ/1234xHEYnBUI5xeORA==" saltValue="G+8hWfAYLAkLnDCAboMWZA==" spinCount="100000" sheet="1" objects="1" scenarios="1" autoFilter="0"/>
  <autoFilter ref="A13:A79" xr:uid="{00000000-0001-0000-0800-000000000000}"/>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208" priority="802" stopIfTrue="1">
      <formula>IF(OR(E$12&gt;CÁLCULO.NúmeroDeFrentes,ACOMPANHAMENTO="BM"),TRUE,CRONOPLE.ValorDoEvento=0)</formula>
    </cfRule>
  </conditionalFormatting>
  <conditionalFormatting sqref="U4:Y4">
    <cfRule type="expression" dxfId="207" priority="692" stopIfTrue="1">
      <formula>QCI.ExisteManual</formula>
    </cfRule>
  </conditionalFormatting>
  <conditionalFormatting sqref="J67:AE67">
    <cfRule type="expression" dxfId="206" priority="691" stopIfTrue="1">
      <formula>OFFSET(J67,3,-2)=1</formula>
    </cfRule>
  </conditionalFormatting>
  <conditionalFormatting sqref="J68:AE68">
    <cfRule type="expression" dxfId="205" priority="686" stopIfTrue="1">
      <formula>OFFSET(J68,2,-2)=1</formula>
    </cfRule>
  </conditionalFormatting>
  <conditionalFormatting sqref="J69:AE69">
    <cfRule type="expression" dxfId="204" priority="685" stopIfTrue="1">
      <formula>OFFSET(J69,1,-2)=1</formula>
    </cfRule>
  </conditionalFormatting>
  <conditionalFormatting sqref="J70:AE70">
    <cfRule type="expression" dxfId="203" priority="684" stopIfTrue="1">
      <formula>OFFSET(J70,0,-2)=1</formula>
    </cfRule>
  </conditionalFormatting>
  <conditionalFormatting sqref="J71:AE71">
    <cfRule type="expression" dxfId="202" priority="683" stopIfTrue="1">
      <formula>OFFSET(J71,-1,-2)=1</formula>
    </cfRule>
  </conditionalFormatting>
  <conditionalFormatting sqref="B15:C15 E15 G15:AF15">
    <cfRule type="expression" dxfId="201" priority="507">
      <formula>$B$15=0</formula>
    </cfRule>
  </conditionalFormatting>
  <conditionalFormatting sqref="B8:C8">
    <cfRule type="expression" dxfId="200" priority="506">
      <formula>$B$7=""</formula>
    </cfRule>
  </conditionalFormatting>
  <conditionalFormatting sqref="J72:AE72">
    <cfRule type="expression" dxfId="199" priority="505">
      <formula>OFFSET(J72,-2,-2)=1</formula>
    </cfRule>
  </conditionalFormatting>
  <conditionalFormatting sqref="H72:AE72">
    <cfRule type="expression" dxfId="198" priority="504">
      <formula>ROUND(H72,4)&gt;ROUND(H70,4)</formula>
    </cfRule>
  </conditionalFormatting>
  <conditionalFormatting sqref="E16:E24 G16:AE24">
    <cfRule type="expression" dxfId="197" priority="6" stopIfTrue="1">
      <formula>IF(OR(E$12&gt;CÁLCULO.NúmeroDeFrentes,ACOMPANHAMENTO="BM"),TRUE,CRONOPLE.ValorDoEvento=0)</formula>
    </cfRule>
  </conditionalFormatting>
  <conditionalFormatting sqref="E25:E33 G25:AE33">
    <cfRule type="expression" dxfId="196" priority="5" stopIfTrue="1">
      <formula>IF(OR(E$12&gt;CÁLCULO.NúmeroDeFrentes,ACOMPANHAMENTO="BM"),TRUE,CRONOPLE.ValorDoEvento=0)</formula>
    </cfRule>
  </conditionalFormatting>
  <conditionalFormatting sqref="E34:E42 G34:AE42">
    <cfRule type="expression" dxfId="195" priority="4" stopIfTrue="1">
      <formula>IF(OR(E$12&gt;CÁLCULO.NúmeroDeFrentes,ACOMPANHAMENTO="BM"),TRUE,CRONOPLE.ValorDoEvento=0)</formula>
    </cfRule>
  </conditionalFormatting>
  <conditionalFormatting sqref="E43:E51 G43:AE51">
    <cfRule type="expression" dxfId="194" priority="3" stopIfTrue="1">
      <formula>IF(OR(E$12&gt;CÁLCULO.NúmeroDeFrentes,ACOMPANHAMENTO="BM"),TRUE,CRONOPLE.ValorDoEvento=0)</formula>
    </cfRule>
  </conditionalFormatting>
  <conditionalFormatting sqref="E52:E60 G52:AE60">
    <cfRule type="expression" dxfId="193" priority="2" stopIfTrue="1">
      <formula>IF(OR(E$12&gt;CÁLCULO.NúmeroDeFrentes,ACOMPANHAMENTO="BM"),TRUE,CRONOPLE.ValorDoEvento=0)</formula>
    </cfRule>
  </conditionalFormatting>
  <conditionalFormatting sqref="E61:E64 G61:AE64">
    <cfRule type="expression" dxfId="192"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52"/>
  <sheetViews>
    <sheetView showGridLines="0" tabSelected="1"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IF($F2=-1,0,IF(N$13&lt;=$M1,IF(ISERROR(MATCH(N$13,OFFSET($M1,1,0,ROW($M$35)-ROW($M1)-1),0)),ROW($M$35)-ROW($M1)-1,MATCH(N$13,OFFSET($M1,1,0,ROW($M$35)-ROW($M1)-1),0)-1),0))</f>
        <v>#REF!</v>
      </c>
      <c r="O1" s="193" t="e">
        <f ca="1">IF($F2=-1,0,IF(O$13&lt;=$M1,IF(ISERROR(MATCH(O$13,OFFSET($M1,1,0,ROW($M$35)-ROW($M1)-1),0)),ROW($M$35)-ROW($M1)-1,MATCH(O$13,OFFSET($M1,1,0,ROW($M$35)-ROW($M1)-1),0)-1),0))</f>
        <v>#REF!</v>
      </c>
      <c r="P1" s="193" t="e">
        <f ca="1">IF($F2=-1,0,IF(P$13&lt;=$M1,IF(ISERROR(MATCH(P$13,OFFSET($M1,1,0,ROW($M$35)-ROW($M1)-1),0)),ROW($M$35)-ROW($M1)-1,MATCH(P$13,OFFSET($M1,1,0,ROW($M$35)-ROW($M1)-1),0)-1),0))</f>
        <v>#REF!</v>
      </c>
      <c r="Q1" s="193" t="e">
        <f ca="1">IF($F2=-1,0,IF(Q$13&lt;=$M1,IF(ISERROR(MATCH(Q$13,OFFSET($M1,1,0,ROW($M$35)-ROW($M1)-1),0)),ROW($M$35)-ROW($M1)-1,MATCH(Q$13,OFFSET($M1,1,0,ROW($M$35)-ROW($M1)-1),0)-1),0))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SUMIF(CÁLCULO!$AM$15:$AW$47,CRONO!E$12,CÁLCULO!$AB$15:$AL$47)/(ORÇAMENTO!$X$15-CÁLCULO.TotalAdmLocal)*CRONO!$F3,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SUMIF(CÁLCULO!$AM$15:$AW$47,CRONO!U$12,CÁLCULO!$AB$15:$AL$47)/(ORÇAMENTO!$X$15-CÁLCULO.TotalAdmLocal)*CRONO!$F3,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SUMIF(CÁLCULO!$AM$15:$AW$47,CRONO!V$12,CÁLCULO!$AB$15:$AL$47)/(ORÇAMENTO!$X$15-CÁLCULO.TotalAdmLocal)*CRONO!$F3,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SUMIF(CÁLCULO!$AM$15:$AW$47,CRONO!W$12,CÁLCULO!$AB$15:$AL$47)/(ORÇAMENTO!$X$15-CÁLCULO.TotalAdmLocal)*CRONO!$F3,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SUMIF(CÁLCULO!$AM$15:$AW$47,CRONO!X$12,CÁLCULO!$AB$15:$AL$47)/(ORÇAMENTO!$X$15-CÁLCULO.TotalAdmLocal)*CRONO!$F3,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SUMIF(CÁLCULO!$AM$15:$AW$47,CRONO!Y$12,CÁLCULO!$AB$15:$AL$47)/(ORÇAMENTO!$X$15-CÁLCULO.TotalAdmLocal)*CRONO!$F3,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SUMIF(CÁLCULO!$AM$15:$AW$47,CRONO!Z$12,CÁLCULO!$AB$15:$AL$47)/(ORÇAMENTO!$X$15-CÁLCULO.TotalAdmLocal)*CRONO!$F3,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SUMIF(CÁLCULO!$AM$15:$AW$47,CRONO!AA$12,CÁLCULO!$AB$15:$AL$47)/(ORÇAMENTO!$X$15-CÁLCULO.TotalAdmLocal)*CRONO!$F3,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SUMIF(CÁLCULO!$AM$15:$AW$47,CRONO!AB$12,CÁLCULO!$AB$15:$AL$47)/(ORÇAMENTO!$X$15-CÁLCULO.TotalAdmLocal)*CRONO!$F3,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SUMIF(CÁLCULO!$AM$15:$AW$47,CRONO!AC$12,CÁLCULO!$AB$15:$AL$47)/(ORÇAMENTO!$X$15-CÁLCULO.TotalAdmLocal)*CRONO!$F3,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SUMIF(CÁLCULO!$AM$15:$AW$47,CRONO!AD$12,CÁLCULO!$AB$15:$AL$47)/(ORÇAMENTO!$X$15-CÁLCULO.TotalAdmLocal)*CRONO!$F3,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SUMIF(CÁLCULO!$AM$15:$AW$47,CRONO!AE$12,CÁLCULO!$AB$15:$AL$47)/(ORÇAMENTO!$X$15-CÁLCULO.TotalAdmLocal)*CRONO!$F3,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SUMIF(CÁLCULO!$AM$15:$AW$47,CRONO!AF$12,CÁLCULO!$AB$15:$AL$47)/(ORÇAMENTO!$X$15-CÁLCULO.TotalAdmLocal)*CRONO!$F3,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681" t="s">
        <v>644</v>
      </c>
      <c r="AF4" s="681"/>
    </row>
    <row r="5" spans="1:33" ht="15" x14ac:dyDescent="0.2">
      <c r="S5" s="83" t="str">
        <f>import.recurso</f>
        <v>(SELECIONAR)</v>
      </c>
      <c r="AE5" s="682" t="s">
        <v>647</v>
      </c>
      <c r="AF5" s="682"/>
    </row>
    <row r="6" spans="1:33" ht="12.75" customHeight="1" x14ac:dyDescent="0.2"/>
    <row r="7" spans="1:33" ht="12.75" customHeight="1" x14ac:dyDescent="0.2">
      <c r="F7" s="207"/>
      <c r="H7" s="764"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09" t="s">
        <v>655</v>
      </c>
      <c r="H8" s="764"/>
      <c r="I8" s="763">
        <f>Import.CR</f>
        <v>0</v>
      </c>
      <c r="J8" s="763"/>
      <c r="K8" s="214">
        <f>Import.TransfereGOV</f>
        <v>0</v>
      </c>
      <c r="L8" s="773" t="str">
        <f>Import.Proponente</f>
        <v>PRFEITURA MUNICIPAL DE PASSOS</v>
      </c>
      <c r="M8" s="773"/>
      <c r="N8" s="773"/>
      <c r="O8" s="773"/>
      <c r="P8" s="773"/>
      <c r="Q8" s="773"/>
      <c r="R8" s="773"/>
      <c r="S8" s="773"/>
      <c r="T8" s="773"/>
      <c r="U8" s="763" t="str">
        <f>Import.Apelido</f>
        <v>PRAÇA SÃO FRANCISCO</v>
      </c>
      <c r="V8" s="763"/>
      <c r="W8" s="763"/>
      <c r="X8" s="763"/>
      <c r="Y8" s="763"/>
      <c r="Z8" s="765" cm="1">
        <f t="array" ref="Z8">IF(TIPOORCAMENTO="Licitado",Import.empresa,Import.DescLote)</f>
        <v>0</v>
      </c>
      <c r="AA8" s="765"/>
      <c r="AB8" s="765"/>
      <c r="AC8" s="765"/>
      <c r="AD8" s="765"/>
      <c r="AE8" s="765"/>
      <c r="AF8" s="203" t="str" cm="1">
        <f t="array" ref="AF8">IF(TIPOORCAMENTO="Licitado",Import.CTEF,"")</f>
        <v/>
      </c>
    </row>
    <row r="9" spans="1:33" x14ac:dyDescent="0.2">
      <c r="A9" s="655">
        <v>2</v>
      </c>
      <c r="F9" s="114"/>
      <c r="G9" s="709"/>
      <c r="H9" s="764"/>
    </row>
    <row r="10" spans="1:33" x14ac:dyDescent="0.2">
      <c r="A10" s="656">
        <v>3</v>
      </c>
      <c r="F10" s="185" cm="1">
        <f t="array" aca="1" ref="F10" ca="1">CRONO.LinhasNecessarias</f>
        <v>7</v>
      </c>
      <c r="G10" s="709"/>
      <c r="H10" s="215">
        <v>2</v>
      </c>
      <c r="K10" s="774" t="str" cm="1">
        <f t="array" aca="1" ref="K10" ca="1">IF(MAX($B$13:$B$35)&lt;CRONO.LinhasNecessarias,"ERRO: NÚMERO DE LINHAS DO CRONOGRAMA INSUFICIENTE. CLIQUE EM ATUALIZAR LINHAS.",IF(AND(ACOMPANHAMENTO="PLE",ROUND(OFFSET($AG$45,0,-1),2)=0),"CRONOGRAMA DEVE SER PREENCHIDO POR EVENTOS",IF(ROUND(OFFSET($AG$45,0,-1),2)&lt;&gt;$R$36,"ERRO: CRONOGRAMA NÃO FECHA 100%","")))</f>
        <v/>
      </c>
      <c r="L10" s="774"/>
      <c r="M10" s="774"/>
      <c r="N10" s="774"/>
      <c r="O10" s="774"/>
      <c r="P10" s="774"/>
      <c r="Q10" s="774"/>
      <c r="R10" s="774"/>
      <c r="S10" s="774"/>
      <c r="T10" s="774"/>
    </row>
    <row r="11" spans="1:33" ht="12.75" customHeight="1" x14ac:dyDescent="0.2">
      <c r="A11" s="657">
        <v>4</v>
      </c>
      <c r="F11" s="185" t="e" cm="1">
        <f t="array" aca="1" ref="F11" ca="1">CRONO.ParcelaFinal</f>
        <v>#N/A</v>
      </c>
      <c r="G11" s="709"/>
      <c r="I11" s="216"/>
      <c r="J11" s="216"/>
      <c r="K11" s="774"/>
      <c r="L11" s="774"/>
      <c r="M11" s="774"/>
      <c r="N11" s="774"/>
      <c r="O11" s="774"/>
      <c r="P11" s="774"/>
      <c r="Q11" s="774"/>
      <c r="R11" s="774"/>
      <c r="S11" s="774"/>
      <c r="T11" s="774"/>
    </row>
    <row r="12" spans="1:33" ht="12.75" customHeight="1" x14ac:dyDescent="0.2">
      <c r="A12" s="186" t="s">
        <v>789</v>
      </c>
      <c r="E12" s="217">
        <f ca="1">OFFSET(E12,0,-1)+1</f>
        <v>1</v>
      </c>
      <c r="G12" s="106" t="s">
        <v>660</v>
      </c>
      <c r="H12" s="766" t="s">
        <v>790</v>
      </c>
      <c r="I12" s="767" t="s">
        <v>735</v>
      </c>
      <c r="J12" s="768" t="s">
        <v>118</v>
      </c>
      <c r="K12" s="218"/>
      <c r="L12" s="218"/>
      <c r="M12" s="219"/>
      <c r="N12" s="219"/>
      <c r="O12" s="219"/>
      <c r="P12" s="219"/>
      <c r="Q12" s="219"/>
      <c r="R12" s="219"/>
      <c r="S12" s="771" t="s">
        <v>791</v>
      </c>
      <c r="T12" s="772"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6"/>
      <c r="I13" s="767"/>
      <c r="J13" s="768"/>
      <c r="K13" s="223"/>
      <c r="L13" s="223"/>
      <c r="M13" s="224" t="s">
        <v>733</v>
      </c>
      <c r="N13" s="224">
        <v>1</v>
      </c>
      <c r="O13" s="224">
        <v>2</v>
      </c>
      <c r="P13" s="224">
        <v>3</v>
      </c>
      <c r="Q13" s="224">
        <v>4</v>
      </c>
      <c r="R13" s="225" t="s">
        <v>796</v>
      </c>
      <c r="S13" s="771"/>
      <c r="T13" s="772"/>
      <c r="U13" s="226">
        <v>45992</v>
      </c>
      <c r="V13" s="222">
        <f ca="1">OFFSET(V13,0,-1)+41-DAY(OFFSET(V13,0,-1)+40)</f>
        <v>46023</v>
      </c>
      <c r="W13" s="222">
        <f ca="1">OFFSET(W13,0,-1)+41-DAY(OFFSET(W13,0,-1)+40)</f>
        <v>46054</v>
      </c>
      <c r="X13" s="222">
        <f t="shared" ref="X13:AF13" ca="1" si="1">OFFSET(X13,0,-1)+41-DAY(OFFSET(X13,0,-1)+40)</f>
        <v>46082</v>
      </c>
      <c r="Y13" s="222">
        <f t="shared" ca="1" si="1"/>
        <v>46113</v>
      </c>
      <c r="Z13" s="222">
        <f t="shared" ca="1" si="1"/>
        <v>46143</v>
      </c>
      <c r="AA13" s="222">
        <f t="shared" ca="1" si="1"/>
        <v>46174</v>
      </c>
      <c r="AB13" s="222">
        <f t="shared" ca="1" si="1"/>
        <v>46204</v>
      </c>
      <c r="AC13" s="222">
        <f t="shared" ca="1" si="1"/>
        <v>46235</v>
      </c>
      <c r="AD13" s="222">
        <f t="shared" ca="1" si="1"/>
        <v>46266</v>
      </c>
      <c r="AE13" s="222">
        <f t="shared" ca="1" si="1"/>
        <v>46296</v>
      </c>
      <c r="AF13" s="538">
        <f t="shared" ca="1" si="1"/>
        <v>46327</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t="e" cm="1">
        <f t="array" aca="1" ref="E14" ca="1">IF(AND($R14=2,ACOMPANHAMENTO="BM"),ROUND(E15,4),E16/$S14)</f>
        <v>#DIV/0!</v>
      </c>
      <c r="F14" s="185" cm="1">
        <f t="array" aca="1" ref="F14" ca="1">IF(B14&lt;=ORÇAMENTO.MáximoListaCrono,MATCH(B14,ORÇAMENTO.ListaCrono,0),NA())</f>
        <v>1</v>
      </c>
      <c r="G14" s="185" t="str">
        <f t="shared" ref="G14" ca="1" si="4">IF(AND($F15&lt;&gt;-1,$S14&gt;0),"F","")</f>
        <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REFORMA PRAÇA SÃO FRANCISCO</v>
      </c>
      <c r="K14" s="191"/>
      <c r="L14" s="191"/>
      <c r="M14" s="192">
        <f ca="1">IF($F15=0,OFFSET(ORÇAMENTO!C$15,$F14,0),1)</f>
        <v>1</v>
      </c>
      <c r="N14" s="193">
        <f ca="1">IF($F15=-1,0,IF(N$13&lt;=$M14,IF(ISERROR(MATCH(N$13,OFFSET($M14,1,0,ROW($M$35)-ROW($M14)-1),0)),ROW($M$35)-ROW($M14)-1,MATCH(N$13,OFFSET($M14,1,0,ROW($M$35)-ROW($M14)-1),0)-1),0))</f>
        <v>20</v>
      </c>
      <c r="O14" s="193">
        <f ca="1">IF($F15=-1,0,IF(O$13&lt;=$M14,IF(ISERROR(MATCH(O$13,OFFSET($M14,1,0,ROW($M$35)-ROW($M14)-1),0)),ROW($M$35)-ROW($M14)-1,MATCH(O$13,OFFSET($M14,1,0,ROW($M$35)-ROW($M14)-1),0)-1),0))</f>
        <v>0</v>
      </c>
      <c r="P14" s="193">
        <f ca="1">IF($F15=-1,0,IF(P$13&lt;=$M14,IF(ISERROR(MATCH(P$13,OFFSET($M14,1,0,ROW($M$35)-ROW($M14)-1),0)),ROW($M$35)-ROW($M14)-1,MATCH(P$13,OFFSET($M14,1,0,ROW($M$35)-ROW($M14)-1),0)-1),0))</f>
        <v>0</v>
      </c>
      <c r="Q14" s="193">
        <f ca="1">IF($F15=-1,0,IF(Q$13&lt;=$M14,IF(ISERROR(MATCH(Q$13,OFFSET($M14,1,0,ROW($M$35)-ROW($M14)-1),0)),ROW($M$35)-ROW($M14)-1,MATCH(Q$13,OFFSET($M14,1,0,ROW($M$35)-ROW($M14)-1),0)-1),0))</f>
        <v>0</v>
      </c>
      <c r="R14" s="193">
        <f t="shared" ref="R14" ca="1" si="5">MIN(OFFSET(M14,0,1,,M14))</f>
        <v>20</v>
      </c>
      <c r="S14" s="194">
        <f ca="1">IF($F15=0,OFFSET(ORÇAMENTO!X$15,$F14,0),IF($F15&lt;&gt;-1,OFFSET(QCI!$O$13,$F15,0),""))</f>
        <v>0</v>
      </c>
      <c r="T14" s="195" t="s">
        <v>785</v>
      </c>
      <c r="U14" s="188" t="e" cm="1">
        <f t="array" aca="1" ref="U14" ca="1">IF(AND($R14=2,ACOMPANHAMENTO="BM"),ROUND(U15,4),U16/$S14)</f>
        <v>#DIV/0!</v>
      </c>
      <c r="V14" s="188" t="e" cm="1">
        <f t="array" aca="1" ref="V14" ca="1">IF(AND($R14=2,ACOMPANHAMENTO="BM"),ROUND(V15,4),V16/$S14)</f>
        <v>#DIV/0!</v>
      </c>
      <c r="W14" s="188" t="e" cm="1">
        <f t="array" aca="1" ref="W14" ca="1">IF(AND($R14=2,ACOMPANHAMENTO="BM"),ROUND(W15,4),W16/$S14)</f>
        <v>#DIV/0!</v>
      </c>
      <c r="X14" s="188" t="e" cm="1">
        <f t="array" aca="1" ref="X14" ca="1">IF(AND($R14=2,ACOMPANHAMENTO="BM"),ROUND(X15,4),X16/$S14)</f>
        <v>#DIV/0!</v>
      </c>
      <c r="Y14" s="188" t="e" cm="1">
        <f t="array" aca="1" ref="Y14" ca="1">IF(AND($R14=2,ACOMPANHAMENTO="BM"),ROUND(Y15,4),Y16/$S14)</f>
        <v>#DIV/0!</v>
      </c>
      <c r="Z14" s="188" t="e" cm="1">
        <f t="array" aca="1" ref="Z14" ca="1">IF(AND($R14=2,ACOMPANHAMENTO="BM"),ROUND(Z15,4),Z16/$S14)</f>
        <v>#DIV/0!</v>
      </c>
      <c r="AA14" s="188" t="e" cm="1">
        <f t="array" aca="1" ref="AA14" ca="1">IF(AND($R14=2,ACOMPANHAMENTO="BM"),ROUND(AA15,4),AA16/$S14)</f>
        <v>#DIV/0!</v>
      </c>
      <c r="AB14" s="188" t="e" cm="1">
        <f t="array" aca="1" ref="AB14" ca="1">IF(AND($R14=2,ACOMPANHAMENTO="BM"),ROUND(AB15,4),AB16/$S14)</f>
        <v>#DIV/0!</v>
      </c>
      <c r="AC14" s="188" t="e" cm="1">
        <f t="array" aca="1" ref="AC14" ca="1">IF(AND($R14=2,ACOMPANHAMENTO="BM"),ROUND(AC15,4),AC16/$S14)</f>
        <v>#DIV/0!</v>
      </c>
      <c r="AD14" s="188" t="e" cm="1">
        <f t="array" aca="1" ref="AD14" ca="1">IF(AND($R14=2,ACOMPANHAMENTO="BM"),ROUND(AD15,4),AD16/$S14)</f>
        <v>#DIV/0!</v>
      </c>
      <c r="AE14" s="188" t="e" cm="1">
        <f t="array" aca="1" ref="AE14" ca="1">IF(AND($R14=2,ACOMPANHAMENTO="BM"),ROUND(AE15,4),AE16/$S14)</f>
        <v>#DIV/0!</v>
      </c>
      <c r="AF14" s="188" t="e" cm="1">
        <f t="array" aca="1" ref="AF14" ca="1">IF(AND($R14=2,ACOMPANHAMENTO="BM"),ROUND(AF15,4),AF16/$S14)</f>
        <v>#DIV/0!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vazia</v>
      </c>
      <c r="I15" s="197"/>
      <c r="J15" s="198" t="str">
        <f t="shared" ref="J15" ca="1" si="6">IF(AND(H14&lt;&gt;0,ISNUMBER(H14)),"PREENCHA ESTA LINHA --&gt;","")</f>
        <v/>
      </c>
      <c r="K15" s="198"/>
      <c r="L15" s="198"/>
      <c r="M15" s="199"/>
      <c r="N15" s="199"/>
      <c r="O15" s="199"/>
      <c r="P15" s="199"/>
      <c r="Q15" s="199"/>
      <c r="R15" s="199"/>
      <c r="S15" s="200"/>
      <c r="T15" s="201"/>
      <c r="U15" s="587">
        <v>0.01</v>
      </c>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SUMIF(CÁLCULO!$AM$15:$AW$47,CRONO!E$12,CÁLCULO!$AB$15:$AL$47)/(ORÇAMENTO!$X$15-CÁLCULO.TotalAdmLocal)*CRONO!$F16,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SUMIF(CÁLCULO!$AM$15:$AW$47,CRONO!U$12,CÁLCULO!$AB$15:$AL$47)/(ORÇAMENTO!$X$15-CÁLCULO.TotalAdmLocal)*CRONO!$F16,
                        0),
                 U15*$S14),
          SUMIF(OFFSET($S16,1,0,$R14-2),($M14+1)&amp;"$",OFFSET(U16,1,0,$R14-2)))</f>
        <v>0</v>
      </c>
      <c r="V16" s="202" cm="1">
        <f t="array" aca="1" ref="V16" ca="1">IF($R14=2,
         IF(AND(ACOMPANHAMENTO="PLE",ISNUMBER($F14)),
                SUMIF((OFFSET(CÁLCULO!$AM$15:$AW$15,$F14,0,OFFSET(ORÇAMENTO!$D$15,CRONO!$F14,0))),CRONO!V$12,OFFSET(CÁLCULO!$AB$15:$AL$15,$F14,0,OFFSET(ORÇAMENTO!$D$15,CRONO!$F14,0)))
                +IF(AND($F16&lt;&gt;"",$F16&lt;&gt;0),
                        SUMIF(CÁLCULO!$AM$15:$AW$47,CRONO!V$12,CÁLCULO!$AB$15:$AL$47)/(ORÇAMENTO!$X$15-CÁLCULO.TotalAdmLocal)*CRONO!$F16,
                        0),
                 V15*$S14),
          SUMIF(OFFSET($S16,1,0,$R14-2),($M14+1)&amp;"$",OFFSET(V16,1,0,$R14-2)))</f>
        <v>0</v>
      </c>
      <c r="W16" s="202" cm="1">
        <f t="array" aca="1" ref="W16" ca="1">IF($R14=2,
         IF(AND(ACOMPANHAMENTO="PLE",ISNUMBER($F14)),
                SUMIF((OFFSET(CÁLCULO!$AM$15:$AW$15,$F14,0,OFFSET(ORÇAMENTO!$D$15,CRONO!$F14,0))),CRONO!W$12,OFFSET(CÁLCULO!$AB$15:$AL$15,$F14,0,OFFSET(ORÇAMENTO!$D$15,CRONO!$F14,0)))
                +IF(AND($F16&lt;&gt;"",$F16&lt;&gt;0),
                        SUMIF(CÁLCULO!$AM$15:$AW$47,CRONO!W$12,CÁLCULO!$AB$15:$AL$47)/(ORÇAMENTO!$X$15-CÁLCULO.TotalAdmLocal)*CRONO!$F16,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SUMIF(CÁLCULO!$AM$15:$AW$47,CRONO!X$12,CÁLCULO!$AB$15:$AL$47)/(ORÇAMENTO!$X$15-CÁLCULO.TotalAdmLocal)*CRONO!$F16,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SUMIF(CÁLCULO!$AM$15:$AW$47,CRONO!Y$12,CÁLCULO!$AB$15:$AL$47)/(ORÇAMENTO!$X$15-CÁLCULO.TotalAdmLocal)*CRONO!$F16,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SUMIF(CÁLCULO!$AM$15:$AW$47,CRONO!Z$12,CÁLCULO!$AB$15:$AL$47)/(ORÇAMENTO!$X$15-CÁLCULO.TotalAdmLocal)*CRONO!$F16,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SUMIF(CÁLCULO!$AM$15:$AW$47,CRONO!AA$12,CÁLCULO!$AB$15:$AL$47)/(ORÇAMENTO!$X$15-CÁLCULO.TotalAdmLocal)*CRONO!$F16,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SUMIF(CÁLCULO!$AM$15:$AW$47,CRONO!AB$12,CÁLCULO!$AB$15:$AL$47)/(ORÇAMENTO!$X$15-CÁLCULO.TotalAdmLocal)*CRONO!$F16,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SUMIF(CÁLCULO!$AM$15:$AW$47,CRONO!AC$12,CÁLCULO!$AB$15:$AL$47)/(ORÇAMENTO!$X$15-CÁLCULO.TotalAdmLocal)*CRONO!$F16,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SUMIF(CÁLCULO!$AM$15:$AW$47,CRONO!AD$12,CÁLCULO!$AB$15:$AL$47)/(ORÇAMENTO!$X$15-CÁLCULO.TotalAdmLocal)*CRONO!$F16,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SUMIF(CÁLCULO!$AM$15:$AW$47,CRONO!AE$12,CÁLCULO!$AB$15:$AL$47)/(ORÇAMENTO!$X$15-CÁLCULO.TotalAdmLocal)*CRONO!$F16,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SUMIF(CÁLCULO!$AM$15:$AW$47,CRONO!AF$12,CÁLCULO!$AB$15:$AL$47)/(ORÇAMENTO!$X$15-CÁLCULO.TotalAdmLocal)*CRONO!$F16,
                        0),
                 AF15*$S14),
          SUMIF(OFFSET($S16,1,0,$R14-2),($M14+1)&amp;"$",OFFSET(AF16,1,0,$R14-2)))</f>
        <v>0</v>
      </c>
      <c r="AG16" s="534"/>
    </row>
    <row r="17" spans="1:33" x14ac:dyDescent="0.2">
      <c r="A17" s="186" t="str">
        <f t="shared" ref="A17" ca="1" si="8">IF($M17&gt;1,_xlfn.CONCAT($I17," ",$J17),"")</f>
        <v>1.1. PLACA DA OBRA</v>
      </c>
      <c r="B17" s="185">
        <f t="shared" ref="B17" ca="1" si="9">OFFSET(B17,-3,0)+1</f>
        <v>2</v>
      </c>
      <c r="C17" s="185">
        <f ca="1">IF($R17&lt;&gt;2,0,IF($S17=0,1,IF(F18&gt;0,OFFSET(QCI!$M$13,SUBSTITUTE(F18,".",""),0),OFFSET(ORÇAMENTO!$AA$15,CRONO!$F17,0))/$S17))</f>
        <v>1</v>
      </c>
      <c r="D17" s="185">
        <f ca="1">IF($R17&lt;&gt;2,0,IF($S17=0,1,IF(F18&gt;0,OFFSET(QCI!$N$13,SUBSTITUTE(F18,".",""),0),OFFSET(ORÇAMENTO!$AB$15,CRONO!$F17,0))/$S17))</f>
        <v>1</v>
      </c>
      <c r="E17" s="188" cm="1">
        <f t="array" aca="1" ref="E17" ca="1">IF(AND($R17=2,ACOMPANHAMENTO="BM"),ROUND(E18,4),E19/$S17)</f>
        <v>0</v>
      </c>
      <c r="F17" s="185" cm="1">
        <f t="array" aca="1" ref="F17" ca="1">IF(B17&lt;=ORÇAMENTO.MáximoListaCrono,MATCH(B17,ORÇAMENTO.ListaCrono,0),NA())</f>
        <v>2</v>
      </c>
      <c r="G17" s="185" t="str">
        <f t="shared" ref="G17" ca="1" si="10">IF(AND($F18&lt;&gt;-1,$S17&gt;0),"F","")</f>
        <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PLACA DA OBRA</v>
      </c>
      <c r="K17" s="191"/>
      <c r="L17" s="191"/>
      <c r="M17" s="192">
        <f ca="1">IF($F18=0,OFFSET(ORÇAMENTO!C$15,$F17,0),1)</f>
        <v>2</v>
      </c>
      <c r="N17" s="193">
        <f ca="1">IF($F18=-1,0,IF(N$13&lt;=$M17,IF(ISERROR(MATCH(N$13,OFFSET($M17,1,0,ROW($M$35)-ROW($M17)-1),0)),ROW($M$35)-ROW($M17)-1,MATCH(N$13,OFFSET($M17,1,0,ROW($M$35)-ROW($M17)-1),0)-1),0))</f>
        <v>17</v>
      </c>
      <c r="O17" s="193">
        <f ca="1">IF($F18=-1,0,IF(O$13&lt;=$M17,IF(ISERROR(MATCH(O$13,OFFSET($M17,1,0,ROW($M$35)-ROW($M17)-1),0)),ROW($M$35)-ROW($M17)-1,MATCH(O$13,OFFSET($M17,1,0,ROW($M$35)-ROW($M17)-1),0)-1),0))</f>
        <v>2</v>
      </c>
      <c r="P17" s="193">
        <f ca="1">IF($F18=-1,0,IF(P$13&lt;=$M17,IF(ISERROR(MATCH(P$13,OFFSET($M17,1,0,ROW($M$35)-ROW($M17)-1),0)),ROW($M$35)-ROW($M17)-1,MATCH(P$13,OFFSET($M17,1,0,ROW($M$35)-ROW($M17)-1),0)-1),0))</f>
        <v>0</v>
      </c>
      <c r="Q17" s="193">
        <f ca="1">IF($F18=-1,0,IF(Q$13&lt;=$M17,IF(ISERROR(MATCH(Q$13,OFFSET($M17,1,0,ROW($M$35)-ROW($M17)-1),0)),ROW($M$35)-ROW($M17)-1,MATCH(Q$13,OFFSET($M17,1,0,ROW($M$35)-ROW($M17)-1),0)-1),0))</f>
        <v>0</v>
      </c>
      <c r="R17" s="193">
        <f t="shared" ref="R17" ca="1" si="11">MIN(OFFSET(M17,0,1,,M17))</f>
        <v>2</v>
      </c>
      <c r="S17" s="194">
        <f ca="1">IF($F18=0,OFFSET(ORÇAMENTO!X$15,$F17,0),IF($F18&lt;&gt;-1,OFFSET(QCI!$O$13,$F18,0),""))</f>
        <v>0</v>
      </c>
      <c r="T17" s="195" t="s">
        <v>785</v>
      </c>
      <c r="U17" s="188" cm="1">
        <f t="array" aca="1" ref="U17" ca="1">IF(AND($R17=2,ACOMPANHAMENTO="BM"),ROUND(U18,4),U19/$S17)</f>
        <v>1</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vazia</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SUMIF(CÁLCULO!$AM$15:$AW$47,CRONO!E$12,CÁLCULO!$AB$15:$AL$47)/(ORÇAMENTO!$X$15-CÁLCULO.TotalAdmLocal)*CRONO!$F19,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SUMIF(CÁLCULO!$AM$15:$AW$47,CRONO!U$12,CÁLCULO!$AB$15:$AL$47)/(ORÇAMENTO!$X$15-CÁLCULO.TotalAdmLocal)*CRONO!$F19,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SUMIF(CÁLCULO!$AM$15:$AW$47,CRONO!V$12,CÁLCULO!$AB$15:$AL$47)/(ORÇAMENTO!$X$15-CÁLCULO.TotalAdmLocal)*CRONO!$F19,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SUMIF(CÁLCULO!$AM$15:$AW$47,CRONO!W$12,CÁLCULO!$AB$15:$AL$47)/(ORÇAMENTO!$X$15-CÁLCULO.TotalAdmLocal)*CRONO!$F19,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SUMIF(CÁLCULO!$AM$15:$AW$47,CRONO!X$12,CÁLCULO!$AB$15:$AL$47)/(ORÇAMENTO!$X$15-CÁLCULO.TotalAdmLocal)*CRONO!$F19,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SUMIF(CÁLCULO!$AM$15:$AW$47,CRONO!Y$12,CÁLCULO!$AB$15:$AL$47)/(ORÇAMENTO!$X$15-CÁLCULO.TotalAdmLocal)*CRONO!$F19,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SUMIF(CÁLCULO!$AM$15:$AW$47,CRONO!Z$12,CÁLCULO!$AB$15:$AL$47)/(ORÇAMENTO!$X$15-CÁLCULO.TotalAdmLocal)*CRONO!$F19,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SUMIF(CÁLCULO!$AM$15:$AW$47,CRONO!AA$12,CÁLCULO!$AB$15:$AL$47)/(ORÇAMENTO!$X$15-CÁLCULO.TotalAdmLocal)*CRONO!$F19,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SUMIF(CÁLCULO!$AM$15:$AW$47,CRONO!AB$12,CÁLCULO!$AB$15:$AL$47)/(ORÇAMENTO!$X$15-CÁLCULO.TotalAdmLocal)*CRONO!$F19,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SUMIF(CÁLCULO!$AM$15:$AW$47,CRONO!AC$12,CÁLCULO!$AB$15:$AL$47)/(ORÇAMENTO!$X$15-CÁLCULO.TotalAdmLocal)*CRONO!$F19,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SUMIF(CÁLCULO!$AM$15:$AW$47,CRONO!AD$12,CÁLCULO!$AB$15:$AL$47)/(ORÇAMENTO!$X$15-CÁLCULO.TotalAdmLocal)*CRONO!$F19,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SUMIF(CÁLCULO!$AM$15:$AW$47,CRONO!AE$12,CÁLCULO!$AB$15:$AL$47)/(ORÇAMENTO!$X$15-CÁLCULO.TotalAdmLocal)*CRONO!$F19,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SUMIF(CÁLCULO!$AM$15:$AW$47,CRONO!AF$12,CÁLCULO!$AB$15:$AL$47)/(ORÇAMENTO!$X$15-CÁLCULO.TotalAdmLocal)*CRONO!$F19,
                        0),
                 AF18*$S17),
          SUMIF(OFFSET($S19,1,0,$R17-2),($M17+1)&amp;"$",OFFSET(AF19,1,0,$R17-2)))</f>
        <v>0</v>
      </c>
      <c r="AG19" s="534"/>
    </row>
    <row r="20" spans="1:33" x14ac:dyDescent="0.2">
      <c r="A20" s="186" t="str">
        <f t="shared" ref="A20" ca="1" si="14">IF($M20&gt;1,_xlfn.CONCAT($I20," ",$J20),"")</f>
        <v>1.2. CANTEIRO DE OBRAS</v>
      </c>
      <c r="B20" s="185">
        <f t="shared" ref="B20" ca="1" si="15">OFFSET(B20,-3,0)+1</f>
        <v>3</v>
      </c>
      <c r="C20" s="185">
        <f ca="1">IF($R20&lt;&gt;2,0,IF($S20=0,1,IF(F21&gt;0,OFFSET(QCI!$M$13,SUBSTITUTE(F21,".",""),0),OFFSET(ORÇAMENTO!$AA$15,CRONO!$F20,0))/$S20))</f>
        <v>1</v>
      </c>
      <c r="D20" s="185">
        <f ca="1">IF($R20&lt;&gt;2,0,IF($S20=0,1,IF(F21&gt;0,OFFSET(QCI!$N$13,SUBSTITUTE(F21,".",""),0),OFFSET(ORÇAMENTO!$AB$15,CRONO!$F20,0))/$S20))</f>
        <v>1</v>
      </c>
      <c r="E20" s="188" cm="1">
        <f t="array" aca="1" ref="E20" ca="1">IF(AND($R20=2,ACOMPANHAMENTO="BM"),ROUND(E21,4),E22/$S20)</f>
        <v>0</v>
      </c>
      <c r="F20" s="185" cm="1">
        <f t="array" aca="1" ref="F20" ca="1">IF(B20&lt;=ORÇAMENTO.MáximoListaCrono,MATCH(B20,ORÇAMENTO.ListaCrono,0),NA())</f>
        <v>4</v>
      </c>
      <c r="G20" s="185" t="str">
        <f t="shared" ref="G20" ca="1" si="16">IF(AND($F21&lt;&gt;-1,$S20&gt;0),"F","")</f>
        <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CANTEIRO DE OBRAS</v>
      </c>
      <c r="K20" s="191"/>
      <c r="L20" s="191"/>
      <c r="M20" s="192">
        <f ca="1">IF($F21=0,OFFSET(ORÇAMENTO!C$15,$F20,0),1)</f>
        <v>2</v>
      </c>
      <c r="N20" s="193">
        <f ca="1">IF($F21=-1,0,IF(N$13&lt;=$M20,IF(ISERROR(MATCH(N$13,OFFSET($M20,1,0,ROW($M$35)-ROW($M20)-1),0)),ROW($M$35)-ROW($M20)-1,MATCH(N$13,OFFSET($M20,1,0,ROW($M$35)-ROW($M20)-1),0)-1),0))</f>
        <v>14</v>
      </c>
      <c r="O20" s="193">
        <f ca="1">IF($F21=-1,0,IF(O$13&lt;=$M20,IF(ISERROR(MATCH(O$13,OFFSET($M20,1,0,ROW($M$35)-ROW($M20)-1),0)),ROW($M$35)-ROW($M20)-1,MATCH(O$13,OFFSET($M20,1,0,ROW($M$35)-ROW($M20)-1),0)-1),0))</f>
        <v>2</v>
      </c>
      <c r="P20" s="193">
        <f ca="1">IF($F21=-1,0,IF(P$13&lt;=$M20,IF(ISERROR(MATCH(P$13,OFFSET($M20,1,0,ROW($M$35)-ROW($M20)-1),0)),ROW($M$35)-ROW($M20)-1,MATCH(P$13,OFFSET($M20,1,0,ROW($M$35)-ROW($M20)-1),0)-1),0))</f>
        <v>0</v>
      </c>
      <c r="Q20" s="193">
        <f ca="1">IF($F21=-1,0,IF(Q$13&lt;=$M20,IF(ISERROR(MATCH(Q$13,OFFSET($M20,1,0,ROW($M$35)-ROW($M20)-1),0)),ROW($M$35)-ROW($M20)-1,MATCH(Q$13,OFFSET($M20,1,0,ROW($M$35)-ROW($M20)-1),0)-1),0))</f>
        <v>0</v>
      </c>
      <c r="R20" s="193">
        <f t="shared" ref="R20" ca="1" si="17">MIN(OFFSET(M20,0,1,,M20))</f>
        <v>2</v>
      </c>
      <c r="S20" s="194">
        <f ca="1">IF($F21=0,OFFSET(ORÇAMENTO!X$15,$F20,0),IF($F21&lt;&gt;-1,OFFSET(QCI!$O$13,$F21,0),""))</f>
        <v>0</v>
      </c>
      <c r="T20" s="195" t="s">
        <v>785</v>
      </c>
      <c r="U20" s="188" cm="1">
        <f t="array" aca="1" ref="U20" ca="1">IF(AND($R20=2,ACOMPANHAMENTO="BM"),ROUND(U21,4),U22/$S20)</f>
        <v>0.4</v>
      </c>
      <c r="V20" s="188" cm="1">
        <f t="array" aca="1" ref="V20" ca="1">IF(AND($R20=2,ACOMPANHAMENTO="BM"),ROUND(V21,4),V22/$S20)</f>
        <v>0.3</v>
      </c>
      <c r="W20" s="188" cm="1">
        <f t="array" aca="1" ref="W20" ca="1">IF(AND($R20=2,ACOMPANHAMENTO="BM"),ROUND(W21,4),W22/$S20)</f>
        <v>0.3</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vazia</v>
      </c>
      <c r="I21" s="197"/>
      <c r="J21" s="198" t="str">
        <f t="shared" ref="J21" ca="1" si="18">IF(AND(H20&lt;&gt;0,ISNUMBER(H20)),"PREENCHA ESTA LINHA --&gt;","")</f>
        <v/>
      </c>
      <c r="K21" s="198"/>
      <c r="L21" s="198"/>
      <c r="M21" s="199"/>
      <c r="N21" s="199"/>
      <c r="O21" s="199"/>
      <c r="P21" s="199"/>
      <c r="Q21" s="199"/>
      <c r="R21" s="199"/>
      <c r="S21" s="200"/>
      <c r="T21" s="201"/>
      <c r="U21" s="587">
        <v>0.4</v>
      </c>
      <c r="V21" s="587">
        <v>0.3</v>
      </c>
      <c r="W21" s="587">
        <v>0.3</v>
      </c>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SUMIF(CÁLCULO!$AM$15:$AW$47,CRONO!E$12,CÁLCULO!$AB$15:$AL$47)/(ORÇAMENTO!$X$15-CÁLCULO.TotalAdmLocal)*CRONO!$F22,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SUMIF(CÁLCULO!$AM$15:$AW$47,CRONO!U$12,CÁLCULO!$AB$15:$AL$47)/(ORÇAMENTO!$X$15-CÁLCULO.TotalAdmLocal)*CRONO!$F22,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SUMIF(CÁLCULO!$AM$15:$AW$47,CRONO!V$12,CÁLCULO!$AB$15:$AL$47)/(ORÇAMENTO!$X$15-CÁLCULO.TotalAdmLocal)*CRONO!$F22,
                        0),
                 V21*$S20),
          SUMIF(OFFSET($S22,1,0,$R20-2),($M20+1)&amp;"$",OFFSET(V22,1,0,$R20-2)))</f>
        <v>0</v>
      </c>
      <c r="W22" s="202" cm="1">
        <f t="array" aca="1" ref="W22" ca="1">IF($R20=2,
         IF(AND(ACOMPANHAMENTO="PLE",ISNUMBER($F20)),
                SUMIF((OFFSET(CÁLCULO!$AM$15:$AW$15,$F20,0,OFFSET(ORÇAMENTO!$D$15,CRONO!$F20,0))),CRONO!W$12,OFFSET(CÁLCULO!$AB$15:$AL$15,$F20,0,OFFSET(ORÇAMENTO!$D$15,CRONO!$F20,0)))
                +IF(AND($F22&lt;&gt;"",$F22&lt;&gt;0),
                        SUMIF(CÁLCULO!$AM$15:$AW$47,CRONO!W$12,CÁLCULO!$AB$15:$AL$47)/(ORÇAMENTO!$X$15-CÁLCULO.TotalAdmLocal)*CRONO!$F22,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SUMIF(CÁLCULO!$AM$15:$AW$47,CRONO!X$12,CÁLCULO!$AB$15:$AL$47)/(ORÇAMENTO!$X$15-CÁLCULO.TotalAdmLocal)*CRONO!$F22,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SUMIF(CÁLCULO!$AM$15:$AW$47,CRONO!Y$12,CÁLCULO!$AB$15:$AL$47)/(ORÇAMENTO!$X$15-CÁLCULO.TotalAdmLocal)*CRONO!$F22,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SUMIF(CÁLCULO!$AM$15:$AW$47,CRONO!Z$12,CÁLCULO!$AB$15:$AL$47)/(ORÇAMENTO!$X$15-CÁLCULO.TotalAdmLocal)*CRONO!$F22,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SUMIF(CÁLCULO!$AM$15:$AW$47,CRONO!AA$12,CÁLCULO!$AB$15:$AL$47)/(ORÇAMENTO!$X$15-CÁLCULO.TotalAdmLocal)*CRONO!$F22,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SUMIF(CÁLCULO!$AM$15:$AW$47,CRONO!AB$12,CÁLCULO!$AB$15:$AL$47)/(ORÇAMENTO!$X$15-CÁLCULO.TotalAdmLocal)*CRONO!$F22,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SUMIF(CÁLCULO!$AM$15:$AW$47,CRONO!AC$12,CÁLCULO!$AB$15:$AL$47)/(ORÇAMENTO!$X$15-CÁLCULO.TotalAdmLocal)*CRONO!$F22,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SUMIF(CÁLCULO!$AM$15:$AW$47,CRONO!AD$12,CÁLCULO!$AB$15:$AL$47)/(ORÇAMENTO!$X$15-CÁLCULO.TotalAdmLocal)*CRONO!$F22,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SUMIF(CÁLCULO!$AM$15:$AW$47,CRONO!AE$12,CÁLCULO!$AB$15:$AL$47)/(ORÇAMENTO!$X$15-CÁLCULO.TotalAdmLocal)*CRONO!$F22,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SUMIF(CÁLCULO!$AM$15:$AW$47,CRONO!AF$12,CÁLCULO!$AB$15:$AL$47)/(ORÇAMENTO!$X$15-CÁLCULO.TotalAdmLocal)*CRONO!$F22,
                        0),
                 AF21*$S20),
          SUMIF(OFFSET($S22,1,0,$R20-2),($M20+1)&amp;"$",OFFSET(AF22,1,0,$R20-2)))</f>
        <v>0</v>
      </c>
      <c r="AG22" s="534"/>
    </row>
    <row r="23" spans="1:33" x14ac:dyDescent="0.2">
      <c r="A23" s="186" t="str">
        <f t="shared" ref="A23" ca="1" si="20">IF($M23&gt;1,_xlfn.CONCAT($I23," ",$J23),"")</f>
        <v>1.3. DEMOLIÇÃO</v>
      </c>
      <c r="B23" s="185">
        <f t="shared" ref="B23" ca="1" si="21">OFFSET(B23,-3,0)+1</f>
        <v>4</v>
      </c>
      <c r="C23" s="185">
        <f ca="1">IF($R23&lt;&gt;2,0,IF($S23=0,1,IF(F24&gt;0,OFFSET(QCI!$M$13,SUBSTITUTE(F24,".",""),0),OFFSET(ORÇAMENTO!$AA$15,CRONO!$F23,0))/$S23))</f>
        <v>1</v>
      </c>
      <c r="D23" s="185">
        <f ca="1">IF($R23&lt;&gt;2,0,IF($S23=0,1,IF(F24&gt;0,OFFSET(QCI!$N$13,SUBSTITUTE(F24,".",""),0),OFFSET(ORÇAMENTO!$AB$15,CRONO!$F23,0))/$S23))</f>
        <v>1</v>
      </c>
      <c r="E23" s="188" cm="1">
        <f t="array" aca="1" ref="E23" ca="1">IF(AND($R23=2,ACOMPANHAMENTO="BM"),ROUND(E24,4),E25/$S23)</f>
        <v>0</v>
      </c>
      <c r="F23" s="185" cm="1">
        <f t="array" aca="1" ref="F23" ca="1">IF(B23&lt;=ORÇAMENTO.MáximoListaCrono,MATCH(B23,ORÇAMENTO.ListaCrono,0),NA())</f>
        <v>10</v>
      </c>
      <c r="G23" s="185" t="str">
        <f t="shared" ref="G23" ca="1" si="22">IF(AND($F24&lt;&gt;-1,$S23&gt;0),"F","")</f>
        <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DEMOLIÇÃO</v>
      </c>
      <c r="K23" s="191"/>
      <c r="L23" s="191"/>
      <c r="M23" s="192">
        <f ca="1">IF($F24=0,OFFSET(ORÇAMENTO!C$15,$F23,0),1)</f>
        <v>2</v>
      </c>
      <c r="N23" s="193">
        <f ca="1">IF($F24=-1,0,IF(N$13&lt;=$M23,IF(ISERROR(MATCH(N$13,OFFSET($M23,1,0,ROW($M$35)-ROW($M23)-1),0)),ROW($M$35)-ROW($M23)-1,MATCH(N$13,OFFSET($M23,1,0,ROW($M$35)-ROW($M23)-1),0)-1),0))</f>
        <v>11</v>
      </c>
      <c r="O23" s="193">
        <f ca="1">IF($F24=-1,0,IF(O$13&lt;=$M23,IF(ISERROR(MATCH(O$13,OFFSET($M23,1,0,ROW($M$35)-ROW($M23)-1),0)),ROW($M$35)-ROW($M23)-1,MATCH(O$13,OFFSET($M23,1,0,ROW($M$35)-ROW($M23)-1),0)-1),0))</f>
        <v>2</v>
      </c>
      <c r="P23" s="193">
        <f ca="1">IF($F24=-1,0,IF(P$13&lt;=$M23,IF(ISERROR(MATCH(P$13,OFFSET($M23,1,0,ROW($M$35)-ROW($M23)-1),0)),ROW($M$35)-ROW($M23)-1,MATCH(P$13,OFFSET($M23,1,0,ROW($M$35)-ROW($M23)-1),0)-1),0))</f>
        <v>0</v>
      </c>
      <c r="Q23" s="193">
        <f ca="1">IF($F24=-1,0,IF(Q$13&lt;=$M23,IF(ISERROR(MATCH(Q$13,OFFSET($M23,1,0,ROW($M$35)-ROW($M23)-1),0)),ROW($M$35)-ROW($M23)-1,MATCH(Q$13,OFFSET($M23,1,0,ROW($M$35)-ROW($M23)-1),0)-1),0))</f>
        <v>0</v>
      </c>
      <c r="R23" s="193">
        <f t="shared" ref="R23" ca="1" si="23">MIN(OFFSET(M23,0,1,,M23))</f>
        <v>2</v>
      </c>
      <c r="S23" s="194">
        <f ca="1">IF($F24=0,OFFSET(ORÇAMENTO!X$15,$F23,0),IF($F24&lt;&gt;-1,OFFSET(QCI!$O$13,$F24,0),""))</f>
        <v>0</v>
      </c>
      <c r="T23" s="195" t="s">
        <v>785</v>
      </c>
      <c r="U23" s="188" cm="1">
        <f t="array" aca="1" ref="U23" ca="1">IF(AND($R23=2,ACOMPANHAMENTO="BM"),ROUND(U24,4),U25/$S23)</f>
        <v>0.8</v>
      </c>
      <c r="V23" s="188" cm="1">
        <f t="array" aca="1" ref="V23" ca="1">IF(AND($R23=2,ACOMPANHAMENTO="BM"),ROUND(V24,4),V25/$S23)</f>
        <v>0.2</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vazia</v>
      </c>
      <c r="I24" s="197"/>
      <c r="J24" s="198" t="str">
        <f t="shared" ref="J24" ca="1" si="24">IF(AND(H23&lt;&gt;0,ISNUMBER(H23)),"PREENCHA ESTA LINHA --&gt;","")</f>
        <v/>
      </c>
      <c r="K24" s="198"/>
      <c r="L24" s="198"/>
      <c r="M24" s="199"/>
      <c r="N24" s="199"/>
      <c r="O24" s="199"/>
      <c r="P24" s="199"/>
      <c r="Q24" s="199"/>
      <c r="R24" s="199"/>
      <c r="S24" s="200"/>
      <c r="T24" s="201"/>
      <c r="U24" s="587">
        <v>0.8</v>
      </c>
      <c r="V24" s="587">
        <v>0.2</v>
      </c>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SUMIF(CÁLCULO!$AM$15:$AW$47,CRONO!E$12,CÁLCULO!$AB$15:$AL$47)/(ORÇAMENTO!$X$15-CÁLCULO.TotalAdmLocal)*CRONO!$F25,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203"/>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SUMIF(CÁLCULO!$AM$15:$AW$47,CRONO!U$12,CÁLCULO!$AB$15:$AL$47)/(ORÇAMENTO!$X$15-CÁLCULO.TotalAdmLocal)*CRONO!$F25,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SUMIF(CÁLCULO!$AM$15:$AW$47,CRONO!V$12,CÁLCULO!$AB$15:$AL$47)/(ORÇAMENTO!$X$15-CÁLCULO.TotalAdmLocal)*CRONO!$F25,
                        0),
                 V24*$S23),
          SUMIF(OFFSET($S25,1,0,$R23-2),($M23+1)&amp;"$",OFFSET(V25,1,0,$R23-2)))</f>
        <v>0</v>
      </c>
      <c r="W25" s="202" cm="1">
        <f t="array" aca="1" ref="W25" ca="1">IF($R23=2,
         IF(AND(ACOMPANHAMENTO="PLE",ISNUMBER($F23)),
                SUMIF((OFFSET(CÁLCULO!$AM$15:$AW$15,$F23,0,OFFSET(ORÇAMENTO!$D$15,CRONO!$F23,0))),CRONO!W$12,OFFSET(CÁLCULO!$AB$15:$AL$15,$F23,0,OFFSET(ORÇAMENTO!$D$15,CRONO!$F23,0)))
                +IF(AND($F25&lt;&gt;"",$F25&lt;&gt;0),
                        SUMIF(CÁLCULO!$AM$15:$AW$47,CRONO!W$12,CÁLCULO!$AB$15:$AL$47)/(ORÇAMENTO!$X$15-CÁLCULO.TotalAdmLocal)*CRONO!$F25,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SUMIF(CÁLCULO!$AM$15:$AW$47,CRONO!X$12,CÁLCULO!$AB$15:$AL$47)/(ORÇAMENTO!$X$15-CÁLCULO.TotalAdmLocal)*CRONO!$F25,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SUMIF(CÁLCULO!$AM$15:$AW$47,CRONO!Y$12,CÁLCULO!$AB$15:$AL$47)/(ORÇAMENTO!$X$15-CÁLCULO.TotalAdmLocal)*CRONO!$F25,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SUMIF(CÁLCULO!$AM$15:$AW$47,CRONO!Z$12,CÁLCULO!$AB$15:$AL$47)/(ORÇAMENTO!$X$15-CÁLCULO.TotalAdmLocal)*CRONO!$F25,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SUMIF(CÁLCULO!$AM$15:$AW$47,CRONO!AA$12,CÁLCULO!$AB$15:$AL$47)/(ORÇAMENTO!$X$15-CÁLCULO.TotalAdmLocal)*CRONO!$F25,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SUMIF(CÁLCULO!$AM$15:$AW$47,CRONO!AB$12,CÁLCULO!$AB$15:$AL$47)/(ORÇAMENTO!$X$15-CÁLCULO.TotalAdmLocal)*CRONO!$F25,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SUMIF(CÁLCULO!$AM$15:$AW$47,CRONO!AC$12,CÁLCULO!$AB$15:$AL$47)/(ORÇAMENTO!$X$15-CÁLCULO.TotalAdmLocal)*CRONO!$F25,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SUMIF(CÁLCULO!$AM$15:$AW$47,CRONO!AD$12,CÁLCULO!$AB$15:$AL$47)/(ORÇAMENTO!$X$15-CÁLCULO.TotalAdmLocal)*CRONO!$F25,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SUMIF(CÁLCULO!$AM$15:$AW$47,CRONO!AE$12,CÁLCULO!$AB$15:$AL$47)/(ORÇAMENTO!$X$15-CÁLCULO.TotalAdmLocal)*CRONO!$F25,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SUMIF(CÁLCULO!$AM$15:$AW$47,CRONO!AF$12,CÁLCULO!$AB$15:$AL$47)/(ORÇAMENTO!$X$15-CÁLCULO.TotalAdmLocal)*CRONO!$F25,
                        0),
                 AF24*$S23),
          SUMIF(OFFSET($S25,1,0,$R23-2),($M23+1)&amp;"$",OFFSET(AF25,1,0,$R23-2)))</f>
        <v>0</v>
      </c>
      <c r="AG25" s="534"/>
    </row>
    <row r="26" spans="1:33" x14ac:dyDescent="0.2">
      <c r="A26" s="186" t="str">
        <f t="shared" ref="A26" ca="1" si="26">IF($M26&gt;1,_xlfn.CONCAT($I26," ",$J26),"")</f>
        <v>1.4. CONSTRUÇÃO</v>
      </c>
      <c r="B26" s="185">
        <f t="shared" ref="B26" ca="1" si="27">OFFSET(B26,-3,0)+1</f>
        <v>5</v>
      </c>
      <c r="C26" s="185">
        <f ca="1">IF($R26&lt;&gt;2,0,IF($S26=0,1,IF(F27&gt;0,OFFSET(QCI!$M$13,SUBSTITUTE(F27,".",""),0),OFFSET(ORÇAMENTO!$AA$15,CRONO!$F26,0))/$S26))</f>
        <v>1</v>
      </c>
      <c r="D26" s="185">
        <f ca="1">IF($R26&lt;&gt;2,0,IF($S26=0,1,IF(F27&gt;0,OFFSET(QCI!$N$13,SUBSTITUTE(F27,".",""),0),OFFSET(ORÇAMENTO!$AB$15,CRONO!$F26,0))/$S26))</f>
        <v>1</v>
      </c>
      <c r="E26" s="188" cm="1">
        <f t="array" aca="1" ref="E26" ca="1">IF(AND($R26=2,ACOMPANHAMENTO="BM"),ROUND(E27,4),E28/$S26)</f>
        <v>0</v>
      </c>
      <c r="F26" s="185" cm="1">
        <f t="array" aca="1" ref="F26" ca="1">IF(B26&lt;=ORÇAMENTO.MáximoListaCrono,MATCH(B26,ORÇAMENTO.ListaCrono,0),NA())</f>
        <v>20</v>
      </c>
      <c r="G26" s="185" t="str">
        <f t="shared" ref="G26" ca="1" si="28">IF(AND($F27&lt;&gt;-1,$S26&gt;0),"F","")</f>
        <v/>
      </c>
      <c r="H26" s="189" t="str" cm="1">
        <f t="array" aca="1" ref="H26" ca="1">IF(OR(S26=0,S26=""),"Linha",IF(AND(OR(ACOMPANHAMENTO="PLE",$R26&lt;&gt;2),$F27=0),"Linha",ROUND(1-SUM(U26:AG26),4)))</f>
        <v>Linha</v>
      </c>
      <c r="I26" s="190" t="str">
        <f ca="1">IF($F27=0,OFFSET(ORÇAMENTO!O$15,$F26,0),IF($F27&lt;&gt;-1,OFFSET(QCI!$D$13,$F27,0),""))</f>
        <v>1.4.</v>
      </c>
      <c r="J26" s="191" t="str">
        <f ca="1">IF($F27=0,OFFSET(ORÇAMENTO!R$15,$F26,0),IF($F27&lt;&gt;-1,OFFSET(QCI!$G$13,$F27,0),""))</f>
        <v>CONSTRUÇÃO</v>
      </c>
      <c r="K26" s="191"/>
      <c r="L26" s="191"/>
      <c r="M26" s="192">
        <f ca="1">IF($F27=0,OFFSET(ORÇAMENTO!C$15,$F26,0),1)</f>
        <v>2</v>
      </c>
      <c r="N26" s="193">
        <f ca="1">IF($F27=-1,0,IF(N$13&lt;=$M26,IF(ISERROR(MATCH(N$13,OFFSET($M26,1,0,ROW($M$35)-ROW($M26)-1),0)),ROW($M$35)-ROW($M26)-1,MATCH(N$13,OFFSET($M26,1,0,ROW($M$35)-ROW($M26)-1),0)-1),0))</f>
        <v>8</v>
      </c>
      <c r="O26" s="193">
        <f ca="1">IF($F27=-1,0,IF(O$13&lt;=$M26,IF(ISERROR(MATCH(O$13,OFFSET($M26,1,0,ROW($M$35)-ROW($M26)-1),0)),ROW($M$35)-ROW($M26)-1,MATCH(O$13,OFFSET($M26,1,0,ROW($M$35)-ROW($M26)-1),0)-1),0))</f>
        <v>2</v>
      </c>
      <c r="P26" s="193">
        <f ca="1">IF($F27=-1,0,IF(P$13&lt;=$M26,IF(ISERROR(MATCH(P$13,OFFSET($M26,1,0,ROW($M$35)-ROW($M26)-1),0)),ROW($M$35)-ROW($M26)-1,MATCH(P$13,OFFSET($M26,1,0,ROW($M$35)-ROW($M26)-1),0)-1),0))</f>
        <v>0</v>
      </c>
      <c r="Q26" s="193">
        <f ca="1">IF($F27=-1,0,IF(Q$13&lt;=$M26,IF(ISERROR(MATCH(Q$13,OFFSET($M26,1,0,ROW($M$35)-ROW($M26)-1),0)),ROW($M$35)-ROW($M26)-1,MATCH(Q$13,OFFSET($M26,1,0,ROW($M$35)-ROW($M26)-1),0)-1),0))</f>
        <v>0</v>
      </c>
      <c r="R26" s="193">
        <f t="shared" ref="R26" ca="1" si="29">MIN(OFFSET(M26,0,1,,M26))</f>
        <v>2</v>
      </c>
      <c r="S26" s="194">
        <f ca="1">IF($F27=0,OFFSET(ORÇAMENTO!X$15,$F26,0),IF($F27&lt;&gt;-1,OFFSET(QCI!$O$13,$F27,0),""))</f>
        <v>0</v>
      </c>
      <c r="T26" s="195" t="s">
        <v>785</v>
      </c>
      <c r="U26" s="188" cm="1">
        <f t="array" aca="1" ref="U26" ca="1">IF(AND($R26=2,ACOMPANHAMENTO="BM"),ROUND(U27,4),U28/$S26)</f>
        <v>0.4</v>
      </c>
      <c r="V26" s="188" cm="1">
        <f t="array" aca="1" ref="V26" ca="1">IF(AND($R26=2,ACOMPANHAMENTO="BM"),ROUND(V27,4),V28/$S26)</f>
        <v>0.4</v>
      </c>
      <c r="W26" s="188" cm="1">
        <f t="array" aca="1" ref="W26" ca="1">IF(AND($R26=2,ACOMPANHAMENTO="BM"),ROUND(W27,4),W28/$S26)</f>
        <v>0.2</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
      </c>
      <c r="H27" s="196" t="str" cm="1">
        <f t="array" aca="1" ref="H27" ca="1">IF(OR(S26=0,S26=""),"vazia",IF(AND(OR(ACOMPANHAMENTO="PLE",$R26&lt;&gt;2),$F27=0),"calculada","--&gt;"))</f>
        <v>vazia</v>
      </c>
      <c r="I27" s="197"/>
      <c r="J27" s="198" t="str">
        <f t="shared" ref="J27" ca="1" si="30">IF(AND(H26&lt;&gt;0,ISNUMBER(H26)),"PREENCHA ESTA LINHA --&gt;","")</f>
        <v/>
      </c>
      <c r="K27" s="198"/>
      <c r="L27" s="198"/>
      <c r="M27" s="199"/>
      <c r="N27" s="199"/>
      <c r="O27" s="199"/>
      <c r="P27" s="199"/>
      <c r="Q27" s="199"/>
      <c r="R27" s="199"/>
      <c r="S27" s="200"/>
      <c r="T27" s="201"/>
      <c r="U27" s="587">
        <v>0.4</v>
      </c>
      <c r="V27" s="587">
        <v>0.4</v>
      </c>
      <c r="W27" s="587">
        <v>0.2</v>
      </c>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SUMIF(CÁLCULO!$AM$15:$AW$47,CRONO!E$12,CÁLCULO!$AB$15:$AL$47)/(ORÇAMENTO!$X$15-CÁLCULO.TotalAdmLocal)*CRONO!$F28,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SUMIF(CÁLCULO!$AM$15:$AW$47,CRONO!U$12,CÁLCULO!$AB$15:$AL$47)/(ORÇAMENTO!$X$15-CÁLCULO.TotalAdmLocal)*CRONO!$F28,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SUMIF(CÁLCULO!$AM$15:$AW$47,CRONO!V$12,CÁLCULO!$AB$15:$AL$47)/(ORÇAMENTO!$X$15-CÁLCULO.TotalAdmLocal)*CRONO!$F28,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SUMIF(CÁLCULO!$AM$15:$AW$47,CRONO!W$12,CÁLCULO!$AB$15:$AL$47)/(ORÇAMENTO!$X$15-CÁLCULO.TotalAdmLocal)*CRONO!$F28,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SUMIF(CÁLCULO!$AM$15:$AW$47,CRONO!X$12,CÁLCULO!$AB$15:$AL$47)/(ORÇAMENTO!$X$15-CÁLCULO.TotalAdmLocal)*CRONO!$F28,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SUMIF(CÁLCULO!$AM$15:$AW$47,CRONO!Y$12,CÁLCULO!$AB$15:$AL$47)/(ORÇAMENTO!$X$15-CÁLCULO.TotalAdmLocal)*CRONO!$F28,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SUMIF(CÁLCULO!$AM$15:$AW$47,CRONO!Z$12,CÁLCULO!$AB$15:$AL$47)/(ORÇAMENTO!$X$15-CÁLCULO.TotalAdmLocal)*CRONO!$F28,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SUMIF(CÁLCULO!$AM$15:$AW$47,CRONO!AA$12,CÁLCULO!$AB$15:$AL$47)/(ORÇAMENTO!$X$15-CÁLCULO.TotalAdmLocal)*CRONO!$F28,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SUMIF(CÁLCULO!$AM$15:$AW$47,CRONO!AB$12,CÁLCULO!$AB$15:$AL$47)/(ORÇAMENTO!$X$15-CÁLCULO.TotalAdmLocal)*CRONO!$F28,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SUMIF(CÁLCULO!$AM$15:$AW$47,CRONO!AC$12,CÁLCULO!$AB$15:$AL$47)/(ORÇAMENTO!$X$15-CÁLCULO.TotalAdmLocal)*CRONO!$F28,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SUMIF(CÁLCULO!$AM$15:$AW$47,CRONO!AD$12,CÁLCULO!$AB$15:$AL$47)/(ORÇAMENTO!$X$15-CÁLCULO.TotalAdmLocal)*CRONO!$F28,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SUMIF(CÁLCULO!$AM$15:$AW$47,CRONO!AE$12,CÁLCULO!$AB$15:$AL$47)/(ORÇAMENTO!$X$15-CÁLCULO.TotalAdmLocal)*CRONO!$F28,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SUMIF(CÁLCULO!$AM$15:$AW$47,CRONO!AF$12,CÁLCULO!$AB$15:$AL$47)/(ORÇAMENTO!$X$15-CÁLCULO.TotalAdmLocal)*CRONO!$F28,
                        0),
                 AF27*$S26),
          SUMIF(OFFSET($S28,1,0,$R26-2),($M26+1)&amp;"$",OFFSET(AF28,1,0,$R26-2)))</f>
        <v>0</v>
      </c>
      <c r="AG28" s="534"/>
    </row>
    <row r="29" spans="1:33" x14ac:dyDescent="0.2">
      <c r="A29" s="186" t="str">
        <f t="shared" ref="A29" ca="1" si="32">IF($M29&gt;1,_xlfn.CONCAT($I29," ",$J29),"")</f>
        <v>1.5. ILUMINAÇÃO</v>
      </c>
      <c r="B29" s="185">
        <f t="shared" ref="B29" ca="1" si="33">OFFSET(B29,-3,0)+1</f>
        <v>6</v>
      </c>
      <c r="C29" s="185">
        <f ca="1">IF($R29&lt;&gt;2,0,IF($S29=0,1,IF(F30&gt;0,OFFSET(QCI!$M$13,SUBSTITUTE(F30,".",""),0),OFFSET(ORÇAMENTO!$AA$15,CRONO!$F29,0))/$S29))</f>
        <v>1</v>
      </c>
      <c r="D29" s="185">
        <f ca="1">IF($R29&lt;&gt;2,0,IF($S29=0,1,IF(F30&gt;0,OFFSET(QCI!$N$13,SUBSTITUTE(F30,".",""),0),OFFSET(ORÇAMENTO!$AB$15,CRONO!$F29,0))/$S29))</f>
        <v>1</v>
      </c>
      <c r="E29" s="188" cm="1">
        <f t="array" aca="1" ref="E29" ca="1">IF(AND($R29=2,ACOMPANHAMENTO="BM"),ROUND(E30,4),E31/$S29)</f>
        <v>0</v>
      </c>
      <c r="F29" s="185" cm="1">
        <f t="array" aca="1" ref="F29" ca="1">IF(B29&lt;=ORÇAMENTO.MáximoListaCrono,MATCH(B29,ORÇAMENTO.ListaCrono,0),NA())</f>
        <v>27</v>
      </c>
      <c r="G29" s="185" t="str">
        <f t="shared" ref="G29" ca="1" si="34">IF(AND($F30&lt;&gt;-1,$S29&gt;0),"F","")</f>
        <v/>
      </c>
      <c r="H29" s="189" t="str" cm="1">
        <f t="array" aca="1" ref="H29" ca="1">IF(OR(S29=0,S29=""),"Linha",IF(AND(OR(ACOMPANHAMENTO="PLE",$R29&lt;&gt;2),$F30=0),"Linha",ROUND(1-SUM(U29:AG29),4)))</f>
        <v>Linha</v>
      </c>
      <c r="I29" s="190" t="str">
        <f ca="1">IF($F30=0,OFFSET(ORÇAMENTO!O$15,$F29,0),IF($F30&lt;&gt;-1,OFFSET(QCI!$D$13,$F30,0),""))</f>
        <v>1.5.</v>
      </c>
      <c r="J29" s="191" t="str">
        <f ca="1">IF($F30=0,OFFSET(ORÇAMENTO!R$15,$F29,0),IF($F30&lt;&gt;-1,OFFSET(QCI!$G$13,$F30,0),""))</f>
        <v>ILUMINAÇÃO</v>
      </c>
      <c r="K29" s="191"/>
      <c r="L29" s="191"/>
      <c r="M29" s="192">
        <f ca="1">IF($F30=0,OFFSET(ORÇAMENTO!C$15,$F29,0),1)</f>
        <v>2</v>
      </c>
      <c r="N29" s="193">
        <f ca="1">IF($F30=-1,0,IF(N$13&lt;=$M29,IF(ISERROR(MATCH(N$13,OFFSET($M29,1,0,ROW($M$35)-ROW($M29)-1),0)),ROW($M$35)-ROW($M29)-1,MATCH(N$13,OFFSET($M29,1,0,ROW($M$35)-ROW($M29)-1),0)-1),0))</f>
        <v>5</v>
      </c>
      <c r="O29" s="193">
        <f ca="1">IF($F30=-1,0,IF(O$13&lt;=$M29,IF(ISERROR(MATCH(O$13,OFFSET($M29,1,0,ROW($M$35)-ROW($M29)-1),0)),ROW($M$35)-ROW($M29)-1,MATCH(O$13,OFFSET($M29,1,0,ROW($M$35)-ROW($M29)-1),0)-1),0))</f>
        <v>2</v>
      </c>
      <c r="P29" s="193">
        <f ca="1">IF($F30=-1,0,IF(P$13&lt;=$M29,IF(ISERROR(MATCH(P$13,OFFSET($M29,1,0,ROW($M$35)-ROW($M29)-1),0)),ROW($M$35)-ROW($M29)-1,MATCH(P$13,OFFSET($M29,1,0,ROW($M$35)-ROW($M29)-1),0)-1),0))</f>
        <v>0</v>
      </c>
      <c r="Q29" s="193">
        <f ca="1">IF($F30=-1,0,IF(Q$13&lt;=$M29,IF(ISERROR(MATCH(Q$13,OFFSET($M29,1,0,ROW($M$35)-ROW($M29)-1),0)),ROW($M$35)-ROW($M29)-1,MATCH(Q$13,OFFSET($M29,1,0,ROW($M$35)-ROW($M29)-1),0)-1),0))</f>
        <v>0</v>
      </c>
      <c r="R29" s="193">
        <f t="shared" ref="R29" ca="1" si="35">MIN(OFFSET(M29,0,1,,M29))</f>
        <v>2</v>
      </c>
      <c r="S29" s="194">
        <f ca="1">IF($F30=0,OFFSET(ORÇAMENTO!X$15,$F29,0),IF($F30&lt;&gt;-1,OFFSET(QCI!$O$13,$F30,0),""))</f>
        <v>0</v>
      </c>
      <c r="T29" s="195" t="s">
        <v>785</v>
      </c>
      <c r="U29" s="188" cm="1">
        <f t="array" aca="1" ref="U29" ca="1">IF(AND($R29=2,ACOMPANHAMENTO="BM"),ROUND(U30,4),U31/$S29)</f>
        <v>0.5</v>
      </c>
      <c r="V29" s="188" cm="1">
        <f t="array" aca="1" ref="V29" ca="1">IF(AND($R29=2,ACOMPANHAMENTO="BM"),ROUND(V30,4),V31/$S29)</f>
        <v>0.5</v>
      </c>
      <c r="W29" s="188" cm="1">
        <f t="array" aca="1" ref="W29" ca="1">IF(AND($R29=2,ACOMPANHAMENTO="BM"),ROUND(W30,4),W31/$S29)</f>
        <v>0</v>
      </c>
      <c r="X29" s="188" cm="1">
        <f t="array" aca="1" ref="X29" ca="1">IF(AND($R29=2,ACOMPANHAMENTO="BM"),ROUND(X30,4),X31/$S29)</f>
        <v>0</v>
      </c>
      <c r="Y29" s="188" cm="1">
        <f t="array" aca="1" ref="Y29" ca="1">IF(AND($R29=2,ACOMPANHAMENTO="BM"),ROUND(Y30,4),Y31/$S29)</f>
        <v>0</v>
      </c>
      <c r="Z29" s="188" cm="1">
        <f t="array" aca="1" ref="Z29" ca="1">IF(AND($R29=2,ACOMPANHAMENTO="BM"),ROUND(Z30,4),Z31/$S29)</f>
        <v>0</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IF(ISERROR(F29),IF(1+COUNTIF($M$13:OFFSET(M29,-1,0),1)&lt;=MAX(QCI!$D$13:$D$24),1+COUNTIF($M$13:OFFSET(M29,-1,0),1),-1),0)</f>
        <v>0</v>
      </c>
      <c r="G30" s="185" t="str" cm="1">
        <f t="array" aca="1" ref="G30" ca="1">IF(ACOMPANHAMENTO="BM",OFFSET(G30,-1,0),"")</f>
        <v/>
      </c>
      <c r="H30" s="196" t="str" cm="1">
        <f t="array" aca="1" ref="H30" ca="1">IF(OR(S29=0,S29=""),"vazia",IF(AND(OR(ACOMPANHAMENTO="PLE",$R29&lt;&gt;2),$F30=0),"calculada","--&gt;"))</f>
        <v>vazia</v>
      </c>
      <c r="I30" s="197"/>
      <c r="J30" s="198" t="str">
        <f t="shared" ref="J30" ca="1" si="36">IF(AND(H29&lt;&gt;0,ISNUMBER(H29)),"PREENCHA ESTA LINHA --&gt;","")</f>
        <v/>
      </c>
      <c r="K30" s="198"/>
      <c r="L30" s="198"/>
      <c r="M30" s="199"/>
      <c r="N30" s="199"/>
      <c r="O30" s="199"/>
      <c r="P30" s="199"/>
      <c r="Q30" s="199"/>
      <c r="R30" s="199"/>
      <c r="S30" s="200"/>
      <c r="T30" s="201"/>
      <c r="U30" s="587">
        <v>0.5</v>
      </c>
      <c r="V30" s="587">
        <v>0.5</v>
      </c>
      <c r="W30" s="587"/>
      <c r="X30" s="587"/>
      <c r="Y30" s="587"/>
      <c r="Z30" s="587"/>
      <c r="AA30" s="587"/>
      <c r="AB30" s="587"/>
      <c r="AC30" s="587"/>
      <c r="AD30" s="587"/>
      <c r="AE30" s="587"/>
      <c r="AF30" s="587"/>
      <c r="AG30" s="534"/>
    </row>
    <row r="31" spans="1:33" ht="12.75" hidden="1"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SUMIF(CÁLCULO!$AM$15:$AW$47,CRONO!E$12,CÁLCULO!$AB$15:$AL$47)/(ORÇAMENTO!$X$15-CÁLCULO.TotalAdmLocal)*CRONO!$F31,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37">M29&amp;"$"</f>
        <v>2$</v>
      </c>
      <c r="T31" s="205"/>
      <c r="U31" s="202" cm="1">
        <f t="array" aca="1" ref="U31" ca="1">IF($R29=2,
         IF(AND(ACOMPANHAMENTO="PLE",ISNUMBER($F29)),
                SUMIF((OFFSET(CÁLCULO!$AM$15:$AW$15,$F29,0,OFFSET(ORÇAMENTO!$D$15,CRONO!$F29,0))),CRONO!U$12,OFFSET(CÁLCULO!$AB$15:$AL$15,$F29,0,OFFSET(ORÇAMENTO!$D$15,CRONO!$F29,0)))
                +IF(AND($F31&lt;&gt;"",$F31&lt;&gt;0),
                        SUMIF(CÁLCULO!$AM$15:$AW$47,CRONO!U$12,CÁLCULO!$AB$15:$AL$47)/(ORÇAMENTO!$X$15-CÁLCULO.TotalAdmLocal)*CRONO!$F31,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SUMIF(CÁLCULO!$AM$15:$AW$47,CRONO!V$12,CÁLCULO!$AB$15:$AL$47)/(ORÇAMENTO!$X$15-CÁLCULO.TotalAdmLocal)*CRONO!$F31,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SUMIF(CÁLCULO!$AM$15:$AW$47,CRONO!W$12,CÁLCULO!$AB$15:$AL$47)/(ORÇAMENTO!$X$15-CÁLCULO.TotalAdmLocal)*CRONO!$F31,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SUMIF(CÁLCULO!$AM$15:$AW$47,CRONO!X$12,CÁLCULO!$AB$15:$AL$47)/(ORÇAMENTO!$X$15-CÁLCULO.TotalAdmLocal)*CRONO!$F31,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SUMIF(CÁLCULO!$AM$15:$AW$47,CRONO!Y$12,CÁLCULO!$AB$15:$AL$47)/(ORÇAMENTO!$X$15-CÁLCULO.TotalAdmLocal)*CRONO!$F31,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SUMIF(CÁLCULO!$AM$15:$AW$47,CRONO!Z$12,CÁLCULO!$AB$15:$AL$47)/(ORÇAMENTO!$X$15-CÁLCULO.TotalAdmLocal)*CRONO!$F31,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SUMIF(CÁLCULO!$AM$15:$AW$47,CRONO!AA$12,CÁLCULO!$AB$15:$AL$47)/(ORÇAMENTO!$X$15-CÁLCULO.TotalAdmLocal)*CRONO!$F31,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SUMIF(CÁLCULO!$AM$15:$AW$47,CRONO!AB$12,CÁLCULO!$AB$15:$AL$47)/(ORÇAMENTO!$X$15-CÁLCULO.TotalAdmLocal)*CRONO!$F31,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SUMIF(CÁLCULO!$AM$15:$AW$47,CRONO!AC$12,CÁLCULO!$AB$15:$AL$47)/(ORÇAMENTO!$X$15-CÁLCULO.TotalAdmLocal)*CRONO!$F31,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SUMIF(CÁLCULO!$AM$15:$AW$47,CRONO!AD$12,CÁLCULO!$AB$15:$AL$47)/(ORÇAMENTO!$X$15-CÁLCULO.TotalAdmLocal)*CRONO!$F31,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SUMIF(CÁLCULO!$AM$15:$AW$47,CRONO!AE$12,CÁLCULO!$AB$15:$AL$47)/(ORÇAMENTO!$X$15-CÁLCULO.TotalAdmLocal)*CRONO!$F31,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SUMIF(CÁLCULO!$AM$15:$AW$47,CRONO!AF$12,CÁLCULO!$AB$15:$AL$47)/(ORÇAMENTO!$X$15-CÁLCULO.TotalAdmLocal)*CRONO!$F31,
                        0),
                 AF30*$S29),
          SUMIF(OFFSET($S31,1,0,$R29-2),($M29+1)&amp;"$",OFFSET(AF31,1,0,$R29-2)))</f>
        <v>0</v>
      </c>
      <c r="AG31" s="534"/>
    </row>
    <row r="32" spans="1:33" x14ac:dyDescent="0.2">
      <c r="A32" s="186" t="str">
        <f t="shared" ref="A32" ca="1" si="38">IF($M32&gt;1,_xlfn.CONCAT($I32," ",$J32),"")</f>
        <v>1.6. ENTREGA FINAL DA OBRA</v>
      </c>
      <c r="B32" s="185">
        <f t="shared" ref="B32" ca="1" si="39">OFFSET(B32,-3,0)+1</f>
        <v>7</v>
      </c>
      <c r="C32" s="185">
        <f ca="1">IF($R32&lt;&gt;2,0,IF($S32=0,1,IF(F33&gt;0,OFFSET(QCI!$M$13,SUBSTITUTE(F33,".",""),0),OFFSET(ORÇAMENTO!$AA$15,CRONO!$F32,0))/$S32))</f>
        <v>1</v>
      </c>
      <c r="D32" s="185">
        <f ca="1">IF($R32&lt;&gt;2,0,IF($S32=0,1,IF(F33&gt;0,OFFSET(QCI!$N$13,SUBSTITUTE(F33,".",""),0),OFFSET(ORÇAMENTO!$AB$15,CRONO!$F32,0))/$S32))</f>
        <v>1</v>
      </c>
      <c r="E32" s="188" cm="1">
        <f t="array" aca="1" ref="E32" ca="1">IF(AND($R32=2,ACOMPANHAMENTO="BM"),ROUND(E33,4),E34/$S32)</f>
        <v>0</v>
      </c>
      <c r="F32" s="185" cm="1">
        <f t="array" aca="1" ref="F32" ca="1">IF(B32&lt;=ORÇAMENTO.MáximoListaCrono,MATCH(B32,ORÇAMENTO.ListaCrono,0),NA())</f>
        <v>30</v>
      </c>
      <c r="G32" s="185" t="str">
        <f t="shared" ref="G32" ca="1" si="40">IF(AND($F33&lt;&gt;-1,$S32&gt;0),"F","")</f>
        <v/>
      </c>
      <c r="H32" s="189" t="str" cm="1">
        <f t="array" aca="1" ref="H32" ca="1">IF(OR(S32=0,S32=""),"Linha",IF(AND(OR(ACOMPANHAMENTO="PLE",$R32&lt;&gt;2),$F33=0),"Linha",ROUND(1-SUM(U32:AG32),4)))</f>
        <v>Linha</v>
      </c>
      <c r="I32" s="190" t="str">
        <f ca="1">IF($F33=0,OFFSET(ORÇAMENTO!O$15,$F32,0),IF($F33&lt;&gt;-1,OFFSET(QCI!$D$13,$F33,0),""))</f>
        <v>1.6.</v>
      </c>
      <c r="J32" s="191" t="str">
        <f ca="1">IF($F33=0,OFFSET(ORÇAMENTO!R$15,$F32,0),IF($F33&lt;&gt;-1,OFFSET(QCI!$G$13,$F33,0),""))</f>
        <v>ENTREGA FINAL DA OBRA</v>
      </c>
      <c r="K32" s="191"/>
      <c r="L32" s="191"/>
      <c r="M32" s="192">
        <f ca="1">IF($F33=0,OFFSET(ORÇAMENTO!C$15,$F32,0),1)</f>
        <v>2</v>
      </c>
      <c r="N32" s="193">
        <f ca="1">IF($F33=-1,0,IF(N$13&lt;=$M32,IF(ISERROR(MATCH(N$13,OFFSET($M32,1,0,ROW($M$35)-ROW($M32)-1),0)),ROW($M$35)-ROW($M32)-1,MATCH(N$13,OFFSET($M32,1,0,ROW($M$35)-ROW($M32)-1),0)-1),0))</f>
        <v>2</v>
      </c>
      <c r="O32" s="193">
        <f ca="1">IF($F33=-1,0,IF(O$13&lt;=$M32,IF(ISERROR(MATCH(O$13,OFFSET($M32,1,0,ROW($M$35)-ROW($M32)-1),0)),ROW($M$35)-ROW($M32)-1,MATCH(O$13,OFFSET($M32,1,0,ROW($M$35)-ROW($M32)-1),0)-1),0))</f>
        <v>2</v>
      </c>
      <c r="P32" s="193">
        <f ca="1">IF($F33=-1,0,IF(P$13&lt;=$M32,IF(ISERROR(MATCH(P$13,OFFSET($M32,1,0,ROW($M$35)-ROW($M32)-1),0)),ROW($M$35)-ROW($M32)-1,MATCH(P$13,OFFSET($M32,1,0,ROW($M$35)-ROW($M32)-1),0)-1),0))</f>
        <v>0</v>
      </c>
      <c r="Q32" s="193">
        <f ca="1">IF($F33=-1,0,IF(Q$13&lt;=$M32,IF(ISERROR(MATCH(Q$13,OFFSET($M32,1,0,ROW($M$35)-ROW($M32)-1),0)),ROW($M$35)-ROW($M32)-1,MATCH(Q$13,OFFSET($M32,1,0,ROW($M$35)-ROW($M32)-1),0)-1),0))</f>
        <v>0</v>
      </c>
      <c r="R32" s="193">
        <f t="shared" ref="R32" ca="1" si="41">MIN(OFFSET(M32,0,1,,M32))</f>
        <v>2</v>
      </c>
      <c r="S32" s="194">
        <f ca="1">IF($F33=0,OFFSET(ORÇAMENTO!X$15,$F32,0),IF($F33&lt;&gt;-1,OFFSET(QCI!$O$13,$F33,0),""))</f>
        <v>0</v>
      </c>
      <c r="T32" s="195" t="s">
        <v>785</v>
      </c>
      <c r="U32" s="188" cm="1">
        <f t="array" aca="1" ref="U32" ca="1">IF(AND($R32=2,ACOMPANHAMENTO="BM"),ROUND(U33,4),U34/$S32)</f>
        <v>0.3</v>
      </c>
      <c r="V32" s="188" cm="1">
        <f t="array" aca="1" ref="V32" ca="1">IF(AND($R32=2,ACOMPANHAMENTO="BM"),ROUND(V33,4),V34/$S32)</f>
        <v>0.3</v>
      </c>
      <c r="W32" s="188" cm="1">
        <f t="array" aca="1" ref="W32" ca="1">IF(AND($R32=2,ACOMPANHAMENTO="BM"),ROUND(W33,4),W34/$S32)</f>
        <v>0.4</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0</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4:33" ht="12.75" customHeight="1" x14ac:dyDescent="0.2">
      <c r="E33" s="587"/>
      <c r="F33" s="185">
        <f ca="1">IF(ISERROR(F32),IF(1+COUNTIF($M$13:OFFSET(M32,-1,0),1)&lt;=MAX(QCI!$D$13:$D$24),1+COUNTIF($M$13:OFFSET(M32,-1,0),1),-1),0)</f>
        <v>0</v>
      </c>
      <c r="G33" s="185" t="str" cm="1">
        <f t="array" aca="1" ref="G33" ca="1">IF(ACOMPANHAMENTO="BM",OFFSET(G33,-1,0),"")</f>
        <v/>
      </c>
      <c r="H33" s="196" t="str" cm="1">
        <f t="array" aca="1" ref="H33" ca="1">IF(OR(S32=0,S32=""),"vazia",IF(AND(OR(ACOMPANHAMENTO="PLE",$R32&lt;&gt;2),$F33=0),"calculada","--&gt;"))</f>
        <v>vazia</v>
      </c>
      <c r="I33" s="197"/>
      <c r="J33" s="198" t="str">
        <f t="shared" ref="J33" ca="1" si="42">IF(AND(H32&lt;&gt;0,ISNUMBER(H32)),"PREENCHA ESTA LINHA --&gt;","")</f>
        <v/>
      </c>
      <c r="K33" s="198"/>
      <c r="L33" s="198"/>
      <c r="M33" s="199"/>
      <c r="N33" s="199"/>
      <c r="O33" s="199"/>
      <c r="P33" s="199"/>
      <c r="Q33" s="199"/>
      <c r="R33" s="199"/>
      <c r="S33" s="200"/>
      <c r="T33" s="201"/>
      <c r="U33" s="587">
        <v>0.3</v>
      </c>
      <c r="V33" s="587">
        <v>0.3</v>
      </c>
      <c r="W33" s="587">
        <v>0.4</v>
      </c>
      <c r="X33" s="587"/>
      <c r="Y33" s="587"/>
      <c r="Z33" s="587"/>
      <c r="AA33" s="587"/>
      <c r="AB33" s="587"/>
      <c r="AC33" s="587"/>
      <c r="AD33" s="587"/>
      <c r="AE33" s="587"/>
      <c r="AF33" s="587"/>
      <c r="AG33" s="534"/>
    </row>
    <row r="34" spans="4:33" ht="12.75" hidden="1" customHeight="1" x14ac:dyDescent="0.2">
      <c r="D34" s="533"/>
      <c r="E34" s="202" cm="1">
        <f t="array" aca="1" ref="E34" ca="1">IF($R32=2,
         IF(AND(ACOMPANHAMENTO="PLE",ISNUMBER($F32)),
                SUMIF((OFFSET(CÁLCULO!$AM$15:$AW$15,$F32,0,OFFSET(ORÇAMENTO!$D$15,CRONO!$F32,0))),CRONO!E$12,OFFSET(CÁLCULO!$AB$15:$AL$15,$F32,0,OFFSET(ORÇAMENTO!$D$15,CRONO!$F32,0)))
                +IF(AND($F34&lt;&gt;"",$F34&lt;&gt;0),
                        SUMIF(CÁLCULO!$AM$15:$AW$47,CRONO!E$12,CÁLCULO!$AB$15:$AL$47)/(ORÇAMENTO!$X$15-CÁLCULO.TotalAdmLocal)*CRONO!$F34,
                        0),
                 E33*$S32),
          SUMIF(OFFSET($S34,1,0,$R32-2),($M32+1)&amp;"$",OFFSET(E34,1,0,$R32-2)))</f>
        <v>0</v>
      </c>
      <c r="F34" s="185" t="str">
        <f ca="1">IF(OR($R32&lt;&gt;2,AUTOEVENTO&lt;&gt;"manual",$F33&gt;0),"",
        IF(Import.TipoArredondamento="Tradicional",
              SUMIF(OFFSET(CÁLCULO!$M$15,CRONO!$F32,0,OFFSET(ORÇAMENTO!$D$15,CRONO!$F32,0)),1,OFFSET(ORÇAMENTO!$X$15,CRONO!$F32,0,OFFSET(ORÇAMENTO!$D$15,CRONO!$F32,0))),
              0))</f>
        <v/>
      </c>
      <c r="H34" s="203"/>
      <c r="S34" s="204" t="str">
        <f t="shared" ref="S34" ca="1" si="43">M32&amp;"$"</f>
        <v>2$</v>
      </c>
      <c r="T34" s="205"/>
      <c r="U34" s="202" cm="1">
        <f t="array" aca="1" ref="U34" ca="1">IF($R32=2,
         IF(AND(ACOMPANHAMENTO="PLE",ISNUMBER($F32)),
                SUMIF((OFFSET(CÁLCULO!$AM$15:$AW$15,$F32,0,OFFSET(ORÇAMENTO!$D$15,CRONO!$F32,0))),CRONO!U$12,OFFSET(CÁLCULO!$AB$15:$AL$15,$F32,0,OFFSET(ORÇAMENTO!$D$15,CRONO!$F32,0)))
                +IF(AND($F34&lt;&gt;"",$F34&lt;&gt;0),
                        SUMIF(CÁLCULO!$AM$15:$AW$47,CRONO!U$12,CÁLCULO!$AB$15:$AL$47)/(ORÇAMENTO!$X$15-CÁLCULO.TotalAdmLocal)*CRONO!$F34,
                        0),
                 U33*$S32),
          SUMIF(OFFSET($S34,1,0,$R32-2),($M32+1)&amp;"$",OFFSET(U34,1,0,$R32-2)))</f>
        <v>0</v>
      </c>
      <c r="V34" s="202" cm="1">
        <f t="array" aca="1" ref="V34" ca="1">IF($R32=2,
         IF(AND(ACOMPANHAMENTO="PLE",ISNUMBER($F32)),
                SUMIF((OFFSET(CÁLCULO!$AM$15:$AW$15,$F32,0,OFFSET(ORÇAMENTO!$D$15,CRONO!$F32,0))),CRONO!V$12,OFFSET(CÁLCULO!$AB$15:$AL$15,$F32,0,OFFSET(ORÇAMENTO!$D$15,CRONO!$F32,0)))
                +IF(AND($F34&lt;&gt;"",$F34&lt;&gt;0),
                        SUMIF(CÁLCULO!$AM$15:$AW$47,CRONO!V$12,CÁLCULO!$AB$15:$AL$47)/(ORÇAMENTO!$X$15-CÁLCULO.TotalAdmLocal)*CRONO!$F34,
                        0),
                 V33*$S32),
          SUMIF(OFFSET($S34,1,0,$R32-2),($M32+1)&amp;"$",OFFSET(V34,1,0,$R32-2)))</f>
        <v>0</v>
      </c>
      <c r="W34" s="202" cm="1">
        <f t="array" aca="1" ref="W34" ca="1">IF($R32=2,
         IF(AND(ACOMPANHAMENTO="PLE",ISNUMBER($F32)),
                SUMIF((OFFSET(CÁLCULO!$AM$15:$AW$15,$F32,0,OFFSET(ORÇAMENTO!$D$15,CRONO!$F32,0))),CRONO!W$12,OFFSET(CÁLCULO!$AB$15:$AL$15,$F32,0,OFFSET(ORÇAMENTO!$D$15,CRONO!$F32,0)))
                +IF(AND($F34&lt;&gt;"",$F34&lt;&gt;0),
                        SUMIF(CÁLCULO!$AM$15:$AW$47,CRONO!W$12,CÁLCULO!$AB$15:$AL$47)/(ORÇAMENTO!$X$15-CÁLCULO.TotalAdmLocal)*CRONO!$F34,
                        0),
                 W33*$S32),
          SUMIF(OFFSET($S34,1,0,$R32-2),($M32+1)&amp;"$",OFFSET(W34,1,0,$R32-2)))</f>
        <v>0</v>
      </c>
      <c r="X34" s="202" cm="1">
        <f t="array" aca="1" ref="X34" ca="1">IF($R32=2,
         IF(AND(ACOMPANHAMENTO="PLE",ISNUMBER($F32)),
                SUMIF((OFFSET(CÁLCULO!$AM$15:$AW$15,$F32,0,OFFSET(ORÇAMENTO!$D$15,CRONO!$F32,0))),CRONO!X$12,OFFSET(CÁLCULO!$AB$15:$AL$15,$F32,0,OFFSET(ORÇAMENTO!$D$15,CRONO!$F32,0)))
                +IF(AND($F34&lt;&gt;"",$F34&lt;&gt;0),
                        SUMIF(CÁLCULO!$AM$15:$AW$47,CRONO!X$12,CÁLCULO!$AB$15:$AL$47)/(ORÇAMENTO!$X$15-CÁLCULO.TotalAdmLocal)*CRONO!$F34,
                        0),
                 X33*$S32),
          SUMIF(OFFSET($S34,1,0,$R32-2),($M32+1)&amp;"$",OFFSET(X34,1,0,$R32-2)))</f>
        <v>0</v>
      </c>
      <c r="Y34" s="202" cm="1">
        <f t="array" aca="1" ref="Y34" ca="1">IF($R32=2,
         IF(AND(ACOMPANHAMENTO="PLE",ISNUMBER($F32)),
                SUMIF((OFFSET(CÁLCULO!$AM$15:$AW$15,$F32,0,OFFSET(ORÇAMENTO!$D$15,CRONO!$F32,0))),CRONO!Y$12,OFFSET(CÁLCULO!$AB$15:$AL$15,$F32,0,OFFSET(ORÇAMENTO!$D$15,CRONO!$F32,0)))
                +IF(AND($F34&lt;&gt;"",$F34&lt;&gt;0),
                        SUMIF(CÁLCULO!$AM$15:$AW$47,CRONO!Y$12,CÁLCULO!$AB$15:$AL$47)/(ORÇAMENTO!$X$15-CÁLCULO.TotalAdmLocal)*CRONO!$F34,
                        0),
                 Y33*$S32),
          SUMIF(OFFSET($S34,1,0,$R32-2),($M32+1)&amp;"$",OFFSET(Y34,1,0,$R32-2)))</f>
        <v>0</v>
      </c>
      <c r="Z34" s="202" cm="1">
        <f t="array" aca="1" ref="Z34" ca="1">IF($R32=2,
         IF(AND(ACOMPANHAMENTO="PLE",ISNUMBER($F32)),
                SUMIF((OFFSET(CÁLCULO!$AM$15:$AW$15,$F32,0,OFFSET(ORÇAMENTO!$D$15,CRONO!$F32,0))),CRONO!Z$12,OFFSET(CÁLCULO!$AB$15:$AL$15,$F32,0,OFFSET(ORÇAMENTO!$D$15,CRONO!$F32,0)))
                +IF(AND($F34&lt;&gt;"",$F34&lt;&gt;0),
                        SUMIF(CÁLCULO!$AM$15:$AW$47,CRONO!Z$12,CÁLCULO!$AB$15:$AL$47)/(ORÇAMENTO!$X$15-CÁLCULO.TotalAdmLocal)*CRONO!$F34,
                        0),
                 Z33*$S32),
          SUMIF(OFFSET($S34,1,0,$R32-2),($M32+1)&amp;"$",OFFSET(Z34,1,0,$R32-2)))</f>
        <v>0</v>
      </c>
      <c r="AA34" s="202" cm="1">
        <f t="array" aca="1" ref="AA34" ca="1">IF($R32=2,
         IF(AND(ACOMPANHAMENTO="PLE",ISNUMBER($F32)),
                SUMIF((OFFSET(CÁLCULO!$AM$15:$AW$15,$F32,0,OFFSET(ORÇAMENTO!$D$15,CRONO!$F32,0))),CRONO!AA$12,OFFSET(CÁLCULO!$AB$15:$AL$15,$F32,0,OFFSET(ORÇAMENTO!$D$15,CRONO!$F32,0)))
                +IF(AND($F34&lt;&gt;"",$F34&lt;&gt;0),
                        SUMIF(CÁLCULO!$AM$15:$AW$47,CRONO!AA$12,CÁLCULO!$AB$15:$AL$47)/(ORÇAMENTO!$X$15-CÁLCULO.TotalAdmLocal)*CRONO!$F34,
                        0),
                 AA33*$S32),
          SUMIF(OFFSET($S34,1,0,$R32-2),($M32+1)&amp;"$",OFFSET(AA34,1,0,$R32-2)))</f>
        <v>0</v>
      </c>
      <c r="AB34" s="202" cm="1">
        <f t="array" aca="1" ref="AB34" ca="1">IF($R32=2,
         IF(AND(ACOMPANHAMENTO="PLE",ISNUMBER($F32)),
                SUMIF((OFFSET(CÁLCULO!$AM$15:$AW$15,$F32,0,OFFSET(ORÇAMENTO!$D$15,CRONO!$F32,0))),CRONO!AB$12,OFFSET(CÁLCULO!$AB$15:$AL$15,$F32,0,OFFSET(ORÇAMENTO!$D$15,CRONO!$F32,0)))
                +IF(AND($F34&lt;&gt;"",$F34&lt;&gt;0),
                        SUMIF(CÁLCULO!$AM$15:$AW$47,CRONO!AB$12,CÁLCULO!$AB$15:$AL$47)/(ORÇAMENTO!$X$15-CÁLCULO.TotalAdmLocal)*CRONO!$F34,
                        0),
                 AB33*$S32),
          SUMIF(OFFSET($S34,1,0,$R32-2),($M32+1)&amp;"$",OFFSET(AB34,1,0,$R32-2)))</f>
        <v>0</v>
      </c>
      <c r="AC34" s="202" cm="1">
        <f t="array" aca="1" ref="AC34" ca="1">IF($R32=2,
         IF(AND(ACOMPANHAMENTO="PLE",ISNUMBER($F32)),
                SUMIF((OFFSET(CÁLCULO!$AM$15:$AW$15,$F32,0,OFFSET(ORÇAMENTO!$D$15,CRONO!$F32,0))),CRONO!AC$12,OFFSET(CÁLCULO!$AB$15:$AL$15,$F32,0,OFFSET(ORÇAMENTO!$D$15,CRONO!$F32,0)))
                +IF(AND($F34&lt;&gt;"",$F34&lt;&gt;0),
                        SUMIF(CÁLCULO!$AM$15:$AW$47,CRONO!AC$12,CÁLCULO!$AB$15:$AL$47)/(ORÇAMENTO!$X$15-CÁLCULO.TotalAdmLocal)*CRONO!$F34,
                        0),
                 AC33*$S32),
          SUMIF(OFFSET($S34,1,0,$R32-2),($M32+1)&amp;"$",OFFSET(AC34,1,0,$R32-2)))</f>
        <v>0</v>
      </c>
      <c r="AD34" s="202" cm="1">
        <f t="array" aca="1" ref="AD34" ca="1">IF($R32=2,
         IF(AND(ACOMPANHAMENTO="PLE",ISNUMBER($F32)),
                SUMIF((OFFSET(CÁLCULO!$AM$15:$AW$15,$F32,0,OFFSET(ORÇAMENTO!$D$15,CRONO!$F32,0))),CRONO!AD$12,OFFSET(CÁLCULO!$AB$15:$AL$15,$F32,0,OFFSET(ORÇAMENTO!$D$15,CRONO!$F32,0)))
                +IF(AND($F34&lt;&gt;"",$F34&lt;&gt;0),
                        SUMIF(CÁLCULO!$AM$15:$AW$47,CRONO!AD$12,CÁLCULO!$AB$15:$AL$47)/(ORÇAMENTO!$X$15-CÁLCULO.TotalAdmLocal)*CRONO!$F34,
                        0),
                 AD33*$S32),
          SUMIF(OFFSET($S34,1,0,$R32-2),($M32+1)&amp;"$",OFFSET(AD34,1,0,$R32-2)))</f>
        <v>0</v>
      </c>
      <c r="AE34" s="202" cm="1">
        <f t="array" aca="1" ref="AE34" ca="1">IF($R32=2,
         IF(AND(ACOMPANHAMENTO="PLE",ISNUMBER($F32)),
                SUMIF((OFFSET(CÁLCULO!$AM$15:$AW$15,$F32,0,OFFSET(ORÇAMENTO!$D$15,CRONO!$F32,0))),CRONO!AE$12,OFFSET(CÁLCULO!$AB$15:$AL$15,$F32,0,OFFSET(ORÇAMENTO!$D$15,CRONO!$F32,0)))
                +IF(AND($F34&lt;&gt;"",$F34&lt;&gt;0),
                        SUMIF(CÁLCULO!$AM$15:$AW$47,CRONO!AE$12,CÁLCULO!$AB$15:$AL$47)/(ORÇAMENTO!$X$15-CÁLCULO.TotalAdmLocal)*CRONO!$F34,
                        0),
                 AE33*$S32),
          SUMIF(OFFSET($S34,1,0,$R32-2),($M32+1)&amp;"$",OFFSET(AE34,1,0,$R32-2)))</f>
        <v>0</v>
      </c>
      <c r="AF34" s="202" cm="1">
        <f t="array" aca="1" ref="AF34" ca="1">IF($R32=2,
         IF(AND(ACOMPANHAMENTO="PLE",ISNUMBER($F32)),
                SUMIF((OFFSET(CÁLCULO!$AM$15:$AW$15,$F32,0,OFFSET(ORÇAMENTO!$D$15,CRONO!$F32,0))),CRONO!AF$12,OFFSET(CÁLCULO!$AB$15:$AL$15,$F32,0,OFFSET(ORÇAMENTO!$D$15,CRONO!$F32,0)))
                +IF(AND($F34&lt;&gt;"",$F34&lt;&gt;0),
                        SUMIF(CÁLCULO!$AM$15:$AW$47,CRONO!AF$12,CÁLCULO!$AB$15:$AL$47)/(ORÇAMENTO!$X$15-CÁLCULO.TotalAdmLocal)*CRONO!$F34,
                        0),
                 AF33*$S32),
          SUMIF(OFFSET($S34,1,0,$R32-2),($M32+1)&amp;"$",OFFSET(AF34,1,0,$R32-2)))</f>
        <v>0</v>
      </c>
      <c r="AG34" s="534"/>
    </row>
    <row r="35" spans="4:33" ht="5.0999999999999996" customHeight="1" x14ac:dyDescent="0.2">
      <c r="E35" s="640"/>
      <c r="G35" s="185" t="s">
        <v>536</v>
      </c>
      <c r="H35" s="432"/>
      <c r="I35" s="641"/>
      <c r="J35" s="642"/>
      <c r="K35" s="642"/>
      <c r="L35" s="642"/>
      <c r="M35" s="643" t="s">
        <v>797</v>
      </c>
      <c r="N35" s="643"/>
      <c r="O35" s="643"/>
      <c r="P35" s="643"/>
      <c r="Q35" s="643"/>
      <c r="R35" s="643"/>
      <c r="S35" s="644"/>
      <c r="T35" s="644"/>
      <c r="U35" s="642"/>
      <c r="V35" s="642"/>
      <c r="W35" s="642"/>
      <c r="X35" s="642"/>
      <c r="Y35" s="642"/>
      <c r="Z35" s="642"/>
      <c r="AA35" s="642"/>
      <c r="AB35" s="642"/>
      <c r="AC35" s="642"/>
      <c r="AD35" s="642"/>
      <c r="AE35" s="642"/>
      <c r="AF35" s="642"/>
      <c r="AG35" s="534"/>
    </row>
    <row r="36" spans="4:33" ht="12.75" customHeight="1" x14ac:dyDescent="0.2">
      <c r="E36" s="528" t="e">
        <f ca="1">E40/$R$36</f>
        <v>#DIV/0!</v>
      </c>
      <c r="G36" s="185" t="s">
        <v>536</v>
      </c>
      <c r="I36" s="775" t="str">
        <f ca="1">"Total:    R$ "&amp;TEXT(R36,"#.##0,00")</f>
        <v>Total:    R$ .000</v>
      </c>
      <c r="J36" s="775"/>
      <c r="K36" s="775"/>
      <c r="L36" s="227"/>
      <c r="R36" s="228">
        <f ca="1">SUMIF(M12:M35,1,S12:S35)</f>
        <v>0</v>
      </c>
      <c r="S36" s="229"/>
      <c r="T36" s="230" t="s">
        <v>798</v>
      </c>
      <c r="U36" s="528" t="e">
        <f t="shared" ref="U36:AF36" ca="1" si="44">ROUND(U40,2)/$R$36</f>
        <v>#DIV/0!</v>
      </c>
      <c r="V36" s="528" t="e">
        <f t="shared" ca="1" si="44"/>
        <v>#DIV/0!</v>
      </c>
      <c r="W36" s="528" t="e">
        <f t="shared" ca="1" si="44"/>
        <v>#DIV/0!</v>
      </c>
      <c r="X36" s="528" t="e">
        <f t="shared" ca="1" si="44"/>
        <v>#DIV/0!</v>
      </c>
      <c r="Y36" s="528" t="e">
        <f t="shared" ca="1" si="44"/>
        <v>#DIV/0!</v>
      </c>
      <c r="Z36" s="528" t="e">
        <f t="shared" ca="1" si="44"/>
        <v>#DIV/0!</v>
      </c>
      <c r="AA36" s="528" t="e">
        <f t="shared" ca="1" si="44"/>
        <v>#DIV/0!</v>
      </c>
      <c r="AB36" s="528" t="e">
        <f t="shared" ca="1" si="44"/>
        <v>#DIV/0!</v>
      </c>
      <c r="AC36" s="528" t="e">
        <f t="shared" ca="1" si="44"/>
        <v>#DIV/0!</v>
      </c>
      <c r="AD36" s="528" t="e">
        <f t="shared" ca="1" si="44"/>
        <v>#DIV/0!</v>
      </c>
      <c r="AE36" s="528" t="e">
        <f t="shared" ca="1" si="44"/>
        <v>#DIV/0!</v>
      </c>
      <c r="AF36" s="539" t="e">
        <f t="shared" ca="1" si="44"/>
        <v>#DIV/0!</v>
      </c>
      <c r="AG36" s="534"/>
    </row>
    <row r="37" spans="4:33" ht="15" customHeight="1" x14ac:dyDescent="0.2">
      <c r="E37" s="231">
        <f ca="1">IF(E$12=1,ROUND(E42,2),ROUND(E42,2)-ROUND(D42,2))</f>
        <v>0</v>
      </c>
      <c r="G37" s="185" t="s">
        <v>536</v>
      </c>
      <c r="I37" s="775"/>
      <c r="J37" s="775"/>
      <c r="K37" s="775"/>
      <c r="L37" s="232"/>
      <c r="R37" s="228"/>
      <c r="S37" s="233"/>
      <c r="T37" s="234" t="str">
        <f>IF(import.recurso="FGTS","Financiamento:","Repasse:")</f>
        <v>Repasse:</v>
      </c>
      <c r="U37" s="231">
        <f t="shared" ref="U37:AF37" ca="1" si="45">IF(U$12=1,ROUND(U42,2),ROUND(U42,2)-ROUND(T42,2))</f>
        <v>0</v>
      </c>
      <c r="V37" s="231">
        <f t="shared" ca="1" si="45"/>
        <v>0</v>
      </c>
      <c r="W37" s="231">
        <f t="shared" ca="1" si="45"/>
        <v>0</v>
      </c>
      <c r="X37" s="231">
        <f t="shared" ca="1" si="45"/>
        <v>0</v>
      </c>
      <c r="Y37" s="231">
        <f t="shared" ca="1" si="45"/>
        <v>0</v>
      </c>
      <c r="Z37" s="231">
        <f t="shared" ca="1" si="45"/>
        <v>0</v>
      </c>
      <c r="AA37" s="231">
        <f t="shared" ca="1" si="45"/>
        <v>0</v>
      </c>
      <c r="AB37" s="231">
        <f t="shared" ca="1" si="45"/>
        <v>0</v>
      </c>
      <c r="AC37" s="231">
        <f t="shared" ca="1" si="45"/>
        <v>0</v>
      </c>
      <c r="AD37" s="231">
        <f t="shared" ca="1" si="45"/>
        <v>0</v>
      </c>
      <c r="AE37" s="231">
        <f t="shared" ca="1" si="45"/>
        <v>0</v>
      </c>
      <c r="AF37" s="231">
        <f t="shared" ca="1" si="45"/>
        <v>0</v>
      </c>
      <c r="AG37" s="534"/>
    </row>
    <row r="38" spans="4:33" ht="12.75" customHeight="1" x14ac:dyDescent="0.2">
      <c r="E38" s="529">
        <f ca="1">IF(E$12=1,ROUND(E43,2),ROUND(E43,2)-ROUND(D43,2))</f>
        <v>0</v>
      </c>
      <c r="G38" s="185" t="s">
        <v>536</v>
      </c>
      <c r="I38" s="235"/>
      <c r="L38" s="236" t="s">
        <v>799</v>
      </c>
      <c r="R38" s="228"/>
      <c r="S38" s="237"/>
      <c r="T38" s="238" t="s">
        <v>800</v>
      </c>
      <c r="U38" s="529">
        <f t="shared" ref="U38:AF38" ca="1" si="46">IF(U$12=1,ROUND(U43,2),ROUND(U43,2)-ROUND(T43,2))</f>
        <v>0</v>
      </c>
      <c r="V38" s="529">
        <f t="shared" ca="1" si="46"/>
        <v>0</v>
      </c>
      <c r="W38" s="529">
        <f t="shared" ca="1" si="46"/>
        <v>0</v>
      </c>
      <c r="X38" s="529">
        <f t="shared" ca="1" si="46"/>
        <v>0</v>
      </c>
      <c r="Y38" s="529">
        <f t="shared" ca="1" si="46"/>
        <v>0</v>
      </c>
      <c r="Z38" s="529">
        <f t="shared" ca="1" si="46"/>
        <v>0</v>
      </c>
      <c r="AA38" s="529">
        <f t="shared" ca="1" si="46"/>
        <v>0</v>
      </c>
      <c r="AB38" s="529">
        <f t="shared" ca="1" si="46"/>
        <v>0</v>
      </c>
      <c r="AC38" s="529">
        <f t="shared" ca="1" si="46"/>
        <v>0</v>
      </c>
      <c r="AD38" s="529">
        <f t="shared" ca="1" si="46"/>
        <v>0</v>
      </c>
      <c r="AE38" s="529">
        <f t="shared" ca="1" si="46"/>
        <v>0</v>
      </c>
      <c r="AF38" s="529">
        <f t="shared" ca="1" si="46"/>
        <v>0</v>
      </c>
      <c r="AG38" s="534"/>
    </row>
    <row r="39" spans="4:33" x14ac:dyDescent="0.2">
      <c r="E39" s="239">
        <f ca="1">IF(E$12=1,ROUND(E44,2),ROUND(E44,2)-ROUND(D44,2))</f>
        <v>0</v>
      </c>
      <c r="G39" s="185" t="s">
        <v>536</v>
      </c>
      <c r="I39" s="235"/>
      <c r="L39" s="236"/>
      <c r="R39" s="228"/>
      <c r="S39" s="240"/>
      <c r="T39" s="241" t="s">
        <v>801</v>
      </c>
      <c r="U39" s="239">
        <f t="shared" ref="U39:AF39" ca="1" si="47">IF(U$12=1,ROUND(U44,2),ROUND(U44,2)-ROUND(T44,2))</f>
        <v>0</v>
      </c>
      <c r="V39" s="239">
        <f t="shared" ca="1" si="47"/>
        <v>0</v>
      </c>
      <c r="W39" s="239">
        <f t="shared" ca="1" si="47"/>
        <v>0</v>
      </c>
      <c r="X39" s="239">
        <f t="shared" ca="1" si="47"/>
        <v>0</v>
      </c>
      <c r="Y39" s="239">
        <f t="shared" ca="1" si="47"/>
        <v>0</v>
      </c>
      <c r="Z39" s="239">
        <f t="shared" ca="1" si="47"/>
        <v>0</v>
      </c>
      <c r="AA39" s="239">
        <f t="shared" ca="1" si="47"/>
        <v>0</v>
      </c>
      <c r="AB39" s="239">
        <f t="shared" ca="1" si="47"/>
        <v>0</v>
      </c>
      <c r="AC39" s="239">
        <f t="shared" ca="1" si="47"/>
        <v>0</v>
      </c>
      <c r="AD39" s="239">
        <f t="shared" ca="1" si="47"/>
        <v>0</v>
      </c>
      <c r="AE39" s="239">
        <f t="shared" ca="1" si="47"/>
        <v>0</v>
      </c>
      <c r="AF39" s="239">
        <f t="shared" ca="1" si="47"/>
        <v>0</v>
      </c>
      <c r="AG39" s="534"/>
    </row>
    <row r="40" spans="4:33" x14ac:dyDescent="0.2">
      <c r="E40" s="530">
        <f ca="1">IF(E$12=1,ROUND(E45,2),ROUND(E45,2)-ROUND(D45,2))</f>
        <v>0</v>
      </c>
      <c r="G40" s="185" t="s">
        <v>536</v>
      </c>
      <c r="H40" s="536"/>
      <c r="L40" s="242"/>
      <c r="S40" s="243"/>
      <c r="T40" s="244" t="s">
        <v>802</v>
      </c>
      <c r="U40" s="530">
        <f t="shared" ref="U40:AF40" ca="1" si="48">IF(U$12=1,ROUND(U45,2),ROUND(U45,2)-ROUND(T45,2))</f>
        <v>0</v>
      </c>
      <c r="V40" s="530">
        <f t="shared" ca="1" si="48"/>
        <v>0</v>
      </c>
      <c r="W40" s="530">
        <f t="shared" ca="1" si="48"/>
        <v>0</v>
      </c>
      <c r="X40" s="530">
        <f t="shared" ca="1" si="48"/>
        <v>0</v>
      </c>
      <c r="Y40" s="530">
        <f t="shared" ca="1" si="48"/>
        <v>0</v>
      </c>
      <c r="Z40" s="530">
        <f t="shared" ca="1" si="48"/>
        <v>0</v>
      </c>
      <c r="AA40" s="530">
        <f t="shared" ca="1" si="48"/>
        <v>0</v>
      </c>
      <c r="AB40" s="530">
        <f t="shared" ca="1" si="48"/>
        <v>0</v>
      </c>
      <c r="AC40" s="530">
        <f t="shared" ca="1" si="48"/>
        <v>0</v>
      </c>
      <c r="AD40" s="530">
        <f t="shared" ca="1" si="48"/>
        <v>0</v>
      </c>
      <c r="AE40" s="530">
        <f t="shared" ca="1" si="48"/>
        <v>0</v>
      </c>
      <c r="AF40" s="530">
        <f t="shared" ca="1" si="48"/>
        <v>0</v>
      </c>
      <c r="AG40" s="534"/>
    </row>
    <row r="41" spans="4:33" x14ac:dyDescent="0.2">
      <c r="E41" s="528" t="e">
        <f ca="1">ROUND(ROUND(E45,2)/$R$36,4)</f>
        <v>#DIV/0!</v>
      </c>
      <c r="G41" s="185" t="s">
        <v>536</v>
      </c>
      <c r="L41" s="227"/>
      <c r="S41" s="229"/>
      <c r="T41" s="230" t="s">
        <v>798</v>
      </c>
      <c r="U41" s="528" t="e">
        <f t="shared" ref="U41:AF41" ca="1" si="49">ROUND(ROUND(U45,2)/$R$36,4)</f>
        <v>#DIV/0!</v>
      </c>
      <c r="V41" s="528" t="e">
        <f t="shared" ca="1" si="49"/>
        <v>#DIV/0!</v>
      </c>
      <c r="W41" s="528" t="e">
        <f t="shared" ca="1" si="49"/>
        <v>#DIV/0!</v>
      </c>
      <c r="X41" s="528" t="e">
        <f t="shared" ca="1" si="49"/>
        <v>#DIV/0!</v>
      </c>
      <c r="Y41" s="528" t="e">
        <f t="shared" ca="1" si="49"/>
        <v>#DIV/0!</v>
      </c>
      <c r="Z41" s="528" t="e">
        <f t="shared" ca="1" si="49"/>
        <v>#DIV/0!</v>
      </c>
      <c r="AA41" s="528" t="e">
        <f t="shared" ca="1" si="49"/>
        <v>#DIV/0!</v>
      </c>
      <c r="AB41" s="528" t="e">
        <f t="shared" ca="1" si="49"/>
        <v>#DIV/0!</v>
      </c>
      <c r="AC41" s="528" t="e">
        <f t="shared" ca="1" si="49"/>
        <v>#DIV/0!</v>
      </c>
      <c r="AD41" s="528" t="e">
        <f t="shared" ca="1" si="49"/>
        <v>#DIV/0!</v>
      </c>
      <c r="AE41" s="528" t="e">
        <f t="shared" ca="1" si="49"/>
        <v>#DIV/0!</v>
      </c>
      <c r="AF41" s="528" t="e">
        <f t="shared" ca="1" si="49"/>
        <v>#DIV/0!</v>
      </c>
      <c r="AG41" s="534"/>
    </row>
    <row r="42" spans="4:33" x14ac:dyDescent="0.2">
      <c r="E42" s="231">
        <f ca="1">ROUND(E45-E44-E43,2)</f>
        <v>0</v>
      </c>
      <c r="G42" s="185" t="s">
        <v>536</v>
      </c>
      <c r="L42" s="232"/>
      <c r="S42" s="233"/>
      <c r="T42" s="234" t="str">
        <f>IF(import.recurso="FGTS","Financiamento:","Repasse:")</f>
        <v>Repasse:</v>
      </c>
      <c r="U42" s="231">
        <f t="shared" ref="U42:AF42" ca="1" si="50">ROUND(U45-U44-U43,2)</f>
        <v>0</v>
      </c>
      <c r="V42" s="231">
        <f t="shared" ca="1" si="50"/>
        <v>0</v>
      </c>
      <c r="W42" s="231">
        <f t="shared" ca="1" si="50"/>
        <v>0</v>
      </c>
      <c r="X42" s="231">
        <f t="shared" ca="1" si="50"/>
        <v>0</v>
      </c>
      <c r="Y42" s="231">
        <f t="shared" ca="1" si="50"/>
        <v>0</v>
      </c>
      <c r="Z42" s="231">
        <f t="shared" ca="1" si="50"/>
        <v>0</v>
      </c>
      <c r="AA42" s="231">
        <f t="shared" ca="1" si="50"/>
        <v>0</v>
      </c>
      <c r="AB42" s="231">
        <f t="shared" ca="1" si="50"/>
        <v>0</v>
      </c>
      <c r="AC42" s="231">
        <f t="shared" ca="1" si="50"/>
        <v>0</v>
      </c>
      <c r="AD42" s="231">
        <f t="shared" ca="1" si="50"/>
        <v>0</v>
      </c>
      <c r="AE42" s="231">
        <f t="shared" ca="1" si="50"/>
        <v>0</v>
      </c>
      <c r="AF42" s="231">
        <f t="shared" ca="1" si="50"/>
        <v>0</v>
      </c>
      <c r="AG42" s="534"/>
    </row>
    <row r="43" spans="4:33" x14ac:dyDescent="0.2">
      <c r="E43" s="529" cm="1">
        <f t="array" aca="1" ref="E43" ca="1">IF(E$12=1,0,OFFSET(E43,0,-1))+SUM((OFFSET($C$13,1,0):OFFSET($C$35,-3,0))*IF(ISNUMBER(OFFSET(E$11,5,0):OFFSET(E$35,-1,0)),OFFSET(E$11,5,0):OFFSET(E$35,-1,0),0))</f>
        <v>0</v>
      </c>
      <c r="G43" s="185" t="s">
        <v>536</v>
      </c>
      <c r="L43" s="236" t="s">
        <v>803</v>
      </c>
      <c r="S43" s="237"/>
      <c r="T43" s="238" t="s">
        <v>800</v>
      </c>
      <c r="U43" s="529" cm="1">
        <f t="array" aca="1" ref="U43" ca="1">IF(U$12=1,0,OFFSET(U43,0,-1))+SUM((OFFSET($C$13,1,0):OFFSET($C$35,-3,0))*IF(ISNUMBER(OFFSET(U$11,5,0):OFFSET(U$35,-1,0)),OFFSET(U$11,5,0):OFFSET(U$35,-1,0),0))</f>
        <v>0</v>
      </c>
      <c r="V43" s="529" cm="1">
        <f t="array" aca="1" ref="V43" ca="1">IF(V$12=1,0,OFFSET(V43,0,-1))+SUM((OFFSET($C$13,1,0):OFFSET($C$35,-3,0))*IF(ISNUMBER(OFFSET(V$11,5,0):OFFSET(V$35,-1,0)),OFFSET(V$11,5,0):OFFSET(V$35,-1,0),0))</f>
        <v>0</v>
      </c>
      <c r="W43" s="529" cm="1">
        <f t="array" aca="1" ref="W43" ca="1">IF(W$12=1,0,OFFSET(W43,0,-1))+SUM((OFFSET($C$13,1,0):OFFSET($C$35,-3,0))*IF(ISNUMBER(OFFSET(W$11,5,0):OFFSET(W$35,-1,0)),OFFSET(W$11,5,0):OFFSET(W$35,-1,0),0))</f>
        <v>0</v>
      </c>
      <c r="X43" s="529" cm="1">
        <f t="array" aca="1" ref="X43" ca="1">IF(X$12=1,0,OFFSET(X43,0,-1))+SUM((OFFSET($C$13,1,0):OFFSET($C$35,-3,0))*IF(ISNUMBER(OFFSET(X$11,5,0):OFFSET(X$35,-1,0)),OFFSET(X$11,5,0):OFFSET(X$35,-1,0),0))</f>
        <v>0</v>
      </c>
      <c r="Y43" s="529" cm="1">
        <f t="array" aca="1" ref="Y43" ca="1">IF(Y$12=1,0,OFFSET(Y43,0,-1))+SUM((OFFSET($C$13,1,0):OFFSET($C$35,-3,0))*IF(ISNUMBER(OFFSET(Y$11,5,0):OFFSET(Y$35,-1,0)),OFFSET(Y$11,5,0):OFFSET(Y$35,-1,0),0))</f>
        <v>0</v>
      </c>
      <c r="Z43" s="529" cm="1">
        <f t="array" aca="1" ref="Z43" ca="1">IF(Z$12=1,0,OFFSET(Z43,0,-1))+SUM((OFFSET($C$13,1,0):OFFSET($C$35,-3,0))*IF(ISNUMBER(OFFSET(Z$11,5,0):OFFSET(Z$35,-1,0)),OFFSET(Z$11,5,0):OFFSET(Z$35,-1,0),0))</f>
        <v>0</v>
      </c>
      <c r="AA43" s="529" cm="1">
        <f t="array" aca="1" ref="AA43" ca="1">IF(AA$12=1,0,OFFSET(AA43,0,-1))+SUM((OFFSET($C$13,1,0):OFFSET($C$35,-3,0))*IF(ISNUMBER(OFFSET(AA$11,5,0):OFFSET(AA$35,-1,0)),OFFSET(AA$11,5,0):OFFSET(AA$35,-1,0),0))</f>
        <v>0</v>
      </c>
      <c r="AB43" s="529" cm="1">
        <f t="array" aca="1" ref="AB43" ca="1">IF(AB$12=1,0,OFFSET(AB43,0,-1))+SUM((OFFSET($C$13,1,0):OFFSET($C$35,-3,0))*IF(ISNUMBER(OFFSET(AB$11,5,0):OFFSET(AB$35,-1,0)),OFFSET(AB$11,5,0):OFFSET(AB$35,-1,0),0))</f>
        <v>0</v>
      </c>
      <c r="AC43" s="529" cm="1">
        <f t="array" aca="1" ref="AC43" ca="1">IF(AC$12=1,0,OFFSET(AC43,0,-1))+SUM((OFFSET($C$13,1,0):OFFSET($C$35,-3,0))*IF(ISNUMBER(OFFSET(AC$11,5,0):OFFSET(AC$35,-1,0)),OFFSET(AC$11,5,0):OFFSET(AC$35,-1,0),0))</f>
        <v>0</v>
      </c>
      <c r="AD43" s="529" cm="1">
        <f t="array" aca="1" ref="AD43" ca="1">IF(AD$12=1,0,OFFSET(AD43,0,-1))+SUM((OFFSET($C$13,1,0):OFFSET($C$35,-3,0))*IF(ISNUMBER(OFFSET(AD$11,5,0):OFFSET(AD$35,-1,0)),OFFSET(AD$11,5,0):OFFSET(AD$35,-1,0),0))</f>
        <v>0</v>
      </c>
      <c r="AE43" s="529" cm="1">
        <f t="array" aca="1" ref="AE43" ca="1">IF(AE$12=1,0,OFFSET(AE43,0,-1))+SUM((OFFSET($C$13,1,0):OFFSET($C$35,-3,0))*IF(ISNUMBER(OFFSET(AE$11,5,0):OFFSET(AE$35,-1,0)),OFFSET(AE$11,5,0):OFFSET(AE$35,-1,0),0))</f>
        <v>0</v>
      </c>
      <c r="AF43" s="529" cm="1">
        <f t="array" aca="1" ref="AF43" ca="1">IF(AF$12=1,0,OFFSET(AF43,0,-1))+SUM((OFFSET($C$13,1,0):OFFSET($C$35,-3,0))*IF(ISNUMBER(OFFSET(AF$11,5,0):OFFSET(AF$35,-1,0)),OFFSET(AF$11,5,0):OFFSET(AF$35,-1,0),0))</f>
        <v>0</v>
      </c>
      <c r="AG43" s="534"/>
    </row>
    <row r="44" spans="4:33" x14ac:dyDescent="0.2">
      <c r="E44" s="239" cm="1">
        <f t="array" aca="1" ref="E44" ca="1">IF(E$12=1,0,OFFSET(E44,0,-1))+SUM((OFFSET($D$13,1,0):OFFSET($D$35,-3,0))*IF(ISNUMBER(OFFSET(E$11,5,0):OFFSET(E$35,-1,0)),OFFSET(E$11,5,0):OFFSET(E$35,-1,0),0))</f>
        <v>0</v>
      </c>
      <c r="G44" s="185" t="s">
        <v>536</v>
      </c>
      <c r="L44" s="236"/>
      <c r="S44" s="240"/>
      <c r="T44" s="241" t="s">
        <v>801</v>
      </c>
      <c r="U44" s="239" cm="1">
        <f t="array" aca="1" ref="U44" ca="1">IF(U$12=1,0,OFFSET(U44,0,-1))+SUM((OFFSET($D$13,1,0):OFFSET($D$35,-3,0))*IF(ISNUMBER(OFFSET(U$11,5,0):OFFSET(U$35,-1,0)),OFFSET(U$11,5,0):OFFSET(U$35,-1,0),0))</f>
        <v>0</v>
      </c>
      <c r="V44" s="239" cm="1">
        <f t="array" aca="1" ref="V44" ca="1">IF(V$12=1,0,OFFSET(V44,0,-1))+SUM((OFFSET($D$13,1,0):OFFSET($D$35,-3,0))*IF(ISNUMBER(OFFSET(V$11,5,0):OFFSET(V$35,-1,0)),OFFSET(V$11,5,0):OFFSET(V$35,-1,0),0))</f>
        <v>0</v>
      </c>
      <c r="W44" s="239" cm="1">
        <f t="array" aca="1" ref="W44" ca="1">IF(W$12=1,0,OFFSET(W44,0,-1))+SUM((OFFSET($D$13,1,0):OFFSET($D$35,-3,0))*IF(ISNUMBER(OFFSET(W$11,5,0):OFFSET(W$35,-1,0)),OFFSET(W$11,5,0):OFFSET(W$35,-1,0),0))</f>
        <v>0</v>
      </c>
      <c r="X44" s="239" cm="1">
        <f t="array" aca="1" ref="X44" ca="1">IF(X$12=1,0,OFFSET(X44,0,-1))+SUM((OFFSET($D$13,1,0):OFFSET($D$35,-3,0))*IF(ISNUMBER(OFFSET(X$11,5,0):OFFSET(X$35,-1,0)),OFFSET(X$11,5,0):OFFSET(X$35,-1,0),0))</f>
        <v>0</v>
      </c>
      <c r="Y44" s="239" cm="1">
        <f t="array" aca="1" ref="Y44" ca="1">IF(Y$12=1,0,OFFSET(Y44,0,-1))+SUM((OFFSET($D$13,1,0):OFFSET($D$35,-3,0))*IF(ISNUMBER(OFFSET(Y$11,5,0):OFFSET(Y$35,-1,0)),OFFSET(Y$11,5,0):OFFSET(Y$35,-1,0),0))</f>
        <v>0</v>
      </c>
      <c r="Z44" s="239" cm="1">
        <f t="array" aca="1" ref="Z44" ca="1">IF(Z$12=1,0,OFFSET(Z44,0,-1))+SUM((OFFSET($D$13,1,0):OFFSET($D$35,-3,0))*IF(ISNUMBER(OFFSET(Z$11,5,0):OFFSET(Z$35,-1,0)),OFFSET(Z$11,5,0):OFFSET(Z$35,-1,0),0))</f>
        <v>0</v>
      </c>
      <c r="AA44" s="239" cm="1">
        <f t="array" aca="1" ref="AA44" ca="1">IF(AA$12=1,0,OFFSET(AA44,0,-1))+SUM((OFFSET($D$13,1,0):OFFSET($D$35,-3,0))*IF(ISNUMBER(OFFSET(AA$11,5,0):OFFSET(AA$35,-1,0)),OFFSET(AA$11,5,0):OFFSET(AA$35,-1,0),0))</f>
        <v>0</v>
      </c>
      <c r="AB44" s="239" cm="1">
        <f t="array" aca="1" ref="AB44" ca="1">IF(AB$12=1,0,OFFSET(AB44,0,-1))+SUM((OFFSET($D$13,1,0):OFFSET($D$35,-3,0))*IF(ISNUMBER(OFFSET(AB$11,5,0):OFFSET(AB$35,-1,0)),OFFSET(AB$11,5,0):OFFSET(AB$35,-1,0),0))</f>
        <v>0</v>
      </c>
      <c r="AC44" s="239" cm="1">
        <f t="array" aca="1" ref="AC44" ca="1">IF(AC$12=1,0,OFFSET(AC44,0,-1))+SUM((OFFSET($D$13,1,0):OFFSET($D$35,-3,0))*IF(ISNUMBER(OFFSET(AC$11,5,0):OFFSET(AC$35,-1,0)),OFFSET(AC$11,5,0):OFFSET(AC$35,-1,0),0))</f>
        <v>0</v>
      </c>
      <c r="AD44" s="239" cm="1">
        <f t="array" aca="1" ref="AD44" ca="1">IF(AD$12=1,0,OFFSET(AD44,0,-1))+SUM((OFFSET($D$13,1,0):OFFSET($D$35,-3,0))*IF(ISNUMBER(OFFSET(AD$11,5,0):OFFSET(AD$35,-1,0)),OFFSET(AD$11,5,0):OFFSET(AD$35,-1,0),0))</f>
        <v>0</v>
      </c>
      <c r="AE44" s="239" cm="1">
        <f t="array" aca="1" ref="AE44" ca="1">IF(AE$12=1,0,OFFSET(AE44,0,-1))+SUM((OFFSET($D$13,1,0):OFFSET($D$35,-3,0))*IF(ISNUMBER(OFFSET(AE$11,5,0):OFFSET(AE$35,-1,0)),OFFSET(AE$11,5,0):OFFSET(AE$35,-1,0),0))</f>
        <v>0</v>
      </c>
      <c r="AF44" s="239" cm="1">
        <f t="array" aca="1" ref="AF44" ca="1">IF(AF$12=1,0,OFFSET(AF44,0,-1))+SUM((OFFSET($D$13,1,0):OFFSET($D$35,-3,0))*IF(ISNUMBER(OFFSET(AF$11,5,0):OFFSET(AF$35,-1,0)),OFFSET(AF$11,5,0):OFFSET(AF$35,-1,0),0))</f>
        <v>0</v>
      </c>
      <c r="AG44" s="534"/>
    </row>
    <row r="45" spans="4:33" ht="13.5" thickBot="1" x14ac:dyDescent="0.25">
      <c r="D45" s="533"/>
      <c r="E45" s="531">
        <f ca="1">SUMIF($S$12:$S$35,"1$",E12:E35)+IF(E$12&gt;1,OFFSET(E45,0,-1),0)</f>
        <v>0</v>
      </c>
      <c r="G45" s="185" t="s">
        <v>536</v>
      </c>
      <c r="H45" s="522" t="str" cm="1">
        <f t="array" ref="H45">IF(ACOMPANHAMENTO="BM","Selecione o Macrosserviço da Administração Local:","")</f>
        <v>Selecione o Macrosserviço da Administração Local:</v>
      </c>
      <c r="I45"/>
      <c r="L45" s="236"/>
      <c r="S45" s="237"/>
      <c r="T45" s="526" t="s">
        <v>802</v>
      </c>
      <c r="U45" s="531">
        <f t="shared" ref="U45:AF45" ca="1" si="51">SUMIF($S$12:$S$35,"1$",U12:U35)+IF(U$12&gt;1,OFFSET(U45,0,-1),0)</f>
        <v>0</v>
      </c>
      <c r="V45" s="531">
        <f t="shared" ca="1" si="51"/>
        <v>0</v>
      </c>
      <c r="W45" s="531">
        <f t="shared" ca="1" si="51"/>
        <v>0</v>
      </c>
      <c r="X45" s="531">
        <f t="shared" ca="1" si="51"/>
        <v>0</v>
      </c>
      <c r="Y45" s="531">
        <f t="shared" ca="1" si="51"/>
        <v>0</v>
      </c>
      <c r="Z45" s="531">
        <f t="shared" ca="1" si="51"/>
        <v>0</v>
      </c>
      <c r="AA45" s="531">
        <f t="shared" ca="1" si="51"/>
        <v>0</v>
      </c>
      <c r="AB45" s="531">
        <f t="shared" ca="1" si="51"/>
        <v>0</v>
      </c>
      <c r="AC45" s="531">
        <f t="shared" ca="1" si="51"/>
        <v>0</v>
      </c>
      <c r="AD45" s="531">
        <f t="shared" ca="1" si="51"/>
        <v>0</v>
      </c>
      <c r="AE45" s="531">
        <f t="shared" ca="1" si="51"/>
        <v>0</v>
      </c>
      <c r="AF45" s="540">
        <f t="shared" ca="1" si="51"/>
        <v>0</v>
      </c>
      <c r="AG45" s="534"/>
    </row>
    <row r="46" spans="4:33" ht="13.5" thickBot="1" x14ac:dyDescent="0.25">
      <c r="D46" s="533"/>
      <c r="E46" s="532" t="e">
        <f ca="1">IF($F$46="","",
  IF(ACOMPANHAMENTO="PLE",
     IF(AUTOEVENTO="Manual",
         IF(AdmLocal="Automática",
              E41,
              SUMIF(OFFSET(CRONOPLE!$F$14,CRONOPLE!$A$8+1,1,1,OFFSET(CRONOPLE!$AF$12,0,-1)),"&lt;="&amp;E$12,OFFSET(EVENTOS!$G$14,CRONOPLE!$A$8+1,1,1,OFFSET(CRONOPLE!$AF$12,0,-1)))/OFFSET(EVENTOS!$G$14,CRONOPLE!$A$8+1,-1)),
         SUMIFS(OFFSET(CÁLCULO!$AA$15,$F$46,1,OFFSET(ORÇAMENTO!$D$15,$F$46,0),CÁLCULO.FrentesPreenchidas),OFFSET(CÁLCULO!$AL$15,$F$46,1,OFFSET(ORÇAMENTO!$D$15,$F$46,0),CÁLCULO.FrentesPreenchidas),"&lt;="&amp;E$12)/OFFSET(ORÇAMENTO!$X$15,$F$46,0)),
     IF(ACOMPANHAMENTO="BM",SUM(OFFSET($T$13,$F$46+2,1,1,E$12))/OFFSET($S$13,$F$46,0),"")))</f>
        <v>#DIV/0!</v>
      </c>
      <c r="F46" s="185">
        <f ca="1">IF(ACOMPANHAMENTO="PLE",
    IF(AUTOEVENTO="Manual",
        IF(AdmLocal="Automática",1,IF(CRONOPLE!$D$8&lt;&gt;"","",MATCH(Import.EventoAdmLocal,EVENTOS!$B$15:$B$65,0))),
        IF(CRONOPLE!$D$8&lt;&gt;"","",CRONOPLE!$A$10)),
    IF($H$47&lt;&gt;"","",MATCH(Import.MacrosserviçoAdmLocal,$A$13:$A$35,0)-1))</f>
        <v>7</v>
      </c>
      <c r="G46" s="185" t="s">
        <v>536</v>
      </c>
      <c r="H46" s="728" t="s">
        <v>1066</v>
      </c>
      <c r="I46" s="770"/>
      <c r="J46" s="729"/>
      <c r="L46" s="242"/>
      <c r="S46" s="525"/>
      <c r="T46" s="527" t="s">
        <v>804</v>
      </c>
      <c r="U46" s="532" t="e">
        <f ca="1">IF($F$46="","",
  IF(ACOMPANHAMENTO="PLE",
     IF(AUTOEVENTO="Manual",
         IF(AdmLocal="Automática",
              U41,
              SUMIF(OFFSET(CRONOPLE!$F$14,CRONOPLE!$A$8+1,1,1,OFFSET(CRONOPLE!$AF$12,0,-1)),"&lt;="&amp;U$12,OFFSET(EVENTOS!$G$14,CRONOPLE!$A$8+1,1,1,OFFSET(CRONOPLE!$AF$12,0,-1)))/OFFSET(EVENTOS!$G$14,CRONOPLE!$A$8+1,-1)),
         SUMIFS(OFFSET(CÁLCULO!$AA$15,$F$46,1,OFFSET(ORÇAMENTO!$D$15,$F$46,0),CÁLCULO.FrentesPreenchidas),OFFSET(CÁLCULO!$AL$15,$F$46,1,OFFSET(ORÇAMENTO!$D$15,$F$46,0),CÁLCULO.FrentesPreenchidas),"&lt;="&amp;U$12)/OFFSET(ORÇAMENTO!$X$15,$F$46,0)),
     IF(ACOMPANHAMENTO="BM",SUM(OFFSET($T$13,$F$46+2,1,1,U$12))/OFFSET($S$13,$F$46,0),"")))</f>
        <v>#DIV/0!</v>
      </c>
      <c r="V46" s="532" t="e">
        <f ca="1">IF($F$46="","",
  IF(ACOMPANHAMENTO="PLE",
     IF(AUTOEVENTO="Manual",
         IF(AdmLocal="Automática",
              V41,
              SUMIF(OFFSET(CRONOPLE!$F$14,CRONOPLE!$A$8+1,1,1,OFFSET(CRONOPLE!$AF$12,0,-1)),"&lt;="&amp;V$12,OFFSET(EVENTOS!$G$14,CRONOPLE!$A$8+1,1,1,OFFSET(CRONOPLE!$AF$12,0,-1)))/OFFSET(EVENTOS!$G$14,CRONOPLE!$A$8+1,-1)),
         SUMIFS(OFFSET(CÁLCULO!$AA$15,$F$46,1,OFFSET(ORÇAMENTO!$D$15,$F$46,0),CÁLCULO.FrentesPreenchidas),OFFSET(CÁLCULO!$AL$15,$F$46,1,OFFSET(ORÇAMENTO!$D$15,$F$46,0),CÁLCULO.FrentesPreenchidas),"&lt;="&amp;V$12)/OFFSET(ORÇAMENTO!$X$15,$F$46,0)),
     IF(ACOMPANHAMENTO="BM",SUM(OFFSET($T$13,$F$46+2,1,1,V$12))/OFFSET($S$13,$F$46,0),"")))</f>
        <v>#DIV/0!</v>
      </c>
      <c r="W46" s="532" t="e">
        <f ca="1">IF($F$46="","",
  IF(ACOMPANHAMENTO="PLE",
     IF(AUTOEVENTO="Manual",
         IF(AdmLocal="Automática",
              W41,
              SUMIF(OFFSET(CRONOPLE!$F$14,CRONOPLE!$A$8+1,1,1,OFFSET(CRONOPLE!$AF$12,0,-1)),"&lt;="&amp;W$12,OFFSET(EVENTOS!$G$14,CRONOPLE!$A$8+1,1,1,OFFSET(CRONOPLE!$AF$12,0,-1)))/OFFSET(EVENTOS!$G$14,CRONOPLE!$A$8+1,-1)),
         SUMIFS(OFFSET(CÁLCULO!$AA$15,$F$46,1,OFFSET(ORÇAMENTO!$D$15,$F$46,0),CÁLCULO.FrentesPreenchidas),OFFSET(CÁLCULO!$AL$15,$F$46,1,OFFSET(ORÇAMENTO!$D$15,$F$46,0),CÁLCULO.FrentesPreenchidas),"&lt;="&amp;W$12)/OFFSET(ORÇAMENTO!$X$15,$F$46,0)),
     IF(ACOMPANHAMENTO="BM",SUM(OFFSET($T$13,$F$46+2,1,1,W$12))/OFFSET($S$13,$F$46,0),"")))</f>
        <v>#DIV/0!</v>
      </c>
      <c r="X46" s="532" t="e">
        <f ca="1">IF($F$46="","",
  IF(ACOMPANHAMENTO="PLE",
     IF(AUTOEVENTO="Manual",
         IF(AdmLocal="Automática",
              X41,
              SUMIF(OFFSET(CRONOPLE!$F$14,CRONOPLE!$A$8+1,1,1,OFFSET(CRONOPLE!$AF$12,0,-1)),"&lt;="&amp;X$12,OFFSET(EVENTOS!$G$14,CRONOPLE!$A$8+1,1,1,OFFSET(CRONOPLE!$AF$12,0,-1)))/OFFSET(EVENTOS!$G$14,CRONOPLE!$A$8+1,-1)),
         SUMIFS(OFFSET(CÁLCULO!$AA$15,$F$46,1,OFFSET(ORÇAMENTO!$D$15,$F$46,0),CÁLCULO.FrentesPreenchidas),OFFSET(CÁLCULO!$AL$15,$F$46,1,OFFSET(ORÇAMENTO!$D$15,$F$46,0),CÁLCULO.FrentesPreenchidas),"&lt;="&amp;X$12)/OFFSET(ORÇAMENTO!$X$15,$F$46,0)),
     IF(ACOMPANHAMENTO="BM",SUM(OFFSET($T$13,$F$46+2,1,1,X$12))/OFFSET($S$13,$F$46,0),"")))</f>
        <v>#DIV/0!</v>
      </c>
      <c r="Y46" s="532" t="e">
        <f ca="1">IF($F$46="","",
  IF(ACOMPANHAMENTO="PLE",
     IF(AUTOEVENTO="Manual",
         IF(AdmLocal="Automática",
              Y41,
              SUMIF(OFFSET(CRONOPLE!$F$14,CRONOPLE!$A$8+1,1,1,OFFSET(CRONOPLE!$AF$12,0,-1)),"&lt;="&amp;Y$12,OFFSET(EVENTOS!$G$14,CRONOPLE!$A$8+1,1,1,OFFSET(CRONOPLE!$AF$12,0,-1)))/OFFSET(EVENTOS!$G$14,CRONOPLE!$A$8+1,-1)),
         SUMIFS(OFFSET(CÁLCULO!$AA$15,$F$46,1,OFFSET(ORÇAMENTO!$D$15,$F$46,0),CÁLCULO.FrentesPreenchidas),OFFSET(CÁLCULO!$AL$15,$F$46,1,OFFSET(ORÇAMENTO!$D$15,$F$46,0),CÁLCULO.FrentesPreenchidas),"&lt;="&amp;Y$12)/OFFSET(ORÇAMENTO!$X$15,$F$46,0)),
     IF(ACOMPANHAMENTO="BM",SUM(OFFSET($T$13,$F$46+2,1,1,Y$12))/OFFSET($S$13,$F$46,0),"")))</f>
        <v>#DIV/0!</v>
      </c>
      <c r="Z46" s="532" t="e">
        <f ca="1">IF($F$46="","",
  IF(ACOMPANHAMENTO="PLE",
     IF(AUTOEVENTO="Manual",
         IF(AdmLocal="Automática",
              Z41,
              SUMIF(OFFSET(CRONOPLE!$F$14,CRONOPLE!$A$8+1,1,1,OFFSET(CRONOPLE!$AF$12,0,-1)),"&lt;="&amp;Z$12,OFFSET(EVENTOS!$G$14,CRONOPLE!$A$8+1,1,1,OFFSET(CRONOPLE!$AF$12,0,-1)))/OFFSET(EVENTOS!$G$14,CRONOPLE!$A$8+1,-1)),
         SUMIFS(OFFSET(CÁLCULO!$AA$15,$F$46,1,OFFSET(ORÇAMENTO!$D$15,$F$46,0),CÁLCULO.FrentesPreenchidas),OFFSET(CÁLCULO!$AL$15,$F$46,1,OFFSET(ORÇAMENTO!$D$15,$F$46,0),CÁLCULO.FrentesPreenchidas),"&lt;="&amp;Z$12)/OFFSET(ORÇAMENTO!$X$15,$F$46,0)),
     IF(ACOMPANHAMENTO="BM",SUM(OFFSET($T$13,$F$46+2,1,1,Z$12))/OFFSET($S$13,$F$46,0),"")))</f>
        <v>#DIV/0!</v>
      </c>
      <c r="AA46" s="532" t="e">
        <f ca="1">IF($F$46="","",
  IF(ACOMPANHAMENTO="PLE",
     IF(AUTOEVENTO="Manual",
         IF(AdmLocal="Automática",
              AA41,
              SUMIF(OFFSET(CRONOPLE!$F$14,CRONOPLE!$A$8+1,1,1,OFFSET(CRONOPLE!$AF$12,0,-1)),"&lt;="&amp;AA$12,OFFSET(EVENTOS!$G$14,CRONOPLE!$A$8+1,1,1,OFFSET(CRONOPLE!$AF$12,0,-1)))/OFFSET(EVENTOS!$G$14,CRONOPLE!$A$8+1,-1)),
         SUMIFS(OFFSET(CÁLCULO!$AA$15,$F$46,1,OFFSET(ORÇAMENTO!$D$15,$F$46,0),CÁLCULO.FrentesPreenchidas),OFFSET(CÁLCULO!$AL$15,$F$46,1,OFFSET(ORÇAMENTO!$D$15,$F$46,0),CÁLCULO.FrentesPreenchidas),"&lt;="&amp;AA$12)/OFFSET(ORÇAMENTO!$X$15,$F$46,0)),
     IF(ACOMPANHAMENTO="BM",SUM(OFFSET($T$13,$F$46+2,1,1,AA$12))/OFFSET($S$13,$F$46,0),"")))</f>
        <v>#DIV/0!</v>
      </c>
      <c r="AB46" s="532" t="e">
        <f ca="1">IF($F$46="","",
  IF(ACOMPANHAMENTO="PLE",
     IF(AUTOEVENTO="Manual",
         IF(AdmLocal="Automática",
              AB41,
              SUMIF(OFFSET(CRONOPLE!$F$14,CRONOPLE!$A$8+1,1,1,OFFSET(CRONOPLE!$AF$12,0,-1)),"&lt;="&amp;AB$12,OFFSET(EVENTOS!$G$14,CRONOPLE!$A$8+1,1,1,OFFSET(CRONOPLE!$AF$12,0,-1)))/OFFSET(EVENTOS!$G$14,CRONOPLE!$A$8+1,-1)),
         SUMIFS(OFFSET(CÁLCULO!$AA$15,$F$46,1,OFFSET(ORÇAMENTO!$D$15,$F$46,0),CÁLCULO.FrentesPreenchidas),OFFSET(CÁLCULO!$AL$15,$F$46,1,OFFSET(ORÇAMENTO!$D$15,$F$46,0),CÁLCULO.FrentesPreenchidas),"&lt;="&amp;AB$12)/OFFSET(ORÇAMENTO!$X$15,$F$46,0)),
     IF(ACOMPANHAMENTO="BM",SUM(OFFSET($T$13,$F$46+2,1,1,AB$12))/OFFSET($S$13,$F$46,0),"")))</f>
        <v>#DIV/0!</v>
      </c>
      <c r="AC46" s="532" t="e">
        <f ca="1">IF($F$46="","",
  IF(ACOMPANHAMENTO="PLE",
     IF(AUTOEVENTO="Manual",
         IF(AdmLocal="Automática",
              AC41,
              SUMIF(OFFSET(CRONOPLE!$F$14,CRONOPLE!$A$8+1,1,1,OFFSET(CRONOPLE!$AF$12,0,-1)),"&lt;="&amp;AC$12,OFFSET(EVENTOS!$G$14,CRONOPLE!$A$8+1,1,1,OFFSET(CRONOPLE!$AF$12,0,-1)))/OFFSET(EVENTOS!$G$14,CRONOPLE!$A$8+1,-1)),
         SUMIFS(OFFSET(CÁLCULO!$AA$15,$F$46,1,OFFSET(ORÇAMENTO!$D$15,$F$46,0),CÁLCULO.FrentesPreenchidas),OFFSET(CÁLCULO!$AL$15,$F$46,1,OFFSET(ORÇAMENTO!$D$15,$F$46,0),CÁLCULO.FrentesPreenchidas),"&lt;="&amp;AC$12)/OFFSET(ORÇAMENTO!$X$15,$F$46,0)),
     IF(ACOMPANHAMENTO="BM",SUM(OFFSET($T$13,$F$46+2,1,1,AC$12))/OFFSET($S$13,$F$46,0),"")))</f>
        <v>#DIV/0!</v>
      </c>
      <c r="AD46" s="532" t="e">
        <f ca="1">IF($F$46="","",
  IF(ACOMPANHAMENTO="PLE",
     IF(AUTOEVENTO="Manual",
         IF(AdmLocal="Automática",
              AD41,
              SUMIF(OFFSET(CRONOPLE!$F$14,CRONOPLE!$A$8+1,1,1,OFFSET(CRONOPLE!$AF$12,0,-1)),"&lt;="&amp;AD$12,OFFSET(EVENTOS!$G$14,CRONOPLE!$A$8+1,1,1,OFFSET(CRONOPLE!$AF$12,0,-1)))/OFFSET(EVENTOS!$G$14,CRONOPLE!$A$8+1,-1)),
         SUMIFS(OFFSET(CÁLCULO!$AA$15,$F$46,1,OFFSET(ORÇAMENTO!$D$15,$F$46,0),CÁLCULO.FrentesPreenchidas),OFFSET(CÁLCULO!$AL$15,$F$46,1,OFFSET(ORÇAMENTO!$D$15,$F$46,0),CÁLCULO.FrentesPreenchidas),"&lt;="&amp;AD$12)/OFFSET(ORÇAMENTO!$X$15,$F$46,0)),
     IF(ACOMPANHAMENTO="BM",SUM(OFFSET($T$13,$F$46+2,1,1,AD$12))/OFFSET($S$13,$F$46,0),"")))</f>
        <v>#DIV/0!</v>
      </c>
      <c r="AE46" s="532" t="e">
        <f ca="1">IF($F$46="","",
  IF(ACOMPANHAMENTO="PLE",
     IF(AUTOEVENTO="Manual",
         IF(AdmLocal="Automática",
              AE41,
              SUMIF(OFFSET(CRONOPLE!$F$14,CRONOPLE!$A$8+1,1,1,OFFSET(CRONOPLE!$AF$12,0,-1)),"&lt;="&amp;AE$12,OFFSET(EVENTOS!$G$14,CRONOPLE!$A$8+1,1,1,OFFSET(CRONOPLE!$AF$12,0,-1)))/OFFSET(EVENTOS!$G$14,CRONOPLE!$A$8+1,-1)),
         SUMIFS(OFFSET(CÁLCULO!$AA$15,$F$46,1,OFFSET(ORÇAMENTO!$D$15,$F$46,0),CÁLCULO.FrentesPreenchidas),OFFSET(CÁLCULO!$AL$15,$F$46,1,OFFSET(ORÇAMENTO!$D$15,$F$46,0),CÁLCULO.FrentesPreenchidas),"&lt;="&amp;AE$12)/OFFSET(ORÇAMENTO!$X$15,$F$46,0)),
     IF(ACOMPANHAMENTO="BM",SUM(OFFSET($T$13,$F$46+2,1,1,AE$12))/OFFSET($S$13,$F$46,0),"")))</f>
        <v>#DIV/0!</v>
      </c>
      <c r="AF46" s="532" t="e">
        <f ca="1">IF($F$46="","",
  IF(ACOMPANHAMENTO="PLE",
     IF(AUTOEVENTO="Manual",
         IF(AdmLocal="Automática",
              AF41,
              SUMIF(OFFSET(CRONOPLE!$F$14,CRONOPLE!$A$8+1,1,1,OFFSET(CRONOPLE!$AF$12,0,-1)),"&lt;="&amp;AF$12,OFFSET(EVENTOS!$G$14,CRONOPLE!$A$8+1,1,1,OFFSET(CRONOPLE!$AF$12,0,-1)))/OFFSET(EVENTOS!$G$14,CRONOPLE!$A$8+1,-1)),
         SUMIFS(OFFSET(CÁLCULO!$AA$15,$F$46,1,OFFSET(ORÇAMENTO!$D$15,$F$46,0),CÁLCULO.FrentesPreenchidas),OFFSET(CÁLCULO!$AL$15,$F$46,1,OFFSET(ORÇAMENTO!$D$15,$F$46,0),CÁLCULO.FrentesPreenchidas),"&lt;="&amp;AF$12)/OFFSET(ORÇAMENTO!$X$15,$F$46,0)),
     IF(ACOMPANHAMENTO="BM",SUM(OFFSET($T$13,$F$46+2,1,1,AF$12))/OFFSET($S$13,$F$46,0),"")))</f>
        <v>#DIV/0!</v>
      </c>
      <c r="AG46" s="534"/>
    </row>
    <row r="47" spans="4:33" ht="17.100000000000001" customHeight="1" x14ac:dyDescent="0.25">
      <c r="G47" s="185" t="s">
        <v>536</v>
      </c>
      <c r="H47" s="571" t="str" cm="1">
        <f t="array" ref="H47">IF(AND(ACOMPANHAMENTO="BM",$H$46=""),"↑ Não foi indicado o Macrosserviço de Administração Local","")</f>
        <v/>
      </c>
      <c r="T47" s="583" t="str">
        <f ca="1">IF(COUNTIF(U47:AG47,"%Adm&gt;%Global")&gt;0,"Verificar proporcionalidade da Administração Local","")</f>
        <v/>
      </c>
      <c r="U47" s="535" t="e">
        <f ca="1">IF(U46="","",IF(ROUND(U46,4)&gt;ROUND(U41,4),"%Adm&gt;%Global",""))</f>
        <v>#DIV/0!</v>
      </c>
      <c r="V47" s="535" t="e">
        <f t="shared" ref="V47:AG47" ca="1" si="52">IF(V46="","",IF(ROUND(V46,4)&gt;ROUND(V41,4),"%Adm&gt;%Global",""))</f>
        <v>#DIV/0!</v>
      </c>
      <c r="W47" s="535" t="e">
        <f t="shared" ca="1" si="52"/>
        <v>#DIV/0!</v>
      </c>
      <c r="X47" s="535" t="e">
        <f t="shared" ca="1" si="52"/>
        <v>#DIV/0!</v>
      </c>
      <c r="Y47" s="535" t="e">
        <f t="shared" ca="1" si="52"/>
        <v>#DIV/0!</v>
      </c>
      <c r="Z47" s="535" t="e">
        <f t="shared" ca="1" si="52"/>
        <v>#DIV/0!</v>
      </c>
      <c r="AA47" s="535" t="e">
        <f t="shared" ca="1" si="52"/>
        <v>#DIV/0!</v>
      </c>
      <c r="AB47" s="535" t="e">
        <f t="shared" ca="1" si="52"/>
        <v>#DIV/0!</v>
      </c>
      <c r="AC47" s="535" t="e">
        <f t="shared" ca="1" si="52"/>
        <v>#DIV/0!</v>
      </c>
      <c r="AD47" s="535" t="e">
        <f t="shared" ca="1" si="52"/>
        <v>#DIV/0!</v>
      </c>
      <c r="AE47" s="535" t="e">
        <f t="shared" ca="1" si="52"/>
        <v>#DIV/0!</v>
      </c>
      <c r="AF47" s="535" t="e">
        <f t="shared" ca="1" si="52"/>
        <v>#DIV/0!</v>
      </c>
      <c r="AG47" s="535" t="str">
        <f t="shared" si="52"/>
        <v/>
      </c>
    </row>
    <row r="48" spans="4:33" ht="32.25" customHeight="1" x14ac:dyDescent="0.2">
      <c r="G48" s="185" t="s">
        <v>536</v>
      </c>
      <c r="I48" s="716" t="str">
        <f>Import.Município</f>
        <v>PASSOS MG</v>
      </c>
      <c r="J48" s="716"/>
      <c r="K48" s="716"/>
      <c r="L48" s="716"/>
      <c r="M48" s="716"/>
      <c r="N48" s="716"/>
      <c r="O48" s="716"/>
      <c r="P48" s="716"/>
      <c r="Q48" s="716"/>
      <c r="R48" s="716"/>
      <c r="S48" s="716"/>
      <c r="AA48" s="460"/>
      <c r="AB48" s="460"/>
      <c r="AC48" s="460"/>
      <c r="AD48" s="460"/>
      <c r="AE48" s="462"/>
      <c r="AF48" s="462"/>
    </row>
    <row r="49" spans="7:32" x14ac:dyDescent="0.2">
      <c r="G49" s="185" t="s">
        <v>536</v>
      </c>
      <c r="I49" s="9" t="s">
        <v>693</v>
      </c>
      <c r="J49"/>
      <c r="K49"/>
      <c r="L49"/>
      <c r="AA49" s="181" t="s">
        <v>696</v>
      </c>
      <c r="AB49" s="181"/>
      <c r="AC49" s="181"/>
      <c r="AD49" s="181"/>
      <c r="AE49" s="185"/>
      <c r="AF49" s="185"/>
    </row>
    <row r="50" spans="7:32" x14ac:dyDescent="0.2">
      <c r="G50" s="185" t="s">
        <v>536</v>
      </c>
      <c r="I50"/>
      <c r="J50"/>
      <c r="K50"/>
      <c r="L50"/>
      <c r="AA50" s="398" t="str">
        <f t="array" aca="1" ref="AA50:AA52" ca="1">OFFSET(Import.RespOrçamento,0,-1) &amp; " " &amp; Import.RespOrçamento</f>
        <v>Nome: Mateus Junior Rosa</v>
      </c>
      <c r="AC50"/>
      <c r="AD50" s="79"/>
      <c r="AE50" s="185"/>
      <c r="AF50" s="185"/>
    </row>
    <row r="51" spans="7:32" x14ac:dyDescent="0.2">
      <c r="G51" s="185" t="s">
        <v>536</v>
      </c>
      <c r="I51" s="769">
        <f>DADOS!$C$25</f>
        <v>45945</v>
      </c>
      <c r="J51" s="769"/>
      <c r="K51" s="769"/>
      <c r="L51" s="180"/>
      <c r="M51" s="245"/>
      <c r="N51" s="245"/>
      <c r="O51" s="245"/>
      <c r="P51" s="245"/>
      <c r="Q51" s="245"/>
      <c r="R51" s="245"/>
      <c r="S51" s="246"/>
      <c r="AA51" s="398" t="str">
        <f ca="1"/>
        <v>CREA/CAU: 386.526/D</v>
      </c>
      <c r="AC51" s="79"/>
      <c r="AD51" s="79"/>
      <c r="AE51" s="185"/>
      <c r="AF51" s="185"/>
    </row>
    <row r="52" spans="7:32" x14ac:dyDescent="0.2">
      <c r="G52" s="185" t="s">
        <v>536</v>
      </c>
      <c r="I52" s="9" t="s">
        <v>694</v>
      </c>
      <c r="J52"/>
      <c r="K52"/>
      <c r="L52"/>
      <c r="AA52" s="398" t="str">
        <f ca="1"/>
        <v xml:space="preserve">ART/RRT: </v>
      </c>
      <c r="AC52" s="79"/>
      <c r="AD52" s="79"/>
      <c r="AE52" s="185"/>
      <c r="AF52" s="185"/>
    </row>
  </sheetData>
  <sheetProtection algorithmName="SHA-512" hashValue="+Z/nog4jONl93pr2ZhG6U/J79muSjKyw4lgiFimh98+75gMLBEbUJwBmP/RdDEiPIDDLAjXsr0Mb2c2hcu8yZg==" saltValue="ptYfr4zSkZtP9iL4QONfhg==" spinCount="100000" sheet="1" objects="1" scenarios="1" autoFilter="0"/>
  <autoFilter ref="G13:G52" xr:uid="{00000000-0009-0000-0000-000007000000}">
    <filterColumn colId="0">
      <filters>
        <filter val="F"/>
      </filters>
    </filterColumn>
  </autoFilter>
  <mergeCells count="18">
    <mergeCell ref="T12:T13"/>
    <mergeCell ref="L8:T8"/>
    <mergeCell ref="U8:Y8"/>
    <mergeCell ref="K10:T11"/>
    <mergeCell ref="I36:K37"/>
    <mergeCell ref="H12:H13"/>
    <mergeCell ref="I12:I13"/>
    <mergeCell ref="J12:J13"/>
    <mergeCell ref="I51:K51"/>
    <mergeCell ref="I48:S48"/>
    <mergeCell ref="H46:J46"/>
    <mergeCell ref="S12:S13"/>
    <mergeCell ref="G8:G11"/>
    <mergeCell ref="I8:J8"/>
    <mergeCell ref="H7:H9"/>
    <mergeCell ref="AE4:AF4"/>
    <mergeCell ref="AE5:AF5"/>
    <mergeCell ref="Z8:AE8"/>
  </mergeCells>
  <phoneticPr fontId="38" type="noConversion"/>
  <conditionalFormatting sqref="U12:U13">
    <cfRule type="expression" dxfId="191" priority="16575" stopIfTrue="1">
      <formula>NOT(ISNUMBER(T$12))</formula>
    </cfRule>
  </conditionalFormatting>
  <conditionalFormatting sqref="E2 U2:AF2">
    <cfRule type="expression" dxfId="190" priority="16576" stopIfTrue="1">
      <formula>AND(ISNUMBER($H1),$H1&lt;&gt;0)</formula>
    </cfRule>
  </conditionalFormatting>
  <conditionalFormatting sqref="I2:S2">
    <cfRule type="expression" dxfId="189" priority="16577" stopIfTrue="1">
      <formula>$M1=2</formula>
    </cfRule>
    <cfRule type="expression" dxfId="188" priority="16578" stopIfTrue="1">
      <formula>AND($M1=1,$S1&lt;&gt;"")</formula>
    </cfRule>
  </conditionalFormatting>
  <conditionalFormatting sqref="I1:S1">
    <cfRule type="expression" dxfId="187" priority="16579" stopIfTrue="1">
      <formula>$M1=2</formula>
    </cfRule>
    <cfRule type="expression" dxfId="186" priority="16580" stopIfTrue="1">
      <formula>AND($M1=1,$S1&lt;&gt;"")</formula>
    </cfRule>
  </conditionalFormatting>
  <conditionalFormatting sqref="E36 E38 E40:E41 E43 E45 U45:AF45 U36:AF36 U38:AF38 U40:AF41 U43:AF43">
    <cfRule type="expression" dxfId="185" priority="16581" stopIfTrue="1">
      <formula>D$41=1</formula>
    </cfRule>
  </conditionalFormatting>
  <conditionalFormatting sqref="E37 E39 E42 E44 E46 U37:AF37 U39:AF39 U42:AF42 U44:AF44 U46:AF46">
    <cfRule type="expression" dxfId="184" priority="16582" stopIfTrue="1">
      <formula>D$41=1</formula>
    </cfRule>
  </conditionalFormatting>
  <conditionalFormatting sqref="AF7:AF8">
    <cfRule type="expression" dxfId="183" priority="16586" stopIfTrue="1">
      <formula>OR(TIPOORCAMENTO&lt;&gt;"Licitado",QCI.ExisteManual)</formula>
    </cfRule>
  </conditionalFormatting>
  <conditionalFormatting sqref="Z7:AE8">
    <cfRule type="expression" dxfId="182" priority="16574" stopIfTrue="1">
      <formula>QCI.ExisteManual</formula>
    </cfRule>
  </conditionalFormatting>
  <conditionalFormatting sqref="H2">
    <cfRule type="expression" dxfId="181" priority="12720">
      <formula>AND(H1&lt;&gt;0,ISNUMBER(H1))</formula>
    </cfRule>
  </conditionalFormatting>
  <conditionalFormatting sqref="E46 U46:AF46">
    <cfRule type="expression" dxfId="180" priority="12711">
      <formula>ROUND(E46,4)&gt;ROUND(E41,4)</formula>
    </cfRule>
  </conditionalFormatting>
  <conditionalFormatting sqref="H1">
    <cfRule type="expression" dxfId="179" priority="12710">
      <formula>AND(H1&lt;&gt;0,ISNUMBER(H1))</formula>
    </cfRule>
  </conditionalFormatting>
  <conditionalFormatting sqref="H46:J46">
    <cfRule type="expression" dxfId="178" priority="12709">
      <formula>$H$45=""</formula>
    </cfRule>
  </conditionalFormatting>
  <conditionalFormatting sqref="E46">
    <cfRule type="expression" dxfId="177" priority="12702" stopIfTrue="1">
      <formula>D$41=1</formula>
    </cfRule>
  </conditionalFormatting>
  <conditionalFormatting sqref="E1">
    <cfRule type="expression" dxfId="176" priority="12699" stopIfTrue="1">
      <formula>E1&lt;&gt;0</formula>
    </cfRule>
  </conditionalFormatting>
  <conditionalFormatting sqref="E2">
    <cfRule type="expression" dxfId="175" priority="12698">
      <formula>AND(_xlfn.SINGLE(ACOMPANHAMENTO)="BM",E2&gt;ROUND(E2,4))</formula>
    </cfRule>
  </conditionalFormatting>
  <conditionalFormatting sqref="E46">
    <cfRule type="expression" dxfId="174" priority="12697" stopIfTrue="1">
      <formula>D$41=1</formula>
    </cfRule>
  </conditionalFormatting>
  <conditionalFormatting sqref="U1:AF1">
    <cfRule type="expression" dxfId="173" priority="2653" stopIfTrue="1">
      <formula>U1&lt;&gt;0</formula>
    </cfRule>
  </conditionalFormatting>
  <conditionalFormatting sqref="U2:AF2">
    <cfRule type="expression" dxfId="172" priority="2652">
      <formula>AND(_xlfn.SINGLE(ACOMPANHAMENTO)="BM",U2&gt;ROUND(U2,4))</formula>
    </cfRule>
  </conditionalFormatting>
  <conditionalFormatting sqref="E15 E18 E21 U15:AF15 U18:AF18 U21:AF21">
    <cfRule type="expression" dxfId="171" priority="183" stopIfTrue="1">
      <formula>AND(ISNUMBER($H14),$H14&lt;&gt;0)</formula>
    </cfRule>
  </conditionalFormatting>
  <conditionalFormatting sqref="I15:S15 I18:S18 I21:S21">
    <cfRule type="expression" dxfId="170" priority="184" stopIfTrue="1">
      <formula>$M14=2</formula>
    </cfRule>
    <cfRule type="expression" dxfId="169" priority="185" stopIfTrue="1">
      <formula>AND($M14=1,$S14&lt;&gt;"")</formula>
    </cfRule>
  </conditionalFormatting>
  <conditionalFormatting sqref="I14:S14 I17:S17 I20:S20">
    <cfRule type="expression" dxfId="168" priority="186" stopIfTrue="1">
      <formula>$M14=2</formula>
    </cfRule>
    <cfRule type="expression" dxfId="167" priority="187" stopIfTrue="1">
      <formula>AND($M14=1,$S14&lt;&gt;"")</formula>
    </cfRule>
  </conditionalFormatting>
  <conditionalFormatting sqref="H15 H18 H21">
    <cfRule type="expression" dxfId="166" priority="182">
      <formula>AND(H14&lt;&gt;0,ISNUMBER(H14))</formula>
    </cfRule>
  </conditionalFormatting>
  <conditionalFormatting sqref="H14 H17 H20">
    <cfRule type="expression" dxfId="165" priority="181">
      <formula>AND(H14&lt;&gt;0,ISNUMBER(H14))</formula>
    </cfRule>
  </conditionalFormatting>
  <conditionalFormatting sqref="E14 E17 E20">
    <cfRule type="expression" dxfId="164" priority="180" stopIfTrue="1">
      <formula>E14&lt;&gt;0</formula>
    </cfRule>
  </conditionalFormatting>
  <conditionalFormatting sqref="E15 E18 E21">
    <cfRule type="expression" dxfId="163" priority="179">
      <formula>AND(_xlfn.SINGLE(ACOMPANHAMENTO)="BM",E15&gt;ROUND(E15,4))</formula>
    </cfRule>
  </conditionalFormatting>
  <conditionalFormatting sqref="U14:AF14 U17:AF17 U20:AF20">
    <cfRule type="expression" dxfId="162" priority="178" stopIfTrue="1">
      <formula>U14&lt;&gt;0</formula>
    </cfRule>
  </conditionalFormatting>
  <conditionalFormatting sqref="U15:AF15 U18:AF18 U21:AF21">
    <cfRule type="expression" dxfId="161" priority="177">
      <formula>AND(_xlfn.SINGLE(ACOMPANHAMENTO)="BM",U15&gt;ROUND(U15,4))</formula>
    </cfRule>
  </conditionalFormatting>
  <conditionalFormatting sqref="E24 E27 E30 U24:AF24 U27:AF27 U30:AF30">
    <cfRule type="expression" dxfId="160" priority="172" stopIfTrue="1">
      <formula>AND(ISNUMBER($H23),$H23&lt;&gt;0)</formula>
    </cfRule>
  </conditionalFormatting>
  <conditionalFormatting sqref="I24:S24 I27:S27 I30:S30">
    <cfRule type="expression" dxfId="159" priority="173" stopIfTrue="1">
      <formula>$M23=2</formula>
    </cfRule>
    <cfRule type="expression" dxfId="158" priority="174" stopIfTrue="1">
      <formula>AND($M23=1,$S23&lt;&gt;"")</formula>
    </cfRule>
  </conditionalFormatting>
  <conditionalFormatting sqref="I23:S23 I26:S26 I29:S29">
    <cfRule type="expression" dxfId="157" priority="175" stopIfTrue="1">
      <formula>$M23=2</formula>
    </cfRule>
    <cfRule type="expression" dxfId="156" priority="176" stopIfTrue="1">
      <formula>AND($M23=1,$S23&lt;&gt;"")</formula>
    </cfRule>
  </conditionalFormatting>
  <conditionalFormatting sqref="H24 H27 H30">
    <cfRule type="expression" dxfId="155" priority="171">
      <formula>AND(H23&lt;&gt;0,ISNUMBER(H23))</formula>
    </cfRule>
  </conditionalFormatting>
  <conditionalFormatting sqref="H23 H26 H29">
    <cfRule type="expression" dxfId="154" priority="170">
      <formula>AND(H23&lt;&gt;0,ISNUMBER(H23))</formula>
    </cfRule>
  </conditionalFormatting>
  <conditionalFormatting sqref="E23 E26 E29">
    <cfRule type="expression" dxfId="153" priority="169" stopIfTrue="1">
      <formula>E23&lt;&gt;0</formula>
    </cfRule>
  </conditionalFormatting>
  <conditionalFormatting sqref="E24 E27 E30">
    <cfRule type="expression" dxfId="152" priority="168">
      <formula>AND(_xlfn.SINGLE(ACOMPANHAMENTO)="BM",E24&gt;ROUND(E24,4))</formula>
    </cfRule>
  </conditionalFormatting>
  <conditionalFormatting sqref="U23:AF23 U26:AF26 U29:AF29">
    <cfRule type="expression" dxfId="151" priority="167" stopIfTrue="1">
      <formula>U23&lt;&gt;0</formula>
    </cfRule>
  </conditionalFormatting>
  <conditionalFormatting sqref="U24:AF24 U27:AF27 U30:AF30">
    <cfRule type="expression" dxfId="150" priority="166">
      <formula>AND(_xlfn.SINGLE(ACOMPANHAMENTO)="BM",U24&gt;ROUND(U24,4))</formula>
    </cfRule>
  </conditionalFormatting>
  <conditionalFormatting sqref="E33 U33:AF33">
    <cfRule type="expression" dxfId="149" priority="161" stopIfTrue="1">
      <formula>AND(ISNUMBER($H32),$H32&lt;&gt;0)</formula>
    </cfRule>
  </conditionalFormatting>
  <conditionalFormatting sqref="I33:S33">
    <cfRule type="expression" dxfId="148" priority="162" stopIfTrue="1">
      <formula>$M32=2</formula>
    </cfRule>
    <cfRule type="expression" dxfId="147" priority="163" stopIfTrue="1">
      <formula>AND($M32=1,$S32&lt;&gt;"")</formula>
    </cfRule>
  </conditionalFormatting>
  <conditionalFormatting sqref="I32:S32">
    <cfRule type="expression" dxfId="146" priority="164" stopIfTrue="1">
      <formula>$M32=2</formula>
    </cfRule>
    <cfRule type="expression" dxfId="145" priority="165" stopIfTrue="1">
      <formula>AND($M32=1,$S32&lt;&gt;"")</formula>
    </cfRule>
  </conditionalFormatting>
  <conditionalFormatting sqref="H33">
    <cfRule type="expression" dxfId="144" priority="160">
      <formula>AND(H32&lt;&gt;0,ISNUMBER(H32))</formula>
    </cfRule>
  </conditionalFormatting>
  <conditionalFormatting sqref="H32">
    <cfRule type="expression" dxfId="143" priority="159">
      <formula>AND(H32&lt;&gt;0,ISNUMBER(H32))</formula>
    </cfRule>
  </conditionalFormatting>
  <conditionalFormatting sqref="E32">
    <cfRule type="expression" dxfId="142" priority="158" stopIfTrue="1">
      <formula>E32&lt;&gt;0</formula>
    </cfRule>
  </conditionalFormatting>
  <conditionalFormatting sqref="E33">
    <cfRule type="expression" dxfId="141" priority="157">
      <formula>AND(_xlfn.SINGLE(ACOMPANHAMENTO)="BM",E33&gt;ROUND(E33,4))</formula>
    </cfRule>
  </conditionalFormatting>
  <conditionalFormatting sqref="U32:AF32">
    <cfRule type="expression" dxfId="140" priority="156" stopIfTrue="1">
      <formula>U32&lt;&gt;0</formula>
    </cfRule>
  </conditionalFormatting>
  <conditionalFormatting sqref="U33:AF33">
    <cfRule type="expression" dxfId="139" priority="155">
      <formula>AND(_xlfn.SINGLE(ACOMPANHAMENTO)="BM",U33&gt;ROUND(U33,4))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U32:AF32"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U33:AG33"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6:J46"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J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980</v>
      </c>
      <c r="F1" s="272" t="s">
        <v>805</v>
      </c>
      <c r="I1" s="8"/>
      <c r="J1" s="8"/>
      <c r="O1" s="492" t="s">
        <v>757</v>
      </c>
      <c r="P1" s="86"/>
    </row>
    <row r="2" spans="1:31" x14ac:dyDescent="0.2">
      <c r="A2" t="s">
        <v>975</v>
      </c>
      <c r="Z2" t="s">
        <v>806</v>
      </c>
      <c r="AA2" s="88" t="s">
        <v>807</v>
      </c>
      <c r="AB2" s="77"/>
    </row>
    <row r="3" spans="1:31" x14ac:dyDescent="0.2">
      <c r="A3" t="s">
        <v>976</v>
      </c>
      <c r="D3" s="683" t="s">
        <v>650</v>
      </c>
      <c r="E3" s="683"/>
      <c r="F3" s="87" t="s">
        <v>707</v>
      </c>
      <c r="G3" s="683" t="s">
        <v>652</v>
      </c>
      <c r="H3" s="683"/>
      <c r="I3" s="683"/>
      <c r="J3" s="776" t="s">
        <v>808</v>
      </c>
      <c r="K3" s="776"/>
      <c r="L3" s="776"/>
      <c r="M3" s="777" t="s">
        <v>809</v>
      </c>
      <c r="N3" s="777"/>
      <c r="O3" s="777"/>
      <c r="Z3" s="102">
        <f ca="1">MAX(Z7:AB7)</f>
        <v>0</v>
      </c>
      <c r="AA3" s="273" cm="1">
        <f t="array" aca="1" ref="AA3" ca="1">IF(OR($O$24=ORÇAMENTO.SumINVMANUAL+QCI.SumINVMANUAL,$O$24=0),0,MIN(MAX(0,($Z$3*$O$24-ORÇAMENTO.SumCPMANUAL-QCI.SumCPMANUAL)/($O$24-ORÇAMENTO.SumINVMANUAL-QCI.SumINVMANUAL)),1))</f>
        <v>0</v>
      </c>
      <c r="AB3" s="92"/>
    </row>
    <row r="4" spans="1:31" x14ac:dyDescent="0.2">
      <c r="A4" t="s">
        <v>977</v>
      </c>
      <c r="D4" s="680">
        <f>Import.CR</f>
        <v>0</v>
      </c>
      <c r="E4" s="680"/>
      <c r="F4" s="56">
        <f>Import.TransfereGOV</f>
        <v>0</v>
      </c>
      <c r="G4" s="680" t="str">
        <f>Import.Proponente</f>
        <v>PRFEITURA MUNICIPAL DE PASSOS</v>
      </c>
      <c r="H4" s="680"/>
      <c r="I4" s="680"/>
      <c r="J4" s="778" t="str">
        <f>Import.Município</f>
        <v>PASSOS MG</v>
      </c>
      <c r="K4" s="778"/>
      <c r="L4" s="778"/>
      <c r="M4" s="777"/>
      <c r="N4" s="777"/>
      <c r="O4" s="777"/>
      <c r="R4" s="129"/>
      <c r="Z4" s="92"/>
      <c r="AA4" s="92"/>
      <c r="AB4" s="92"/>
    </row>
    <row r="5" spans="1:31" ht="5.0999999999999996" customHeight="1" x14ac:dyDescent="0.2">
      <c r="A5" t="s">
        <v>978</v>
      </c>
      <c r="M5" s="265"/>
      <c r="O5" s="4"/>
    </row>
    <row r="6" spans="1:31" x14ac:dyDescent="0.2">
      <c r="A6" t="s">
        <v>979</v>
      </c>
      <c r="D6" s="683" t="s">
        <v>708</v>
      </c>
      <c r="E6" s="683"/>
      <c r="F6" s="683"/>
      <c r="G6" s="683"/>
      <c r="H6" s="683"/>
      <c r="I6" s="683"/>
      <c r="J6" s="683"/>
      <c r="K6" s="683"/>
      <c r="L6" s="274" t="s">
        <v>715</v>
      </c>
      <c r="M6" s="87" t="str">
        <f>IF(import.recurso="FGTS","FINANCIAMENTO","REPASSE")</f>
        <v>REPASSE</v>
      </c>
      <c r="N6" s="87" t="s">
        <v>810</v>
      </c>
      <c r="O6" s="87" t="s">
        <v>811</v>
      </c>
      <c r="Z6" t="s">
        <v>812</v>
      </c>
      <c r="AA6" t="s">
        <v>813</v>
      </c>
      <c r="AB6" t="s">
        <v>814</v>
      </c>
    </row>
    <row r="7" spans="1:31" ht="12.75" customHeight="1" x14ac:dyDescent="0.2">
      <c r="A7" s="658" t="s">
        <v>982</v>
      </c>
      <c r="C7" s="709" t="s">
        <v>655</v>
      </c>
      <c r="D7" s="680" t="str">
        <f>Import.Apelido</f>
        <v>PRAÇA SÃO FRANCISCO</v>
      </c>
      <c r="E7" s="680"/>
      <c r="F7" s="680"/>
      <c r="G7" s="680"/>
      <c r="H7" s="680"/>
      <c r="I7" s="680"/>
      <c r="J7" s="680"/>
      <c r="K7" s="680"/>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0</v>
      </c>
    </row>
    <row r="8" spans="1:31" x14ac:dyDescent="0.2">
      <c r="A8" t="s">
        <v>819</v>
      </c>
      <c r="C8" s="709"/>
      <c r="D8" s="92"/>
      <c r="E8" s="92"/>
      <c r="F8" s="277"/>
      <c r="G8" s="92"/>
      <c r="H8" s="92"/>
      <c r="I8" s="92"/>
      <c r="J8" s="92"/>
      <c r="K8" s="92"/>
      <c r="L8" s="92"/>
      <c r="M8" s="92"/>
      <c r="N8" s="92"/>
      <c r="O8" s="92"/>
    </row>
    <row r="9" spans="1:31" ht="12.75" customHeight="1" x14ac:dyDescent="0.2">
      <c r="A9" t="s">
        <v>981</v>
      </c>
      <c r="C9" s="709"/>
      <c r="G9" s="782"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IF(OFFSET($A$24,-1,0)&lt;OFFSET(ORÇAMENTO!$E$47,-1,0),"ERRO: NÚMERO DE LINHAS DO QCI INSUFICIENTE. CLIQUE NO BOTÃO ADICIONAR LINHAS",
  "")))))))</f>
        <v/>
      </c>
      <c r="H9" s="782"/>
      <c r="I9" s="512"/>
      <c r="J9" s="511"/>
      <c r="K9" s="781" t="s">
        <v>815</v>
      </c>
      <c r="L9" s="278" t="str">
        <f>$L$13</f>
        <v>Repasse (R$)</v>
      </c>
      <c r="M9" s="278" t="s">
        <v>741</v>
      </c>
      <c r="AD9" s="779"/>
      <c r="AE9" s="779"/>
    </row>
    <row r="10" spans="1:31" ht="12.75" customHeight="1" x14ac:dyDescent="0.2">
      <c r="A10" s="783" t="s">
        <v>816</v>
      </c>
      <c r="C10" s="709"/>
      <c r="G10" s="782"/>
      <c r="H10" s="782"/>
      <c r="I10" s="512"/>
      <c r="J10" s="511"/>
      <c r="K10" s="781"/>
      <c r="L10" s="279">
        <f ca="1">Import.Repasse-L24</f>
        <v>0</v>
      </c>
      <c r="M10" s="280">
        <f ca="1">Import.Contrapartida-M24</f>
        <v>0</v>
      </c>
      <c r="Z10" s="723" t="s">
        <v>721</v>
      </c>
      <c r="AA10" s="723"/>
      <c r="AB10" s="723"/>
      <c r="AD10" s="779" t="s">
        <v>817</v>
      </c>
      <c r="AE10" s="779"/>
    </row>
    <row r="11" spans="1:31" ht="20.100000000000001" customHeight="1" x14ac:dyDescent="0.25">
      <c r="A11" s="783"/>
      <c r="C11" s="709"/>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IF(NOT(ISBLANK(QCI.DescManual)),IF(QCI.Divisao="Calculado","Manual","SemiAuto"),IF(ISERROR(MATCH($A12,ORÇAMENTO!$E$15:$E$47,0)),"Branco","Automático"))</f>
        <v>Branco</v>
      </c>
      <c r="C12" t="str">
        <f ca="1">IF(O12&gt;0,"F","")</f>
        <v/>
      </c>
      <c r="D12" s="281">
        <f>ROW()-ROW($D$13)</f>
        <v>-1</v>
      </c>
      <c r="E12" s="118"/>
      <c r="F12" s="118"/>
      <c r="G12" s="163" t="str">
        <f ca="1">IF(OR($B12="Manual",$B12="SemiAuto"),QCI.DescManual,IF($B12="Automático",INDEX(ORÇAMENTO!$R$15:$R$47,MATCH($A12,ORÇAMENTO!$E$15:$E$47,0)),""))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IF($B12="Branco",0,IF(OR($B12="Manual",$B12="SemiAuto"),QCI.InvManual,INDEX(ORÇAMENTO!X$15:X$47,MATCH($A12,ORÇAMENTO!$E$15:$E$47,0))))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IF($B12="Branco",0,IF($B12="Manual",QCI.CPManual,IF($B12="SemiAuto",ROUND(QCI!$AA$3*QCI.InvManual,2),INDEX(ORÇAMENTO!$AA$15:$AA$47,MATCH($A12,ORÇAMENTO!$E$15:$E$47,0)))))</f>
        <v>0</v>
      </c>
      <c r="AB12" cm="1">
        <f t="array" aca="1" ref="AB12" ca="1">IF($B12="Branco",0,IF($B12="Manual",QCI.OutrosManual,IF($B12="SemiAuto",0,INDEX(ORÇAMENTO!$AB$15:$AB$47,MATCH($A12,ORÇAMENTO!$E$15:$E$47,0)))))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IF(NOT(ISBLANK(QCI.DescManual)),IF(QCI.Divisao="Calculado","Manual","SemiAuto"),IF(ISERROR(MATCH($A14,ORÇAMENTO!$E$15:$E$47,0)),"Branco","Automático"))</f>
        <v>Automático</v>
      </c>
      <c r="C14" t="str">
        <f t="shared" ref="C14:C22" ca="1" si="1">IF(O14&gt;0,"F","")</f>
        <v/>
      </c>
      <c r="D14" s="281">
        <f t="shared" ref="D14:D22" si="2">ROW()-ROW($D$13)</f>
        <v>1</v>
      </c>
      <c r="E14" s="118"/>
      <c r="F14" s="118"/>
      <c r="G14" s="163" t="str">
        <f ca="1">IF(OR($B14="Manual",$B14="SemiAuto"),QCI.DescManual,IF($B14="Automático",INDEX(ORÇAMENTO!$R$15:$R$47,MATCH($A14,ORÇAMENTO!$E$15:$E$47,0)),""))</f>
        <v>REFORMA PRAÇA SÃO FRANCISCO</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0</v>
      </c>
      <c r="N14" s="285">
        <f t="shared" ref="N14:N22" ca="1" si="5">ROUND($AB14,2)</f>
        <v>0</v>
      </c>
      <c r="O14" s="286" cm="1">
        <f t="array" aca="1" ref="O14" ca="1">IF($B14="Branco",0,IF(OR($B14="Manual",$B14="SemiAuto"),QCI.InvManual,INDEX(ORÇAMENTO!X$15:X$47,MATCH($A14,ORÇAMENTO!$E$15:$E$47,0))))</f>
        <v>0</v>
      </c>
      <c r="P14" s="577" t="str">
        <f t="shared" ref="P14:P22" ca="1" si="6">IF(O14=0,"",
  IF(E14="","ITEM",
  IF(F14="","SUBITEM",
  IF(H14="","SITUAÇÃO",
  IF(I14=0,"QUANT.","")))))</f>
        <v/>
      </c>
      <c r="R14" s="465"/>
      <c r="S14" s="578" t="str">
        <f t="shared" ref="S14:S22" si="7">IF(R14="","",
  IF(T14=0,"► LOTE",
  IF(U14=0,"► INVEST",
  IF(V14=0,"► DIV",
  IF(AND(V14="Calculado",W14=""),"► CP",
  IF(AND(V14="Calculado",X14=""),"► OU",""))))))</f>
        <v/>
      </c>
      <c r="T14" s="466"/>
      <c r="U14" s="579"/>
      <c r="V14" s="467" t="s">
        <v>819</v>
      </c>
      <c r="W14" s="580"/>
      <c r="X14" s="581"/>
      <c r="Z14">
        <f t="shared" ref="Z14:Z22" ca="1" si="8">$O14-$AA14-$AB14</f>
        <v>0</v>
      </c>
      <c r="AA14" cm="1">
        <f t="array" aca="1" ref="AA14" ca="1">IF($B14="Branco",0,IF($B14="Manual",QCI.CPManual,IF($B14="SemiAuto",ROUND(QCI!$AA$3*QCI.InvManual,2),INDEX(ORÇAMENTO!$AA$15:$AA$47,MATCH($A14,ORÇAMENTO!$E$15:$E$47,0)))))</f>
        <v>0</v>
      </c>
      <c r="AB14" cm="1">
        <f t="array" aca="1" ref="AB14" ca="1">IF($B14="Branco",0,IF($B14="Manual",QCI.OutrosManual,IF($B14="SemiAuto",0,INDEX(ORÇAMENTO!$AB$15:$AB$47,MATCH($A14,ORÇAMENTO!$E$15:$E$47,0)))))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IF(NOT(ISBLANK(QCI.DescManual)),IF(QCI.Divisao="Calculado","Manual","SemiAuto"),IF(ISERROR(MATCH($A15,ORÇAMENTO!$E$15:$E$47,0)),"Branco","Automático"))</f>
        <v>Branco</v>
      </c>
      <c r="C15" t="str">
        <f t="shared" ca="1" si="1"/>
        <v/>
      </c>
      <c r="D15" s="281">
        <f t="shared" si="2"/>
        <v>2</v>
      </c>
      <c r="E15" s="118"/>
      <c r="F15" s="118"/>
      <c r="G15" s="163" t="str">
        <f ca="1">IF(OR($B15="Manual",$B15="SemiAuto"),QCI.DescManual,IF($B15="Automático",INDEX(ORÇAMENTO!$R$15:$R$47,MATCH($A15,ORÇAMENTO!$E$15:$E$47,0)),""))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IF($B15="Branco",0,IF(OR($B15="Manual",$B15="SemiAuto"),QCI.InvManual,INDEX(ORÇAMENTO!X$15:X$47,MATCH($A15,ORÇAMENTO!$E$15:$E$47,0))))</f>
        <v>0</v>
      </c>
      <c r="P15" s="577" t="str">
        <f t="shared" ca="1" si="6"/>
        <v/>
      </c>
      <c r="R15" s="465"/>
      <c r="S15" s="578" t="str">
        <f t="shared" si="7"/>
        <v/>
      </c>
      <c r="T15" s="466"/>
      <c r="U15" s="579"/>
      <c r="V15" s="467" t="s">
        <v>819</v>
      </c>
      <c r="W15" s="580"/>
      <c r="X15" s="581"/>
      <c r="Z15">
        <f t="shared" ca="1" si="8"/>
        <v>0</v>
      </c>
      <c r="AA15" cm="1">
        <f t="array" aca="1" ref="AA15" ca="1">IF($B15="Branco",0,IF($B15="Manual",QCI.CPManual,IF($B15="SemiAuto",ROUND(QCI!$AA$3*QCI.InvManual,2),INDEX(ORÇAMENTO!$AA$15:$AA$47,MATCH($A15,ORÇAMENTO!$E$15:$E$47,0)))))</f>
        <v>0</v>
      </c>
      <c r="AB15" cm="1">
        <f t="array" aca="1" ref="AB15" ca="1">IF($B15="Branco",0,IF($B15="Manual",QCI.OutrosManual,IF($B15="SemiAuto",0,INDEX(ORÇAMENTO!$AB$15:$AB$47,MATCH($A15,ORÇAMENTO!$E$15:$E$47,0)))))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IF(NOT(ISBLANK(QCI.DescManual)),IF(QCI.Divisao="Calculado","Manual","SemiAuto"),IF(ISERROR(MATCH($A16,ORÇAMENTO!$E$15:$E$47,0)),"Branco","Automático"))</f>
        <v>Branco</v>
      </c>
      <c r="C16" t="str">
        <f t="shared" ca="1" si="1"/>
        <v/>
      </c>
      <c r="D16" s="281">
        <f t="shared" si="2"/>
        <v>3</v>
      </c>
      <c r="E16" s="118"/>
      <c r="F16" s="118"/>
      <c r="G16" s="163" t="str">
        <f ca="1">IF(OR($B16="Manual",$B16="SemiAuto"),QCI.DescManual,IF($B16="Automático",INDEX(ORÇAMENTO!$R$15:$R$47,MATCH($A16,ORÇAMENTO!$E$15:$E$47,0)),""))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IF($B16="Branco",0,IF(OR($B16="Manual",$B16="SemiAuto"),QCI.InvManual,INDEX(ORÇAMENTO!X$15:X$47,MATCH($A16,ORÇAMENTO!$E$15:$E$47,0))))</f>
        <v>0</v>
      </c>
      <c r="P16" s="577" t="str">
        <f t="shared" ca="1" si="6"/>
        <v/>
      </c>
      <c r="R16" s="465"/>
      <c r="S16" s="578" t="str">
        <f t="shared" si="7"/>
        <v/>
      </c>
      <c r="T16" s="466"/>
      <c r="U16" s="579"/>
      <c r="V16" s="467" t="s">
        <v>819</v>
      </c>
      <c r="W16" s="580"/>
      <c r="X16" s="581"/>
      <c r="Z16">
        <f t="shared" ca="1" si="8"/>
        <v>0</v>
      </c>
      <c r="AA16" cm="1">
        <f t="array" aca="1" ref="AA16" ca="1">IF($B16="Branco",0,IF($B16="Manual",QCI.CPManual,IF($B16="SemiAuto",ROUND(QCI!$AA$3*QCI.InvManual,2),INDEX(ORÇAMENTO!$AA$15:$AA$47,MATCH($A16,ORÇAMENTO!$E$15:$E$47,0)))))</f>
        <v>0</v>
      </c>
      <c r="AB16" cm="1">
        <f t="array" aca="1" ref="AB16" ca="1">IF($B16="Branco",0,IF($B16="Manual",QCI.OutrosManual,IF($B16="SemiAuto",0,INDEX(ORÇAMENTO!$AB$15:$AB$47,MATCH($A16,ORÇAMENTO!$E$15:$E$47,0)))))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IF(NOT(ISBLANK(QCI.DescManual)),IF(QCI.Divisao="Calculado","Manual","SemiAuto"),IF(ISERROR(MATCH($A17,ORÇAMENTO!$E$15:$E$47,0)),"Branco","Automático"))</f>
        <v>Branco</v>
      </c>
      <c r="C17" t="str">
        <f t="shared" ca="1" si="1"/>
        <v/>
      </c>
      <c r="D17" s="281">
        <f t="shared" si="2"/>
        <v>4</v>
      </c>
      <c r="E17" s="118"/>
      <c r="F17" s="118"/>
      <c r="G17" s="163" t="str">
        <f ca="1">IF(OR($B17="Manual",$B17="SemiAuto"),QCI.DescManual,IF($B17="Automático",INDEX(ORÇAMENTO!$R$15:$R$47,MATCH($A17,ORÇAMENTO!$E$15:$E$47,0)),""))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IF($B17="Branco",0,IF(OR($B17="Manual",$B17="SemiAuto"),QCI.InvManual,INDEX(ORÇAMENTO!X$15:X$47,MATCH($A17,ORÇAMENTO!$E$15:$E$47,0))))</f>
        <v>0</v>
      </c>
      <c r="P17" s="577" t="str">
        <f t="shared" ca="1" si="6"/>
        <v/>
      </c>
      <c r="R17" s="465"/>
      <c r="S17" s="578" t="str">
        <f t="shared" si="7"/>
        <v/>
      </c>
      <c r="T17" s="466"/>
      <c r="U17" s="579"/>
      <c r="V17" s="467" t="s">
        <v>819</v>
      </c>
      <c r="W17" s="580"/>
      <c r="X17" s="581"/>
      <c r="Z17">
        <f t="shared" ca="1" si="8"/>
        <v>0</v>
      </c>
      <c r="AA17" cm="1">
        <f t="array" aca="1" ref="AA17" ca="1">IF($B17="Branco",0,IF($B17="Manual",QCI.CPManual,IF($B17="SemiAuto",ROUND(QCI!$AA$3*QCI.InvManual,2),INDEX(ORÇAMENTO!$AA$15:$AA$47,MATCH($A17,ORÇAMENTO!$E$15:$E$47,0)))))</f>
        <v>0</v>
      </c>
      <c r="AB17" cm="1">
        <f t="array" aca="1" ref="AB17" ca="1">IF($B17="Branco",0,IF($B17="Manual",QCI.OutrosManual,IF($B17="SemiAuto",0,INDEX(ORÇAMENTO!$AB$15:$AB$47,MATCH($A17,ORÇAMENTO!$E$15:$E$47,0)))))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IF(NOT(ISBLANK(QCI.DescManual)),IF(QCI.Divisao="Calculado","Manual","SemiAuto"),IF(ISERROR(MATCH($A18,ORÇAMENTO!$E$15:$E$47,0)),"Branco","Automático"))</f>
        <v>Branco</v>
      </c>
      <c r="C18" t="str">
        <f t="shared" ca="1" si="1"/>
        <v/>
      </c>
      <c r="D18" s="281">
        <f t="shared" si="2"/>
        <v>5</v>
      </c>
      <c r="E18" s="118"/>
      <c r="F18" s="118"/>
      <c r="G18" s="163" t="str">
        <f ca="1">IF(OR($B18="Manual",$B18="SemiAuto"),QCI.DescManual,IF($B18="Automático",INDEX(ORÇAMENTO!$R$15:$R$47,MATCH($A18,ORÇAMENTO!$E$15:$E$47,0)),""))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IF($B18="Branco",0,IF(OR($B18="Manual",$B18="SemiAuto"),QCI.InvManual,INDEX(ORÇAMENTO!X$15:X$47,MATCH($A18,ORÇAMENTO!$E$15:$E$47,0))))</f>
        <v>0</v>
      </c>
      <c r="P18" s="577" t="str">
        <f t="shared" ca="1" si="6"/>
        <v/>
      </c>
      <c r="R18" s="465"/>
      <c r="S18" s="578" t="str">
        <f t="shared" si="7"/>
        <v/>
      </c>
      <c r="T18" s="466"/>
      <c r="U18" s="579"/>
      <c r="V18" s="467" t="s">
        <v>819</v>
      </c>
      <c r="W18" s="580"/>
      <c r="X18" s="581"/>
      <c r="Z18">
        <f t="shared" ca="1" si="8"/>
        <v>0</v>
      </c>
      <c r="AA18" cm="1">
        <f t="array" aca="1" ref="AA18" ca="1">IF($B18="Branco",0,IF($B18="Manual",QCI.CPManual,IF($B18="SemiAuto",ROUND(QCI!$AA$3*QCI.InvManual,2),INDEX(ORÇAMENTO!$AA$15:$AA$47,MATCH($A18,ORÇAMENTO!$E$15:$E$47,0)))))</f>
        <v>0</v>
      </c>
      <c r="AB18" cm="1">
        <f t="array" aca="1" ref="AB18" ca="1">IF($B18="Branco",0,IF($B18="Manual",QCI.OutrosManual,IF($B18="SemiAuto",0,INDEX(ORÇAMENTO!$AB$15:$AB$47,MATCH($A18,ORÇAMENTO!$E$15:$E$47,0)))))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IF(NOT(ISBLANK(QCI.DescManual)),IF(QCI.Divisao="Calculado","Manual","SemiAuto"),IF(ISERROR(MATCH($A19,ORÇAMENTO!$E$15:$E$47,0)),"Branco","Automático"))</f>
        <v>Branco</v>
      </c>
      <c r="C19" t="str">
        <f t="shared" ca="1" si="1"/>
        <v/>
      </c>
      <c r="D19" s="281">
        <f t="shared" si="2"/>
        <v>6</v>
      </c>
      <c r="E19" s="118"/>
      <c r="F19" s="118"/>
      <c r="G19" s="163" t="str">
        <f ca="1">IF(OR($B19="Manual",$B19="SemiAuto"),QCI.DescManual,IF($B19="Automático",INDEX(ORÇAMENTO!$R$15:$R$47,MATCH($A19,ORÇAMENTO!$E$15:$E$47,0)),""))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IF($B19="Branco",0,IF(OR($B19="Manual",$B19="SemiAuto"),QCI.InvManual,INDEX(ORÇAMENTO!X$15:X$47,MATCH($A19,ORÇAMENTO!$E$15:$E$47,0))))</f>
        <v>0</v>
      </c>
      <c r="P19" s="577" t="str">
        <f t="shared" ca="1" si="6"/>
        <v/>
      </c>
      <c r="R19" s="465"/>
      <c r="S19" s="578" t="str">
        <f t="shared" si="7"/>
        <v/>
      </c>
      <c r="T19" s="466"/>
      <c r="U19" s="579"/>
      <c r="V19" s="467" t="s">
        <v>819</v>
      </c>
      <c r="W19" s="580"/>
      <c r="X19" s="581"/>
      <c r="Z19">
        <f t="shared" ca="1" si="8"/>
        <v>0</v>
      </c>
      <c r="AA19" cm="1">
        <f t="array" aca="1" ref="AA19" ca="1">IF($B19="Branco",0,IF($B19="Manual",QCI.CPManual,IF($B19="SemiAuto",ROUND(QCI!$AA$3*QCI.InvManual,2),INDEX(ORÇAMENTO!$AA$15:$AA$47,MATCH($A19,ORÇAMENTO!$E$15:$E$47,0)))))</f>
        <v>0</v>
      </c>
      <c r="AB19" cm="1">
        <f t="array" aca="1" ref="AB19" ca="1">IF($B19="Branco",0,IF($B19="Manual",QCI.OutrosManual,IF($B19="SemiAuto",0,INDEX(ORÇAMENTO!$AB$15:$AB$47,MATCH($A19,ORÇAMENTO!$E$15:$E$47,0)))))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IF(NOT(ISBLANK(QCI.DescManual)),IF(QCI.Divisao="Calculado","Manual","SemiAuto"),IF(ISERROR(MATCH($A20,ORÇAMENTO!$E$15:$E$47,0)),"Branco","Automático"))</f>
        <v>Branco</v>
      </c>
      <c r="C20" t="str">
        <f t="shared" ca="1" si="1"/>
        <v/>
      </c>
      <c r="D20" s="281">
        <f t="shared" si="2"/>
        <v>7</v>
      </c>
      <c r="E20" s="118"/>
      <c r="F20" s="118"/>
      <c r="G20" s="163" t="str">
        <f ca="1">IF(OR($B20="Manual",$B20="SemiAuto"),QCI.DescManual,IF($B20="Automático",INDEX(ORÇAMENTO!$R$15:$R$47,MATCH($A20,ORÇAMENTO!$E$15:$E$47,0)),""))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IF($B20="Branco",0,IF(OR($B20="Manual",$B20="SemiAuto"),QCI.InvManual,INDEX(ORÇAMENTO!X$15:X$47,MATCH($A20,ORÇAMENTO!$E$15:$E$47,0))))</f>
        <v>0</v>
      </c>
      <c r="P20" s="577" t="str">
        <f t="shared" ca="1" si="6"/>
        <v/>
      </c>
      <c r="R20" s="465"/>
      <c r="S20" s="578" t="str">
        <f t="shared" si="7"/>
        <v/>
      </c>
      <c r="T20" s="466"/>
      <c r="U20" s="579"/>
      <c r="V20" s="467" t="s">
        <v>819</v>
      </c>
      <c r="W20" s="580"/>
      <c r="X20" s="581"/>
      <c r="Z20">
        <f t="shared" ca="1" si="8"/>
        <v>0</v>
      </c>
      <c r="AA20" cm="1">
        <f t="array" aca="1" ref="AA20" ca="1">IF($B20="Branco",0,IF($B20="Manual",QCI.CPManual,IF($B20="SemiAuto",ROUND(QCI!$AA$3*QCI.InvManual,2),INDEX(ORÇAMENTO!$AA$15:$AA$47,MATCH($A20,ORÇAMENTO!$E$15:$E$47,0)))))</f>
        <v>0</v>
      </c>
      <c r="AB20" cm="1">
        <f t="array" aca="1" ref="AB20" ca="1">IF($B20="Branco",0,IF($B20="Manual",QCI.OutrosManual,IF($B20="SemiAuto",0,INDEX(ORÇAMENTO!$AB$15:$AB$47,MATCH($A20,ORÇAMENTO!$E$15:$E$47,0)))))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IF(NOT(ISBLANK(QCI.DescManual)),IF(QCI.Divisao="Calculado","Manual","SemiAuto"),IF(ISERROR(MATCH($A21,ORÇAMENTO!$E$15:$E$47,0)),"Branco","Automático"))</f>
        <v>Branco</v>
      </c>
      <c r="C21" t="str">
        <f t="shared" ca="1" si="1"/>
        <v/>
      </c>
      <c r="D21" s="281">
        <f t="shared" si="2"/>
        <v>8</v>
      </c>
      <c r="E21" s="118"/>
      <c r="F21" s="118"/>
      <c r="G21" s="163" t="str">
        <f ca="1">IF(OR($B21="Manual",$B21="SemiAuto"),QCI.DescManual,IF($B21="Automático",INDEX(ORÇAMENTO!$R$15:$R$47,MATCH($A21,ORÇAMENTO!$E$15:$E$47,0)),""))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IF($B21="Branco",0,IF(OR($B21="Manual",$B21="SemiAuto"),QCI.InvManual,INDEX(ORÇAMENTO!X$15:X$47,MATCH($A21,ORÇAMENTO!$E$15:$E$47,0))))</f>
        <v>0</v>
      </c>
      <c r="P21" s="577" t="str">
        <f t="shared" ca="1" si="6"/>
        <v/>
      </c>
      <c r="R21" s="465"/>
      <c r="S21" s="578" t="str">
        <f t="shared" si="7"/>
        <v/>
      </c>
      <c r="T21" s="466"/>
      <c r="U21" s="579"/>
      <c r="V21" s="467" t="s">
        <v>819</v>
      </c>
      <c r="W21" s="580"/>
      <c r="X21" s="581"/>
      <c r="Z21">
        <f t="shared" ca="1" si="8"/>
        <v>0</v>
      </c>
      <c r="AA21" cm="1">
        <f t="array" aca="1" ref="AA21" ca="1">IF($B21="Branco",0,IF($B21="Manual",QCI.CPManual,IF($B21="SemiAuto",ROUND(QCI!$AA$3*QCI.InvManual,2),INDEX(ORÇAMENTO!$AA$15:$AA$47,MATCH($A21,ORÇAMENTO!$E$15:$E$47,0)))))</f>
        <v>0</v>
      </c>
      <c r="AB21" cm="1">
        <f t="array" aca="1" ref="AB21" ca="1">IF($B21="Branco",0,IF($B21="Manual",QCI.OutrosManual,IF($B21="SemiAuto",0,INDEX(ORÇAMENTO!$AB$15:$AB$47,MATCH($A21,ORÇAMENTO!$E$15:$E$47,0)))))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IF(NOT(ISBLANK(QCI.DescManual)),IF(QCI.Divisao="Calculado","Manual","SemiAuto"),IF(ISERROR(MATCH($A22,ORÇAMENTO!$E$15:$E$47,0)),"Branco","Automático"))</f>
        <v>Branco</v>
      </c>
      <c r="C22" t="str">
        <f t="shared" ca="1" si="1"/>
        <v/>
      </c>
      <c r="D22" s="281">
        <f t="shared" si="2"/>
        <v>9</v>
      </c>
      <c r="E22" s="118"/>
      <c r="F22" s="118"/>
      <c r="G22" s="163" t="str">
        <f ca="1">IF(OR($B22="Manual",$B22="SemiAuto"),QCI.DescManual,IF($B22="Automático",INDEX(ORÇAMENTO!$R$15:$R$47,MATCH($A22,ORÇAMENTO!$E$15:$E$47,0)),""))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IF($B22="Branco",0,IF(OR($B22="Manual",$B22="SemiAuto"),QCI.InvManual,INDEX(ORÇAMENTO!X$15:X$47,MATCH($A22,ORÇAMENTO!$E$15:$E$47,0))))</f>
        <v>0</v>
      </c>
      <c r="P22" s="577" t="str">
        <f t="shared" ca="1" si="6"/>
        <v/>
      </c>
      <c r="R22" s="465"/>
      <c r="S22" s="578" t="str">
        <f t="shared" si="7"/>
        <v/>
      </c>
      <c r="T22" s="466"/>
      <c r="U22" s="579"/>
      <c r="V22" s="467" t="s">
        <v>819</v>
      </c>
      <c r="W22" s="580"/>
      <c r="X22" s="581"/>
      <c r="Z22">
        <f t="shared" ca="1" si="8"/>
        <v>0</v>
      </c>
      <c r="AA22" cm="1">
        <f t="array" aca="1" ref="AA22" ca="1">IF($B22="Branco",0,IF($B22="Manual",QCI.CPManual,IF($B22="SemiAuto",ROUND(QCI!$AA$3*QCI.InvManual,2),INDEX(ORÇAMENTO!$AA$15:$AA$47,MATCH($A22,ORÇAMENTO!$E$15:$E$47,0)))))</f>
        <v>0</v>
      </c>
      <c r="AB22" cm="1">
        <f t="array" aca="1" ref="AB22" ca="1">IF($B22="Branco",0,IF($B22="Manual",QCI.OutrosManual,IF($B22="SemiAuto",0,INDEX(ORÇAMENTO!$AB$15:$AB$47,MATCH($A22,ORÇAMENTO!$E$15:$E$47,0)))))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IF(NOT(ISBLANK(QCI.DescManual)),IF(QCI.Divisao="Calculado","Manual","SemiAuto"),IF(ISERROR(MATCH($A23,ORÇAMENTO!$E$15:$E$47,0)),"Branco","Automático"))</f>
        <v>Branco</v>
      </c>
      <c r="C23" t="str">
        <f ca="1">IF(O23&gt;0,"F","")</f>
        <v/>
      </c>
      <c r="D23" s="281">
        <f>ROW()-ROW($D$13)</f>
        <v>10</v>
      </c>
      <c r="E23" s="118"/>
      <c r="F23" s="118"/>
      <c r="G23" s="163" t="str">
        <f ca="1">IF(OR($B23="Manual",$B23="SemiAuto"),QCI.DescManual,IF($B23="Automático",INDEX(ORÇAMENTO!$R$15:$R$47,MATCH($A23,ORÇAMENTO!$E$15:$E$47,0)),""))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IF($B23="Branco",0,IF(OR($B23="Manual",$B23="SemiAuto"),QCI.InvManual,INDEX(ORÇAMENTO!X$15:X$47,MATCH($A23,ORÇAMENTO!$E$15:$E$47,0))))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cm="1">
        <f t="array" aca="1" ref="AA23" ca="1">IF($B23="Branco",0,IF($B23="Manual",QCI.CPManual,IF($B23="SemiAuto",ROUND(QCI!$AA$3*QCI.InvManual,2),INDEX(ORÇAMENTO!$AA$15:$AA$47,MATCH($A23,ORÇAMENTO!$E$15:$E$47,0)))))</f>
        <v>0</v>
      </c>
      <c r="AB23" cm="1">
        <f t="array" aca="1" ref="AB23" ca="1">IF($B23="Branco",0,IF($B23="Manual",QCI.OutrosManual,IF($B23="SemiAuto",0,INDEX(ORÇAMENTO!$AB$15:$AB$47,MATCH($A23,ORÇAMENTO!$E$15:$E$47,0)))))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0" t="s">
        <v>830</v>
      </c>
      <c r="L24" s="296">
        <f ca="1">SUM(L13:OFFSET(L24,-1,0))</f>
        <v>0</v>
      </c>
      <c r="M24" s="297">
        <f ca="1">SUM(M13:OFFSET(M24,-1,0))</f>
        <v>0</v>
      </c>
      <c r="N24" s="298">
        <f ca="1">SUM(N13:OFFSET(N24,-1,0))</f>
        <v>0</v>
      </c>
      <c r="O24" s="299">
        <f ca="1">SUM(O13:OFFSET(O24,-1,0))</f>
        <v>0</v>
      </c>
      <c r="R24" s="300"/>
      <c r="T24" s="301"/>
      <c r="U24" s="302"/>
      <c r="V24" s="303"/>
      <c r="W24" s="304"/>
      <c r="X24" s="305"/>
      <c r="Z24" s="88">
        <f ca="1">SUMPRODUCT(ROUND(Z13:OFFSET(Z24,-1,0),2))</f>
        <v>0</v>
      </c>
      <c r="AA24" s="88">
        <f ca="1">SUMPRODUCT(ROUND(AA13:OFFSET(AA24,-1,0),2))</f>
        <v>0</v>
      </c>
      <c r="AB24" s="88">
        <f ca="1">SUM(AB13:OFFSET(AB24,-1,0))</f>
        <v>0</v>
      </c>
    </row>
    <row r="25" spans="1:31" x14ac:dyDescent="0.2">
      <c r="B25" t="s">
        <v>831</v>
      </c>
      <c r="C25" t="s">
        <v>536</v>
      </c>
      <c r="D25" s="306"/>
      <c r="E25" s="307"/>
      <c r="F25" s="307"/>
      <c r="G25" s="307"/>
      <c r="H25" s="307"/>
      <c r="I25" s="307"/>
      <c r="J25" s="307"/>
      <c r="K25" s="780"/>
      <c r="L25" s="308">
        <f ca="1">IF(ISERROR(L24/$O24),0,ROUND(L24/$O24,4))</f>
        <v>0</v>
      </c>
      <c r="M25" s="309">
        <f ca="1">IF(ISERROR(M24/$O24),0,ROUND(M24/$O24,4))</f>
        <v>0</v>
      </c>
      <c r="N25" s="310">
        <f ca="1">IF(ISERROR(N24/$O24),0,ROUND(N24/$O24,4))</f>
        <v>0</v>
      </c>
      <c r="O25" s="311">
        <f ca="1">IF(ISERROR(O24/$O24),0,ROUND(O24/$O24,4))</f>
        <v>0</v>
      </c>
      <c r="R25" s="312"/>
      <c r="T25" s="313"/>
      <c r="U25" s="314"/>
      <c r="V25" s="315"/>
      <c r="W25" s="316"/>
      <c r="X25" s="317"/>
    </row>
    <row r="27" spans="1:31" ht="14.25" x14ac:dyDescent="0.2">
      <c r="D27" s="135" t="s">
        <v>689</v>
      </c>
    </row>
    <row r="28" spans="1:31" ht="12.75" customHeight="1" x14ac:dyDescent="0.2">
      <c r="D28" s="714"/>
      <c r="E28" s="714"/>
      <c r="F28" s="714"/>
      <c r="G28" s="714"/>
      <c r="H28" s="714"/>
      <c r="I28" s="714"/>
      <c r="J28" s="714"/>
      <c r="K28" s="714"/>
      <c r="L28" s="714"/>
      <c r="M28" s="714"/>
      <c r="N28" s="714"/>
      <c r="O28" s="714"/>
    </row>
    <row r="29" spans="1:31" ht="12.75" customHeight="1" x14ac:dyDescent="0.2">
      <c r="D29" s="714"/>
      <c r="E29" s="714"/>
      <c r="F29" s="714"/>
      <c r="G29" s="714"/>
      <c r="H29" s="714"/>
      <c r="I29" s="714"/>
      <c r="J29" s="714"/>
      <c r="K29" s="714"/>
      <c r="L29" s="714"/>
      <c r="M29" s="714"/>
      <c r="N29" s="714"/>
      <c r="O29" s="714"/>
    </row>
    <row r="30" spans="1:31" ht="12.75" customHeight="1" x14ac:dyDescent="0.2">
      <c r="D30" s="714"/>
      <c r="E30" s="714"/>
      <c r="F30" s="714"/>
      <c r="G30" s="714"/>
      <c r="H30" s="714"/>
      <c r="I30" s="714"/>
      <c r="J30" s="714"/>
      <c r="K30" s="714"/>
      <c r="L30" s="714"/>
      <c r="M30" s="714"/>
      <c r="N30" s="714"/>
      <c r="O30" s="714"/>
    </row>
    <row r="33" spans="4:12" ht="15" x14ac:dyDescent="0.2">
      <c r="D33" s="716" t="str">
        <f>Import.Município</f>
        <v>PASSOS MG</v>
      </c>
      <c r="E33" s="716"/>
      <c r="F33" s="716"/>
      <c r="I33" s="139"/>
      <c r="J33" s="139"/>
      <c r="K33" s="180"/>
      <c r="L33" s="180"/>
    </row>
    <row r="34" spans="4:12" x14ac:dyDescent="0.2">
      <c r="D34" s="9" t="s">
        <v>693</v>
      </c>
      <c r="I34" s="181" t="s">
        <v>832</v>
      </c>
      <c r="J34" s="181"/>
    </row>
    <row r="35" spans="4:12" x14ac:dyDescent="0.2">
      <c r="I35" s="77" t="str">
        <f>"Nome:" &amp;  " " &amp; DADOS!C28</f>
        <v xml:space="preserve">Nome: </v>
      </c>
    </row>
    <row r="36" spans="4:12" x14ac:dyDescent="0.2">
      <c r="D36" s="710">
        <f>DADOS!$C$25</f>
        <v>45945</v>
      </c>
      <c r="E36" s="710"/>
      <c r="F36" s="710"/>
      <c r="I36" s="77" t="str">
        <f>"Cargo:"  &amp; " " &amp; DADOS!C29</f>
        <v xml:space="preserve">Cargo: </v>
      </c>
    </row>
    <row r="37" spans="4:12" x14ac:dyDescent="0.2">
      <c r="D37" s="140" t="s">
        <v>694</v>
      </c>
      <c r="E37" s="1"/>
      <c r="F37" s="1"/>
      <c r="K37" s="77"/>
      <c r="L37" s="78"/>
    </row>
  </sheetData>
  <sheetProtection algorithmName="SHA-512" hashValue="12TWzR/D+1W9ezT+Z3ausO0ll4SyJQTNsTkubdyXL0kPXIgLwSKwKdUMzkur9o2yg1OcedRtuLLuFWoAW1jnfw==" saltValue="pfpw7pXGo8MFabMIC+rbbA=="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38" priority="961" stopIfTrue="1">
      <formula>OR($B12="Automático",$B12="Branco")</formula>
    </cfRule>
  </conditionalFormatting>
  <conditionalFormatting sqref="L12">
    <cfRule type="expression" dxfId="137"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6" priority="963" stopIfTrue="1">
      <formula>OR($B12="Automático",$B12="Branco",$V12&lt;&gt;"Calculado")</formula>
    </cfRule>
  </conditionalFormatting>
  <conditionalFormatting sqref="M25">
    <cfRule type="expression" dxfId="135" priority="965" stopIfTrue="1">
      <formula>AND($G$9&lt;&gt;"",OR($M$25&lt;Import.CPMinPerc,$M$25&gt;Import.CPMaxPerc))</formula>
    </cfRule>
  </conditionalFormatting>
  <conditionalFormatting sqref="M24">
    <cfRule type="expression" dxfId="134" priority="966" stopIfTrue="1">
      <formula>AND($G$9&lt;&gt;"",$M$24&lt;Import.CPMinAbsoluta)</formula>
    </cfRule>
  </conditionalFormatting>
  <conditionalFormatting sqref="L10:M10">
    <cfRule type="cellIs" dxfId="133" priority="967" stopIfTrue="1" operator="lessThan">
      <formula>0</formula>
    </cfRule>
  </conditionalFormatting>
  <conditionalFormatting sqref="G12">
    <cfRule type="cellIs" dxfId="132" priority="968" stopIfTrue="1" operator="equal">
      <formula>"(digite a descrição aqui)"</formula>
    </cfRule>
  </conditionalFormatting>
  <conditionalFormatting sqref="T14:V22">
    <cfRule type="expression" dxfId="131" priority="5" stopIfTrue="1">
      <formula>OR($B14="Automático",$B14="Branco")</formula>
    </cfRule>
  </conditionalFormatting>
  <conditionalFormatting sqref="L14:L22">
    <cfRule type="expression" dxfId="13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9" priority="7" stopIfTrue="1">
      <formula>OR($B14="Automático",$B14="Branco",$V14&lt;&gt;"Calculado")</formula>
    </cfRule>
  </conditionalFormatting>
  <conditionalFormatting sqref="G14:G22">
    <cfRule type="cellIs" dxfId="128" priority="8" stopIfTrue="1" operator="equal">
      <formula>"(digite a descrição aqui)"</formula>
    </cfRule>
  </conditionalFormatting>
  <conditionalFormatting sqref="T23:V23">
    <cfRule type="expression" dxfId="127" priority="1" stopIfTrue="1">
      <formula>OR($B23="Automático",$B23="Branco")</formula>
    </cfRule>
  </conditionalFormatting>
  <conditionalFormatting sqref="L23">
    <cfRule type="expression" dxfId="12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25" priority="3" stopIfTrue="1">
      <formula>OR($B23="Automático",$B23="Branco",$V23&lt;&gt;"Calculado")</formula>
    </cfRule>
  </conditionalFormatting>
  <conditionalFormatting sqref="G23">
    <cfRule type="cellIs" dxfId="12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4" t="e">
        <f ca="1">IF(AUTOEVENTO="Manual",OFFSET(EVENTOS!$D$15,$B1-$B$15,0),IF(B1&lt;=MAX(CÁLCULO!$M$15:$M$47),VLOOKUP($B1,CÁLCULO!$M$15:$N$47,2,FALSE),0))</f>
        <v>#REF!</v>
      </c>
      <c r="D1" s="784"/>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1" t="s">
        <v>644</v>
      </c>
      <c r="AE3" s="681"/>
      <c r="AF3" s="681"/>
    </row>
    <row r="4" spans="1:33" ht="15.75" x14ac:dyDescent="0.2">
      <c r="B4" s="82"/>
      <c r="C4" s="82"/>
      <c r="H4" s="83" t="str">
        <f>import.recurso</f>
        <v>(SELECIONAR)</v>
      </c>
      <c r="AD4" s="682" t="s">
        <v>647</v>
      </c>
      <c r="AE4" s="682"/>
      <c r="AF4" s="682"/>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793" t="str" cm="1">
        <f t="array" ref="AE6">IF(TIPOORCAMENTO="Licitado","Nº CTEF","")</f>
        <v/>
      </c>
      <c r="AF6" s="793"/>
    </row>
    <row r="7" spans="1:33" x14ac:dyDescent="0.2">
      <c r="B7" s="763">
        <f>Import.CR</f>
        <v>0</v>
      </c>
      <c r="C7" s="763"/>
      <c r="D7" s="214">
        <f>Import.TransfereGOV</f>
        <v>0</v>
      </c>
      <c r="E7" s="42"/>
      <c r="H7" s="773" t="str">
        <f>Import.Proponente</f>
        <v>PRFEITURA MUNICIPAL DE PASSOS</v>
      </c>
      <c r="I7" s="773"/>
      <c r="J7" s="773"/>
      <c r="K7" s="773"/>
      <c r="L7" s="773"/>
      <c r="M7" s="773"/>
      <c r="N7" s="773"/>
      <c r="O7" s="763" t="str">
        <f>Import.Apelido</f>
        <v>PRAÇA SÃO FRANCISCO</v>
      </c>
      <c r="P7" s="763"/>
      <c r="Q7" s="763"/>
      <c r="R7" s="763"/>
      <c r="S7" s="763"/>
      <c r="T7" s="763"/>
      <c r="U7" s="763"/>
      <c r="V7" s="763" cm="1">
        <f t="array" ref="V7">IF(TIPOORCAMENTO="Licitado",Import.empresa,Import.DescLote)</f>
        <v>0</v>
      </c>
      <c r="W7" s="763"/>
      <c r="X7" s="763"/>
      <c r="Y7" s="763"/>
      <c r="Z7" s="763"/>
      <c r="AA7" s="763"/>
      <c r="AB7" s="763"/>
      <c r="AC7" s="763"/>
      <c r="AD7" s="763"/>
      <c r="AE7" s="794" t="str" cm="1">
        <f t="array" ref="AE7">IF(TIPOORCAMENTO="Licitado",Import.CTEF,"")</f>
        <v/>
      </c>
      <c r="AF7" s="794"/>
      <c r="AG7" s="265"/>
    </row>
    <row r="9" spans="1:33" ht="15.75" x14ac:dyDescent="0.25">
      <c r="A9" s="165">
        <v>0</v>
      </c>
      <c r="B9" s="266"/>
      <c r="C9" s="266"/>
      <c r="I9" s="267" t="s">
        <v>834</v>
      </c>
      <c r="J9" s="796">
        <v>1</v>
      </c>
      <c r="K9" s="796"/>
      <c r="M9" s="267" t="s">
        <v>799</v>
      </c>
      <c r="N9" s="797" t="str">
        <f ca="1">TEXT(IF(PLE.Medicao=1,Import.DataInicioObra,OFFSET($H$68,0,1+(PLE.Medicao-$I$69)*2-2)+1),"dd/mm/aaaa")&amp;" a "&amp;TEXT(OFFSET($H$68,0,1+(PLE.Medicao-$I$69)*2),"dd/mm/aaaa")</f>
        <v>00/01/Saturday a 00/01/Saturday</v>
      </c>
      <c r="O9" s="797"/>
      <c r="P9" s="797"/>
      <c r="Q9" s="797"/>
      <c r="R9" s="797"/>
      <c r="S9" s="797"/>
      <c r="T9" s="797"/>
      <c r="U9" s="268"/>
      <c r="X9" s="267" t="s">
        <v>835</v>
      </c>
      <c r="Y9" s="795" t="e">
        <f ca="1">OFFSET($I$69,1+8*(ROUNDUP(($J$9-0)/((COLUMN($AG$14)-COLUMN($G$14)-1)/25*12),0)-1),ROUNDDOWN((($J$9-0)-OFFSET($I$69,8*(ROUNDUP(($J$9-0)/((COLUMN($AG$14)-COLUMN($G$14)-1)/25*12),0)-1),0))*(2+1/12),0))</f>
        <v>#DIV/0!</v>
      </c>
      <c r="Z9" s="795"/>
      <c r="AD9" s="267" t="s">
        <v>836</v>
      </c>
      <c r="AE9" s="795" t="e">
        <f ca="1">OFFSET($I$69,3+8*(ROUNDUP(($J$9-0)/((COLUMN($AG$14)-COLUMN($G$14)-1)/25*12),0)-1),ROUNDDOWN((($J$9-0)-OFFSET($I$69,8*(ROUNDUP(($J$9-0)/((COLUMN($AG$14)-COLUMN($G$14)-1)/25*12),0)-1),0))*(2+1/12),0))</f>
        <v>#DIV/0!</v>
      </c>
      <c r="AF9" s="795"/>
    </row>
    <row r="11" spans="1:33" ht="65.25" customHeight="1" x14ac:dyDescent="0.2">
      <c r="A11" s="250" t="s">
        <v>837</v>
      </c>
      <c r="C11" s="798"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8"/>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59" t="s">
        <v>760</v>
      </c>
      <c r="C12" s="759" t="s">
        <v>778</v>
      </c>
      <c r="D12" s="759"/>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59"/>
      <c r="C13" s="759"/>
      <c r="D13" s="759"/>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2" t="str">
        <f>EVENTOS!$D$15</f>
        <v/>
      </c>
      <c r="D15" s="792"/>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64" ca="1" si="1">IF(C16=0,"","F")</f>
        <v>F</v>
      </c>
      <c r="B16" s="247">
        <f t="shared" ref="B16:B64" ca="1" si="2">OFFSET(B16,-1,0)+1</f>
        <v>1</v>
      </c>
      <c r="C16" s="784" t="str">
        <f ca="1">IF(AUTOEVENTO="Manual",OFFSET(EVENTOS!$D$15,$B16-$B$15,0),IF(B16&lt;=MAX(CÁLCULO!$M$15:$M$47),VLOOKUP($B16,CÁLCULO!$M$15:$N$47,2,FALSE),0))</f>
        <v>PLACA DA OBRA</v>
      </c>
      <c r="D16" s="784"/>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4" t="str">
        <f ca="1">IF(AUTOEVENTO="Manual",OFFSET(EVENTOS!$D$15,$B17-$B$15,0),IF(B17&lt;=MAX(CÁLCULO!$M$15:$M$47),VLOOKUP($B17,CÁLCULO!$M$15:$N$47,2,FALSE),0))</f>
        <v>CANTEIRO DE OBRAS</v>
      </c>
      <c r="D17" s="784"/>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4" t="str">
        <f ca="1">IF(AUTOEVENTO="Manual",OFFSET(EVENTOS!$D$15,$B18-$B$15,0),IF(B18&lt;=MAX(CÁLCULO!$M$15:$M$47),VLOOKUP($B18,CÁLCULO!$M$15:$N$47,2,FALSE),0))</f>
        <v>DEMOLIÇÃO</v>
      </c>
      <c r="D18" s="784"/>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4" t="str">
        <f ca="1">IF(AUTOEVENTO="Manual",OFFSET(EVENTOS!$D$15,$B19-$B$15,0),IF(B19&lt;=MAX(CÁLCULO!$M$15:$M$47),VLOOKUP($B19,CÁLCULO!$M$15:$N$47,2,FALSE),0))</f>
        <v>CONSTRUÇÃO</v>
      </c>
      <c r="D19" s="784"/>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4" t="str">
        <f ca="1">IF(AUTOEVENTO="Manual",OFFSET(EVENTOS!$D$15,$B20-$B$15,0),IF(B20&lt;=MAX(CÁLCULO!$M$15:$M$47),VLOOKUP($B20,CÁLCULO!$M$15:$N$47,2,FALSE),0))</f>
        <v>ILUMINAÇÃO</v>
      </c>
      <c r="D20" s="784"/>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84" t="str">
        <f ca="1">IF(AUTOEVENTO="Manual",OFFSET(EVENTOS!$D$15,$B21-$B$15,0),IF(B21&lt;=MAX(CÁLCULO!$M$15:$M$47),VLOOKUP($B21,CÁLCULO!$M$15:$N$47,2,FALSE),0))</f>
        <v>ENTREGA FINAL DA OBRA</v>
      </c>
      <c r="D21" s="784"/>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
      </c>
      <c r="B22" s="247">
        <f t="shared" ca="1" si="2"/>
        <v>7</v>
      </c>
      <c r="C22" s="784">
        <f ca="1">IF(AUTOEVENTO="Manual",OFFSET(EVENTOS!$D$15,$B22-$B$15,0),IF(B22&lt;=MAX(CÁLCULO!$M$15:$M$47),VLOOKUP($B22,CÁLCULO!$M$15:$N$47,2,FALSE),0))</f>
        <v>0</v>
      </c>
      <c r="D22" s="784"/>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
      </c>
      <c r="B23" s="247">
        <f t="shared" ca="1" si="2"/>
        <v>8</v>
      </c>
      <c r="C23" s="784">
        <f ca="1">IF(AUTOEVENTO="Manual",OFFSET(EVENTOS!$D$15,$B23-$B$15,0),IF(B23&lt;=MAX(CÁLCULO!$M$15:$M$47),VLOOKUP($B23,CÁLCULO!$M$15:$N$47,2,FALSE),0))</f>
        <v>0</v>
      </c>
      <c r="D23" s="784"/>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
      </c>
      <c r="B24" s="247">
        <f t="shared" ca="1" si="2"/>
        <v>9</v>
      </c>
      <c r="C24" s="784">
        <f ca="1">IF(AUTOEVENTO="Manual",OFFSET(EVENTOS!$D$15,$B24-$B$15,0),IF(B24&lt;=MAX(CÁLCULO!$M$15:$M$47),VLOOKUP($B24,CÁLCULO!$M$15:$N$47,2,FALSE),0))</f>
        <v>0</v>
      </c>
      <c r="D24" s="784"/>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t="shared" ca="1" si="1"/>
        <v/>
      </c>
      <c r="B25" s="247">
        <f t="shared" ca="1" si="2"/>
        <v>10</v>
      </c>
      <c r="C25" s="784">
        <f ca="1">IF(AUTOEVENTO="Manual",OFFSET(EVENTOS!$D$15,$B25-$B$15,0),IF(B25&lt;=MAX(CÁLCULO!$M$15:$M$47),VLOOKUP($B25,CÁLCULO!$M$15:$N$47,2,FALSE),0))</f>
        <v>0</v>
      </c>
      <c r="D25" s="784"/>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19.5" customHeight="1" x14ac:dyDescent="0.2">
      <c r="A26" s="7" t="str">
        <f t="shared" ca="1" si="1"/>
        <v/>
      </c>
      <c r="B26" s="247">
        <f t="shared" ca="1" si="2"/>
        <v>11</v>
      </c>
      <c r="C26" s="784">
        <f ca="1">IF(AUTOEVENTO="Manual",OFFSET(EVENTOS!$D$15,$B26-$B$15,0),IF(B26&lt;=MAX(CÁLCULO!$M$15:$M$47),VLOOKUP($B26,CÁLCULO!$M$15:$N$47,2,FALSE),0))</f>
        <v>0</v>
      </c>
      <c r="D26" s="784"/>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ht="19.5" customHeight="1" x14ac:dyDescent="0.2">
      <c r="A27" s="7" t="str">
        <f t="shared" ca="1" si="1"/>
        <v/>
      </c>
      <c r="B27" s="247">
        <f t="shared" ca="1" si="2"/>
        <v>12</v>
      </c>
      <c r="C27" s="784">
        <f ca="1">IF(AUTOEVENTO="Manual",OFFSET(EVENTOS!$D$15,$B27-$B$15,0),IF(B27&lt;=MAX(CÁLCULO!$M$15:$M$47),VLOOKUP($B27,CÁLCULO!$M$15:$N$47,2,FALSE),0))</f>
        <v>0</v>
      </c>
      <c r="D27" s="784"/>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ht="19.5" customHeight="1" x14ac:dyDescent="0.2">
      <c r="A28" s="7" t="str">
        <f t="shared" ca="1" si="1"/>
        <v/>
      </c>
      <c r="B28" s="247">
        <f t="shared" ca="1" si="2"/>
        <v>13</v>
      </c>
      <c r="C28" s="784">
        <f ca="1">IF(AUTOEVENTO="Manual",OFFSET(EVENTOS!$D$15,$B28-$B$15,0),IF(B28&lt;=MAX(CÁLCULO!$M$15:$M$47),VLOOKUP($B28,CÁLCULO!$M$15:$N$47,2,FALSE),0))</f>
        <v>0</v>
      </c>
      <c r="D28" s="784"/>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ht="19.5" customHeight="1" x14ac:dyDescent="0.2">
      <c r="A29" s="7" t="str">
        <f t="shared" ca="1" si="1"/>
        <v/>
      </c>
      <c r="B29" s="247">
        <f t="shared" ca="1" si="2"/>
        <v>14</v>
      </c>
      <c r="C29" s="784">
        <f ca="1">IF(AUTOEVENTO="Manual",OFFSET(EVENTOS!$D$15,$B29-$B$15,0),IF(B29&lt;=MAX(CÁLCULO!$M$15:$M$47),VLOOKUP($B29,CÁLCULO!$M$15:$N$47,2,FALSE),0))</f>
        <v>0</v>
      </c>
      <c r="D29" s="784"/>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ht="19.5" customHeight="1" x14ac:dyDescent="0.2">
      <c r="A30" s="7" t="str">
        <f t="shared" ca="1" si="1"/>
        <v/>
      </c>
      <c r="B30" s="247">
        <f t="shared" ca="1" si="2"/>
        <v>15</v>
      </c>
      <c r="C30" s="784">
        <f ca="1">IF(AUTOEVENTO="Manual",OFFSET(EVENTOS!$D$15,$B30-$B$15,0),IF(B30&lt;=MAX(CÁLCULO!$M$15:$M$47),VLOOKUP($B30,CÁLCULO!$M$15:$N$47,2,FALSE),0))</f>
        <v>0</v>
      </c>
      <c r="D30" s="784"/>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ht="19.5" customHeight="1" x14ac:dyDescent="0.2">
      <c r="A31" s="7" t="str">
        <f t="shared" ca="1" si="1"/>
        <v/>
      </c>
      <c r="B31" s="247">
        <f t="shared" ca="1" si="2"/>
        <v>16</v>
      </c>
      <c r="C31" s="784">
        <f ca="1">IF(AUTOEVENTO="Manual",OFFSET(EVENTOS!$D$15,$B31-$B$15,0),IF(B31&lt;=MAX(CÁLCULO!$M$15:$M$47),VLOOKUP($B31,CÁLCULO!$M$15:$N$47,2,FALSE),0))</f>
        <v>0</v>
      </c>
      <c r="D31" s="784"/>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ht="19.5" customHeight="1" x14ac:dyDescent="0.2">
      <c r="A32" s="7" t="str">
        <f t="shared" ca="1" si="1"/>
        <v/>
      </c>
      <c r="B32" s="247">
        <f t="shared" ca="1" si="2"/>
        <v>17</v>
      </c>
      <c r="C32" s="784">
        <f ca="1">IF(AUTOEVENTO="Manual",OFFSET(EVENTOS!$D$15,$B32-$B$15,0),IF(B32&lt;=MAX(CÁLCULO!$M$15:$M$47),VLOOKUP($B32,CÁLCULO!$M$15:$N$47,2,FALSE),0))</f>
        <v>0</v>
      </c>
      <c r="D32" s="784"/>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ht="19.5" customHeight="1" x14ac:dyDescent="0.2">
      <c r="A33" s="7" t="str">
        <f t="shared" ca="1" si="1"/>
        <v/>
      </c>
      <c r="B33" s="247">
        <f t="shared" ca="1" si="2"/>
        <v>18</v>
      </c>
      <c r="C33" s="784">
        <f ca="1">IF(AUTOEVENTO="Manual",OFFSET(EVENTOS!$D$15,$B33-$B$15,0),IF(B33&lt;=MAX(CÁLCULO!$M$15:$M$47),VLOOKUP($B33,CÁLCULO!$M$15:$N$47,2,FALSE),0))</f>
        <v>0</v>
      </c>
      <c r="D33" s="784"/>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ht="19.5" customHeight="1" x14ac:dyDescent="0.2">
      <c r="A34" s="7" t="str">
        <f t="shared" ca="1" si="1"/>
        <v/>
      </c>
      <c r="B34" s="247">
        <f t="shared" ca="1" si="2"/>
        <v>19</v>
      </c>
      <c r="C34" s="784">
        <f ca="1">IF(AUTOEVENTO="Manual",OFFSET(EVENTOS!$D$15,$B34-$B$15,0),IF(B34&lt;=MAX(CÁLCULO!$M$15:$M$47),VLOOKUP($B34,CÁLCULO!$M$15:$N$47,2,FALSE),0))</f>
        <v>0</v>
      </c>
      <c r="D34" s="784"/>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ht="19.5" customHeight="1" x14ac:dyDescent="0.2">
      <c r="A35" s="7" t="str">
        <f t="shared" ca="1" si="1"/>
        <v/>
      </c>
      <c r="B35" s="247">
        <f t="shared" ca="1" si="2"/>
        <v>20</v>
      </c>
      <c r="C35" s="784">
        <f ca="1">IF(AUTOEVENTO="Manual",OFFSET(EVENTOS!$D$15,$B35-$B$15,0),IF(B35&lt;=MAX(CÁLCULO!$M$15:$M$47),VLOOKUP($B35,CÁLCULO!$M$15:$N$47,2,FALSE),0))</f>
        <v>0</v>
      </c>
      <c r="D35" s="784"/>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ht="19.5" customHeight="1" x14ac:dyDescent="0.2">
      <c r="A36" s="7" t="str">
        <f t="shared" ca="1" si="1"/>
        <v/>
      </c>
      <c r="B36" s="247">
        <f t="shared" ca="1" si="2"/>
        <v>21</v>
      </c>
      <c r="C36" s="784">
        <f ca="1">IF(AUTOEVENTO="Manual",OFFSET(EVENTOS!$D$15,$B36-$B$15,0),IF(B36&lt;=MAX(CÁLCULO!$M$15:$M$47),VLOOKUP($B36,CÁLCULO!$M$15:$N$47,2,FALSE),0))</f>
        <v>0</v>
      </c>
      <c r="D36" s="784"/>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ht="19.5" customHeight="1" x14ac:dyDescent="0.2">
      <c r="A37" s="7" t="str">
        <f t="shared" ca="1" si="1"/>
        <v/>
      </c>
      <c r="B37" s="247">
        <f t="shared" ca="1" si="2"/>
        <v>22</v>
      </c>
      <c r="C37" s="784">
        <f ca="1">IF(AUTOEVENTO="Manual",OFFSET(EVENTOS!$D$15,$B37-$B$15,0),IF(B37&lt;=MAX(CÁLCULO!$M$15:$M$47),VLOOKUP($B37,CÁLCULO!$M$15:$N$47,2,FALSE),0))</f>
        <v>0</v>
      </c>
      <c r="D37" s="784"/>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ht="19.5" customHeight="1" x14ac:dyDescent="0.2">
      <c r="A38" s="7" t="str">
        <f t="shared" ca="1" si="1"/>
        <v/>
      </c>
      <c r="B38" s="247">
        <f t="shared" ca="1" si="2"/>
        <v>23</v>
      </c>
      <c r="C38" s="784">
        <f ca="1">IF(AUTOEVENTO="Manual",OFFSET(EVENTOS!$D$15,$B38-$B$15,0),IF(B38&lt;=MAX(CÁLCULO!$M$15:$M$47),VLOOKUP($B38,CÁLCULO!$M$15:$N$47,2,FALSE),0))</f>
        <v>0</v>
      </c>
      <c r="D38" s="784"/>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ht="19.5" customHeight="1" x14ac:dyDescent="0.2">
      <c r="A39" s="7" t="str">
        <f t="shared" ca="1" si="1"/>
        <v/>
      </c>
      <c r="B39" s="247">
        <f t="shared" ca="1" si="2"/>
        <v>24</v>
      </c>
      <c r="C39" s="784">
        <f ca="1">IF(AUTOEVENTO="Manual",OFFSET(EVENTOS!$D$15,$B39-$B$15,0),IF(B39&lt;=MAX(CÁLCULO!$M$15:$M$47),VLOOKUP($B39,CÁLCULO!$M$15:$N$47,2,FALSE),0))</f>
        <v>0</v>
      </c>
      <c r="D39" s="784"/>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ht="19.5" customHeight="1" x14ac:dyDescent="0.2">
      <c r="A40" s="7" t="str">
        <f t="shared" ca="1" si="1"/>
        <v/>
      </c>
      <c r="B40" s="247">
        <f t="shared" ca="1" si="2"/>
        <v>25</v>
      </c>
      <c r="C40" s="784">
        <f ca="1">IF(AUTOEVENTO="Manual",OFFSET(EVENTOS!$D$15,$B40-$B$15,0),IF(B40&lt;=MAX(CÁLCULO!$M$15:$M$47),VLOOKUP($B40,CÁLCULO!$M$15:$N$47,2,FALSE),0))</f>
        <v>0</v>
      </c>
      <c r="D40" s="784"/>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ht="19.5" customHeight="1" x14ac:dyDescent="0.2">
      <c r="A41" s="7" t="str">
        <f t="shared" ca="1" si="1"/>
        <v/>
      </c>
      <c r="B41" s="247">
        <f t="shared" ca="1" si="2"/>
        <v>26</v>
      </c>
      <c r="C41" s="784">
        <f ca="1">IF(AUTOEVENTO="Manual",OFFSET(EVENTOS!$D$15,$B41-$B$15,0),IF(B41&lt;=MAX(CÁLCULO!$M$15:$M$47),VLOOKUP($B41,CÁLCULO!$M$15:$N$47,2,FALSE),0))</f>
        <v>0</v>
      </c>
      <c r="D41" s="784"/>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ht="19.5" customHeight="1" x14ac:dyDescent="0.2">
      <c r="A42" s="7" t="str">
        <f t="shared" ca="1" si="1"/>
        <v/>
      </c>
      <c r="B42" s="247">
        <f t="shared" ca="1" si="2"/>
        <v>27</v>
      </c>
      <c r="C42" s="784">
        <f ca="1">IF(AUTOEVENTO="Manual",OFFSET(EVENTOS!$D$15,$B42-$B$15,0),IF(B42&lt;=MAX(CÁLCULO!$M$15:$M$47),VLOOKUP($B42,CÁLCULO!$M$15:$N$47,2,FALSE),0))</f>
        <v>0</v>
      </c>
      <c r="D42" s="784"/>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ht="19.5" customHeight="1" x14ac:dyDescent="0.2">
      <c r="A43" s="7" t="str">
        <f t="shared" ca="1" si="1"/>
        <v/>
      </c>
      <c r="B43" s="247">
        <f t="shared" ca="1" si="2"/>
        <v>28</v>
      </c>
      <c r="C43" s="784">
        <f ca="1">IF(AUTOEVENTO="Manual",OFFSET(EVENTOS!$D$15,$B43-$B$15,0),IF(B43&lt;=MAX(CÁLCULO!$M$15:$M$47),VLOOKUP($B43,CÁLCULO!$M$15:$N$47,2,FALSE),0))</f>
        <v>0</v>
      </c>
      <c r="D43" s="784"/>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ht="19.5" customHeight="1" x14ac:dyDescent="0.2">
      <c r="A44" s="7" t="str">
        <f t="shared" ca="1" si="1"/>
        <v/>
      </c>
      <c r="B44" s="247">
        <f t="shared" ca="1" si="2"/>
        <v>29</v>
      </c>
      <c r="C44" s="784">
        <f ca="1">IF(AUTOEVENTO="Manual",OFFSET(EVENTOS!$D$15,$B44-$B$15,0),IF(B44&lt;=MAX(CÁLCULO!$M$15:$M$47),VLOOKUP($B44,CÁLCULO!$M$15:$N$47,2,FALSE),0))</f>
        <v>0</v>
      </c>
      <c r="D44" s="784"/>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ht="19.5" customHeight="1" x14ac:dyDescent="0.2">
      <c r="A45" s="7" t="str">
        <f t="shared" ca="1" si="1"/>
        <v/>
      </c>
      <c r="B45" s="247">
        <f t="shared" ca="1" si="2"/>
        <v>30</v>
      </c>
      <c r="C45" s="784">
        <f ca="1">IF(AUTOEVENTO="Manual",OFFSET(EVENTOS!$D$15,$B45-$B$15,0),IF(B45&lt;=MAX(CÁLCULO!$M$15:$M$47),VLOOKUP($B45,CÁLCULO!$M$15:$N$47,2,FALSE),0))</f>
        <v>0</v>
      </c>
      <c r="D45" s="784"/>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ht="19.5" customHeight="1" x14ac:dyDescent="0.2">
      <c r="A46" s="7" t="str">
        <f t="shared" ca="1" si="1"/>
        <v/>
      </c>
      <c r="B46" s="247">
        <f t="shared" ca="1" si="2"/>
        <v>31</v>
      </c>
      <c r="C46" s="784">
        <f ca="1">IF(AUTOEVENTO="Manual",OFFSET(EVENTOS!$D$15,$B46-$B$15,0),IF(B46&lt;=MAX(CÁLCULO!$M$15:$M$47),VLOOKUP($B46,CÁLCULO!$M$15:$N$47,2,FALSE),0))</f>
        <v>0</v>
      </c>
      <c r="D46" s="784"/>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ht="19.5" customHeight="1" x14ac:dyDescent="0.2">
      <c r="A47" s="7" t="str">
        <f t="shared" ca="1" si="1"/>
        <v/>
      </c>
      <c r="B47" s="247">
        <f t="shared" ca="1" si="2"/>
        <v>32</v>
      </c>
      <c r="C47" s="784">
        <f ca="1">IF(AUTOEVENTO="Manual",OFFSET(EVENTOS!$D$15,$B47-$B$15,0),IF(B47&lt;=MAX(CÁLCULO!$M$15:$M$47),VLOOKUP($B47,CÁLCULO!$M$15:$N$47,2,FALSE),0))</f>
        <v>0</v>
      </c>
      <c r="D47" s="784"/>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ht="19.5" customHeight="1" x14ac:dyDescent="0.2">
      <c r="A48" s="7" t="str">
        <f t="shared" ca="1" si="1"/>
        <v/>
      </c>
      <c r="B48" s="247">
        <f t="shared" ca="1" si="2"/>
        <v>33</v>
      </c>
      <c r="C48" s="784">
        <f ca="1">IF(AUTOEVENTO="Manual",OFFSET(EVENTOS!$D$15,$B48-$B$15,0),IF(B48&lt;=MAX(CÁLCULO!$M$15:$M$47),VLOOKUP($B48,CÁLCULO!$M$15:$N$47,2,FALSE),0))</f>
        <v>0</v>
      </c>
      <c r="D48" s="784"/>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ht="19.5" customHeight="1" x14ac:dyDescent="0.2">
      <c r="A49" s="7" t="str">
        <f t="shared" ca="1" si="1"/>
        <v/>
      </c>
      <c r="B49" s="247">
        <f t="shared" ca="1" si="2"/>
        <v>34</v>
      </c>
      <c r="C49" s="784">
        <f ca="1">IF(AUTOEVENTO="Manual",OFFSET(EVENTOS!$D$15,$B49-$B$15,0),IF(B49&lt;=MAX(CÁLCULO!$M$15:$M$47),VLOOKUP($B49,CÁLCULO!$M$15:$N$47,2,FALSE),0))</f>
        <v>0</v>
      </c>
      <c r="D49" s="784"/>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ht="19.5" customHeight="1" x14ac:dyDescent="0.2">
      <c r="A50" s="7" t="str">
        <f t="shared" ca="1" si="1"/>
        <v/>
      </c>
      <c r="B50" s="247">
        <f t="shared" ca="1" si="2"/>
        <v>35</v>
      </c>
      <c r="C50" s="784">
        <f ca="1">IF(AUTOEVENTO="Manual",OFFSET(EVENTOS!$D$15,$B50-$B$15,0),IF(B50&lt;=MAX(CÁLCULO!$M$15:$M$47),VLOOKUP($B50,CÁLCULO!$M$15:$N$47,2,FALSE),0))</f>
        <v>0</v>
      </c>
      <c r="D50" s="784"/>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ht="19.5" customHeight="1" x14ac:dyDescent="0.2">
      <c r="A51" s="7" t="str">
        <f t="shared" ca="1" si="1"/>
        <v/>
      </c>
      <c r="B51" s="247">
        <f t="shared" ca="1" si="2"/>
        <v>36</v>
      </c>
      <c r="C51" s="784">
        <f ca="1">IF(AUTOEVENTO="Manual",OFFSET(EVENTOS!$D$15,$B51-$B$15,0),IF(B51&lt;=MAX(CÁLCULO!$M$15:$M$47),VLOOKUP($B51,CÁLCULO!$M$15:$N$47,2,FALSE),0))</f>
        <v>0</v>
      </c>
      <c r="D51" s="784"/>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ht="19.5" customHeight="1" x14ac:dyDescent="0.2">
      <c r="A52" s="7" t="str">
        <f t="shared" ca="1" si="1"/>
        <v/>
      </c>
      <c r="B52" s="247">
        <f t="shared" ca="1" si="2"/>
        <v>37</v>
      </c>
      <c r="C52" s="784">
        <f ca="1">IF(AUTOEVENTO="Manual",OFFSET(EVENTOS!$D$15,$B52-$B$15,0),IF(B52&lt;=MAX(CÁLCULO!$M$15:$M$47),VLOOKUP($B52,CÁLCULO!$M$15:$N$47,2,FALSE),0))</f>
        <v>0</v>
      </c>
      <c r="D52" s="784"/>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ht="19.5" customHeight="1" x14ac:dyDescent="0.2">
      <c r="A53" s="7" t="str">
        <f t="shared" ca="1" si="1"/>
        <v/>
      </c>
      <c r="B53" s="247">
        <f t="shared" ca="1" si="2"/>
        <v>38</v>
      </c>
      <c r="C53" s="784">
        <f ca="1">IF(AUTOEVENTO="Manual",OFFSET(EVENTOS!$D$15,$B53-$B$15,0),IF(B53&lt;=MAX(CÁLCULO!$M$15:$M$47),VLOOKUP($B53,CÁLCULO!$M$15:$N$47,2,FALSE),0))</f>
        <v>0</v>
      </c>
      <c r="D53" s="784"/>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ht="19.5" customHeight="1" x14ac:dyDescent="0.2">
      <c r="A54" s="7" t="str">
        <f t="shared" ca="1" si="1"/>
        <v/>
      </c>
      <c r="B54" s="247">
        <f t="shared" ca="1" si="2"/>
        <v>39</v>
      </c>
      <c r="C54" s="784">
        <f ca="1">IF(AUTOEVENTO="Manual",OFFSET(EVENTOS!$D$15,$B54-$B$15,0),IF(B54&lt;=MAX(CÁLCULO!$M$15:$M$47),VLOOKUP($B54,CÁLCULO!$M$15:$N$47,2,FALSE),0))</f>
        <v>0</v>
      </c>
      <c r="D54" s="784"/>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ht="19.5" customHeight="1" x14ac:dyDescent="0.2">
      <c r="A55" s="7" t="str">
        <f t="shared" ca="1" si="1"/>
        <v/>
      </c>
      <c r="B55" s="247">
        <f t="shared" ca="1" si="2"/>
        <v>40</v>
      </c>
      <c r="C55" s="784">
        <f ca="1">IF(AUTOEVENTO="Manual",OFFSET(EVENTOS!$D$15,$B55-$B$15,0),IF(B55&lt;=MAX(CÁLCULO!$M$15:$M$47),VLOOKUP($B55,CÁLCULO!$M$15:$N$47,2,FALSE),0))</f>
        <v>0</v>
      </c>
      <c r="D55" s="784"/>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ht="19.5" customHeight="1" x14ac:dyDescent="0.2">
      <c r="A56" s="7" t="str">
        <f t="shared" ca="1" si="1"/>
        <v/>
      </c>
      <c r="B56" s="247">
        <f t="shared" ca="1" si="2"/>
        <v>41</v>
      </c>
      <c r="C56" s="784">
        <f ca="1">IF(AUTOEVENTO="Manual",OFFSET(EVENTOS!$D$15,$B56-$B$15,0),IF(B56&lt;=MAX(CÁLCULO!$M$15:$M$47),VLOOKUP($B56,CÁLCULO!$M$15:$N$47,2,FALSE),0))</f>
        <v>0</v>
      </c>
      <c r="D56" s="784"/>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ht="19.5" customHeight="1" x14ac:dyDescent="0.2">
      <c r="A57" s="7" t="str">
        <f t="shared" ca="1" si="1"/>
        <v/>
      </c>
      <c r="B57" s="247">
        <f t="shared" ca="1" si="2"/>
        <v>42</v>
      </c>
      <c r="C57" s="784">
        <f ca="1">IF(AUTOEVENTO="Manual",OFFSET(EVENTOS!$D$15,$B57-$B$15,0),IF(B57&lt;=MAX(CÁLCULO!$M$15:$M$47),VLOOKUP($B57,CÁLCULO!$M$15:$N$47,2,FALSE),0))</f>
        <v>0</v>
      </c>
      <c r="D57" s="784"/>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19.5" customHeight="1" x14ac:dyDescent="0.2">
      <c r="A58" s="7" t="str">
        <f t="shared" ca="1" si="1"/>
        <v/>
      </c>
      <c r="B58" s="247">
        <f t="shared" ca="1" si="2"/>
        <v>43</v>
      </c>
      <c r="C58" s="784">
        <f ca="1">IF(AUTOEVENTO="Manual",OFFSET(EVENTOS!$D$15,$B58-$B$15,0),IF(B58&lt;=MAX(CÁLCULO!$M$15:$M$47),VLOOKUP($B58,CÁLCULO!$M$15:$N$47,2,FALSE),0))</f>
        <v>0</v>
      </c>
      <c r="D58" s="784"/>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ht="19.5" customHeight="1" x14ac:dyDescent="0.2">
      <c r="A59" s="7" t="str">
        <f t="shared" ca="1" si="1"/>
        <v/>
      </c>
      <c r="B59" s="247">
        <f t="shared" ca="1" si="2"/>
        <v>44</v>
      </c>
      <c r="C59" s="784">
        <f ca="1">IF(AUTOEVENTO="Manual",OFFSET(EVENTOS!$D$15,$B59-$B$15,0),IF(B59&lt;=MAX(CÁLCULO!$M$15:$M$47),VLOOKUP($B59,CÁLCULO!$M$15:$N$47,2,FALSE),0))</f>
        <v>0</v>
      </c>
      <c r="D59" s="784"/>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ht="19.5" customHeight="1" x14ac:dyDescent="0.2">
      <c r="A60" s="7" t="str">
        <f t="shared" ca="1" si="1"/>
        <v/>
      </c>
      <c r="B60" s="247">
        <f t="shared" ca="1" si="2"/>
        <v>45</v>
      </c>
      <c r="C60" s="784">
        <f ca="1">IF(AUTOEVENTO="Manual",OFFSET(EVENTOS!$D$15,$B60-$B$15,0),IF(B60&lt;=MAX(CÁLCULO!$M$15:$M$47),VLOOKUP($B60,CÁLCULO!$M$15:$N$47,2,FALSE),0))</f>
        <v>0</v>
      </c>
      <c r="D60" s="784"/>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ht="19.5" customHeight="1" x14ac:dyDescent="0.2">
      <c r="A61" s="7" t="str">
        <f t="shared" ca="1" si="1"/>
        <v/>
      </c>
      <c r="B61" s="247">
        <f t="shared" ca="1" si="2"/>
        <v>46</v>
      </c>
      <c r="C61" s="784">
        <f ca="1">IF(AUTOEVENTO="Manual",OFFSET(EVENTOS!$D$15,$B61-$B$15,0),IF(B61&lt;=MAX(CÁLCULO!$M$15:$M$47),VLOOKUP($B61,CÁLCULO!$M$15:$N$47,2,FALSE),0))</f>
        <v>0</v>
      </c>
      <c r="D61" s="784"/>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ht="19.5" customHeight="1" x14ac:dyDescent="0.2">
      <c r="A62" s="7" t="str">
        <f t="shared" ca="1" si="1"/>
        <v/>
      </c>
      <c r="B62" s="247">
        <f t="shared" ca="1" si="2"/>
        <v>47</v>
      </c>
      <c r="C62" s="784">
        <f ca="1">IF(AUTOEVENTO="Manual",OFFSET(EVENTOS!$D$15,$B62-$B$15,0),IF(B62&lt;=MAX(CÁLCULO!$M$15:$M$47),VLOOKUP($B62,CÁLCULO!$M$15:$N$47,2,FALSE),0))</f>
        <v>0</v>
      </c>
      <c r="D62" s="784"/>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ht="19.5" customHeight="1" x14ac:dyDescent="0.2">
      <c r="A63" s="7" t="str">
        <f t="shared" ca="1" si="1"/>
        <v/>
      </c>
      <c r="B63" s="247">
        <f t="shared" ca="1" si="2"/>
        <v>48</v>
      </c>
      <c r="C63" s="784">
        <f ca="1">IF(AUTOEVENTO="Manual",OFFSET(EVENTOS!$D$15,$B63-$B$15,0),IF(B63&lt;=MAX(CÁLCULO!$M$15:$M$47),VLOOKUP($B63,CÁLCULO!$M$15:$N$47,2,FALSE),0))</f>
        <v>0</v>
      </c>
      <c r="D63" s="784"/>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ht="19.5" customHeight="1" x14ac:dyDescent="0.2">
      <c r="A64" s="7" t="str">
        <f t="shared" ca="1" si="1"/>
        <v/>
      </c>
      <c r="B64" s="247">
        <f t="shared" ca="1" si="2"/>
        <v>49</v>
      </c>
      <c r="C64" s="784">
        <f ca="1">IF(AUTOEVENTO="Manual",OFFSET(EVENTOS!$D$15,$B64-$B$15,0),IF(B64&lt;=MAX(CÁLCULO!$M$15:$M$47),VLOOKUP($B64,CÁLCULO!$M$15:$N$47,2,FALSE),0))</f>
        <v>0</v>
      </c>
      <c r="D64" s="784"/>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787" t="s">
        <v>839</v>
      </c>
      <c r="J67" s="787"/>
      <c r="K67" s="787"/>
      <c r="L67" s="787"/>
      <c r="M67" s="787"/>
      <c r="N67" s="787"/>
      <c r="O67" s="787"/>
      <c r="P67" s="787"/>
      <c r="Q67" s="787"/>
      <c r="R67" s="787"/>
      <c r="S67" s="787"/>
      <c r="T67" s="787"/>
      <c r="U67" s="787"/>
      <c r="V67" s="787"/>
      <c r="W67" s="787"/>
      <c r="X67" s="787"/>
      <c r="Y67" s="787"/>
      <c r="Z67" s="787"/>
      <c r="AA67" s="787"/>
      <c r="AB67" s="787"/>
      <c r="AC67" s="787"/>
      <c r="AD67" s="787"/>
      <c r="AE67" s="787"/>
      <c r="AF67" s="787"/>
    </row>
    <row r="68" spans="1:32" x14ac:dyDescent="0.2">
      <c r="A68" s="7" t="s">
        <v>536</v>
      </c>
      <c r="H68" s="583" t="str">
        <f>IF(INDEX($I$68:$AG$68,MATCH(PLE.Medicao,$I$69:$AG$69,0))="","Preencher a data da medição "&amp;PLE.Medicao,"")</f>
        <v>Preencher a data da medição 1</v>
      </c>
      <c r="I68" s="800"/>
      <c r="J68" s="788"/>
      <c r="K68" s="788"/>
      <c r="L68" s="788"/>
      <c r="M68" s="788"/>
      <c r="N68" s="788"/>
      <c r="O68" s="788"/>
      <c r="P68" s="788"/>
      <c r="Q68" s="788"/>
      <c r="R68" s="788"/>
      <c r="S68" s="788"/>
      <c r="T68" s="788"/>
      <c r="U68" s="788"/>
      <c r="V68" s="788"/>
      <c r="W68" s="788"/>
      <c r="X68" s="788"/>
      <c r="Y68" s="788"/>
      <c r="Z68" s="788"/>
      <c r="AA68" s="788"/>
      <c r="AB68" s="788"/>
      <c r="AC68" s="788"/>
      <c r="AD68" s="788"/>
      <c r="AE68" s="788"/>
      <c r="AF68" s="789"/>
    </row>
    <row r="69" spans="1:32" x14ac:dyDescent="0.2">
      <c r="A69" s="7" t="s">
        <v>536</v>
      </c>
      <c r="D69" s="269" t="s">
        <v>840</v>
      </c>
      <c r="I69" s="791">
        <f>IF(PLE.Medicao&lt;=12,1,TRUNC((PLE.Medicao - 2)/11,0) * 11 + 1)</f>
        <v>1</v>
      </c>
      <c r="J69" s="791"/>
      <c r="K69" s="791">
        <f>I69+1</f>
        <v>2</v>
      </c>
      <c r="L69" s="791"/>
      <c r="M69" s="791">
        <f>K69+1</f>
        <v>3</v>
      </c>
      <c r="N69" s="791"/>
      <c r="O69" s="791">
        <f>M69+1</f>
        <v>4</v>
      </c>
      <c r="P69" s="791"/>
      <c r="Q69" s="791">
        <f>O69+1</f>
        <v>5</v>
      </c>
      <c r="R69" s="791"/>
      <c r="S69" s="791">
        <f>Q69+1</f>
        <v>6</v>
      </c>
      <c r="T69" s="791"/>
      <c r="U69" s="791">
        <f>S69+1</f>
        <v>7</v>
      </c>
      <c r="V69" s="791"/>
      <c r="W69" s="791">
        <f>U69+1</f>
        <v>8</v>
      </c>
      <c r="X69" s="791"/>
      <c r="Y69" s="791">
        <f>W69+1</f>
        <v>9</v>
      </c>
      <c r="Z69" s="791"/>
      <c r="AA69" s="791">
        <f>Y69+1</f>
        <v>10</v>
      </c>
      <c r="AB69" s="791"/>
      <c r="AC69" s="791">
        <f>AA69+1</f>
        <v>11</v>
      </c>
      <c r="AD69" s="791"/>
      <c r="AE69" s="791">
        <f>AC69+1</f>
        <v>12</v>
      </c>
      <c r="AF69" s="791"/>
    </row>
    <row r="70" spans="1:32" x14ac:dyDescent="0.2">
      <c r="A70" s="7" t="s">
        <v>536</v>
      </c>
      <c r="D70" s="799" t="s">
        <v>799</v>
      </c>
      <c r="H70" s="270" t="s">
        <v>781</v>
      </c>
      <c r="I70" s="801" t="e">
        <f ca="1">ROUND(I71,2)/ORÇAMENTO!$X$15</f>
        <v>#DIV/0!</v>
      </c>
      <c r="J70" s="801"/>
      <c r="K70" s="790" t="e">
        <f ca="1">ROUND(K71,2)/ORÇAMENTO!$X$15</f>
        <v>#DIV/0!</v>
      </c>
      <c r="L70" s="790"/>
      <c r="M70" s="790" t="e">
        <f ca="1">ROUND(M71,2)/ORÇAMENTO!$X$15</f>
        <v>#DIV/0!</v>
      </c>
      <c r="N70" s="790"/>
      <c r="O70" s="790" t="e">
        <f ca="1">ROUND(O71,2)/ORÇAMENTO!$X$15</f>
        <v>#DIV/0!</v>
      </c>
      <c r="P70" s="790"/>
      <c r="Q70" s="790" t="e">
        <f ca="1">ROUND(Q71,2)/ORÇAMENTO!$X$15</f>
        <v>#DIV/0!</v>
      </c>
      <c r="R70" s="790"/>
      <c r="S70" s="790" t="e">
        <f ca="1">ROUND(S71,2)/ORÇAMENTO!$X$15</f>
        <v>#DIV/0!</v>
      </c>
      <c r="T70" s="790"/>
      <c r="U70" s="790" t="e">
        <f ca="1">ROUND(U71,2)/ORÇAMENTO!$X$15</f>
        <v>#DIV/0!</v>
      </c>
      <c r="V70" s="790"/>
      <c r="W70" s="790" t="e">
        <f ca="1">ROUND(W71,2)/ORÇAMENTO!$X$15</f>
        <v>#DIV/0!</v>
      </c>
      <c r="X70" s="790"/>
      <c r="Y70" s="790" t="e">
        <f ca="1">ROUND(Y71,2)/ORÇAMENTO!$X$15</f>
        <v>#DIV/0!</v>
      </c>
      <c r="Z70" s="790"/>
      <c r="AA70" s="790" t="e">
        <f ca="1">ROUND(AA71,2)/ORÇAMENTO!$X$15</f>
        <v>#DIV/0!</v>
      </c>
      <c r="AB70" s="790"/>
      <c r="AC70" s="790" t="e">
        <f ca="1">ROUND(AC71,2)/ORÇAMENTO!$X$15</f>
        <v>#DIV/0!</v>
      </c>
      <c r="AD70" s="790"/>
      <c r="AE70" s="790" t="e">
        <f ca="1">ROUND(AE71,2)/ORÇAMENTO!$X$15</f>
        <v>#DIV/0!</v>
      </c>
      <c r="AF70" s="790"/>
    </row>
    <row r="71" spans="1:32" x14ac:dyDescent="0.2">
      <c r="A71" s="7" t="s">
        <v>536</v>
      </c>
      <c r="D71" s="799"/>
      <c r="H71" s="11" t="s">
        <v>782</v>
      </c>
      <c r="I71" s="786" cm="1">
        <f t="array" aca="1" ref="I71" ca="1">IF(I69=1,I73,ROUND(I73,2)-ROUND(SUMIF(CÁLCULO!$AX$15:$BH$47,"&lt;="&amp;PLE!I69-1,CÁLCULO!$AB$15:$AL$47)*IF(AdmLocal="Automática",(1+CÁLCULO.TotalAdmLocal/(ORÇAMENTO!$X$15-CÁLCULO.TotalAdmLocal)),1),2))</f>
        <v>0</v>
      </c>
      <c r="J71" s="786"/>
      <c r="K71" s="786">
        <f ca="1">ROUND(K73,2)-ROUND(I73,2)</f>
        <v>0</v>
      </c>
      <c r="L71" s="786"/>
      <c r="M71" s="786">
        <f t="shared" ref="M71" ca="1" si="3">ROUND(M73,2)-ROUND(K73,2)</f>
        <v>0</v>
      </c>
      <c r="N71" s="786"/>
      <c r="O71" s="786">
        <f t="shared" ref="O71" ca="1" si="4">ROUND(O73,2)-ROUND(M73,2)</f>
        <v>0</v>
      </c>
      <c r="P71" s="786"/>
      <c r="Q71" s="786">
        <f t="shared" ref="Q71" ca="1" si="5">ROUND(Q73,2)-ROUND(O73,2)</f>
        <v>0</v>
      </c>
      <c r="R71" s="786"/>
      <c r="S71" s="786">
        <f t="shared" ref="S71" ca="1" si="6">ROUND(S73,2)-ROUND(Q73,2)</f>
        <v>0</v>
      </c>
      <c r="T71" s="786"/>
      <c r="U71" s="786">
        <f t="shared" ref="U71" ca="1" si="7">ROUND(U73,2)-ROUND(S73,2)</f>
        <v>0</v>
      </c>
      <c r="V71" s="786"/>
      <c r="W71" s="786">
        <f t="shared" ref="W71" ca="1" si="8">ROUND(W73,2)-ROUND(U73,2)</f>
        <v>0</v>
      </c>
      <c r="X71" s="786"/>
      <c r="Y71" s="786">
        <f t="shared" ref="Y71" ca="1" si="9">ROUND(Y73,2)-ROUND(W73,2)</f>
        <v>0</v>
      </c>
      <c r="Z71" s="786"/>
      <c r="AA71" s="786">
        <f t="shared" ref="AA71" ca="1" si="10">ROUND(AA73,2)-ROUND(Y73,2)</f>
        <v>0</v>
      </c>
      <c r="AB71" s="786"/>
      <c r="AC71" s="786">
        <f t="shared" ref="AC71" ca="1" si="11">ROUND(AC73,2)-ROUND(AA73,2)</f>
        <v>0</v>
      </c>
      <c r="AD71" s="786"/>
      <c r="AE71" s="786">
        <f t="shared" ref="AE71" ca="1" si="12">ROUND(AE73,2)-ROUND(AC73,2)</f>
        <v>0</v>
      </c>
      <c r="AF71" s="786"/>
    </row>
    <row r="72" spans="1:32" x14ac:dyDescent="0.2">
      <c r="A72" s="7" t="s">
        <v>536</v>
      </c>
      <c r="D72" s="799" t="s">
        <v>803</v>
      </c>
      <c r="H72" s="270" t="s">
        <v>781</v>
      </c>
      <c r="I72" s="803" t="e">
        <f ca="1">ROUND(I73,2)/ORÇAMENTO!$X$15</f>
        <v>#DIV/0!</v>
      </c>
      <c r="J72" s="803"/>
      <c r="K72" s="785" t="e">
        <f ca="1">ROUND(K73,2)/ORÇAMENTO!$X$15</f>
        <v>#DIV/0!</v>
      </c>
      <c r="L72" s="785"/>
      <c r="M72" s="785" t="e">
        <f ca="1">ROUND(M73,2)/ORÇAMENTO!$X$15</f>
        <v>#DIV/0!</v>
      </c>
      <c r="N72" s="785"/>
      <c r="O72" s="785" t="e">
        <f ca="1">ROUND(O73,2)/ORÇAMENTO!$X$15</f>
        <v>#DIV/0!</v>
      </c>
      <c r="P72" s="785"/>
      <c r="Q72" s="785" t="e">
        <f ca="1">ROUND(Q73,2)/ORÇAMENTO!$X$15</f>
        <v>#DIV/0!</v>
      </c>
      <c r="R72" s="785"/>
      <c r="S72" s="785" t="e">
        <f ca="1">ROUND(S73,2)/ORÇAMENTO!$X$15</f>
        <v>#DIV/0!</v>
      </c>
      <c r="T72" s="785"/>
      <c r="U72" s="785" t="e">
        <f ca="1">ROUND(U73,2)/ORÇAMENTO!$X$15</f>
        <v>#DIV/0!</v>
      </c>
      <c r="V72" s="785"/>
      <c r="W72" s="785" t="e">
        <f ca="1">ROUND(W73,2)/ORÇAMENTO!$X$15</f>
        <v>#DIV/0!</v>
      </c>
      <c r="X72" s="785"/>
      <c r="Y72" s="785" t="e">
        <f ca="1">ROUND(Y73,2)/ORÇAMENTO!$X$15</f>
        <v>#DIV/0!</v>
      </c>
      <c r="Z72" s="785"/>
      <c r="AA72" s="785" t="e">
        <f ca="1">ROUND(AA73,2)/ORÇAMENTO!$X$15</f>
        <v>#DIV/0!</v>
      </c>
      <c r="AB72" s="785"/>
      <c r="AC72" s="785" t="e">
        <f ca="1">ROUND(AC73,2)/ORÇAMENTO!$X$15</f>
        <v>#DIV/0!</v>
      </c>
      <c r="AD72" s="785"/>
      <c r="AE72" s="785" t="e">
        <f ca="1">ROUND(AE73,2)/ORÇAMENTO!$X$15</f>
        <v>#DIV/0!</v>
      </c>
      <c r="AF72" s="785"/>
    </row>
    <row r="73" spans="1:32" x14ac:dyDescent="0.2">
      <c r="A73" s="7" t="s">
        <v>536</v>
      </c>
      <c r="D73" s="799"/>
      <c r="H73" s="11" t="s">
        <v>782</v>
      </c>
      <c r="I73" s="802" cm="1">
        <f t="array" aca="1" ref="I73" ca="1">SUMIF(CÁLCULO!$AX$15:$BH$47,"&lt;="&amp;PLE!I69,CÁLCULO!$AB$15:$AL$47)*IF(AdmLocal="Automática",(1+CÁLCULO.TotalAdmLocal/(ORÇAMENTO!$X$15-CÁLCULO.TotalAdmLocal)),1)</f>
        <v>0</v>
      </c>
      <c r="J73" s="802"/>
      <c r="K73" s="786" cm="1">
        <f t="array" aca="1" ref="K73" ca="1">SUMIF(CÁLCULO!$AX$15:$BH$47,"&lt;="&amp;PLE!K69,CÁLCULO!$AB$15:$AL$47)*IF(AdmLocal="Automática",(1+CÁLCULO.TotalAdmLocal/(ORÇAMENTO!$X$15-CÁLCULO.TotalAdmLocal)),1)</f>
        <v>0</v>
      </c>
      <c r="L73" s="786"/>
      <c r="M73" s="786" cm="1">
        <f t="array" aca="1" ref="M73" ca="1">SUMIF(CÁLCULO!$AX$15:$BH$47,"&lt;="&amp;PLE!M69,CÁLCULO!$AB$15:$AL$47)*IF(AdmLocal="Automática",(1+CÁLCULO.TotalAdmLocal/(ORÇAMENTO!$X$15-CÁLCULO.TotalAdmLocal)),1)</f>
        <v>0</v>
      </c>
      <c r="N73" s="786"/>
      <c r="O73" s="786" cm="1">
        <f t="array" aca="1" ref="O73" ca="1">SUMIF(CÁLCULO!$AX$15:$BH$47,"&lt;="&amp;PLE!O69,CÁLCULO!$AB$15:$AL$47)*IF(AdmLocal="Automática",(1+CÁLCULO.TotalAdmLocal/(ORÇAMENTO!$X$15-CÁLCULO.TotalAdmLocal)),1)</f>
        <v>0</v>
      </c>
      <c r="P73" s="786"/>
      <c r="Q73" s="786" cm="1">
        <f t="array" aca="1" ref="Q73" ca="1">SUMIF(CÁLCULO!$AX$15:$BH$47,"&lt;="&amp;PLE!Q69,CÁLCULO!$AB$15:$AL$47)*IF(AdmLocal="Automática",(1+CÁLCULO.TotalAdmLocal/(ORÇAMENTO!$X$15-CÁLCULO.TotalAdmLocal)),1)</f>
        <v>0</v>
      </c>
      <c r="R73" s="786"/>
      <c r="S73" s="786" cm="1">
        <f t="array" aca="1" ref="S73" ca="1">SUMIF(CÁLCULO!$AX$15:$BH$47,"&lt;="&amp;PLE!S69,CÁLCULO!$AB$15:$AL$47)*IF(AdmLocal="Automática",(1+CÁLCULO.TotalAdmLocal/(ORÇAMENTO!$X$15-CÁLCULO.TotalAdmLocal)),1)</f>
        <v>0</v>
      </c>
      <c r="T73" s="786"/>
      <c r="U73" s="786" cm="1">
        <f t="array" aca="1" ref="U73" ca="1">SUMIF(CÁLCULO!$AX$15:$BH$47,"&lt;="&amp;PLE!U69,CÁLCULO!$AB$15:$AL$47)*IF(AdmLocal="Automática",(1+CÁLCULO.TotalAdmLocal/(ORÇAMENTO!$X$15-CÁLCULO.TotalAdmLocal)),1)</f>
        <v>0</v>
      </c>
      <c r="V73" s="786"/>
      <c r="W73" s="786" cm="1">
        <f t="array" aca="1" ref="W73" ca="1">SUMIF(CÁLCULO!$AX$15:$BH$47,"&lt;="&amp;PLE!W69,CÁLCULO!$AB$15:$AL$47)*IF(AdmLocal="Automática",(1+CÁLCULO.TotalAdmLocal/(ORÇAMENTO!$X$15-CÁLCULO.TotalAdmLocal)),1)</f>
        <v>0</v>
      </c>
      <c r="X73" s="786"/>
      <c r="Y73" s="786" cm="1">
        <f t="array" aca="1" ref="Y73" ca="1">SUMIF(CÁLCULO!$AX$15:$BH$47,"&lt;="&amp;PLE!Y69,CÁLCULO!$AB$15:$AL$47)*IF(AdmLocal="Automática",(1+CÁLCULO.TotalAdmLocal/(ORÇAMENTO!$X$15-CÁLCULO.TotalAdmLocal)),1)</f>
        <v>0</v>
      </c>
      <c r="Z73" s="786"/>
      <c r="AA73" s="786" cm="1">
        <f t="array" aca="1" ref="AA73" ca="1">SUMIF(CÁLCULO!$AX$15:$BH$47,"&lt;="&amp;PLE!AA69,CÁLCULO!$AB$15:$AL$47)*IF(AdmLocal="Automática",(1+CÁLCULO.TotalAdmLocal/(ORÇAMENTO!$X$15-CÁLCULO.TotalAdmLocal)),1)</f>
        <v>0</v>
      </c>
      <c r="AB73" s="786"/>
      <c r="AC73" s="786" cm="1">
        <f t="array" aca="1" ref="AC73" ca="1">SUMIF(CÁLCULO!$AX$15:$BH$47,"&lt;="&amp;PLE!AC69,CÁLCULO!$AB$15:$AL$47)*IF(AdmLocal="Automática",(1+CÁLCULO.TotalAdmLocal/(ORÇAMENTO!$X$15-CÁLCULO.TotalAdmLocal)),1)</f>
        <v>0</v>
      </c>
      <c r="AD73" s="786"/>
      <c r="AE73" s="786" cm="1">
        <f t="array" aca="1" ref="AE73" ca="1">SUMIF(CÁLCULO!$AX$15:$BH$47,"&lt;="&amp;PLE!AE69,CÁLCULO!$AB$15:$AL$47)*IF(AdmLocal="Automática",(1+CÁLCULO.TotalAdmLocal/(ORÇAMENTO!$X$15-CÁLCULO.TotalAdmLocal)),1)</f>
        <v>0</v>
      </c>
      <c r="AF73" s="786"/>
    </row>
    <row r="74" spans="1:32" ht="12.75" customHeight="1" x14ac:dyDescent="0.2">
      <c r="A74" s="7"/>
      <c r="D74" s="552" t="s">
        <v>784</v>
      </c>
      <c r="H74" s="551" t="s">
        <v>781</v>
      </c>
      <c r="I74" s="744">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4"/>
      <c r="K74" s="744">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4"/>
      <c r="M74" s="744">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4"/>
      <c r="O74" s="744">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4"/>
      <c r="Q74" s="744">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4"/>
      <c r="S74" s="744">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4"/>
      <c r="U74" s="744">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4"/>
      <c r="W74" s="744">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4"/>
      <c r="Y74" s="744">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4"/>
      <c r="AA74" s="744">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4"/>
      <c r="AC74" s="744">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4"/>
      <c r="AE74" s="744">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4"/>
    </row>
    <row r="75" spans="1:32" ht="13.5" x14ac:dyDescent="0.25">
      <c r="A75" s="7" t="s">
        <v>536</v>
      </c>
      <c r="D75" s="523"/>
      <c r="H75" s="583" t="str">
        <f ca="1">IF(COUNTIF(I75:AG75,"%Adm&gt;%Global")&gt;0,"Verificar proporcionalidade da Administração Local","")</f>
        <v/>
      </c>
      <c r="I75" s="535" t="e">
        <f ca="1">IF(I74="","",IF(ROUND(I74,4)&gt;ROUND(I72,4),"%Adm&gt;%Global",""))</f>
        <v>#DIV/0!</v>
      </c>
      <c r="J75" s="524"/>
      <c r="K75" s="535" t="e">
        <f t="shared" ref="K75" ca="1" si="13">IF(K74="","",IF(ROUND(K74,4)&gt;ROUND(K72,4),"%Adm&gt;%Global",""))</f>
        <v>#DIV/0!</v>
      </c>
      <c r="L75" s="524"/>
      <c r="M75" s="535" t="e">
        <f t="shared" ref="M75" ca="1" si="14">IF(M74="","",IF(ROUND(M74,4)&gt;ROUND(M72,4),"%Adm&gt;%Global",""))</f>
        <v>#DIV/0!</v>
      </c>
      <c r="N75" s="524"/>
      <c r="O75" s="535" t="e">
        <f t="shared" ref="O75" ca="1" si="15">IF(O74="","",IF(ROUND(O74,4)&gt;ROUND(O72,4),"%Adm&gt;%Global",""))</f>
        <v>#DIV/0!</v>
      </c>
      <c r="P75" s="524"/>
      <c r="Q75" s="535" t="e">
        <f t="shared" ref="Q75" ca="1" si="16">IF(Q74="","",IF(ROUND(Q74,4)&gt;ROUND(Q72,4),"%Adm&gt;%Global",""))</f>
        <v>#DIV/0!</v>
      </c>
      <c r="R75" s="524"/>
      <c r="S75" s="535" t="e">
        <f t="shared" ref="S75" ca="1" si="17">IF(S74="","",IF(ROUND(S74,4)&gt;ROUND(S72,4),"%Adm&gt;%Global",""))</f>
        <v>#DIV/0!</v>
      </c>
      <c r="T75" s="524"/>
      <c r="U75" s="535" t="e">
        <f t="shared" ref="U75" ca="1" si="18">IF(U74="","",IF(ROUND(U74,4)&gt;ROUND(U72,4),"%Adm&gt;%Global",""))</f>
        <v>#DIV/0!</v>
      </c>
      <c r="V75" s="524"/>
      <c r="W75" s="535" t="e">
        <f t="shared" ref="W75" ca="1" si="19">IF(W74="","",IF(ROUND(W74,4)&gt;ROUND(W72,4),"%Adm&gt;%Global",""))</f>
        <v>#DIV/0!</v>
      </c>
      <c r="X75" s="524"/>
      <c r="Y75" s="535" t="e">
        <f t="shared" ref="Y75" ca="1" si="20">IF(Y74="","",IF(ROUND(Y74,4)&gt;ROUND(Y72,4),"%Adm&gt;%Global",""))</f>
        <v>#DIV/0!</v>
      </c>
      <c r="Z75" s="524"/>
      <c r="AA75" s="535" t="e">
        <f t="shared" ref="AA75" ca="1" si="21">IF(AA74="","",IF(ROUND(AA74,4)&gt;ROUND(AA72,4),"%Adm&gt;%Global",""))</f>
        <v>#DIV/0!</v>
      </c>
      <c r="AB75" s="524"/>
      <c r="AC75" s="535" t="e">
        <f t="shared" ref="AC75" ca="1" si="22">IF(AC74="","",IF(ROUND(AC74,4)&gt;ROUND(AC72,4),"%Adm&gt;%Global",""))</f>
        <v>#DIV/0!</v>
      </c>
      <c r="AD75" s="524"/>
      <c r="AE75" s="535" t="e">
        <f t="shared" ref="AE75" ca="1" si="23">IF(AE74="","",IF(ROUND(AE74,4)&gt;ROUND(AE72,4),"%Adm&gt;%Global",""))</f>
        <v>#DIV/0!</v>
      </c>
      <c r="AF75" s="524"/>
    </row>
    <row r="76" spans="1:32" ht="20.25" customHeight="1" x14ac:dyDescent="0.2">
      <c r="A76" s="7" t="s">
        <v>536</v>
      </c>
      <c r="I76" s="804"/>
      <c r="J76" s="804"/>
    </row>
    <row r="77" spans="1:32" ht="15" x14ac:dyDescent="0.25">
      <c r="A77" s="7" t="s">
        <v>536</v>
      </c>
      <c r="B77" s="716" t="str">
        <f>Import.Município</f>
        <v>PASSOS MG</v>
      </c>
      <c r="C77" s="716"/>
      <c r="D77" s="716"/>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10">
        <f>DADOS!$C$48</f>
        <v>0</v>
      </c>
      <c r="C80" s="710"/>
      <c r="D80" s="710"/>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eASkK47iCThms74GHR0gsQ7J0pz4W++cZkJTsNcx93PGF8UfSHGd0pLTORfjxMA4ea5OxGBB0+/JFbPFwpf5MQ==" saltValue="Fm+ez1fQCr6JIl4Yic8j0Q==" spinCount="100000" sheet="1" objects="1" scenarios="1" autoFilter="0"/>
  <autoFilter ref="A13:A81" xr:uid="{00000000-0009-0000-0000-000009000000}"/>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123" priority="2721" stopIfTrue="1">
      <formula>IF(OR(ACOMPANHAMENTO="BM",F$12&gt;CÁLCULO.NúmeroDeFrentes),TRUE,PLE.ValorDoEvento=0)</formula>
    </cfRule>
    <cfRule type="cellIs" dxfId="122" priority="2722" stopIfTrue="1" operator="equal">
      <formula>$J$9</formula>
    </cfRule>
  </conditionalFormatting>
  <conditionalFormatting sqref="I70:AF70">
    <cfRule type="expression" dxfId="121" priority="2723" stopIfTrue="1">
      <formula>I69=$J$9</formula>
    </cfRule>
  </conditionalFormatting>
  <conditionalFormatting sqref="I71:AF71">
    <cfRule type="expression" dxfId="120" priority="2724" stopIfTrue="1">
      <formula>I69=$J$9</formula>
    </cfRule>
  </conditionalFormatting>
  <conditionalFormatting sqref="I72:AF72">
    <cfRule type="expression" dxfId="119" priority="2725" stopIfTrue="1">
      <formula>I69=$J$9</formula>
    </cfRule>
  </conditionalFormatting>
  <conditionalFormatting sqref="I73:AF73">
    <cfRule type="expression" dxfId="118" priority="2726" stopIfTrue="1">
      <formula>I69=$J$9</formula>
    </cfRule>
  </conditionalFormatting>
  <conditionalFormatting sqref="I69:J69">
    <cfRule type="cellIs" dxfId="117" priority="2720" stopIfTrue="1" operator="notEqual">
      <formula>1</formula>
    </cfRule>
  </conditionalFormatting>
  <conditionalFormatting sqref="H1:AF1">
    <cfRule type="expression" dxfId="116" priority="2738" stopIfTrue="1">
      <formula>IF(OR(ACOMPANHAMENTO="BM",TIPOORCAMENTO="Proposto",H$12&gt;CÁLCULO.NúmeroDeFrentes),TRUE,PLE.ValorDoEvento=0)</formula>
    </cfRule>
    <cfRule type="cellIs" dxfId="115" priority="2739" stopIfTrue="1" operator="equal">
      <formula>$J$9</formula>
    </cfRule>
  </conditionalFormatting>
  <conditionalFormatting sqref="AE6:AE7">
    <cfRule type="expression" dxfId="114" priority="2727" stopIfTrue="1">
      <formula>TIPOORCAMENTO&lt;&gt;"Licitado"</formula>
    </cfRule>
  </conditionalFormatting>
  <conditionalFormatting sqref="N9:T9">
    <cfRule type="expression" dxfId="113" priority="2728" stopIfTrue="1">
      <formula>COLUMN(N9)&gt;COLUMN($AF$12)</formula>
    </cfRule>
    <cfRule type="expression" dxfId="112" priority="2729" stopIfTrue="1">
      <formula>$N$9="DIGITE A DATA DA MEDIÇÃO"</formula>
    </cfRule>
  </conditionalFormatting>
  <conditionalFormatting sqref="I9:M9 U9:AF9">
    <cfRule type="expression" dxfId="111" priority="2730" stopIfTrue="1">
      <formula>COLUMN(I9)&gt;COLUMN($AF$12)</formula>
    </cfRule>
  </conditionalFormatting>
  <conditionalFormatting sqref="K70:AF73">
    <cfRule type="expression" dxfId="110" priority="1736" stopIfTrue="1">
      <formula>I$72=100%</formula>
    </cfRule>
  </conditionalFormatting>
  <conditionalFormatting sqref="J75 L75 N75 P75 R75 T75 V75 X75 Z75 AB75 AD75 AF75">
    <cfRule type="expression" dxfId="109" priority="14447" stopIfTrue="1">
      <formula>J70=$J$9</formula>
    </cfRule>
  </conditionalFormatting>
  <conditionalFormatting sqref="K74:AF74">
    <cfRule type="expression" dxfId="108" priority="1735">
      <formula>OFFSET(K74,-2,-2)=1</formula>
    </cfRule>
  </conditionalFormatting>
  <conditionalFormatting sqref="I74:AF74">
    <cfRule type="expression" dxfId="107" priority="1734">
      <formula>ROUND(I74,4)&gt;ROUND(I72,4)</formula>
    </cfRule>
  </conditionalFormatting>
  <conditionalFormatting sqref="N13">
    <cfRule type="expression" dxfId="106" priority="1733">
      <formula>$Y$9=0</formula>
    </cfRule>
  </conditionalFormatting>
  <conditionalFormatting sqref="F16:F24">
    <cfRule type="expression" dxfId="105" priority="21" stopIfTrue="1">
      <formula>IF(OR(ACOMPANHAMENTO="BM",F$12&gt;CÁLCULO.NúmeroDeFrentes),TRUE,PLE.ValorDoEvento=0)</formula>
    </cfRule>
    <cfRule type="cellIs" dxfId="104" priority="22" stopIfTrue="1" operator="equal">
      <formula>$J$9</formula>
    </cfRule>
  </conditionalFormatting>
  <conditionalFormatting sqref="H16:AF24">
    <cfRule type="expression" dxfId="103" priority="23" stopIfTrue="1">
      <formula>IF(OR(ACOMPANHAMENTO="BM",TIPOORCAMENTO="Proposto",H$12&gt;CÁLCULO.NúmeroDeFrentes),TRUE,PLE.ValorDoEvento=0)</formula>
    </cfRule>
    <cfRule type="cellIs" dxfId="102" priority="24" stopIfTrue="1" operator="equal">
      <formula>$J$9</formula>
    </cfRule>
  </conditionalFormatting>
  <conditionalFormatting sqref="F25:F33">
    <cfRule type="expression" dxfId="101" priority="17" stopIfTrue="1">
      <formula>IF(OR(ACOMPANHAMENTO="BM",F$12&gt;CÁLCULO.NúmeroDeFrentes),TRUE,PLE.ValorDoEvento=0)</formula>
    </cfRule>
    <cfRule type="cellIs" dxfId="100" priority="18" stopIfTrue="1" operator="equal">
      <formula>$J$9</formula>
    </cfRule>
  </conditionalFormatting>
  <conditionalFormatting sqref="H25:AF33">
    <cfRule type="expression" dxfId="99" priority="19" stopIfTrue="1">
      <formula>IF(OR(ACOMPANHAMENTO="BM",TIPOORCAMENTO="Proposto",H$12&gt;CÁLCULO.NúmeroDeFrentes),TRUE,PLE.ValorDoEvento=0)</formula>
    </cfRule>
    <cfRule type="cellIs" dxfId="98" priority="20" stopIfTrue="1" operator="equal">
      <formula>$J$9</formula>
    </cfRule>
  </conditionalFormatting>
  <conditionalFormatting sqref="F34:F42">
    <cfRule type="expression" dxfId="97" priority="13" stopIfTrue="1">
      <formula>IF(OR(ACOMPANHAMENTO="BM",F$12&gt;CÁLCULO.NúmeroDeFrentes),TRUE,PLE.ValorDoEvento=0)</formula>
    </cfRule>
    <cfRule type="cellIs" dxfId="96" priority="14" stopIfTrue="1" operator="equal">
      <formula>$J$9</formula>
    </cfRule>
  </conditionalFormatting>
  <conditionalFormatting sqref="H34:AF42">
    <cfRule type="expression" dxfId="95" priority="15" stopIfTrue="1">
      <formula>IF(OR(ACOMPANHAMENTO="BM",TIPOORCAMENTO="Proposto",H$12&gt;CÁLCULO.NúmeroDeFrentes),TRUE,PLE.ValorDoEvento=0)</formula>
    </cfRule>
    <cfRule type="cellIs" dxfId="94" priority="16" stopIfTrue="1" operator="equal">
      <formula>$J$9</formula>
    </cfRule>
  </conditionalFormatting>
  <conditionalFormatting sqref="F43:F51">
    <cfRule type="expression" dxfId="93" priority="9" stopIfTrue="1">
      <formula>IF(OR(ACOMPANHAMENTO="BM",F$12&gt;CÁLCULO.NúmeroDeFrentes),TRUE,PLE.ValorDoEvento=0)</formula>
    </cfRule>
    <cfRule type="cellIs" dxfId="92" priority="10" stopIfTrue="1" operator="equal">
      <formula>$J$9</formula>
    </cfRule>
  </conditionalFormatting>
  <conditionalFormatting sqref="H43:AF51">
    <cfRule type="expression" dxfId="91" priority="11" stopIfTrue="1">
      <formula>IF(OR(ACOMPANHAMENTO="BM",TIPOORCAMENTO="Proposto",H$12&gt;CÁLCULO.NúmeroDeFrentes),TRUE,PLE.ValorDoEvento=0)</formula>
    </cfRule>
    <cfRule type="cellIs" dxfId="90" priority="12" stopIfTrue="1" operator="equal">
      <formula>$J$9</formula>
    </cfRule>
  </conditionalFormatting>
  <conditionalFormatting sqref="F52:F60">
    <cfRule type="expression" dxfId="89" priority="5" stopIfTrue="1">
      <formula>IF(OR(ACOMPANHAMENTO="BM",F$12&gt;CÁLCULO.NúmeroDeFrentes),TRUE,PLE.ValorDoEvento=0)</formula>
    </cfRule>
    <cfRule type="cellIs" dxfId="88" priority="6" stopIfTrue="1" operator="equal">
      <formula>$J$9</formula>
    </cfRule>
  </conditionalFormatting>
  <conditionalFormatting sqref="H52:AF60">
    <cfRule type="expression" dxfId="87" priority="7" stopIfTrue="1">
      <formula>IF(OR(ACOMPANHAMENTO="BM",TIPOORCAMENTO="Proposto",H$12&gt;CÁLCULO.NúmeroDeFrentes),TRUE,PLE.ValorDoEvento=0)</formula>
    </cfRule>
    <cfRule type="cellIs" dxfId="86" priority="8" stopIfTrue="1" operator="equal">
      <formula>$J$9</formula>
    </cfRule>
  </conditionalFormatting>
  <conditionalFormatting sqref="F61:F64">
    <cfRule type="expression" dxfId="85" priority="1" stopIfTrue="1">
      <formula>IF(OR(ACOMPANHAMENTO="BM",F$12&gt;CÁLCULO.NúmeroDeFrentes),TRUE,PLE.ValorDoEvento=0)</formula>
    </cfRule>
    <cfRule type="cellIs" dxfId="84" priority="2" stopIfTrue="1" operator="equal">
      <formula>$J$9</formula>
    </cfRule>
  </conditionalFormatting>
  <conditionalFormatting sqref="H61:AF64">
    <cfRule type="expression" dxfId="83" priority="3" stopIfTrue="1">
      <formula>IF(OR(ACOMPANHAMENTO="BM",TIPOORCAMENTO="Proposto",H$12&gt;CÁLCULO.NúmeroDeFrentes),TRUE,PLE.ValorDoEvento=0)</formula>
    </cfRule>
    <cfRule type="cellIs" dxfId="82"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2"/>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05" t="b">
        <v>0</v>
      </c>
      <c r="B3" s="805"/>
      <c r="E3" s="86"/>
    </row>
    <row r="4" spans="1:41" x14ac:dyDescent="0.2">
      <c r="D4" s="683" t="s">
        <v>652</v>
      </c>
      <c r="E4" s="683"/>
      <c r="F4" s="721" t="s">
        <v>650</v>
      </c>
      <c r="G4" s="721"/>
      <c r="H4" s="721"/>
      <c r="I4" s="145" t="s">
        <v>707</v>
      </c>
      <c r="J4" s="683" t="s">
        <v>708</v>
      </c>
      <c r="K4" s="683"/>
      <c r="L4" s="683"/>
      <c r="M4" s="683"/>
      <c r="N4" s="683"/>
      <c r="O4" s="147" t="s">
        <v>843</v>
      </c>
    </row>
    <row r="5" spans="1:41" ht="12.75" customHeight="1" x14ac:dyDescent="0.2">
      <c r="A5" t="s">
        <v>844</v>
      </c>
      <c r="D5" s="680" t="str">
        <f>Import.Proponente</f>
        <v>PRFEITURA MUNICIPAL DE PASSOS</v>
      </c>
      <c r="E5" s="680"/>
      <c r="F5" s="719">
        <f>Import.CR</f>
        <v>0</v>
      </c>
      <c r="G5" s="719"/>
      <c r="H5" s="719"/>
      <c r="I5" s="322">
        <f>Import.TransfereGOV</f>
        <v>0</v>
      </c>
      <c r="J5" s="680" t="str">
        <f>Import.Apelido</f>
        <v>PRAÇA SÃO FRANCISCO</v>
      </c>
      <c r="K5" s="680"/>
      <c r="L5" s="680"/>
      <c r="M5" s="680"/>
      <c r="N5" s="680"/>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683" t="s">
        <v>848</v>
      </c>
      <c r="G7" s="683"/>
      <c r="H7" s="683"/>
      <c r="I7" s="683" t="str" cm="1">
        <f t="array" ref="I7">IF(TIPOORCAMENTO="Licitado","REGIME DE EXECUÇÃO","MUNICÍPIO / UF")</f>
        <v>MUNICÍPIO / UF</v>
      </c>
      <c r="J7" s="683"/>
      <c r="K7" s="683"/>
      <c r="L7" s="683"/>
      <c r="M7" s="683" t="s">
        <v>849</v>
      </c>
      <c r="N7" s="683"/>
      <c r="O7" s="87" t="s">
        <v>850</v>
      </c>
      <c r="AO7" s="275" cm="1">
        <f t="array" aca="1" ref="AO7" ca="1">BM.MEDAcumulado</f>
        <v>0</v>
      </c>
    </row>
    <row r="8" spans="1:41" ht="12.75" customHeight="1" x14ac:dyDescent="0.2">
      <c r="A8" s="320" t="s">
        <v>851</v>
      </c>
      <c r="B8" s="2"/>
      <c r="C8" s="709" t="s">
        <v>655</v>
      </c>
      <c r="D8" s="326">
        <f>Import.CTEF</f>
        <v>0</v>
      </c>
      <c r="E8" s="56">
        <f>Import.empresa</f>
        <v>0</v>
      </c>
      <c r="F8" s="680">
        <f>Import.CNPJ</f>
        <v>0</v>
      </c>
      <c r="G8" s="680"/>
      <c r="H8" s="680"/>
      <c r="I8" s="680" t="str" cm="1">
        <f t="array" ref="I8">IF(TIPOORCAMENTO="Licitado",Import.RegimeExecução,Import.Município)</f>
        <v>PASSOS MG</v>
      </c>
      <c r="J8" s="680"/>
      <c r="K8" s="680"/>
      <c r="L8" s="680"/>
      <c r="M8" s="680" t="str" cm="1">
        <f t="array" aca="1" ref="M8" ca="1">TEXT(IF(BM.medicao=1,Import.DataInicioObra,OFFSET($AB$12,0,BM.medicao-1-$AB$13)+1),"dd/mm/aaaa")&amp;" a "&amp;TEXT(OFFSET($AB$12,0,BM.medicao-$AB$13),"dd/mm/aaaa")</f>
        <v>00/01/Saturday a 00/01/Saturday</v>
      </c>
      <c r="N8" s="680"/>
      <c r="O8" s="422">
        <v>1</v>
      </c>
    </row>
    <row r="9" spans="1:41" ht="12.75" customHeight="1" x14ac:dyDescent="0.2">
      <c r="A9" s="559" t="b">
        <v>1</v>
      </c>
      <c r="B9" s="4"/>
      <c r="C9" s="709"/>
    </row>
    <row r="10" spans="1:41" ht="13.35" customHeight="1" x14ac:dyDescent="0.2">
      <c r="A10" s="410" t="s">
        <v>852</v>
      </c>
      <c r="B10" s="411"/>
      <c r="C10" s="709"/>
      <c r="E10" s="556"/>
      <c r="F10" s="806"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IF($J$57&lt;&gt;"",UPPER($J$57),
 "")))))))</f>
        <v>Altere na aba 'MENU' o tipo de orçamento para 'Licitado'.</v>
      </c>
      <c r="G10" s="806"/>
      <c r="H10" s="806"/>
      <c r="I10" s="806"/>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OFFSET(CRONO!$F$13,CRONO!$F$46,0)</f>
        <v>4</v>
      </c>
      <c r="B11" s="418"/>
      <c r="C11" s="709"/>
      <c r="E11" s="556"/>
      <c r="F11" s="806"/>
      <c r="G11" s="806"/>
      <c r="H11" s="806"/>
      <c r="I11" s="806"/>
      <c r="N11" s="557"/>
      <c r="O11" s="558" t="str">
        <f ca="1">IF(ISERROR(P11),"","Administração Local Acumulada: "&amp;TEXT(P11,"0,00%"))</f>
        <v/>
      </c>
      <c r="P11" s="561" t="e">
        <f ca="1">OFFSET($O$15,$A$11,0)/OFFSET($I$15,$A$11,0)</f>
        <v>#DIV/0!</v>
      </c>
      <c r="T11" s="807" t="s">
        <v>853</v>
      </c>
      <c r="U11" s="807"/>
      <c r="Z11" s="4"/>
      <c r="AB11" s="787" t="s">
        <v>854</v>
      </c>
      <c r="AC11" s="787"/>
      <c r="AD11" s="787"/>
      <c r="AE11" s="787"/>
      <c r="AF11" s="787"/>
      <c r="AG11" s="787"/>
      <c r="AH11" s="787"/>
      <c r="AI11" s="787"/>
      <c r="AJ11" s="787"/>
      <c r="AK11" s="787"/>
      <c r="AL11" s="787"/>
      <c r="AM11" s="787"/>
    </row>
    <row r="12" spans="1:41" ht="15" customHeight="1" x14ac:dyDescent="0.25">
      <c r="C12" s="709"/>
      <c r="E12" s="84" t="s">
        <v>855</v>
      </c>
      <c r="J12" s="682" t="str" cm="1">
        <f t="array" aca="1" ref="J12" ca="1">"Evolução Física "&amp;CHOOSE(MATCH(RegimeExecucao,{"Unitário","Global"},0),"(Qtde.)","(%)")</f>
        <v>Evolução Física (Qtde.)</v>
      </c>
      <c r="K12" s="682"/>
      <c r="L12" s="682"/>
      <c r="M12" s="682" t="s">
        <v>856</v>
      </c>
      <c r="N12" s="682"/>
      <c r="O12" s="682"/>
      <c r="Q12" s="682" t="str" cm="1">
        <f t="array" aca="1" ref="Q12" ca="1">"Aferido (CAIXA) "&amp;CHOOSE(MATCH(RegimeExecucao,{"Unitário","Global"},0),"(Qtde.)","(%)")</f>
        <v>Aferido (CAIXA) (Qtde.)</v>
      </c>
      <c r="R12" s="682"/>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3" t="str">
        <f>"Objeto do CTEF: "&amp;Import.DescLote</f>
        <v xml:space="preserve">Objeto do CTEF: </v>
      </c>
      <c r="E15" s="813"/>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IF(OR(ACOMPANHAMENTO="PLE",TIPOORCAMENTO="Proposto"),0,SUMIF(OFFSET($A15,1,0):$A$47,"S",OFFSET(M15,1,0):M$47))</f>
        <v>0</v>
      </c>
      <c r="N15" s="341">
        <f ca="1">O15-M15</f>
        <v>0</v>
      </c>
      <c r="O15" s="341" cm="1">
        <f t="array" aca="1" ref="O15" ca="1">IF(OR(ACOMPANHAMENTO="PLE",TIPOORCAMENTO="Proposto"),0,SUMIF(OFFSET($A15,1,0):$A$47,"S",OFFSET(O15,1,0):O$47))</f>
        <v>0</v>
      </c>
      <c r="Q15" s="342"/>
      <c r="R15" s="342"/>
      <c r="T15" s="343"/>
      <c r="U15" s="344"/>
      <c r="V15" s="344"/>
      <c r="W15" s="344"/>
      <c r="X15" s="344"/>
      <c r="Y15" s="344"/>
      <c r="Z15" s="345"/>
      <c r="AB15" s="809" t="str" cm="1">
        <f t="array" aca="1" ref="AB15" ca="1">"Preencher abaixo com a "&amp;CHOOSE(MATCH(RegimeExecucao,{"Unitário","Global"},0),"QUANTIDADE","PORCENTAGEM")&amp;" executada no PERÍODO"</f>
        <v>Preencher abaixo com a QUANTIDADE executada no PERÍODO</v>
      </c>
      <c r="AC15" s="809"/>
      <c r="AD15" s="809"/>
      <c r="AE15" s="809"/>
      <c r="AF15" s="809"/>
      <c r="AG15" s="809"/>
      <c r="AH15" s="809"/>
      <c r="AI15" s="809"/>
      <c r="AJ15" s="809"/>
      <c r="AK15" s="809"/>
      <c r="AL15" s="809"/>
      <c r="AM15" s="809"/>
    </row>
    <row r="16" spans="1:41" x14ac:dyDescent="0.2">
      <c r="A16">
        <f ca="1">ORÇAMENTO!C16</f>
        <v>1</v>
      </c>
      <c r="B16">
        <f ca="1">ORÇAMENTO!D16</f>
        <v>31</v>
      </c>
      <c r="C16" s="114" t="str">
        <f t="shared" ref="C16:C44" ca="1" si="1">IF(OR($I16&gt;0,$A16=1,$A16=2,$A16=3,$A16=4),"F","")</f>
        <v>F</v>
      </c>
      <c r="D16" s="117" t="str">
        <f ca="1">ORÇAMENTO!O16</f>
        <v>1.</v>
      </c>
      <c r="E16" s="163" t="str">
        <f t="shared" ref="E16:E44" si="2">ORÇAMENTO.Descricao</f>
        <v>REFORMA PRAÇA SÃO FRANCISCO</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0</v>
      </c>
      <c r="J16" s="333" cm="1">
        <f t="array" aca="1" ref="J16" ca="1">IF($A16="S",IF(CAIXA.Modo,BM.AFAnterior,BM.MEDAnterior),IF(AND(RegimeExecucao="Global",$I16&gt;0,COUNTIF($AB$13:$AM$13,BM.medicao-1)&gt;0),M16/$I16*100,0))</f>
        <v>0</v>
      </c>
      <c r="K16" s="122">
        <f t="shared" ref="K16:K44"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44" ca="1" si="4">O16-M16</f>
        <v>0</v>
      </c>
      <c r="O16" s="125" cm="1">
        <f t="array" aca="1" ref="O16" ca="1">IF($A16="S",VTOTALBM,IF($A16=0,0,ROUND(SomaAgrupBM,15-13*ORÇAMENTO!$AF$11)))</f>
        <v>0</v>
      </c>
      <c r="Q16" s="337"/>
      <c r="R16" s="338"/>
      <c r="T16" s="117" t="str">
        <f t="shared" ref="T16:T44" ca="1" si="5">IF($W16&gt;0,$D16,"")</f>
        <v/>
      </c>
      <c r="U16" s="163" t="str">
        <f t="shared" ref="U16:U44"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44" ca="1" si="7">AO16-O16</f>
        <v>0</v>
      </c>
      <c r="Z16" s="473"/>
      <c r="AB16" s="337"/>
      <c r="AC16" s="437"/>
      <c r="AD16" s="437"/>
      <c r="AE16" s="437"/>
      <c r="AF16" s="437"/>
      <c r="AG16" s="437"/>
      <c r="AH16" s="437"/>
      <c r="AI16" s="437"/>
      <c r="AJ16" s="437"/>
      <c r="AK16" s="437"/>
      <c r="AL16" s="437"/>
      <c r="AM16" s="338"/>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4" t="str">
        <f t="shared" ca="1" si="1"/>
        <v>F</v>
      </c>
      <c r="D17" s="117" t="str">
        <f ca="1">ORÇAMENTO!O17</f>
        <v>1.1.</v>
      </c>
      <c r="E17" s="163" t="str">
        <f t="shared" si="2"/>
        <v>PLACA DA OBRA</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0</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ht="76.5" x14ac:dyDescent="0.2">
      <c r="A18" t="str">
        <f ca="1">ORÇAMENTO!C18</f>
        <v>S</v>
      </c>
      <c r="B18">
        <f ca="1">ORÇAMENTO!D18</f>
        <v>0</v>
      </c>
      <c r="C18" s="114" t="str">
        <f t="shared" ca="1" si="1"/>
        <v/>
      </c>
      <c r="D18" s="117" t="str">
        <f ca="1">ORÇAMENTO!O18</f>
        <v>-</v>
      </c>
      <c r="E18" s="163" t="str">
        <f t="shared" ca="1" si="2"/>
        <v>(Código não identificado nas referências)</v>
      </c>
      <c r="F18" s="164" t="str" cm="1">
        <f t="array" aca="1" ref="F18" ca="1">IF(RegimeExecucao="Global","",ORÇAMENTO.Unidade)</f>
        <v>-</v>
      </c>
      <c r="G18" s="122" cm="1">
        <f t="array" aca="1" ref="G18" ca="1">IF(RegimeExecucao="Global","",ORÇAMENTO!T18)</f>
        <v>1.5</v>
      </c>
      <c r="H18" s="122" cm="1">
        <f t="array" aca="1" ref="H18" ca="1">IF(RegimeExecucao="Global","",ORÇAMENTO!W18)</f>
        <v>0</v>
      </c>
      <c r="I18" s="125">
        <f ca="1">ORÇAMENTO!X18</f>
        <v>0</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6</v>
      </c>
      <c r="C19" s="114" t="str">
        <f ca="1">IF(OR($I19&gt;0,$A19=1,$A19=2,$A19=3,$A19=4),"F","")</f>
        <v>F</v>
      </c>
      <c r="D19" s="117" t="str">
        <f ca="1">ORÇAMENTO!O19</f>
        <v>1.2.</v>
      </c>
      <c r="E19" s="163" t="str">
        <f>ORÇAMENTO.Descricao</f>
        <v>CANTEIRO DE OBRAS</v>
      </c>
      <c r="F19" s="164" t="str" cm="1">
        <f t="array" aca="1" ref="F19" ca="1">IF(RegimeExecucao="Global","",ORÇAMENTO.Unidade)</f>
        <v>-</v>
      </c>
      <c r="G19" s="122" cm="1">
        <f t="array" aca="1" ref="G19" ca="1">IF(RegimeExecucao="Global","",ORÇAMENTO!T19)</f>
        <v>0</v>
      </c>
      <c r="H19" s="122" cm="1">
        <f t="array" aca="1" ref="H19" ca="1">IF(RegimeExecucao="Global","",ORÇAMENTO!W19)</f>
        <v>0</v>
      </c>
      <c r="I19" s="125">
        <f ca="1">ORÇAMENTO!X19</f>
        <v>0</v>
      </c>
      <c r="J19" s="333" cm="1">
        <f t="array" aca="1" ref="J19" ca="1">IF($A19="S",IF(CAIXA.Modo,BM.AFAnterior,BM.MEDAnterior),IF(AND(RegimeExecucao="Global",$I19&gt;0,COUNTIF($AB$13:$AM$13,BM.medicao-1)&gt;0),M19/$I19*100,0))</f>
        <v>0</v>
      </c>
      <c r="K19" s="122">
        <f ca="1">L19-J19</f>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ca="1">O19-M19</f>
        <v>0</v>
      </c>
      <c r="O19" s="125" cm="1">
        <f t="array" aca="1" ref="O19" ca="1">IF($A19="S",VTOTALBM,IF($A19=0,0,ROUND(SomaAgrupBM,15-13*ORÇAMENTO!$AF$11)))</f>
        <v>0</v>
      </c>
      <c r="Q19" s="337"/>
      <c r="R19" s="338"/>
      <c r="T19" s="117" t="str">
        <f ca="1">IF($W19&gt;0,$D19,"")</f>
        <v/>
      </c>
      <c r="U19" s="163" t="str">
        <f ca="1">IF($W19&gt;0,$E19,"")</f>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ca="1">AO19-O19</f>
        <v>0</v>
      </c>
      <c r="Z19" s="473"/>
      <c r="AB19" s="337"/>
      <c r="AC19" s="437"/>
      <c r="AD19" s="437"/>
      <c r="AE19" s="437"/>
      <c r="AF19" s="437"/>
      <c r="AG19" s="437"/>
      <c r="AH19" s="437"/>
      <c r="AI19" s="437"/>
      <c r="AJ19" s="437"/>
      <c r="AK19" s="437"/>
      <c r="AL19" s="437"/>
      <c r="AM19" s="338"/>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ht="89.25" x14ac:dyDescent="0.2">
      <c r="A20" t="str">
        <f ca="1">ORÇAMENTO!C20</f>
        <v>S</v>
      </c>
      <c r="B20">
        <f ca="1">ORÇAMENTO!D20</f>
        <v>0</v>
      </c>
      <c r="C20" s="114" t="str">
        <f t="shared" ca="1" si="1"/>
        <v/>
      </c>
      <c r="D20" s="117" t="str">
        <f ca="1">ORÇAMENTO!O20</f>
        <v>-</v>
      </c>
      <c r="E20" s="163" t="str">
        <f t="shared" ca="1" si="2"/>
        <v>(Código não identificado nas referências)</v>
      </c>
      <c r="F20" s="164" t="str" cm="1">
        <f t="array" aca="1" ref="F20" ca="1">IF(RegimeExecucao="Global","",ORÇAMENTO.Unidade)</f>
        <v>-</v>
      </c>
      <c r="G20" s="122" cm="1">
        <f t="array" aca="1" ref="G20" ca="1">IF(RegimeExecucao="Global","",ORÇAMENTO!T20)</f>
        <v>3</v>
      </c>
      <c r="H20" s="122" cm="1">
        <f t="array" aca="1" ref="H20" ca="1">IF(RegimeExecucao="Global","",ORÇAMENTO!W20)</f>
        <v>0</v>
      </c>
      <c r="I20" s="125">
        <f ca="1">ORÇAMENTO!X20</f>
        <v>0</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ht="25.5" x14ac:dyDescent="0.2">
      <c r="A21" t="str">
        <f ca="1">ORÇAMENTO!C21</f>
        <v>S</v>
      </c>
      <c r="B21">
        <f ca="1">ORÇAMENTO!D21</f>
        <v>0</v>
      </c>
      <c r="C21" s="114" t="str">
        <f t="shared" ca="1" si="1"/>
        <v/>
      </c>
      <c r="D21" s="117" t="str">
        <f ca="1">ORÇAMENTO!O21</f>
        <v>-</v>
      </c>
      <c r="E21" s="163" t="str">
        <f t="shared" ca="1" si="2"/>
        <v>(Código não identificado nas referências)</v>
      </c>
      <c r="F21" s="164" t="str" cm="1">
        <f t="array" aca="1" ref="F21" ca="1">IF(RegimeExecucao="Global","",ORÇAMENTO.Unidade)</f>
        <v>-</v>
      </c>
      <c r="G21" s="122" cm="1">
        <f t="array" aca="1" ref="G21" ca="1">IF(RegimeExecucao="Global","",ORÇAMENTO!T21)</f>
        <v>1</v>
      </c>
      <c r="H21" s="122" cm="1">
        <f t="array" aca="1" ref="H21" ca="1">IF(RegimeExecucao="Global","",ORÇAMENTO!W21)</f>
        <v>0</v>
      </c>
      <c r="I21" s="125">
        <f ca="1">ORÇAMENTO!X21</f>
        <v>0</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102" x14ac:dyDescent="0.2">
      <c r="A22" t="str">
        <f ca="1">ORÇAMENTO!C22</f>
        <v>S</v>
      </c>
      <c r="B22">
        <f ca="1">ORÇAMENTO!D22</f>
        <v>0</v>
      </c>
      <c r="C22" s="114" t="str">
        <f ca="1">IF(OR($I22&gt;0,$A22=1,$A22=2,$A22=3,$A22=4),"F","")</f>
        <v/>
      </c>
      <c r="D22" s="117" t="str">
        <f ca="1">ORÇAMENTO!O22</f>
        <v>-</v>
      </c>
      <c r="E22" s="163" t="str">
        <f ca="1">ORÇAMENTO.Descricao</f>
        <v>(Código não identificado nas referências)</v>
      </c>
      <c r="F22" s="164" t="str" cm="1">
        <f t="array" aca="1" ref="F22" ca="1">IF(RegimeExecucao="Global","",ORÇAMENTO.Unidade)</f>
        <v>-</v>
      </c>
      <c r="G22" s="122" cm="1">
        <f t="array" aca="1" ref="G22" ca="1">IF(RegimeExecucao="Global","",ORÇAMENTO!T22)</f>
        <v>3</v>
      </c>
      <c r="H22" s="122" cm="1">
        <f t="array" aca="1" ref="H22" ca="1">IF(RegimeExecucao="Global","",ORÇAMENTO!W22)</f>
        <v>0</v>
      </c>
      <c r="I22" s="125">
        <f ca="1">ORÇAMENTO!X22</f>
        <v>0</v>
      </c>
      <c r="J22" s="333" cm="1">
        <f t="array" aca="1" ref="J22" ca="1">IF($A22="S",IF(CAIXA.Modo,BM.AFAnterior,BM.MEDAnterior),IF(AND(RegimeExecucao="Global",$I22&gt;0,COUNTIF($AB$13:$AM$13,BM.medicao-1)&gt;0),M22/$I22*100,0))</f>
        <v>0</v>
      </c>
      <c r="K22" s="122">
        <f ca="1">L22-J22</f>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ca="1">O22-M22</f>
        <v>0</v>
      </c>
      <c r="O22" s="125" cm="1">
        <f t="array" aca="1" ref="O22" ca="1">IF($A22="S",VTOTALBM,IF($A22=0,0,ROUND(SomaAgrupBM,15-13*ORÇAMENTO!$AF$11)))</f>
        <v>0</v>
      </c>
      <c r="Q22" s="337"/>
      <c r="R22" s="338"/>
      <c r="T22" s="117" t="str">
        <f ca="1">IF($W22&gt;0,$D22,"")</f>
        <v/>
      </c>
      <c r="U22" s="163" t="str">
        <f ca="1">IF($W22&gt;0,$E22,"")</f>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ca="1">AO22-O22</f>
        <v>0</v>
      </c>
      <c r="Z22" s="473"/>
      <c r="AB22" s="337"/>
      <c r="AC22" s="437"/>
      <c r="AD22" s="437"/>
      <c r="AE22" s="437"/>
      <c r="AF22" s="437"/>
      <c r="AG22" s="437"/>
      <c r="AH22" s="437"/>
      <c r="AI22" s="437"/>
      <c r="AJ22" s="437"/>
      <c r="AK22" s="437"/>
      <c r="AL22" s="437"/>
      <c r="AM22" s="338"/>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25.5" x14ac:dyDescent="0.2">
      <c r="A23" t="str">
        <f ca="1">ORÇAMENTO!C23</f>
        <v>S</v>
      </c>
      <c r="B23">
        <f ca="1">ORÇAMENTO!D23</f>
        <v>0</v>
      </c>
      <c r="C23" s="114" t="str">
        <f t="shared" ref="C23:C24" ca="1" si="8">IF(OR($I23&gt;0,$A23=1,$A23=2,$A23=3,$A23=4),"F","")</f>
        <v/>
      </c>
      <c r="D23" s="117" t="str">
        <f ca="1">ORÇAMENTO!O23</f>
        <v>-</v>
      </c>
      <c r="E23" s="163" t="str">
        <f ca="1">ORÇAMENTO.Descricao</f>
        <v>(Código não identificado nas referências)</v>
      </c>
      <c r="F23" s="164" t="str" cm="1">
        <f t="array" aca="1" ref="F23" ca="1">IF(RegimeExecucao="Global","",ORÇAMENTO.Unidade)</f>
        <v>-</v>
      </c>
      <c r="G23" s="122" cm="1">
        <f t="array" aca="1" ref="G23" ca="1">IF(RegimeExecucao="Global","",ORÇAMENTO!T23)</f>
        <v>1</v>
      </c>
      <c r="H23" s="122" cm="1">
        <f t="array" aca="1" ref="H23" ca="1">IF(RegimeExecucao="Global","",ORÇAMENTO!W23)</f>
        <v>0</v>
      </c>
      <c r="I23" s="125">
        <f ca="1">ORÇAMENTO!X23</f>
        <v>0</v>
      </c>
      <c r="J23" s="333" cm="1">
        <f t="array" aca="1" ref="J23" ca="1">IF($A23="S",IF(CAIXA.Modo,BM.AFAnterior,BM.MEDAnterior),IF(AND(RegimeExecucao="Global",$I23&gt;0,COUNTIF($AB$13:$AM$13,BM.medicao-1)&gt;0),M23/$I23*100,0))</f>
        <v>0</v>
      </c>
      <c r="K23" s="122">
        <f t="shared" ref="K23:K24" ca="1" si="9">L23-J23</f>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ref="N23:N24" ca="1" si="10">O23-M23</f>
        <v>0</v>
      </c>
      <c r="O23" s="125" cm="1">
        <f t="array" aca="1" ref="O23" ca="1">IF($A23="S",VTOTALBM,IF($A23=0,0,ROUND(SomaAgrupBM,15-13*ORÇAMENTO!$AF$11)))</f>
        <v>0</v>
      </c>
      <c r="Q23" s="337"/>
      <c r="R23" s="338"/>
      <c r="T23" s="117" t="str">
        <f t="shared" ref="T23:T24" ca="1" si="11">IF($W23&gt;0,$D23,"")</f>
        <v/>
      </c>
      <c r="U23" s="163" t="str">
        <f t="shared" ref="U23:U24" ca="1" si="12">IF($W23&gt;0,$E23,"")</f>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ref="Y23:Y24" ca="1" si="13">AO23-O23</f>
        <v>0</v>
      </c>
      <c r="Z23" s="473"/>
      <c r="AB23" s="337"/>
      <c r="AC23" s="437"/>
      <c r="AD23" s="437"/>
      <c r="AE23" s="437"/>
      <c r="AF23" s="437"/>
      <c r="AG23" s="437"/>
      <c r="AH23" s="437"/>
      <c r="AI23" s="437"/>
      <c r="AJ23" s="437"/>
      <c r="AK23" s="437"/>
      <c r="AL23" s="437"/>
      <c r="AM23" s="338"/>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38.25" x14ac:dyDescent="0.2">
      <c r="A24" t="str">
        <f ca="1">ORÇAMENTO!C24</f>
        <v>S</v>
      </c>
      <c r="B24">
        <f ca="1">ORÇAMENTO!D24</f>
        <v>0</v>
      </c>
      <c r="C24" s="114" t="str">
        <f t="shared" ca="1" si="8"/>
        <v/>
      </c>
      <c r="D24" s="117" t="str">
        <f ca="1">ORÇAMENTO!O24</f>
        <v>-</v>
      </c>
      <c r="E24" s="163" t="str">
        <f ca="1">ORÇAMENTO.Descricao</f>
        <v>(Código não identificado nas referências)</v>
      </c>
      <c r="F24" s="164" t="str" cm="1">
        <f t="array" aca="1" ref="F24" ca="1">IF(RegimeExecucao="Global","",ORÇAMENTO.Unidade)</f>
        <v>-</v>
      </c>
      <c r="G24" s="122" cm="1">
        <f t="array" aca="1" ref="G24" ca="1">IF(RegimeExecucao="Global","",ORÇAMENTO!T24)</f>
        <v>2</v>
      </c>
      <c r="H24" s="122" cm="1">
        <f t="array" aca="1" ref="H24" ca="1">IF(RegimeExecucao="Global","",ORÇAMENTO!W24)</f>
        <v>0</v>
      </c>
      <c r="I24" s="125">
        <f ca="1">ORÇAMENTO!X24</f>
        <v>0</v>
      </c>
      <c r="J24" s="333" cm="1">
        <f t="array" aca="1" ref="J24" ca="1">IF($A24="S",IF(CAIXA.Modo,BM.AFAnterior,BM.MEDAnterior),IF(AND(RegimeExecucao="Global",$I24&gt;0,COUNTIF($AB$13:$AM$13,BM.medicao-1)&gt;0),M24/$I24*100,0))</f>
        <v>0</v>
      </c>
      <c r="K24" s="122">
        <f t="shared" ca="1" si="9"/>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10"/>
        <v>0</v>
      </c>
      <c r="O24" s="125" cm="1">
        <f t="array" aca="1" ref="O24" ca="1">IF($A24="S",VTOTALBM,IF($A24=0,0,ROUND(SomaAgrupBM,15-13*ORÇAMENTO!$AF$11)))</f>
        <v>0</v>
      </c>
      <c r="Q24" s="337"/>
      <c r="R24" s="338"/>
      <c r="T24" s="117" t="str">
        <f t="shared" ca="1" si="11"/>
        <v/>
      </c>
      <c r="U24" s="163" t="str">
        <f t="shared" ca="1" si="12"/>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13"/>
        <v>0</v>
      </c>
      <c r="Z24" s="473"/>
      <c r="AB24" s="337"/>
      <c r="AC24" s="437"/>
      <c r="AD24" s="437"/>
      <c r="AE24" s="437"/>
      <c r="AF24" s="437"/>
      <c r="AG24" s="437"/>
      <c r="AH24" s="437"/>
      <c r="AI24" s="437"/>
      <c r="AJ24" s="437"/>
      <c r="AK24" s="437"/>
      <c r="AL24" s="437"/>
      <c r="AM24" s="338"/>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2</v>
      </c>
      <c r="B25">
        <f ca="1">ORÇAMENTO!D25</f>
        <v>10</v>
      </c>
      <c r="C25" s="114" t="str">
        <f t="shared" ca="1" si="1"/>
        <v>F</v>
      </c>
      <c r="D25" s="117" t="str">
        <f ca="1">ORÇAMENTO!O25</f>
        <v>1.3.</v>
      </c>
      <c r="E25" s="163" t="str">
        <f t="shared" si="2"/>
        <v>DEMOLIÇÃO</v>
      </c>
      <c r="F25" s="164" t="str" cm="1">
        <f t="array" aca="1" ref="F25" ca="1">IF(RegimeExecucao="Global","",ORÇAMENTO.Unidade)</f>
        <v>-</v>
      </c>
      <c r="G25" s="122" cm="1">
        <f t="array" aca="1" ref="G25" ca="1">IF(RegimeExecucao="Global","",ORÇAMENTO!T25)</f>
        <v>0</v>
      </c>
      <c r="H25" s="122" cm="1">
        <f t="array" aca="1" ref="H25" ca="1">IF(RegimeExecucao="Global","",ORÇAMENTO!W25)</f>
        <v>0</v>
      </c>
      <c r="I25" s="125">
        <f ca="1">ORÇAMENTO!X25</f>
        <v>0</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38.25" x14ac:dyDescent="0.2">
      <c r="A26" t="str">
        <f ca="1">ORÇAMENTO!C26</f>
        <v>S</v>
      </c>
      <c r="B26">
        <f ca="1">ORÇAMENTO!D26</f>
        <v>0</v>
      </c>
      <c r="C26" s="114" t="str">
        <f t="shared" ca="1" si="1"/>
        <v/>
      </c>
      <c r="D26" s="117" t="str">
        <f ca="1">ORÇAMENTO!O26</f>
        <v>-</v>
      </c>
      <c r="E26" s="163" t="str">
        <f t="shared" ca="1" si="2"/>
        <v>(Código não identificado nas referências)</v>
      </c>
      <c r="F26" s="164" t="str" cm="1">
        <f t="array" aca="1" ref="F26" ca="1">IF(RegimeExecucao="Global","",ORÇAMENTO.Unidade)</f>
        <v>-</v>
      </c>
      <c r="G26" s="122" cm="1">
        <f t="array" aca="1" ref="G26" ca="1">IF(RegimeExecucao="Global","",ORÇAMENTO!T26)</f>
        <v>1545</v>
      </c>
      <c r="H26" s="122" cm="1">
        <f t="array" aca="1" ref="H26" ca="1">IF(RegimeExecucao="Global","",ORÇAMENTO!W26)</f>
        <v>0</v>
      </c>
      <c r="I26" s="125">
        <f ca="1">ORÇAMENTO!X26</f>
        <v>0</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ht="38.25" x14ac:dyDescent="0.2">
      <c r="A27" t="str">
        <f ca="1">ORÇAMENTO!C27</f>
        <v>S</v>
      </c>
      <c r="B27">
        <f ca="1">ORÇAMENTO!D27</f>
        <v>0</v>
      </c>
      <c r="C27" s="114" t="str">
        <f t="shared" ca="1" si="1"/>
        <v/>
      </c>
      <c r="D27" s="117" t="str">
        <f ca="1">ORÇAMENTO!O27</f>
        <v>-</v>
      </c>
      <c r="E27" s="163" t="str">
        <f t="shared" ca="1" si="2"/>
        <v>(Código não identificado nas referências)</v>
      </c>
      <c r="F27" s="164" t="str" cm="1">
        <f t="array" aca="1" ref="F27" ca="1">IF(RegimeExecucao="Global","",ORÇAMENTO.Unidade)</f>
        <v>-</v>
      </c>
      <c r="G27" s="122" cm="1">
        <f t="array" aca="1" ref="G27" ca="1">IF(RegimeExecucao="Global","",ORÇAMENTO!T27)</f>
        <v>1619</v>
      </c>
      <c r="H27" s="122" cm="1">
        <f t="array" aca="1" ref="H27" ca="1">IF(RegimeExecucao="Global","",ORÇAMENTO!W27)</f>
        <v>0</v>
      </c>
      <c r="I27" s="125">
        <f ca="1">ORÇAMENTO!X27</f>
        <v>0</v>
      </c>
      <c r="J27" s="333" cm="1">
        <f t="array" aca="1" ref="J27" ca="1">IF($A27="S",IF(CAIXA.Modo,BM.AFAnterior,BM.MEDAnterior),IF(AND(RegimeExecucao="Global",$I27&gt;0,COUNTIF($AB$13:$AM$13,BM.medicao-1)&gt;0),M27/$I27*100,0))</f>
        <v>0</v>
      </c>
      <c r="K27" s="122">
        <f t="shared" ca="1" si="3"/>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t="shared" ca="1" si="4"/>
        <v>0</v>
      </c>
      <c r="O27" s="125" cm="1">
        <f t="array" aca="1" ref="O27" ca="1">IF($A27="S",VTOTALBM,IF($A27=0,0,ROUND(SomaAgrupBM,15-13*ORÇAMENTO!$AF$11)))</f>
        <v>0</v>
      </c>
      <c r="Q27" s="337"/>
      <c r="R27" s="338"/>
      <c r="T27" s="117" t="str">
        <f t="shared" ca="1" si="5"/>
        <v/>
      </c>
      <c r="U27" s="163" t="str">
        <f t="shared" ca="1" si="6"/>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ht="38.25" x14ac:dyDescent="0.2">
      <c r="A28" t="str">
        <f ca="1">ORÇAMENTO!C28</f>
        <v>S</v>
      </c>
      <c r="B28">
        <f ca="1">ORÇAMENTO!D28</f>
        <v>0</v>
      </c>
      <c r="C28" s="114" t="str">
        <f t="shared" ca="1" si="1"/>
        <v/>
      </c>
      <c r="D28" s="117" t="str">
        <f ca="1">ORÇAMENTO!O28</f>
        <v>-</v>
      </c>
      <c r="E28" s="163" t="str">
        <f t="shared" ca="1" si="2"/>
        <v>(Código não identificado nas referências)</v>
      </c>
      <c r="F28" s="164" t="str" cm="1">
        <f t="array" aca="1" ref="F28" ca="1">IF(RegimeExecucao="Global","",ORÇAMENTO.Unidade)</f>
        <v>-</v>
      </c>
      <c r="G28" s="122" cm="1">
        <f t="array" aca="1" ref="G28" ca="1">IF(RegimeExecucao="Global","",ORÇAMENTO!T28)</f>
        <v>37.200000000000003</v>
      </c>
      <c r="H28" s="122" cm="1">
        <f t="array" aca="1" ref="H28" ca="1">IF(RegimeExecucao="Global","",ORÇAMENTO!W28)</f>
        <v>0</v>
      </c>
      <c r="I28" s="125">
        <f ca="1">ORÇAMENTO!X28</f>
        <v>0</v>
      </c>
      <c r="J28" s="333" cm="1">
        <f t="array" aca="1" ref="J28" ca="1">IF($A28="S",IF(CAIXA.Modo,BM.AFAnterior,BM.MEDAnterior),IF(AND(RegimeExecucao="Global",$I28&gt;0,COUNTIF($AB$13:$AM$13,BM.medicao-1)&gt;0),M28/$I28*100,0))</f>
        <v>0</v>
      </c>
      <c r="K28" s="122">
        <f t="shared" ca="1" si="3"/>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t="shared" ca="1" si="4"/>
        <v>0</v>
      </c>
      <c r="O28" s="125" cm="1">
        <f t="array" aca="1" ref="O28" ca="1">IF($A28="S",VTOTALBM,IF($A28=0,0,ROUND(SomaAgrupBM,15-13*ORÇAMENTO!$AF$11)))</f>
        <v>0</v>
      </c>
      <c r="Q28" s="337"/>
      <c r="R28" s="338"/>
      <c r="T28" s="117" t="str">
        <f t="shared" ca="1" si="5"/>
        <v/>
      </c>
      <c r="U28" s="163" t="str">
        <f t="shared" ca="1" si="6"/>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63.75" x14ac:dyDescent="0.2">
      <c r="A29" t="str">
        <f ca="1">ORÇAMENTO!C29</f>
        <v>S</v>
      </c>
      <c r="B29">
        <f ca="1">ORÇAMENTO!D29</f>
        <v>0</v>
      </c>
      <c r="C29" s="114" t="str">
        <f t="shared" ca="1" si="1"/>
        <v/>
      </c>
      <c r="D29" s="117" t="str">
        <f ca="1">ORÇAMENTO!O29</f>
        <v>-</v>
      </c>
      <c r="E29" s="163" t="str">
        <f t="shared" ca="1" si="2"/>
        <v>(Código não identificado nas referências)</v>
      </c>
      <c r="F29" s="164" t="str" cm="1">
        <f t="array" aca="1" ref="F29" ca="1">IF(RegimeExecucao="Global","",ORÇAMENTO.Unidade)</f>
        <v>-</v>
      </c>
      <c r="G29" s="122" cm="1">
        <f t="array" aca="1" ref="G29" ca="1">IF(RegimeExecucao="Global","",ORÇAMENTO!T29)</f>
        <v>75</v>
      </c>
      <c r="H29" s="122" cm="1">
        <f t="array" aca="1" ref="H29" ca="1">IF(RegimeExecucao="Global","",ORÇAMENTO!W29)</f>
        <v>0</v>
      </c>
      <c r="I29" s="125">
        <f ca="1">ORÇAMENTO!X29</f>
        <v>0</v>
      </c>
      <c r="J29" s="333" cm="1">
        <f t="array" aca="1" ref="J29" ca="1">IF($A29="S",IF(CAIXA.Modo,BM.AFAnterior,BM.MEDAnterior),IF(AND(RegimeExecucao="Global",$I29&gt;0,COUNTIF($AB$13:$AM$13,BM.medicao-1)&gt;0),M29/$I29*100,0))</f>
        <v>0</v>
      </c>
      <c r="K29" s="122">
        <f t="shared" ca="1" si="3"/>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t="shared" ca="1" si="4"/>
        <v>0</v>
      </c>
      <c r="O29" s="125" cm="1">
        <f t="array" aca="1" ref="O29" ca="1">IF($A29="S",VTOTALBM,IF($A29=0,0,ROUND(SomaAgrupBM,15-13*ORÇAMENTO!$AF$11)))</f>
        <v>0</v>
      </c>
      <c r="Q29" s="337"/>
      <c r="R29" s="338"/>
      <c r="T29" s="117" t="str">
        <f t="shared" ca="1" si="5"/>
        <v/>
      </c>
      <c r="U29" s="163" t="str">
        <f t="shared" ca="1" si="6"/>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ht="51" x14ac:dyDescent="0.2">
      <c r="A30" t="str">
        <f ca="1">ORÇAMENTO!C30</f>
        <v>S</v>
      </c>
      <c r="B30">
        <f ca="1">ORÇAMENTO!D30</f>
        <v>0</v>
      </c>
      <c r="C30" s="114" t="str">
        <f t="shared" ca="1" si="1"/>
        <v/>
      </c>
      <c r="D30" s="117" t="str">
        <f ca="1">ORÇAMENTO!O30</f>
        <v>-</v>
      </c>
      <c r="E30" s="163" t="str">
        <f t="shared" ca="1" si="2"/>
        <v>(Código não identificado nas referências)</v>
      </c>
      <c r="F30" s="164" t="str" cm="1">
        <f t="array" aca="1" ref="F30" ca="1">IF(RegimeExecucao="Global","",ORÇAMENTO.Unidade)</f>
        <v>-</v>
      </c>
      <c r="G30" s="122" cm="1">
        <f t="array" aca="1" ref="G30" ca="1">IF(RegimeExecucao="Global","",ORÇAMENTO!T30)</f>
        <v>198.9</v>
      </c>
      <c r="H30" s="122" cm="1">
        <f t="array" aca="1" ref="H30" ca="1">IF(RegimeExecucao="Global","",ORÇAMENTO!W30)</f>
        <v>0</v>
      </c>
      <c r="I30" s="125">
        <f ca="1">ORÇAMENTO!X30</f>
        <v>0</v>
      </c>
      <c r="J30" s="333" cm="1">
        <f t="array" aca="1" ref="J30" ca="1">IF($A30="S",IF(CAIXA.Modo,BM.AFAnterior,BM.MEDAnterior),IF(AND(RegimeExecucao="Global",$I30&gt;0,COUNTIF($AB$13:$AM$13,BM.medicao-1)&gt;0),M30/$I30*100,0))</f>
        <v>0</v>
      </c>
      <c r="K30" s="122">
        <f t="shared" ca="1" si="3"/>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t="shared" ca="1" si="4"/>
        <v>0</v>
      </c>
      <c r="O30" s="125" cm="1">
        <f t="array" aca="1" ref="O30" ca="1">IF($A30="S",VTOTALBM,IF($A30=0,0,ROUND(SomaAgrupBM,15-13*ORÇAMENTO!$AF$11)))</f>
        <v>0</v>
      </c>
      <c r="Q30" s="337"/>
      <c r="R30" s="338"/>
      <c r="T30" s="117" t="str">
        <f t="shared" ca="1" si="5"/>
        <v/>
      </c>
      <c r="U30" s="163" t="str">
        <f t="shared" ca="1" si="6"/>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
      </c>
      <c r="D31" s="117" t="str">
        <f ca="1">ORÇAMENTO!O31</f>
        <v>-</v>
      </c>
      <c r="E31" s="163" t="str">
        <f t="shared" ca="1" si="2"/>
        <v>(Código não identificado nas referências)</v>
      </c>
      <c r="F31" s="164" t="str" cm="1">
        <f t="array" aca="1" ref="F31" ca="1">IF(RegimeExecucao="Global","",ORÇAMENTO.Unidade)</f>
        <v>-</v>
      </c>
      <c r="G31" s="122" cm="1">
        <f t="array" aca="1" ref="G31" ca="1">IF(RegimeExecucao="Global","",ORÇAMENTO!T31)</f>
        <v>2983.5</v>
      </c>
      <c r="H31" s="122" cm="1">
        <f t="array" aca="1" ref="H31" ca="1">IF(RegimeExecucao="Global","",ORÇAMENTO!W31)</f>
        <v>0</v>
      </c>
      <c r="I31" s="125">
        <f ca="1">ORÇAMENTO!X31</f>
        <v>0</v>
      </c>
      <c r="J31" s="333" cm="1">
        <f t="array" aca="1" ref="J31" ca="1">IF($A31="S",IF(CAIXA.Modo,BM.AFAnterior,BM.MEDAnterior),IF(AND(RegimeExecucao="Global",$I31&gt;0,COUNTIF($AB$13:$AM$13,BM.medicao-1)&gt;0),M31/$I31*100,0))</f>
        <v>0</v>
      </c>
      <c r="K31" s="122">
        <f t="shared" ca="1" si="3"/>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t="shared" ca="1" si="4"/>
        <v>0</v>
      </c>
      <c r="O31" s="125" cm="1">
        <f t="array" aca="1" ref="O31" ca="1">IF($A31="S",VTOTALBM,IF($A31=0,0,ROUND(SomaAgrupBM,15-13*ORÇAMENTO!$AF$11)))</f>
        <v>0</v>
      </c>
      <c r="Q31" s="337"/>
      <c r="R31" s="338"/>
      <c r="T31" s="117" t="str">
        <f t="shared" ca="1" si="5"/>
        <v/>
      </c>
      <c r="U31" s="163" t="str">
        <f t="shared" ca="1" si="6"/>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t="str">
        <f ca="1">ORÇAMENTO!C32</f>
        <v>S</v>
      </c>
      <c r="B32">
        <f ca="1">ORÇAMENTO!D32</f>
        <v>0</v>
      </c>
      <c r="C32" s="114" t="str">
        <f t="shared" ca="1" si="1"/>
        <v/>
      </c>
      <c r="D32" s="117" t="str">
        <f ca="1">ORÇAMENTO!O32</f>
        <v>-</v>
      </c>
      <c r="E32" s="163" t="str">
        <f t="shared" ca="1" si="2"/>
        <v>(Código não identificado nas referências)</v>
      </c>
      <c r="F32" s="164" t="str" cm="1">
        <f t="array" aca="1" ref="F32" ca="1">IF(RegimeExecucao="Global","",ORÇAMENTO.Unidade)</f>
        <v>-</v>
      </c>
      <c r="G32" s="122" cm="1">
        <f t="array" aca="1" ref="G32" ca="1">IF(RegimeExecucao="Global","",ORÇAMENTO!T32)</f>
        <v>344</v>
      </c>
      <c r="H32" s="122" cm="1">
        <f t="array" aca="1" ref="H32" ca="1">IF(RegimeExecucao="Global","",ORÇAMENTO!W32)</f>
        <v>0</v>
      </c>
      <c r="I32" s="125">
        <f ca="1">ORÇAMENTO!X32</f>
        <v>0</v>
      </c>
      <c r="J32" s="333" cm="1">
        <f t="array" aca="1" ref="J32" ca="1">IF($A32="S",IF(CAIXA.Modo,BM.AFAnterior,BM.MEDAnterior),IF(AND(RegimeExecucao="Global",$I32&gt;0,COUNTIF($AB$13:$AM$13,BM.medicao-1)&gt;0),M32/$I32*100,0))</f>
        <v>0</v>
      </c>
      <c r="K32" s="122">
        <f t="shared" ca="1" si="3"/>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ca="1" si="4"/>
        <v>0</v>
      </c>
      <c r="O32" s="125" cm="1">
        <f t="array" aca="1" ref="O32" ca="1">IF($A32="S",VTOTALBM,IF($A32=0,0,ROUND(SomaAgrupBM,15-13*ORÇAMENTO!$AF$11)))</f>
        <v>0</v>
      </c>
      <c r="Q32" s="337"/>
      <c r="R32" s="338"/>
      <c r="T32" s="117" t="str">
        <f t="shared" ca="1" si="5"/>
        <v/>
      </c>
      <c r="U32" s="163" t="str">
        <f t="shared" ca="1" si="6"/>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51" x14ac:dyDescent="0.2">
      <c r="A33" t="str">
        <f ca="1">ORÇAMENTO!C33</f>
        <v>S</v>
      </c>
      <c r="B33">
        <f ca="1">ORÇAMENTO!D33</f>
        <v>0</v>
      </c>
      <c r="C33" s="114" t="str">
        <f t="shared" ca="1" si="1"/>
        <v/>
      </c>
      <c r="D33" s="117" t="str">
        <f ca="1">ORÇAMENTO!O33</f>
        <v>-</v>
      </c>
      <c r="E33" s="163" t="str">
        <f t="shared" ca="1" si="2"/>
        <v>(Código não identificado nas referências)</v>
      </c>
      <c r="F33" s="164" t="str" cm="1">
        <f t="array" aca="1" ref="F33" ca="1">IF(RegimeExecucao="Global","",ORÇAMENTO.Unidade)</f>
        <v>-</v>
      </c>
      <c r="G33" s="122" cm="1">
        <f t="array" aca="1" ref="G33" ca="1">IF(RegimeExecucao="Global","",ORÇAMENTO!T33)</f>
        <v>23</v>
      </c>
      <c r="H33" s="122" cm="1">
        <f t="array" aca="1" ref="H33" ca="1">IF(RegimeExecucao="Global","",ORÇAMENTO!W33)</f>
        <v>0</v>
      </c>
      <c r="I33" s="125">
        <f ca="1">ORÇAMENTO!X33</f>
        <v>0</v>
      </c>
      <c r="J33" s="333" cm="1">
        <f t="array" aca="1" ref="J33" ca="1">IF($A33="S",IF(CAIXA.Modo,BM.AFAnterior,BM.MEDAnterior),IF(AND(RegimeExecucao="Global",$I33&gt;0,COUNTIF($AB$13:$AM$13,BM.medicao-1)&gt;0),M33/$I33*100,0))</f>
        <v>0</v>
      </c>
      <c r="K33" s="122">
        <f t="shared" ca="1" si="3"/>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4"/>
        <v>0</v>
      </c>
      <c r="O33" s="125" cm="1">
        <f t="array" aca="1" ref="O33" ca="1">IF($A33="S",VTOTALBM,IF($A33=0,0,ROUND(SomaAgrupBM,15-13*ORÇAMENTO!$AF$11)))</f>
        <v>0</v>
      </c>
      <c r="Q33" s="337"/>
      <c r="R33" s="338"/>
      <c r="T33" s="117" t="str">
        <f t="shared" ca="1" si="5"/>
        <v/>
      </c>
      <c r="U33" s="163" t="str">
        <f t="shared" ca="1" si="6"/>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t="str">
        <f ca="1">ORÇAMENTO!C34</f>
        <v>S</v>
      </c>
      <c r="B34">
        <f ca="1">ORÇAMENTO!D34</f>
        <v>0</v>
      </c>
      <c r="C34" s="114" t="str">
        <f t="shared" ca="1" si="1"/>
        <v/>
      </c>
      <c r="D34" s="117" t="str">
        <f ca="1">ORÇAMENTO!O34</f>
        <v>-</v>
      </c>
      <c r="E34" s="163" t="str">
        <f t="shared" ca="1" si="2"/>
        <v>(Código não identificado nas referências)</v>
      </c>
      <c r="F34" s="164" t="str" cm="1">
        <f t="array" aca="1" ref="F34" ca="1">IF(RegimeExecucao="Global","",ORÇAMENTO.Unidade)</f>
        <v>-</v>
      </c>
      <c r="G34" s="122" cm="1">
        <f t="array" aca="1" ref="G34" ca="1">IF(RegimeExecucao="Global","",ORÇAMENTO!T34)</f>
        <v>27</v>
      </c>
      <c r="H34" s="122" cm="1">
        <f t="array" aca="1" ref="H34" ca="1">IF(RegimeExecucao="Global","",ORÇAMENTO!W34)</f>
        <v>0</v>
      </c>
      <c r="I34" s="125">
        <f ca="1">ORÇAMENTO!X34</f>
        <v>0</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x14ac:dyDescent="0.2">
      <c r="A35">
        <f ca="1">ORÇAMENTO!C35</f>
        <v>2</v>
      </c>
      <c r="B35">
        <f ca="1">ORÇAMENTO!D35</f>
        <v>7</v>
      </c>
      <c r="C35" s="114" t="str">
        <f t="shared" ca="1" si="1"/>
        <v>F</v>
      </c>
      <c r="D35" s="117" t="str">
        <f ca="1">ORÇAMENTO!O35</f>
        <v>1.4.</v>
      </c>
      <c r="E35" s="163" t="str">
        <f t="shared" si="2"/>
        <v>CONSTRUÇÃO</v>
      </c>
      <c r="F35" s="164" t="str" cm="1">
        <f t="array" aca="1" ref="F35" ca="1">IF(RegimeExecucao="Global","",ORÇAMENTO.Unidade)</f>
        <v>-</v>
      </c>
      <c r="G35" s="122" cm="1">
        <f t="array" aca="1" ref="G35" ca="1">IF(RegimeExecucao="Global","",ORÇAMENTO!T35)</f>
        <v>0</v>
      </c>
      <c r="H35" s="122" cm="1">
        <f t="array" aca="1" ref="H35" ca="1">IF(RegimeExecucao="Global","",ORÇAMENTO!W35)</f>
        <v>0</v>
      </c>
      <c r="I35" s="125">
        <f ca="1">ORÇAMENTO!X35</f>
        <v>0</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t="shared" ca="1" si="1"/>
        <v/>
      </c>
      <c r="D36" s="117" t="str">
        <f ca="1">ORÇAMENTO!O36</f>
        <v>-</v>
      </c>
      <c r="E36" s="163" t="str">
        <f t="shared" ca="1" si="2"/>
        <v>(Código não identificado nas referências)</v>
      </c>
      <c r="F36" s="164" t="str" cm="1">
        <f t="array" aca="1" ref="F36" ca="1">IF(RegimeExecucao="Global","",ORÇAMENTO.Unidade)</f>
        <v>-</v>
      </c>
      <c r="G36" s="122" cm="1">
        <f t="array" aca="1" ref="G36" ca="1">IF(RegimeExecucao="Global","",ORÇAMENTO!T36)</f>
        <v>20.7</v>
      </c>
      <c r="H36" s="122" cm="1">
        <f t="array" aca="1" ref="H36" ca="1">IF(RegimeExecucao="Global","",ORÇAMENTO!W36)</f>
        <v>0</v>
      </c>
      <c r="I36" s="125">
        <f ca="1">ORÇAMENTO!X36</f>
        <v>0</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63.75" x14ac:dyDescent="0.2">
      <c r="A37" t="str">
        <f ca="1">ORÇAMENTO!C37</f>
        <v>S</v>
      </c>
      <c r="B37">
        <f ca="1">ORÇAMENTO!D37</f>
        <v>0</v>
      </c>
      <c r="C37" s="114" t="str">
        <f t="shared" ca="1" si="1"/>
        <v/>
      </c>
      <c r="D37" s="117" t="str">
        <f ca="1">ORÇAMENTO!O37</f>
        <v>-</v>
      </c>
      <c r="E37" s="163" t="str">
        <f t="shared" ca="1" si="2"/>
        <v>(Código não identificado nas referências)</v>
      </c>
      <c r="F37" s="164" t="str" cm="1">
        <f t="array" aca="1" ref="F37" ca="1">IF(RegimeExecucao="Global","",ORÇAMENTO.Unidade)</f>
        <v>-</v>
      </c>
      <c r="G37" s="122" cm="1">
        <f t="array" aca="1" ref="G37" ca="1">IF(RegimeExecucao="Global","",ORÇAMENTO!T37)</f>
        <v>594</v>
      </c>
      <c r="H37" s="122" cm="1">
        <f t="array" aca="1" ref="H37" ca="1">IF(RegimeExecucao="Global","",ORÇAMENTO!W37)</f>
        <v>0</v>
      </c>
      <c r="I37" s="125">
        <f ca="1">ORÇAMENTO!X37</f>
        <v>0</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4" t="str">
        <f t="shared" ca="1" si="1"/>
        <v/>
      </c>
      <c r="D38" s="117" t="str">
        <f ca="1">ORÇAMENTO!O38</f>
        <v>-</v>
      </c>
      <c r="E38" s="163" t="str">
        <f t="shared" ca="1" si="2"/>
        <v>(Código não identificado nas referências)</v>
      </c>
      <c r="F38" s="164" t="str" cm="1">
        <f t="array" aca="1" ref="F38" ca="1">IF(RegimeExecucao="Global","",ORÇAMENTO.Unidade)</f>
        <v>-</v>
      </c>
      <c r="G38" s="122" cm="1">
        <f t="array" aca="1" ref="G38" ca="1">IF(RegimeExecucao="Global","",ORÇAMENTO!T38)</f>
        <v>948</v>
      </c>
      <c r="H38" s="122" cm="1">
        <f t="array" aca="1" ref="H38" ca="1">IF(RegimeExecucao="Global","",ORÇAMENTO!W38)</f>
        <v>0</v>
      </c>
      <c r="I38" s="125">
        <f ca="1">ORÇAMENTO!X38</f>
        <v>0</v>
      </c>
      <c r="J38" s="333" cm="1">
        <f t="array" aca="1" ref="J38" ca="1">IF($A38="S",IF(CAIXA.Modo,BM.AFAnterior,BM.MEDAnterior),IF(AND(RegimeExecucao="Global",$I38&gt;0,COUNTIF($AB$13:$AM$13,BM.medicao-1)&gt;0),M38/$I38*100,0))</f>
        <v>0</v>
      </c>
      <c r="K38" s="122">
        <f t="shared" ca="1" si="3"/>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t="shared" ca="1" si="4"/>
        <v>0</v>
      </c>
      <c r="O38" s="125" cm="1">
        <f t="array" aca="1" ref="O38" ca="1">IF($A38="S",VTOTALBM,IF($A38=0,0,ROUND(SomaAgrupBM,15-13*ORÇAMENTO!$AF$11)))</f>
        <v>0</v>
      </c>
      <c r="Q38" s="337"/>
      <c r="R38" s="338"/>
      <c r="T38" s="117" t="str">
        <f t="shared" ca="1" si="5"/>
        <v/>
      </c>
      <c r="U38" s="163" t="str">
        <f t="shared" ca="1" si="6"/>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51" x14ac:dyDescent="0.2">
      <c r="A39" t="str">
        <f ca="1">ORÇAMENTO!C39</f>
        <v>S</v>
      </c>
      <c r="B39">
        <f ca="1">ORÇAMENTO!D39</f>
        <v>0</v>
      </c>
      <c r="C39" s="114" t="str">
        <f t="shared" ca="1" si="1"/>
        <v/>
      </c>
      <c r="D39" s="117" t="str">
        <f ca="1">ORÇAMENTO!O39</f>
        <v>-</v>
      </c>
      <c r="E39" s="163" t="str">
        <f t="shared" ca="1" si="2"/>
        <v>(Código não identificado nas referências)</v>
      </c>
      <c r="F39" s="164" t="str" cm="1">
        <f t="array" aca="1" ref="F39" ca="1">IF(RegimeExecucao="Global","",ORÇAMENTO.Unidade)</f>
        <v>-</v>
      </c>
      <c r="G39" s="122" cm="1">
        <f t="array" aca="1" ref="G39" ca="1">IF(RegimeExecucao="Global","",ORÇAMENTO!T39)</f>
        <v>16</v>
      </c>
      <c r="H39" s="122" cm="1">
        <f t="array" aca="1" ref="H39" ca="1">IF(RegimeExecucao="Global","",ORÇAMENTO!W39)</f>
        <v>0</v>
      </c>
      <c r="I39" s="125">
        <f ca="1">ORÇAMENTO!X39</f>
        <v>0</v>
      </c>
      <c r="J39" s="333" cm="1">
        <f t="array" aca="1" ref="J39" ca="1">IF($A39="S",IF(CAIXA.Modo,BM.AFAnterior,BM.MEDAnterior),IF(AND(RegimeExecucao="Global",$I39&gt;0,COUNTIF($AB$13:$AM$13,BM.medicao-1)&gt;0),M39/$I39*100,0))</f>
        <v>0</v>
      </c>
      <c r="K39" s="122">
        <f t="shared" ca="1" si="3"/>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t="shared" ca="1" si="4"/>
        <v>0</v>
      </c>
      <c r="O39" s="125" cm="1">
        <f t="array" aca="1" ref="O39" ca="1">IF($A39="S",VTOTALBM,IF($A39=0,0,ROUND(SomaAgrupBM,15-13*ORÇAMENTO!$AF$11)))</f>
        <v>0</v>
      </c>
      <c r="Q39" s="337"/>
      <c r="R39" s="338"/>
      <c r="T39" s="117" t="str">
        <f t="shared" ca="1" si="5"/>
        <v/>
      </c>
      <c r="U39" s="163" t="str">
        <f t="shared" ca="1" si="6"/>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4" t="str">
        <f t="shared" ca="1" si="1"/>
        <v/>
      </c>
      <c r="D40" s="117" t="str">
        <f ca="1">ORÇAMENTO!O40</f>
        <v>-</v>
      </c>
      <c r="E40" s="163" t="str">
        <f t="shared" ca="1" si="2"/>
        <v>(Código não identificado nas referências)</v>
      </c>
      <c r="F40" s="164" t="str" cm="1">
        <f t="array" aca="1" ref="F40" ca="1">IF(RegimeExecucao="Global","",ORÇAMENTO.Unidade)</f>
        <v>-</v>
      </c>
      <c r="G40" s="122" cm="1">
        <f t="array" aca="1" ref="G40" ca="1">IF(RegimeExecucao="Global","",ORÇAMENTO!T40)</f>
        <v>5</v>
      </c>
      <c r="H40" s="122" cm="1">
        <f t="array" aca="1" ref="H40" ca="1">IF(RegimeExecucao="Global","",ORÇAMENTO!W40)</f>
        <v>0</v>
      </c>
      <c r="I40" s="125">
        <f ca="1">ORÇAMENTO!X40</f>
        <v>0</v>
      </c>
      <c r="J40" s="333" cm="1">
        <f t="array" aca="1" ref="J40" ca="1">IF($A40="S",IF(CAIXA.Modo,BM.AFAnterior,BM.MEDAnterior),IF(AND(RegimeExecucao="Global",$I40&gt;0,COUNTIF($AB$13:$AM$13,BM.medicao-1)&gt;0),M40/$I40*100,0))</f>
        <v>0</v>
      </c>
      <c r="K40" s="122">
        <f t="shared" ca="1" si="3"/>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ca="1" si="4"/>
        <v>0</v>
      </c>
      <c r="O40" s="125" cm="1">
        <f t="array" aca="1" ref="O40" ca="1">IF($A40="S",VTOTALBM,IF($A40=0,0,ROUND(SomaAgrupBM,15-13*ORÇAMENTO!$AF$11)))</f>
        <v>0</v>
      </c>
      <c r="Q40" s="337"/>
      <c r="R40" s="338"/>
      <c r="T40" s="117" t="str">
        <f t="shared" ca="1" si="5"/>
        <v/>
      </c>
      <c r="U40" s="163" t="str">
        <f t="shared" ca="1" si="6"/>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51" x14ac:dyDescent="0.2">
      <c r="A41" t="str">
        <f ca="1">ORÇAMENTO!C41</f>
        <v>S</v>
      </c>
      <c r="B41">
        <f ca="1">ORÇAMENTO!D41</f>
        <v>0</v>
      </c>
      <c r="C41" s="114" t="str">
        <f t="shared" ca="1" si="1"/>
        <v/>
      </c>
      <c r="D41" s="117" t="str">
        <f ca="1">ORÇAMENTO!O41</f>
        <v>-</v>
      </c>
      <c r="E41" s="163" t="str">
        <f t="shared" ca="1" si="2"/>
        <v>(Código não identificado nas referências)</v>
      </c>
      <c r="F41" s="164" t="str" cm="1">
        <f t="array" aca="1" ref="F41" ca="1">IF(RegimeExecucao="Global","",ORÇAMENTO.Unidade)</f>
        <v>-</v>
      </c>
      <c r="G41" s="122" cm="1">
        <f t="array" aca="1" ref="G41" ca="1">IF(RegimeExecucao="Global","",ORÇAMENTO!T41)</f>
        <v>113</v>
      </c>
      <c r="H41" s="122" cm="1">
        <f t="array" aca="1" ref="H41" ca="1">IF(RegimeExecucao="Global","",ORÇAMENTO!W41)</f>
        <v>0</v>
      </c>
      <c r="I41" s="125">
        <f ca="1">ORÇAMENTO!X41</f>
        <v>0</v>
      </c>
      <c r="J41" s="333" cm="1">
        <f t="array" aca="1" ref="J41" ca="1">IF($A41="S",IF(CAIXA.Modo,BM.AFAnterior,BM.MEDAnterior),IF(AND(RegimeExecucao="Global",$I41&gt;0,COUNTIF($AB$13:$AM$13,BM.medicao-1)&gt;0),M41/$I41*100,0))</f>
        <v>0</v>
      </c>
      <c r="K41" s="122">
        <f t="shared" ca="1" si="3"/>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4"/>
        <v>0</v>
      </c>
      <c r="O41" s="125" cm="1">
        <f t="array" aca="1" ref="O41" ca="1">IF($A41="S",VTOTALBM,IF($A41=0,0,ROUND(SomaAgrupBM,15-13*ORÇAMENTO!$AF$11)))</f>
        <v>0</v>
      </c>
      <c r="Q41" s="337"/>
      <c r="R41" s="338"/>
      <c r="T41" s="117" t="str">
        <f t="shared" ca="1" si="5"/>
        <v/>
      </c>
      <c r="U41" s="163" t="str">
        <f t="shared" ca="1" si="6"/>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x14ac:dyDescent="0.2">
      <c r="A42">
        <f ca="1">ORÇAMENTO!C42</f>
        <v>2</v>
      </c>
      <c r="B42">
        <f ca="1">ORÇAMENTO!D42</f>
        <v>3</v>
      </c>
      <c r="C42" s="114" t="str">
        <f t="shared" ca="1" si="1"/>
        <v>F</v>
      </c>
      <c r="D42" s="117" t="str">
        <f ca="1">ORÇAMENTO!O42</f>
        <v>1.5.</v>
      </c>
      <c r="E42" s="163" t="str">
        <f t="shared" si="2"/>
        <v>ILUMINAÇÃO</v>
      </c>
      <c r="F42" s="164" t="str" cm="1">
        <f t="array" aca="1" ref="F42" ca="1">IF(RegimeExecucao="Global","",ORÇAMENTO.Unidade)</f>
        <v>-</v>
      </c>
      <c r="G42" s="122" cm="1">
        <f t="array" aca="1" ref="G42" ca="1">IF(RegimeExecucao="Global","",ORÇAMENTO!T42)</f>
        <v>0</v>
      </c>
      <c r="H42" s="122" cm="1">
        <f t="array" aca="1" ref="H42" ca="1">IF(RegimeExecucao="Global","",ORÇAMENTO!W42)</f>
        <v>0</v>
      </c>
      <c r="I42" s="125">
        <f ca="1">ORÇAMENTO!X42</f>
        <v>0</v>
      </c>
      <c r="J42" s="333" cm="1">
        <f t="array" aca="1" ref="J42" ca="1">IF($A42="S",IF(CAIXA.Modo,BM.AFAnterior,BM.MEDAnterior),IF(AND(RegimeExecucao="Global",$I42&gt;0,COUNTIF($AB$13:$AM$13,BM.medicao-1)&gt;0),M42/$I42*100,0))</f>
        <v>0</v>
      </c>
      <c r="K42" s="122">
        <f t="shared" ca="1" si="3"/>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4"/>
        <v>0</v>
      </c>
      <c r="O42" s="125" cm="1">
        <f t="array" aca="1" ref="O42" ca="1">IF($A42="S",VTOTALBM,IF($A42=0,0,ROUND(SomaAgrupBM,15-13*ORÇAMENTO!$AF$11)))</f>
        <v>0</v>
      </c>
      <c r="Q42" s="337"/>
      <c r="R42" s="338"/>
      <c r="T42" s="117" t="str">
        <f t="shared" ca="1" si="5"/>
        <v/>
      </c>
      <c r="U42" s="163" t="str">
        <f t="shared" ca="1" si="6"/>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t="str">
        <f ca="1">ORÇAMENTO!C43</f>
        <v>S</v>
      </c>
      <c r="B43">
        <f ca="1">ORÇAMENTO!D43</f>
        <v>0</v>
      </c>
      <c r="C43" s="114" t="str">
        <f t="shared" ca="1" si="1"/>
        <v/>
      </c>
      <c r="D43" s="117" t="str">
        <f ca="1">ORÇAMENTO!O43</f>
        <v>-</v>
      </c>
      <c r="E43" s="163" t="str">
        <f t="shared" ca="1" si="2"/>
        <v>(Código não identificado nas referências)</v>
      </c>
      <c r="F43" s="164" t="str" cm="1">
        <f t="array" aca="1" ref="F43" ca="1">IF(RegimeExecucao="Global","",ORÇAMENTO.Unidade)</f>
        <v>-</v>
      </c>
      <c r="G43" s="122" cm="1">
        <f t="array" aca="1" ref="G43" ca="1">IF(RegimeExecucao="Global","",ORÇAMENTO!T43)</f>
        <v>4</v>
      </c>
      <c r="H43" s="122" cm="1">
        <f t="array" aca="1" ref="H43" ca="1">IF(RegimeExecucao="Global","",ORÇAMENTO!W43)</f>
        <v>0</v>
      </c>
      <c r="I43" s="125">
        <f ca="1">ORÇAMENTO!X43</f>
        <v>0</v>
      </c>
      <c r="J43" s="333" cm="1">
        <f t="array" aca="1" ref="J43" ca="1">IF($A43="S",IF(CAIXA.Modo,BM.AFAnterior,BM.MEDAnterior),IF(AND(RegimeExecucao="Global",$I43&gt;0,COUNTIF($AB$13:$AM$13,BM.medicao-1)&gt;0),M43/$I43*100,0))</f>
        <v>0</v>
      </c>
      <c r="K43" s="122">
        <f t="shared" ca="1" si="3"/>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4"/>
        <v>0</v>
      </c>
      <c r="O43" s="125" cm="1">
        <f t="array" aca="1" ref="O43" ca="1">IF($A43="S",VTOTALBM,IF($A43=0,0,ROUND(SomaAgrupBM,15-13*ORÇAMENTO!$AF$11)))</f>
        <v>0</v>
      </c>
      <c r="Q43" s="337"/>
      <c r="R43" s="338"/>
      <c r="T43" s="117" t="str">
        <f t="shared" ca="1" si="5"/>
        <v/>
      </c>
      <c r="U43" s="163" t="str">
        <f t="shared" ca="1" si="6"/>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51" x14ac:dyDescent="0.2">
      <c r="A44" t="str">
        <f ca="1">ORÇAMENTO!C44</f>
        <v>S</v>
      </c>
      <c r="B44">
        <f ca="1">ORÇAMENTO!D44</f>
        <v>0</v>
      </c>
      <c r="C44" s="114" t="str">
        <f t="shared" ca="1" si="1"/>
        <v/>
      </c>
      <c r="D44" s="117" t="str">
        <f ca="1">ORÇAMENTO!O44</f>
        <v>-</v>
      </c>
      <c r="E44" s="163" t="str">
        <f t="shared" ca="1" si="2"/>
        <v>(Código não identificado nas referências)</v>
      </c>
      <c r="F44" s="164" t="str" cm="1">
        <f t="array" aca="1" ref="F44" ca="1">IF(RegimeExecucao="Global","",ORÇAMENTO.Unidade)</f>
        <v>-</v>
      </c>
      <c r="G44" s="122" cm="1">
        <f t="array" aca="1" ref="G44" ca="1">IF(RegimeExecucao="Global","",ORÇAMENTO!T44)</f>
        <v>1</v>
      </c>
      <c r="H44" s="122" cm="1">
        <f t="array" aca="1" ref="H44" ca="1">IF(RegimeExecucao="Global","",ORÇAMENTO!W44)</f>
        <v>0</v>
      </c>
      <c r="I44" s="125">
        <f ca="1">ORÇAMENTO!X44</f>
        <v>0</v>
      </c>
      <c r="J44" s="333" cm="1">
        <f t="array" aca="1" ref="J44" ca="1">IF($A44="S",IF(CAIXA.Modo,BM.AFAnterior,BM.MEDAnterior),IF(AND(RegimeExecucao="Global",$I44&gt;0,COUNTIF($AB$13:$AM$13,BM.medicao-1)&gt;0),M44/$I44*100,0))</f>
        <v>0</v>
      </c>
      <c r="K44" s="122">
        <f t="shared" ca="1" si="3"/>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4"/>
        <v>0</v>
      </c>
      <c r="O44" s="125" cm="1">
        <f t="array" aca="1" ref="O44" ca="1">IF($A44="S",VTOTALBM,IF($A44=0,0,ROUND(SomaAgrupBM,15-13*ORÇAMENTO!$AF$11)))</f>
        <v>0</v>
      </c>
      <c r="Q44" s="337"/>
      <c r="R44" s="338"/>
      <c r="T44" s="117" t="str">
        <f t="shared" ca="1" si="5"/>
        <v/>
      </c>
      <c r="U44" s="163" t="str">
        <f t="shared" ca="1" si="6"/>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f ca="1">ORÇAMENTO!C45</f>
        <v>2</v>
      </c>
      <c r="B45">
        <f ca="1">ORÇAMENTO!D45</f>
        <v>2</v>
      </c>
      <c r="C45" s="114" t="str">
        <f ca="1">IF(OR($I45&gt;0,$A45=1,$A45=2,$A45=3,$A45=4),"F","")</f>
        <v>F</v>
      </c>
      <c r="D45" s="117" t="str">
        <f ca="1">ORÇAMENTO!O45</f>
        <v>1.6.</v>
      </c>
      <c r="E45" s="163" t="str">
        <f>ORÇAMENTO.Descricao</f>
        <v>ENTREGA FINAL DA OBRA</v>
      </c>
      <c r="F45" s="164" t="str" cm="1">
        <f t="array" aca="1" ref="F45" ca="1">IF(RegimeExecucao="Global","",ORÇAMENTO.Unidade)</f>
        <v>-</v>
      </c>
      <c r="G45" s="122" cm="1">
        <f t="array" aca="1" ref="G45" ca="1">IF(RegimeExecucao="Global","",ORÇAMENTO!T45)</f>
        <v>0</v>
      </c>
      <c r="H45" s="122" cm="1">
        <f t="array" aca="1" ref="H45" ca="1">IF(RegimeExecucao="Global","",ORÇAMENTO!W45)</f>
        <v>0</v>
      </c>
      <c r="I45" s="125">
        <f ca="1">ORÇAMENTO!X45</f>
        <v>0</v>
      </c>
      <c r="J45" s="333" cm="1">
        <f t="array" aca="1" ref="J45" ca="1">IF($A45="S",IF(CAIXA.Modo,BM.AFAnterior,BM.MEDAnterior),IF(AND(RegimeExecucao="Global",$I45&gt;0,COUNTIF($AB$13:$AM$13,BM.medicao-1)&gt;0),M45/$I45*100,0))</f>
        <v>0</v>
      </c>
      <c r="K45" s="122">
        <f ca="1">L45-J45</f>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ca="1">O45-M45</f>
        <v>0</v>
      </c>
      <c r="O45" s="125" cm="1">
        <f t="array" aca="1" ref="O45" ca="1">IF($A45="S",VTOTALBM,IF($A45=0,0,ROUND(SomaAgrupBM,15-13*ORÇAMENTO!$AF$11)))</f>
        <v>0</v>
      </c>
      <c r="Q45" s="337"/>
      <c r="R45" s="338"/>
      <c r="T45" s="117" t="str">
        <f ca="1">IF($W45&gt;0,$D45,"")</f>
        <v/>
      </c>
      <c r="U45" s="163" t="str">
        <f ca="1">IF($W45&gt;0,$E45,"")</f>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ca="1">AO45-O45</f>
        <v>0</v>
      </c>
      <c r="Z45" s="473"/>
      <c r="AB45" s="337"/>
      <c r="AC45" s="437"/>
      <c r="AD45" s="437"/>
      <c r="AE45" s="437"/>
      <c r="AF45" s="437"/>
      <c r="AG45" s="437"/>
      <c r="AH45" s="437"/>
      <c r="AI45" s="437"/>
      <c r="AJ45" s="437"/>
      <c r="AK45" s="437"/>
      <c r="AL45" s="437"/>
      <c r="AM45" s="338"/>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25.5" x14ac:dyDescent="0.2">
      <c r="A46" t="str">
        <f ca="1">ORÇAMENTO!C46</f>
        <v>S</v>
      </c>
      <c r="B46">
        <f ca="1">ORÇAMENTO!D46</f>
        <v>0</v>
      </c>
      <c r="C46" s="114" t="str">
        <f ca="1">IF(OR($I46&gt;0,$A46=1,$A46=2,$A46=3,$A46=4),"F","")</f>
        <v/>
      </c>
      <c r="D46" s="117" t="str">
        <f ca="1">ORÇAMENTO!O46</f>
        <v>-</v>
      </c>
      <c r="E46" s="163" t="str">
        <f ca="1">ORÇAMENTO.Descricao</f>
        <v>(Código não identificado nas referências)</v>
      </c>
      <c r="F46" s="164" t="str" cm="1">
        <f t="array" aca="1" ref="F46" ca="1">IF(RegimeExecucao="Global","",ORÇAMENTO.Unidade)</f>
        <v>-</v>
      </c>
      <c r="G46" s="122" cm="1">
        <f t="array" aca="1" ref="G46" ca="1">IF(RegimeExecucao="Global","",ORÇAMENTO!T46)</f>
        <v>3</v>
      </c>
      <c r="H46" s="122" cm="1">
        <f t="array" aca="1" ref="H46" ca="1">IF(RegimeExecucao="Global","",ORÇAMENTO!W46)</f>
        <v>0</v>
      </c>
      <c r="I46" s="125">
        <f ca="1">ORÇAMENTO!X46</f>
        <v>0</v>
      </c>
      <c r="J46" s="333" cm="1">
        <f t="array" aca="1" ref="J46" ca="1">IF($A46="S",IF(CAIXA.Modo,BM.AFAnterior,BM.MEDAnterior),IF(AND(RegimeExecucao="Global",$I46&gt;0,COUNTIF($AB$13:$AM$13,BM.medicao-1)&gt;0),M46/$I46*100,0))</f>
        <v>0</v>
      </c>
      <c r="K46" s="122">
        <f ca="1">L46-J46</f>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ca="1">O46-M46</f>
        <v>0</v>
      </c>
      <c r="O46" s="125" cm="1">
        <f t="array" aca="1" ref="O46" ca="1">IF($A46="S",VTOTALBM,IF($A46=0,0,ROUND(SomaAgrupBM,15-13*ORÇAMENTO!$AF$11)))</f>
        <v>0</v>
      </c>
      <c r="Q46" s="337"/>
      <c r="R46" s="338"/>
      <c r="T46" s="117" t="str">
        <f ca="1">IF($W46&gt;0,$D46,"")</f>
        <v/>
      </c>
      <c r="U46" s="163" t="str">
        <f ca="1">IF($W46&gt;0,$E46,"")</f>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ca="1">AO46-O46</f>
        <v>0</v>
      </c>
      <c r="Z46" s="473"/>
      <c r="AB46" s="337"/>
      <c r="AC46" s="437"/>
      <c r="AD46" s="437"/>
      <c r="AE46" s="437"/>
      <c r="AF46" s="437"/>
      <c r="AG46" s="437"/>
      <c r="AH46" s="437"/>
      <c r="AI46" s="437"/>
      <c r="AJ46" s="437"/>
      <c r="AK46" s="437"/>
      <c r="AL46" s="437"/>
      <c r="AM46" s="338"/>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5.0999999999999996" customHeight="1" x14ac:dyDescent="0.2">
      <c r="C47" s="114" t="s">
        <v>536</v>
      </c>
      <c r="D47" s="618"/>
      <c r="E47" s="619"/>
      <c r="F47" s="619"/>
      <c r="G47" s="619"/>
      <c r="H47" s="619"/>
      <c r="I47" s="419"/>
      <c r="J47" s="618"/>
      <c r="K47" s="619"/>
      <c r="L47" s="419"/>
      <c r="M47" s="434"/>
      <c r="N47" s="435"/>
      <c r="O47" s="436"/>
      <c r="Q47" s="618"/>
      <c r="R47" s="419"/>
      <c r="T47" s="618"/>
      <c r="U47" s="619"/>
      <c r="V47" s="619"/>
      <c r="W47" s="619"/>
      <c r="X47" s="619"/>
      <c r="Y47" s="619"/>
      <c r="Z47" s="419"/>
      <c r="AB47" s="618"/>
      <c r="AC47" s="619"/>
      <c r="AD47" s="619"/>
      <c r="AE47" s="619"/>
      <c r="AF47" s="619"/>
      <c r="AG47" s="619"/>
      <c r="AH47" s="619"/>
      <c r="AI47" s="619"/>
      <c r="AJ47" s="619"/>
      <c r="AK47" s="619"/>
      <c r="AL47" s="619"/>
      <c r="AM47" s="419"/>
    </row>
    <row r="49" spans="4:26" ht="14.25" x14ac:dyDescent="0.2">
      <c r="D49" s="810" t="s">
        <v>689</v>
      </c>
      <c r="E49" s="810"/>
      <c r="F49" s="810"/>
      <c r="G49" s="810"/>
      <c r="H49" s="810"/>
      <c r="I49" s="810"/>
      <c r="J49" s="810"/>
      <c r="K49" s="810"/>
      <c r="L49" s="810"/>
      <c r="M49" s="810"/>
      <c r="N49" s="810"/>
      <c r="O49" s="810"/>
      <c r="T49" s="811" t="s">
        <v>865</v>
      </c>
      <c r="U49" s="811"/>
      <c r="V49" s="811"/>
      <c r="W49" s="811"/>
      <c r="X49" s="811"/>
      <c r="Y49" s="811"/>
      <c r="Z49" s="811"/>
    </row>
    <row r="50" spans="4:26" ht="12.75" customHeight="1" x14ac:dyDescent="0.2">
      <c r="D50" s="714"/>
      <c r="E50" s="714"/>
      <c r="F50" s="714"/>
      <c r="G50" s="714"/>
      <c r="H50" s="714"/>
      <c r="I50" s="714"/>
      <c r="J50" s="714"/>
      <c r="K50" s="714"/>
      <c r="L50" s="714"/>
      <c r="M50" s="714"/>
      <c r="N50" s="714"/>
      <c r="O50" s="714"/>
      <c r="T50" s="812"/>
      <c r="U50" s="812"/>
      <c r="V50" s="812"/>
      <c r="W50" s="812"/>
      <c r="X50" s="812"/>
      <c r="Y50" s="812"/>
      <c r="Z50" s="812"/>
    </row>
    <row r="51" spans="4:26" ht="12.75" customHeight="1" x14ac:dyDescent="0.2">
      <c r="D51" s="714"/>
      <c r="E51" s="714"/>
      <c r="F51" s="714"/>
      <c r="G51" s="714"/>
      <c r="H51" s="714"/>
      <c r="I51" s="714"/>
      <c r="J51" s="714"/>
      <c r="K51" s="714"/>
      <c r="L51" s="714"/>
      <c r="M51" s="714"/>
      <c r="N51" s="714"/>
      <c r="O51" s="714"/>
      <c r="T51" s="812"/>
      <c r="U51" s="812"/>
      <c r="V51" s="812"/>
      <c r="W51" s="812"/>
      <c r="X51" s="812"/>
      <c r="Y51" s="812"/>
      <c r="Z51" s="812"/>
    </row>
    <row r="52" spans="4:26" ht="12.75" customHeight="1" x14ac:dyDescent="0.2">
      <c r="D52" s="714"/>
      <c r="E52" s="714"/>
      <c r="F52" s="714"/>
      <c r="G52" s="714"/>
      <c r="H52" s="714"/>
      <c r="I52" s="714"/>
      <c r="J52" s="714"/>
      <c r="K52" s="714"/>
      <c r="L52" s="714"/>
      <c r="M52" s="714"/>
      <c r="N52" s="714"/>
      <c r="O52" s="714"/>
      <c r="T52" s="812"/>
      <c r="U52" s="812"/>
      <c r="V52" s="812"/>
      <c r="W52" s="812"/>
      <c r="X52" s="812"/>
      <c r="Y52" s="812"/>
      <c r="Z52" s="812"/>
    </row>
    <row r="53" spans="4:26" ht="14.25" x14ac:dyDescent="0.2">
      <c r="D53" s="443"/>
      <c r="E53" s="443"/>
      <c r="F53" s="443"/>
      <c r="G53" s="443"/>
      <c r="H53" s="443"/>
      <c r="I53" s="443"/>
      <c r="J53" s="443"/>
      <c r="K53" s="443"/>
      <c r="L53" s="443"/>
      <c r="M53" s="443"/>
      <c r="N53" s="443"/>
      <c r="O53" s="443"/>
    </row>
    <row r="54" spans="4:26" ht="15" customHeight="1" x14ac:dyDescent="0.25">
      <c r="D54" s="715" t="str" cm="1">
        <f t="array" aca="1" ref="D54"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4" s="715"/>
      <c r="F54" s="715"/>
      <c r="G54" s="715"/>
      <c r="H54" s="715"/>
      <c r="I54" s="715"/>
      <c r="J54" s="715"/>
      <c r="K54" s="715"/>
      <c r="L54" s="715"/>
    </row>
    <row r="55" spans="4:26" x14ac:dyDescent="0.2">
      <c r="D55" s="808"/>
      <c r="E55" s="808"/>
      <c r="F55" s="808"/>
      <c r="G55" s="808"/>
      <c r="H55" s="808"/>
      <c r="I55" s="808"/>
    </row>
    <row r="56" spans="4:26" x14ac:dyDescent="0.2">
      <c r="D56" s="815"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56" s="815"/>
      <c r="F56" s="815"/>
      <c r="G56" s="815"/>
      <c r="H56" s="815"/>
      <c r="I56" s="815"/>
      <c r="J56" s="815"/>
      <c r="K56" s="815"/>
      <c r="L56" s="815"/>
      <c r="M56" s="815"/>
      <c r="N56" s="815"/>
      <c r="O56" s="815"/>
    </row>
    <row r="57" spans="4:26" ht="39.950000000000003" customHeight="1" x14ac:dyDescent="0.25">
      <c r="E57" s="138" t="str">
        <f>Import.Município</f>
        <v>PASSOS MG</v>
      </c>
      <c r="J57" s="585" t="str">
        <f ca="1">IF(DADOS!$D$50&lt;&gt;"","Preencher os Dados do Responsável pela Fiscalização, na aba DADOS.","")</f>
        <v/>
      </c>
      <c r="K57" s="585"/>
      <c r="L57" s="585"/>
      <c r="M57" s="585"/>
      <c r="W57" s="816"/>
      <c r="X57" s="816"/>
      <c r="Y57" s="816"/>
      <c r="Z57" s="816"/>
    </row>
    <row r="58" spans="4:26" x14ac:dyDescent="0.2">
      <c r="E58" s="9" t="s">
        <v>693</v>
      </c>
      <c r="J58" s="181" t="s">
        <v>841</v>
      </c>
      <c r="W58" s="181" t="s">
        <v>866</v>
      </c>
    </row>
    <row r="59" spans="4:26" x14ac:dyDescent="0.2">
      <c r="J59" s="77" t="s">
        <v>240</v>
      </c>
      <c r="K59" s="271">
        <f t="array" ref="K59:K62">Import.RespFiscalização</f>
        <v>0</v>
      </c>
      <c r="L59" s="78"/>
      <c r="W59" s="77" t="s">
        <v>240</v>
      </c>
      <c r="X59" s="814"/>
      <c r="Y59" s="814"/>
      <c r="Z59" s="814"/>
    </row>
    <row r="60" spans="4:26" x14ac:dyDescent="0.2">
      <c r="E60" s="459">
        <f>DADOS!$C$48</f>
        <v>0</v>
      </c>
      <c r="J60" s="77" t="s">
        <v>319</v>
      </c>
      <c r="K60" s="271">
        <v>0</v>
      </c>
      <c r="L60" s="78"/>
      <c r="W60" s="77" t="s">
        <v>867</v>
      </c>
      <c r="X60" s="814"/>
      <c r="Y60" s="814"/>
      <c r="Z60" s="814"/>
    </row>
    <row r="61" spans="4:26" x14ac:dyDescent="0.2">
      <c r="E61" s="140" t="s">
        <v>694</v>
      </c>
      <c r="J61" s="77" t="s">
        <v>243</v>
      </c>
      <c r="K61" s="271">
        <v>0</v>
      </c>
      <c r="L61" s="78"/>
      <c r="W61" s="77" t="s">
        <v>243</v>
      </c>
      <c r="X61" s="814"/>
      <c r="Y61" s="814"/>
      <c r="Z61" s="814"/>
    </row>
    <row r="62" spans="4:26" x14ac:dyDescent="0.2">
      <c r="J62" s="77" t="s">
        <v>246</v>
      </c>
      <c r="K62" s="12">
        <v>0</v>
      </c>
      <c r="W62" s="77"/>
      <c r="X62" s="12"/>
    </row>
  </sheetData>
  <sheetProtection algorithmName="SHA-512" hashValue="tkZNhfyPU3J42E0SL5jrfvTlI0LuuYJJMu5inL63cfOjn/BFWokRqYt8S2jgib+b7kA4R8xY4d3IXheFLhQlIg==" saltValue="wqAgsdLwwbAwgtRc9f/S+w==" spinCount="100000" sheet="1" objects="1" scenarios="1" autoFilter="0"/>
  <autoFilter ref="C15:C47" xr:uid="{00000000-0001-0000-0B00-000000000000}"/>
  <mergeCells count="33">
    <mergeCell ref="X61:Z61"/>
    <mergeCell ref="D56:O56"/>
    <mergeCell ref="W57:Z57"/>
    <mergeCell ref="X59:Z59"/>
    <mergeCell ref="X60:Z60"/>
    <mergeCell ref="D54:L54"/>
    <mergeCell ref="D55:I55"/>
    <mergeCell ref="AB15:AM15"/>
    <mergeCell ref="D49:O49"/>
    <mergeCell ref="T49:Z49"/>
    <mergeCell ref="D50:O52"/>
    <mergeCell ref="T50:Z52"/>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18 T16:Z18 T20:Z22 D20:O22 D25:O35 T25:Z35">
    <cfRule type="expression" dxfId="81" priority="18607" stopIfTrue="1">
      <formula>OR(ACOMPANHAMENTO="PLE",TIPOORCAMENTO="Proposto",$L14&lt;0,AND($L14&gt;100,RegimeExecucao="Global"),$O14&gt;$I14,$O14&lt;0)</formula>
    </cfRule>
    <cfRule type="expression" dxfId="80" priority="18608" stopIfTrue="1">
      <formula>$A14=1</formula>
    </cfRule>
    <cfRule type="expression" dxfId="79" priority="18609" stopIfTrue="1">
      <formula>$A14&lt;&gt;"S"</formula>
    </cfRule>
  </conditionalFormatting>
  <conditionalFormatting sqref="Q14:R14 AB14:AM14 Q16:R18 AB16:AM18 AB20:AM22 Q20:R22 Q25:R35 AB25:AM35">
    <cfRule type="expression" dxfId="78" priority="18610" stopIfTrue="1">
      <formula>$A14=1</formula>
    </cfRule>
    <cfRule type="expression" dxfId="77" priority="18611" stopIfTrue="1">
      <formula>$A14&lt;&gt;"S"</formula>
    </cfRule>
  </conditionalFormatting>
  <conditionalFormatting sqref="E2">
    <cfRule type="expression" dxfId="76" priority="18612" stopIfTrue="1">
      <formula>Import.RegimeExecução="(SELECIONAR)"</formula>
    </cfRule>
  </conditionalFormatting>
  <conditionalFormatting sqref="F13:H13">
    <cfRule type="expression" dxfId="75" priority="18613" stopIfTrue="1">
      <formula>RegimeExecucao="Global"</formula>
    </cfRule>
  </conditionalFormatting>
  <conditionalFormatting sqref="D15:O15">
    <cfRule type="expression" dxfId="74" priority="18614" stopIfTrue="1">
      <formula>OR(ACOMPANHAMENTO="PLE",TIPOORCAMENTO="Proposto")</formula>
    </cfRule>
  </conditionalFormatting>
  <conditionalFormatting sqref="AB13">
    <cfRule type="cellIs" dxfId="73" priority="18615" stopIfTrue="1" operator="notEqual">
      <formula>1</formula>
    </cfRule>
  </conditionalFormatting>
  <conditionalFormatting sqref="O11">
    <cfRule type="expression" dxfId="72" priority="13474">
      <formula>ROUND($P$11,4)&gt;ROUND($P$10,4)</formula>
    </cfRule>
  </conditionalFormatting>
  <conditionalFormatting sqref="D19:O19 T19:Z19">
    <cfRule type="expression" dxfId="71" priority="21" stopIfTrue="1">
      <formula>OR(ACOMPANHAMENTO="PLE",TIPOORCAMENTO="Proposto",$L19&lt;0,AND($L19&gt;100,RegimeExecucao="Global"),$O19&gt;$I19,$O19&lt;0)</formula>
    </cfRule>
    <cfRule type="expression" dxfId="70" priority="22" stopIfTrue="1">
      <formula>$A19=1</formula>
    </cfRule>
    <cfRule type="expression" dxfId="69" priority="23" stopIfTrue="1">
      <formula>$A19&lt;&gt;"S"</formula>
    </cfRule>
  </conditionalFormatting>
  <conditionalFormatting sqref="Q19:R19 AB19:AM19">
    <cfRule type="expression" dxfId="68" priority="24" stopIfTrue="1">
      <formula>$A19=1</formula>
    </cfRule>
    <cfRule type="expression" dxfId="67" priority="25" stopIfTrue="1">
      <formula>$A19&lt;&gt;"S"</formula>
    </cfRule>
  </conditionalFormatting>
  <conditionalFormatting sqref="D23:O24 T23:Z24">
    <cfRule type="expression" dxfId="66" priority="16" stopIfTrue="1">
      <formula>OR(ACOMPANHAMENTO="PLE",TIPOORCAMENTO="Proposto",$L23&lt;0,AND($L23&gt;100,RegimeExecucao="Global"),$O23&gt;$I23,$O23&lt;0)</formula>
    </cfRule>
    <cfRule type="expression" dxfId="65" priority="17" stopIfTrue="1">
      <formula>$A23=1</formula>
    </cfRule>
    <cfRule type="expression" dxfId="64" priority="18" stopIfTrue="1">
      <formula>$A23&lt;&gt;"S"</formula>
    </cfRule>
  </conditionalFormatting>
  <conditionalFormatting sqref="Q23:R24 AB23:AM24">
    <cfRule type="expression" dxfId="63" priority="19" stopIfTrue="1">
      <formula>$A23=1</formula>
    </cfRule>
    <cfRule type="expression" dxfId="62" priority="20" stopIfTrue="1">
      <formula>$A23&lt;&gt;"S"</formula>
    </cfRule>
  </conditionalFormatting>
  <conditionalFormatting sqref="D36:O44 T36:Z44">
    <cfRule type="expression" dxfId="61" priority="11" stopIfTrue="1">
      <formula>OR(ACOMPANHAMENTO="PLE",TIPOORCAMENTO="Proposto",$L36&lt;0,AND($L36&gt;100,RegimeExecucao="Global"),$O36&gt;$I36,$O36&lt;0)</formula>
    </cfRule>
    <cfRule type="expression" dxfId="60" priority="12" stopIfTrue="1">
      <formula>$A36=1</formula>
    </cfRule>
    <cfRule type="expression" dxfId="59" priority="13" stopIfTrue="1">
      <formula>$A36&lt;&gt;"S"</formula>
    </cfRule>
  </conditionalFormatting>
  <conditionalFormatting sqref="Q36:R44 AB36:AM44">
    <cfRule type="expression" dxfId="58" priority="14" stopIfTrue="1">
      <formula>$A36=1</formula>
    </cfRule>
    <cfRule type="expression" dxfId="57" priority="15" stopIfTrue="1">
      <formula>$A36&lt;&gt;"S"</formula>
    </cfRule>
  </conditionalFormatting>
  <conditionalFormatting sqref="D45:O45 T45:Z45">
    <cfRule type="expression" dxfId="56" priority="6" stopIfTrue="1">
      <formula>OR(ACOMPANHAMENTO="PLE",TIPOORCAMENTO="Proposto",$L45&lt;0,AND($L45&gt;100,RegimeExecucao="Global"),$O45&gt;$I45,$O45&lt;0)</formula>
    </cfRule>
    <cfRule type="expression" dxfId="55" priority="7" stopIfTrue="1">
      <formula>$A45=1</formula>
    </cfRule>
    <cfRule type="expression" dxfId="54" priority="8" stopIfTrue="1">
      <formula>$A45&lt;&gt;"S"</formula>
    </cfRule>
  </conditionalFormatting>
  <conditionalFormatting sqref="Q45:R45 AB45:AM45">
    <cfRule type="expression" dxfId="53" priority="9" stopIfTrue="1">
      <formula>$A45=1</formula>
    </cfRule>
    <cfRule type="expression" dxfId="52" priority="10" stopIfTrue="1">
      <formula>$A45&lt;&gt;"S"</formula>
    </cfRule>
  </conditionalFormatting>
  <conditionalFormatting sqref="D46:O46 T46:Z46">
    <cfRule type="expression" dxfId="51" priority="1" stopIfTrue="1">
      <formula>OR(ACOMPANHAMENTO="PLE",TIPOORCAMENTO="Proposto",$L46&lt;0,AND($L46&gt;100,RegimeExecucao="Global"),$O46&gt;$I46,$O46&lt;0)</formula>
    </cfRule>
    <cfRule type="expression" dxfId="50" priority="2" stopIfTrue="1">
      <formula>$A46=1</formula>
    </cfRule>
    <cfRule type="expression" dxfId="49" priority="3" stopIfTrue="1">
      <formula>$A46&lt;&gt;"S"</formula>
    </cfRule>
  </conditionalFormatting>
  <conditionalFormatting sqref="Q46:R46 AB46:AM46">
    <cfRule type="expression" dxfId="48" priority="4" stopIfTrue="1">
      <formula>$A46=1</formula>
    </cfRule>
    <cfRule type="expression" dxfId="47" priority="5" stopIfTrue="1">
      <formula>$A46&lt;&gt;"S"</formula>
    </cfRule>
  </conditionalFormatting>
  <dataValidations count="4">
    <dataValidation type="list" allowBlank="1" showErrorMessage="1" sqref="Z14 Z16:Z46"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46"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46"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1" t="s">
        <v>652</v>
      </c>
      <c r="F3" s="721"/>
      <c r="G3" s="721"/>
      <c r="H3" s="721"/>
      <c r="I3" s="683" t="s">
        <v>650</v>
      </c>
      <c r="J3" s="683"/>
      <c r="K3" s="683"/>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19" t="str">
        <f>Import.Proponente</f>
        <v>PRFEITURA MUNICIPAL DE PASSOS</v>
      </c>
      <c r="F4" s="719"/>
      <c r="G4" s="719"/>
      <c r="H4" s="719"/>
      <c r="I4" s="680">
        <f>Import.CR</f>
        <v>0</v>
      </c>
      <c r="J4" s="680"/>
      <c r="K4" s="680"/>
      <c r="L4" s="56">
        <f>Import.TransfereGOV</f>
        <v>0</v>
      </c>
      <c r="M4" s="829" t="s">
        <v>809</v>
      </c>
      <c r="N4" s="830"/>
      <c r="O4" s="831"/>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3" t="s">
        <v>708</v>
      </c>
      <c r="F6" s="683"/>
      <c r="G6" s="683"/>
      <c r="H6" s="683"/>
      <c r="I6" s="817" t="s">
        <v>808</v>
      </c>
      <c r="J6" s="817"/>
      <c r="K6" s="817"/>
      <c r="L6" s="817"/>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09" t="s">
        <v>655</v>
      </c>
      <c r="E7" s="680" t="str">
        <f>Import.Apelido</f>
        <v>PRAÇA SÃO FRANCISCO</v>
      </c>
      <c r="F7" s="680"/>
      <c r="G7" s="680"/>
      <c r="H7" s="680"/>
      <c r="I7" s="818" t="str">
        <f>Import.Município</f>
        <v>PASSOS MG</v>
      </c>
      <c r="J7" s="818"/>
      <c r="K7" s="818"/>
      <c r="L7" s="818"/>
      <c r="M7" s="353">
        <f>Import.Repasse</f>
        <v>0</v>
      </c>
      <c r="N7" s="354">
        <f>Import.Contrapartida</f>
        <v>0</v>
      </c>
      <c r="O7" s="353">
        <f>M7+N7</f>
        <v>0</v>
      </c>
      <c r="P7" s="423">
        <f ca="1">IF(ACOMPANHAMENTO="PLE",PLE.Medicao,BM.medicao)</f>
        <v>1</v>
      </c>
      <c r="R7" s="146"/>
      <c r="S7" s="146"/>
      <c r="T7" s="146"/>
      <c r="U7" s="146"/>
    </row>
    <row r="8" spans="1:41" x14ac:dyDescent="0.2">
      <c r="D8" s="709"/>
      <c r="E8" s="92"/>
      <c r="F8" s="92"/>
      <c r="G8" s="92"/>
      <c r="H8" s="92"/>
      <c r="I8" s="92"/>
      <c r="J8" s="92"/>
      <c r="K8" s="92"/>
      <c r="L8" s="92"/>
      <c r="M8" s="92"/>
      <c r="N8" s="92"/>
      <c r="O8" s="92"/>
      <c r="P8" s="92"/>
      <c r="R8" s="146"/>
      <c r="S8" s="146"/>
      <c r="T8" s="146"/>
      <c r="U8" s="146"/>
    </row>
    <row r="9" spans="1:41" ht="12.75" customHeight="1" x14ac:dyDescent="0.2">
      <c r="D9" s="709"/>
      <c r="G9" s="819" t="s">
        <v>874</v>
      </c>
      <c r="H9" s="819"/>
      <c r="I9" s="819" t="s">
        <v>875</v>
      </c>
      <c r="J9" s="819"/>
      <c r="K9" s="355"/>
      <c r="L9" s="820" t="s">
        <v>815</v>
      </c>
      <c r="M9" s="356" t="s">
        <v>818</v>
      </c>
      <c r="N9" s="278" t="s">
        <v>741</v>
      </c>
      <c r="P9" s="357"/>
      <c r="R9" s="146"/>
      <c r="S9" s="146"/>
      <c r="T9" s="146"/>
      <c r="U9" s="146"/>
      <c r="V9" s="7" t="s">
        <v>876</v>
      </c>
    </row>
    <row r="10" spans="1:41" ht="12.75" customHeight="1" x14ac:dyDescent="0.2">
      <c r="D10" s="709"/>
      <c r="G10" s="682" t="str">
        <f ca="1">IF(J10="-","-",IF($P$24&lt;J10,"Atrasada",IF($P$24&gt;J10,"Adiantada","Normal")))</f>
        <v>Normal</v>
      </c>
      <c r="H10" s="682"/>
      <c r="I10" s="358">
        <f>DATE(YEAR($L$35),MONTH($L$35),1)</f>
        <v>1</v>
      </c>
      <c r="J10" s="359">
        <f ca="1">IF($I$10&lt;DATE(YEAR(CRONO!$U$13),MONTH(CRONO!$U$13),1),0,IF($I$10&gt;OFFSET(CRONO!$AG$13,0,-1),1,INDEX(CRONO!$T$41:$AH$41,MATCH(RRE!$I$10,CRONO!$T$13:$AG$13,0))))</f>
        <v>0</v>
      </c>
      <c r="K10" s="355"/>
      <c r="L10" s="820"/>
      <c r="M10" s="360">
        <f ca="1">QCI!L10</f>
        <v>0</v>
      </c>
      <c r="N10" s="280">
        <f ca="1">QCI!M10</f>
        <v>0</v>
      </c>
      <c r="P10" s="357"/>
      <c r="R10" s="146"/>
      <c r="S10" s="146"/>
      <c r="T10" s="146"/>
      <c r="U10" s="146"/>
      <c r="AC10" s="821" t="s">
        <v>76</v>
      </c>
      <c r="AD10" s="821"/>
      <c r="AE10" s="821"/>
      <c r="AF10" s="821"/>
      <c r="AG10" s="821"/>
      <c r="AH10" s="821"/>
      <c r="AJ10" s="821" t="s">
        <v>78</v>
      </c>
      <c r="AK10" s="821"/>
      <c r="AL10" s="821"/>
      <c r="AM10" s="821"/>
      <c r="AN10" s="821"/>
      <c r="AO10" s="821"/>
    </row>
    <row r="11" spans="1:41" ht="20.100000000000001" customHeight="1" x14ac:dyDescent="0.2">
      <c r="D11" s="709"/>
      <c r="M11" s="451" t="str">
        <f>IF(CAIXA.Modo,"Valores Aferidos (R$)","Valores Medidos (R$)")</f>
        <v>Valores Medidos (R$)</v>
      </c>
      <c r="N11" s="451"/>
      <c r="O11" s="451"/>
      <c r="R11" s="361"/>
      <c r="S11" s="361"/>
      <c r="T11" s="451"/>
      <c r="U11" s="451"/>
      <c r="V11" s="448" t="s">
        <v>877</v>
      </c>
      <c r="Y11" s="822" t="str">
        <f>IF(CAIXA.Modo,"Valores Aferidos (R$)","Valores Medidos (R$)")</f>
        <v>Valores Medidos (R$)</v>
      </c>
      <c r="Z11" s="822"/>
      <c r="AC11" s="823" t="s">
        <v>878</v>
      </c>
      <c r="AD11" s="823"/>
      <c r="AE11" s="823"/>
      <c r="AF11" s="823" t="s">
        <v>879</v>
      </c>
      <c r="AG11" s="823"/>
      <c r="AH11" s="823"/>
      <c r="AJ11" s="823" t="s">
        <v>878</v>
      </c>
      <c r="AK11" s="823"/>
      <c r="AL11" s="823"/>
      <c r="AM11" s="823" t="s">
        <v>879</v>
      </c>
      <c r="AN11" s="823"/>
      <c r="AO11" s="823"/>
    </row>
    <row r="12" spans="1:41" ht="30" hidden="1" customHeight="1" x14ac:dyDescent="0.2">
      <c r="A12" t="e">
        <f ca="1">MATCH(E12,ORÇAMENTO!$E$15:$E$47,0)-1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MATCH(E14,ORÇAMENTO!$E$15:$E$47,0)-1</f>
        <v>1</v>
      </c>
      <c r="B14">
        <f ca="1">IF(ISERROR($A14),NA(),OFFSET(ORÇAMENTO!$D$15,$A14,0))</f>
        <v>31</v>
      </c>
      <c r="C14" t="str">
        <f ca="1">QCI!B14</f>
        <v>Automático</v>
      </c>
      <c r="D14" t="str">
        <f t="shared" ref="D14:D22" ca="1" si="0">IF(L14&gt;0,"F","")</f>
        <v/>
      </c>
      <c r="E14" s="281">
        <f>QCI!D14</f>
        <v>1</v>
      </c>
      <c r="F14" s="362" t="str">
        <f ca="1">QCI!G14</f>
        <v>REFORMA PRAÇA SÃO FRANCISCO</v>
      </c>
      <c r="G14" s="363">
        <f>QCI!H14</f>
        <v>0</v>
      </c>
      <c r="H14" s="282">
        <f>QCI!I14</f>
        <v>0</v>
      </c>
      <c r="I14" s="282" t="str">
        <f ca="1">QCI!J14</f>
        <v/>
      </c>
      <c r="J14" s="364" t="str">
        <f ca="1">QCI!K14</f>
        <v>LOTE 1</v>
      </c>
      <c r="K14" s="365" cm="1">
        <f t="array" aca="1" ref="K14" ca="1">IF($C14="Automático",IF(ACOMPANHAMENTO="BM",BM.medicao,PLE.Medicao),IF(ISBLANK($X14),"",$X14))</f>
        <v>1</v>
      </c>
      <c r="L14" s="286">
        <f ca="1">QCI!$O14</f>
        <v>0</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0</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ht="30" customHeight="1" x14ac:dyDescent="0.2">
      <c r="A15" t="e">
        <f ca="1">MATCH(E15,ORÇAMENTO!$E$15:$E$47,0)-1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0</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ht="30" customHeight="1" x14ac:dyDescent="0.2">
      <c r="A16" t="e">
        <f ca="1">MATCH(E16,ORÇAMENTO!$E$15:$E$47,0)-1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0</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ht="30" customHeight="1" x14ac:dyDescent="0.2">
      <c r="A17" t="e">
        <f ca="1">MATCH(E17,ORÇAMENTO!$E$15:$E$47,0)-1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0</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ht="30" customHeight="1" x14ac:dyDescent="0.2">
      <c r="A18" t="e">
        <f ca="1">MATCH(E18,ORÇAMENTO!$E$15:$E$47,0)-1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0</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ht="30" customHeight="1" x14ac:dyDescent="0.2">
      <c r="A19" t="e">
        <f ca="1">MATCH(E19,ORÇAMENTO!$E$15:$E$47,0)-1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0</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ht="30" customHeight="1" x14ac:dyDescent="0.2">
      <c r="A20" t="e">
        <f ca="1">MATCH(E20,ORÇAMENTO!$E$15:$E$47,0)-1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0</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ht="30" customHeight="1" x14ac:dyDescent="0.2">
      <c r="A21" t="e">
        <f ca="1">MATCH(E21,ORÇAMENTO!$E$15:$E$47,0)-1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0</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ht="30" customHeight="1" x14ac:dyDescent="0.2">
      <c r="A22" t="e">
        <f ca="1">MATCH(E22,ORÇAMENTO!$E$15:$E$47,0)-1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0</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ht="30" customHeight="1" x14ac:dyDescent="0.2">
      <c r="A23" t="e">
        <f ca="1">MATCH(E23,ORÇAMENTO!$E$15:$E$47,0)-1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0</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38" t="s">
        <v>889</v>
      </c>
      <c r="K24" s="839"/>
      <c r="L24" s="369">
        <f ca="1">IF(ISERROR(L28/$L28),0,ROUND(L28/$L28,4))</f>
        <v>0</v>
      </c>
      <c r="M24" s="371">
        <f ca="1">IF(ISERROR(M28/$L28),0,ROUND(M28/$L28,4))</f>
        <v>0</v>
      </c>
      <c r="N24" s="370">
        <f ca="1">IF(ISERROR(N28/$L28),0,ROUND(N28/$L28,4))</f>
        <v>0</v>
      </c>
      <c r="O24" s="372">
        <f ca="1">IF(ISERROR(O28/$L28),0,ROUND(O28/$L28,4))</f>
        <v>0</v>
      </c>
      <c r="P24" s="840">
        <f ca="1">O28/(L28+10^-12)</f>
        <v>0</v>
      </c>
      <c r="X24" s="302"/>
      <c r="Y24" s="304"/>
      <c r="Z24" s="305"/>
    </row>
    <row r="25" spans="1:41" ht="12.95" customHeight="1" x14ac:dyDescent="0.2">
      <c r="D25" t="s">
        <v>536</v>
      </c>
      <c r="I25" s="4"/>
      <c r="J25" s="841" t="str">
        <f>IF(import.recurso="FGTS","Financiamento","Repasse")</f>
        <v>Repasse</v>
      </c>
      <c r="K25" s="842"/>
      <c r="L25" s="286">
        <f ca="1">QCI!L24</f>
        <v>0</v>
      </c>
      <c r="M25" s="283">
        <f ca="1">M28-M27-M26</f>
        <v>0</v>
      </c>
      <c r="N25" s="284">
        <f ca="1">O25-M25</f>
        <v>0</v>
      </c>
      <c r="O25" s="285">
        <f ca="1">O28-O27-O26</f>
        <v>0</v>
      </c>
      <c r="P25" s="840"/>
      <c r="X25" s="373"/>
      <c r="Y25" s="374" t="s">
        <v>890</v>
      </c>
      <c r="Z25" s="375" t="s">
        <v>891</v>
      </c>
      <c r="AC25" s="376" t="s">
        <v>892</v>
      </c>
      <c r="AD25" s="376" t="s">
        <v>893</v>
      </c>
    </row>
    <row r="26" spans="1:41" ht="12.95" customHeight="1" x14ac:dyDescent="0.2">
      <c r="D26" t="s">
        <v>536</v>
      </c>
      <c r="I26" s="4"/>
      <c r="J26" s="843" t="s">
        <v>894</v>
      </c>
      <c r="K26" s="844"/>
      <c r="L26" s="377">
        <f ca="1">QCI!M24</f>
        <v>0</v>
      </c>
      <c r="M26" s="378">
        <f ca="1">ROUND(IF(OFFSET($X$26,0,1)&lt;&gt;"",OFFSET($X$26,0,1),SUM(R13:OFFSET(R24,-1,0))),2)</f>
        <v>0</v>
      </c>
      <c r="N26" s="379">
        <f ca="1">O26-M26</f>
        <v>0</v>
      </c>
      <c r="O26" s="380">
        <f ca="1">IF(OFFSET($X$26,0,2)&lt;&gt;"",OFFSET($X$26,0,2),$AE$3)</f>
        <v>0</v>
      </c>
      <c r="P26" s="840"/>
      <c r="X26" s="381" t="s">
        <v>456</v>
      </c>
      <c r="Y26" s="444"/>
      <c r="Z26" s="445"/>
      <c r="AC26" s="382">
        <f ca="1">MIN($L26,$O$28-OFFSET($X$27,0,1))</f>
        <v>0</v>
      </c>
      <c r="AD26" s="382">
        <f ca="1">MIN($L26,$O$28-OFFSET($X$27,0,2))</f>
        <v>0</v>
      </c>
    </row>
    <row r="27" spans="1:41" ht="12.95" customHeight="1" x14ac:dyDescent="0.2">
      <c r="D27" t="s">
        <v>536</v>
      </c>
      <c r="I27" s="4"/>
      <c r="J27" s="824" t="s">
        <v>871</v>
      </c>
      <c r="K27" s="825"/>
      <c r="L27" s="383">
        <f ca="1">QCI!N24</f>
        <v>0</v>
      </c>
      <c r="M27" s="384">
        <f ca="1">ROUND(IF(OFFSET($X$27,0,1)&lt;&gt;"",OFFSET($X$27,0,1),SUM(S13:OFFSET(S24,-1,0))),2)</f>
        <v>0</v>
      </c>
      <c r="N27" s="385">
        <f ca="1">O27-M27</f>
        <v>0</v>
      </c>
      <c r="O27" s="386">
        <f ca="1">IF(OFFSET($X$27,0,2)&lt;&gt;"",OFFSET($X$27,0,2),$AE$4)</f>
        <v>0</v>
      </c>
      <c r="P27" s="840"/>
      <c r="X27" s="387" t="s">
        <v>794</v>
      </c>
      <c r="Y27" s="446"/>
      <c r="Z27" s="447"/>
      <c r="AC27" s="382">
        <f ca="1">MIN($L27,$O$28-OFFSET($X$26,0,1))</f>
        <v>0</v>
      </c>
      <c r="AD27" s="382">
        <f ca="1">MIN($L27,$O$28-OFFSET($X$26,0,2))</f>
        <v>0</v>
      </c>
    </row>
    <row r="28" spans="1:41" ht="15" x14ac:dyDescent="0.2">
      <c r="D28" t="s">
        <v>536</v>
      </c>
      <c r="I28" s="4"/>
      <c r="J28" s="826" t="s">
        <v>873</v>
      </c>
      <c r="K28" s="827"/>
      <c r="L28" s="388">
        <f ca="1">SUM(L13:OFFSET(L24,-1,0))</f>
        <v>0</v>
      </c>
      <c r="M28" s="648">
        <f ca="1">ROUND(SUM(M13:OFFSET(M24,-1,0)),2)</f>
        <v>0</v>
      </c>
      <c r="N28" s="649">
        <f ca="1">O28-M28</f>
        <v>0</v>
      </c>
      <c r="O28" s="389">
        <f ca="1">SUM(O13:OFFSET(O24,-1,0))</f>
        <v>0</v>
      </c>
      <c r="P28" s="840"/>
      <c r="X28" s="314"/>
      <c r="Y28" s="316"/>
      <c r="Z28" s="317"/>
    </row>
    <row r="29" spans="1:41" x14ac:dyDescent="0.2">
      <c r="O29" s="828" t="str">
        <f ca="1">"Acumulado Anterior:  "&amp;TEXT($M$28/($L$28+10^-12),"0,00%")</f>
        <v>Acumulado Anterior:  000%</v>
      </c>
      <c r="P29" s="828"/>
    </row>
    <row r="30" spans="1:41" ht="14.25" x14ac:dyDescent="0.2">
      <c r="E30" s="135" t="s">
        <v>689</v>
      </c>
      <c r="P30" s="414"/>
    </row>
    <row r="31" spans="1:41" ht="12.75" customHeight="1" x14ac:dyDescent="0.2">
      <c r="E31" s="832"/>
      <c r="F31" s="833"/>
      <c r="G31" s="833"/>
      <c r="H31" s="833"/>
      <c r="I31" s="833"/>
      <c r="J31" s="833"/>
      <c r="K31" s="833"/>
      <c r="L31" s="833"/>
      <c r="M31" s="833"/>
      <c r="N31" s="833"/>
      <c r="O31" s="833"/>
      <c r="P31" s="834"/>
    </row>
    <row r="32" spans="1:41" ht="12.75" customHeight="1" x14ac:dyDescent="0.2">
      <c r="E32" s="832"/>
      <c r="F32" s="833"/>
      <c r="G32" s="833"/>
      <c r="H32" s="833"/>
      <c r="I32" s="833"/>
      <c r="J32" s="833"/>
      <c r="K32" s="833"/>
      <c r="L32" s="833"/>
      <c r="M32" s="833"/>
      <c r="N32" s="833"/>
      <c r="O32" s="833"/>
      <c r="P32" s="834"/>
      <c r="Y32" s="390"/>
      <c r="Z32" s="390"/>
    </row>
    <row r="33" spans="5:16" ht="12.75" customHeight="1" x14ac:dyDescent="0.2">
      <c r="E33" s="835"/>
      <c r="F33" s="836"/>
      <c r="G33" s="836"/>
      <c r="H33" s="836"/>
      <c r="I33" s="836"/>
      <c r="J33" s="836"/>
      <c r="K33" s="836"/>
      <c r="L33" s="836"/>
      <c r="M33" s="836"/>
      <c r="N33" s="836"/>
      <c r="O33" s="836"/>
      <c r="P33" s="837"/>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6" t="str">
        <f>Import.Município</f>
        <v>PASSOS MG</v>
      </c>
      <c r="F35" s="716"/>
      <c r="G35" s="716"/>
      <c r="I35" s="391"/>
      <c r="K35" s="584"/>
      <c r="L35" s="769">
        <f>DADOS!$C$48</f>
        <v>0</v>
      </c>
      <c r="M35" s="769"/>
      <c r="N35" s="769"/>
      <c r="O35" s="769"/>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f>IF(CAIXA.Modo,DADOS!C60,DADOS!C28)</f>
        <v>0</v>
      </c>
      <c r="L40" s="77" t="s">
        <v>240</v>
      </c>
      <c r="M40" s="815">
        <f>IF(CAIXA.Modo,BM!X59,DADOS!C51)</f>
        <v>0</v>
      </c>
      <c r="N40" s="815"/>
      <c r="O40" s="815"/>
    </row>
    <row r="41" spans="5:16" x14ac:dyDescent="0.2">
      <c r="E41" s="77" t="str">
        <f>IF(CAIXA.Modo,"Função:","Cargo:")</f>
        <v>Cargo:</v>
      </c>
      <c r="F41" s="271">
        <f>IF(CAIXA.Modo,DADOS!C61,DADOS!C29)</f>
        <v>0</v>
      </c>
      <c r="L41" s="77" t="str">
        <f>IF(CAIXA.Modo,"Matrícula:","Profissão:")</f>
        <v>Profissão:</v>
      </c>
      <c r="M41" s="815">
        <f>IF(CAIXA.Modo,BM!X60,DADOS!C52)</f>
        <v>0</v>
      </c>
      <c r="N41" s="815"/>
      <c r="O41" s="815"/>
    </row>
    <row r="42" spans="5:16" x14ac:dyDescent="0.2">
      <c r="L42" s="77" t="s">
        <v>243</v>
      </c>
      <c r="M42" s="815">
        <f>IF(CAIXA.Modo,BM!X61,DADOS!C53)</f>
        <v>0</v>
      </c>
      <c r="N42" s="815"/>
      <c r="O42" s="815"/>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4"/>
      <c r="G47" s="814"/>
      <c r="L47" s="77" t="s">
        <v>240</v>
      </c>
      <c r="M47" s="814"/>
      <c r="N47" s="814"/>
      <c r="O47" s="814"/>
    </row>
    <row r="48" spans="5:16" x14ac:dyDescent="0.2">
      <c r="E48" s="77" t="str">
        <f>IF(CAIXA.Modo,"Função:","Cargo:")</f>
        <v>Cargo:</v>
      </c>
      <c r="F48" s="814"/>
      <c r="G48" s="814"/>
      <c r="L48" s="77" t="str">
        <f>IF(CAIXA.Modo,"Função:","Cargo:")</f>
        <v>Cargo:</v>
      </c>
      <c r="M48" s="814"/>
      <c r="N48" s="814"/>
      <c r="O48" s="814"/>
    </row>
    <row r="49" spans="5:15" x14ac:dyDescent="0.2">
      <c r="E49" s="77" t="str">
        <f>IF(CAIXA.Modo,"Matr:","")</f>
        <v/>
      </c>
      <c r="F49" s="814"/>
      <c r="G49" s="814"/>
      <c r="L49" s="77" t="str">
        <f>IF(CAIXA.Modo,"Matrícula:","")</f>
        <v/>
      </c>
      <c r="M49" s="814"/>
      <c r="N49" s="814"/>
      <c r="O49" s="814"/>
    </row>
  </sheetData>
  <sheetProtection algorithmName="SHA-512" hashValue="kJZofDgNgsHpfzhRDRBZaYFbfhn+Bd1sxxqyASYP4iBuX2D7AxD6wfuFoXkhqblgi7YSIoFQQPnsf9gU5Mr4nQ==" saltValue="RDRwAXlMD9J4UUDCk7uqXg=="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8"/>
      <c r="C1" s="848"/>
      <c r="D1" s="49"/>
      <c r="E1" s="49"/>
      <c r="F1" s="49"/>
      <c r="G1" s="52" t="s">
        <v>644</v>
      </c>
    </row>
    <row r="2" spans="2:13" x14ac:dyDescent="0.2">
      <c r="B2" s="848"/>
      <c r="C2" s="848"/>
      <c r="D2" s="49"/>
      <c r="E2" s="49"/>
      <c r="F2" s="49"/>
      <c r="G2" s="11" t="s">
        <v>895</v>
      </c>
    </row>
    <row r="3" spans="2:13" ht="26.1" customHeight="1" x14ac:dyDescent="0.2">
      <c r="B3" s="848"/>
      <c r="C3" s="848"/>
      <c r="D3" s="49"/>
      <c r="E3" s="49"/>
      <c r="F3" s="49"/>
      <c r="G3" s="393"/>
    </row>
    <row r="4" spans="2:13" ht="12.75" customHeight="1" x14ac:dyDescent="0.2">
      <c r="B4" s="848"/>
      <c r="C4" s="848"/>
      <c r="D4" s="49"/>
      <c r="E4" s="49"/>
      <c r="F4" s="49"/>
      <c r="G4" s="49"/>
    </row>
    <row r="5" spans="2:13" x14ac:dyDescent="0.2">
      <c r="C5" s="571" t="str">
        <f>IF(Import.Ofício.Num=0,"Preencher o número do Ofício","")</f>
        <v>Preencher o número do Ofício</v>
      </c>
    </row>
    <row r="6" spans="2:13" x14ac:dyDescent="0.2">
      <c r="B6" s="394" t="s">
        <v>896</v>
      </c>
      <c r="C6" s="845"/>
      <c r="D6" s="845"/>
      <c r="E6" s="394"/>
      <c r="F6" s="394"/>
      <c r="G6" s="49"/>
      <c r="J6" s="9"/>
    </row>
    <row r="7" spans="2:13" x14ac:dyDescent="0.2">
      <c r="B7" s="49"/>
      <c r="C7" s="49"/>
      <c r="D7" s="49"/>
      <c r="E7" s="49"/>
      <c r="F7" s="49"/>
      <c r="G7" s="49"/>
    </row>
    <row r="8" spans="2:13" x14ac:dyDescent="0.2">
      <c r="B8" s="846" t="str">
        <f>CONCATENATE(RRE!$E$35,", ",TEXT(RRE!$L$35,"dd"" de ""mmmm"" de ""aaaa"))</f>
        <v>PASSOS MG, 00 de janeiro de 1900</v>
      </c>
      <c r="C8" s="846"/>
      <c r="D8" s="846"/>
      <c r="E8" s="846"/>
      <c r="F8" s="846"/>
      <c r="G8" s="846"/>
      <c r="H8" s="395"/>
      <c r="J8" s="395"/>
      <c r="K8" s="395"/>
      <c r="L8" s="395"/>
      <c r="M8" s="395"/>
    </row>
    <row r="9" spans="2:13" x14ac:dyDescent="0.2">
      <c r="B9" s="396" t="s">
        <v>897</v>
      </c>
      <c r="C9" s="49"/>
      <c r="D9" s="49"/>
      <c r="G9" s="49"/>
      <c r="H9" s="395"/>
      <c r="J9" s="395"/>
      <c r="K9" s="395"/>
      <c r="L9" s="395"/>
      <c r="M9" s="395"/>
    </row>
    <row r="10" spans="2:13" x14ac:dyDescent="0.2">
      <c r="B10" s="847" t="s">
        <v>898</v>
      </c>
      <c r="C10" s="847"/>
      <c r="D10" s="847"/>
      <c r="G10" s="49"/>
      <c r="H10" s="395"/>
      <c r="J10" s="395"/>
      <c r="K10" s="395"/>
      <c r="L10" s="395"/>
      <c r="M10" s="395"/>
    </row>
    <row r="11" spans="2:13" x14ac:dyDescent="0.2">
      <c r="B11" s="397" t="s">
        <v>899</v>
      </c>
      <c r="C11" s="814"/>
      <c r="D11" s="814"/>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47" t="str" cm="1">
        <f t="array" aca="1" ref="C14" ca="1">CONCATENATE(RRE.Numero,"ª"," Solicitação de ",IF(import.recurso="OGU","Desbloqueio","Desembolso")," de Recursos.")</f>
        <v>1ª Solicitação de Desembolso de Recursos.</v>
      </c>
      <c r="D14" s="847"/>
      <c r="E14" s="847"/>
      <c r="F14" s="847"/>
      <c r="G14" s="847"/>
    </row>
    <row r="15" spans="2:13" ht="12.75" customHeight="1" x14ac:dyDescent="0.2">
      <c r="B15" s="396" t="s">
        <v>901</v>
      </c>
      <c r="C15" s="853" t="str">
        <f>CONCATENATE("Contrato de ",IF(import.recurso="OGU","Repasse","Financiamento")," - Operação nº ",Import.CR,IF(Import.TransfereGOV="","",CONCATENATE(" - TransfereGOV nº ",Import.TransfereGOV)))</f>
        <v xml:space="preserve">Contrato de Financiamento - Operação nº </v>
      </c>
      <c r="D15" s="853"/>
      <c r="E15" s="853"/>
      <c r="F15" s="853"/>
      <c r="G15" s="853"/>
    </row>
    <row r="16" spans="2:13" x14ac:dyDescent="0.2">
      <c r="B16" s="396"/>
      <c r="C16" s="853"/>
      <c r="D16" s="853"/>
      <c r="E16" s="853"/>
      <c r="F16" s="853"/>
      <c r="G16" s="853"/>
    </row>
    <row r="17" spans="2:7" x14ac:dyDescent="0.2">
      <c r="B17" s="49"/>
      <c r="C17" s="49"/>
      <c r="D17" s="49"/>
      <c r="E17" s="49"/>
      <c r="F17" s="49"/>
      <c r="G17" s="49"/>
    </row>
    <row r="18" spans="2:7" ht="12.75" customHeight="1" x14ac:dyDescent="0.2">
      <c r="B18" s="271" t="s">
        <v>902</v>
      </c>
      <c r="C18" s="849">
        <f>Import.DescLote</f>
        <v>0</v>
      </c>
      <c r="D18" s="849"/>
      <c r="E18" s="849"/>
      <c r="F18" s="849"/>
      <c r="G18" s="849"/>
    </row>
    <row r="19" spans="2:7" ht="12.75" customHeight="1" x14ac:dyDescent="0.2">
      <c r="B19" s="851" t="s">
        <v>903</v>
      </c>
      <c r="C19" s="852" t="str">
        <f>Import.Proponente</f>
        <v>PRFEITURA MUNICIPAL DE PASSOS</v>
      </c>
      <c r="D19" s="852"/>
      <c r="E19" s="852"/>
      <c r="F19" s="852"/>
      <c r="G19" s="852"/>
    </row>
    <row r="20" spans="2:7" x14ac:dyDescent="0.2">
      <c r="B20" s="851"/>
      <c r="C20" s="852"/>
      <c r="D20" s="852"/>
      <c r="E20" s="852"/>
      <c r="F20" s="852"/>
      <c r="G20" s="852"/>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49"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49"/>
      <c r="D24" s="849"/>
      <c r="E24" s="849"/>
      <c r="F24" s="849"/>
      <c r="G24" s="849"/>
    </row>
    <row r="25" spans="2:7" x14ac:dyDescent="0.2">
      <c r="B25" s="849"/>
      <c r="C25" s="849"/>
      <c r="D25" s="849"/>
      <c r="E25" s="849"/>
      <c r="F25" s="849"/>
      <c r="G25" s="849"/>
    </row>
    <row r="26" spans="2:7" x14ac:dyDescent="0.2">
      <c r="B26" s="849"/>
      <c r="C26" s="849"/>
      <c r="D26" s="849"/>
      <c r="E26" s="849"/>
      <c r="F26" s="849"/>
      <c r="G26" s="849"/>
    </row>
    <row r="27" spans="2:7" x14ac:dyDescent="0.2">
      <c r="B27" s="49"/>
      <c r="C27" s="49"/>
      <c r="D27" s="49"/>
      <c r="E27" s="49"/>
      <c r="F27" s="49"/>
      <c r="G27" s="49"/>
    </row>
    <row r="28" spans="2:7" ht="12.75" customHeight="1" x14ac:dyDescent="0.2">
      <c r="B28" s="850"/>
      <c r="C28" s="850"/>
      <c r="D28" s="854" t="s">
        <v>904</v>
      </c>
      <c r="E28" s="854" t="str" cm="1">
        <f t="array" aca="1" ref="E28" ca="1">"Evolução da "&amp;RRE.Numero&amp;"ª Medição"</f>
        <v>Evolução da 1ª Medição</v>
      </c>
      <c r="F28" s="855" t="s">
        <v>905</v>
      </c>
      <c r="G28" s="855"/>
    </row>
    <row r="29" spans="2:7" x14ac:dyDescent="0.2">
      <c r="B29" s="850"/>
      <c r="C29" s="850"/>
      <c r="D29" s="854"/>
      <c r="E29" s="854"/>
      <c r="F29" s="855"/>
      <c r="G29" s="855"/>
    </row>
    <row r="30" spans="2:7" x14ac:dyDescent="0.2">
      <c r="B30" s="856" t="str">
        <f>IF(import.recurso="FGTS","Financiamento:","Repasse:")</f>
        <v>Repasse:</v>
      </c>
      <c r="C30" s="856"/>
      <c r="D30" s="399">
        <f ca="1">RRE!L25</f>
        <v>0</v>
      </c>
      <c r="E30" s="399">
        <f ca="1">RRE!N25</f>
        <v>0</v>
      </c>
      <c r="F30" s="857">
        <f ca="1">RRE!O25</f>
        <v>0</v>
      </c>
      <c r="G30" s="857"/>
    </row>
    <row r="31" spans="2:7" x14ac:dyDescent="0.2">
      <c r="B31" s="856" t="s">
        <v>906</v>
      </c>
      <c r="C31" s="856"/>
      <c r="D31" s="399">
        <f ca="1">RRE!L26</f>
        <v>0</v>
      </c>
      <c r="E31" s="399">
        <f ca="1">RRE!N26</f>
        <v>0</v>
      </c>
      <c r="F31" s="857">
        <f ca="1">RRE!O26</f>
        <v>0</v>
      </c>
      <c r="G31" s="857"/>
    </row>
    <row r="32" spans="2:7" x14ac:dyDescent="0.2">
      <c r="B32" s="856" t="s">
        <v>801</v>
      </c>
      <c r="C32" s="856"/>
      <c r="D32" s="399">
        <f ca="1">RRE!L27</f>
        <v>0</v>
      </c>
      <c r="E32" s="399">
        <f ca="1">RRE!N27</f>
        <v>0</v>
      </c>
      <c r="F32" s="857">
        <f ca="1">RRE!O27</f>
        <v>0</v>
      </c>
      <c r="G32" s="857"/>
    </row>
    <row r="33" spans="2:7" x14ac:dyDescent="0.2">
      <c r="B33" s="856" t="s">
        <v>802</v>
      </c>
      <c r="C33" s="856"/>
      <c r="D33" s="399">
        <f ca="1">RRE!L28</f>
        <v>0</v>
      </c>
      <c r="E33" s="399">
        <f ca="1">RRE!N28</f>
        <v>0</v>
      </c>
      <c r="F33" s="857">
        <f ca="1">RRE!O28</f>
        <v>0</v>
      </c>
      <c r="G33" s="857"/>
    </row>
    <row r="34" spans="2:7" x14ac:dyDescent="0.2">
      <c r="B34" s="860" t="s">
        <v>907</v>
      </c>
      <c r="C34" s="860"/>
      <c r="D34" s="400" t="s">
        <v>688</v>
      </c>
      <c r="E34" s="401">
        <f ca="1">RRE!$N$28/(RRE!$L$28+10^-12)</f>
        <v>0</v>
      </c>
      <c r="F34" s="861">
        <f ca="1">RRE!P24</f>
        <v>0</v>
      </c>
      <c r="G34" s="861"/>
    </row>
    <row r="35" spans="2:7" x14ac:dyDescent="0.2">
      <c r="B35" s="181"/>
      <c r="C35" s="49"/>
      <c r="D35" s="49"/>
      <c r="E35" s="49"/>
      <c r="F35" s="49"/>
      <c r="G35" s="49"/>
    </row>
    <row r="36" spans="2:7" x14ac:dyDescent="0.2">
      <c r="B36" s="181"/>
      <c r="C36" s="181"/>
      <c r="D36" s="181"/>
      <c r="E36" s="181"/>
      <c r="F36" s="181"/>
      <c r="G36" s="49"/>
    </row>
    <row r="37" spans="2:7" x14ac:dyDescent="0.2">
      <c r="B37" s="862" t="str" cm="1">
        <f t="array" aca="1" ref="B37" ca="1">IF(RRE.Numero&gt;1,"2. Encaminhamos ainda a documentação relativa à prestação de contas da etapa físico-financeira anterior.","")</f>
        <v/>
      </c>
      <c r="C37" s="862"/>
      <c r="D37" s="862"/>
      <c r="E37" s="862"/>
      <c r="F37" s="862"/>
      <c r="G37" s="862"/>
    </row>
    <row r="38" spans="2:7" x14ac:dyDescent="0.2">
      <c r="B38" s="862"/>
      <c r="C38" s="862"/>
      <c r="D38" s="862"/>
      <c r="E38" s="862"/>
      <c r="F38" s="862"/>
      <c r="G38" s="862"/>
    </row>
    <row r="39" spans="2:7" ht="12.75" customHeight="1" x14ac:dyDescent="0.2">
      <c r="B39" s="862" t="str" cm="1">
        <f t="array" aca="1" ref="B39" ca="1">IF(AND(RRE.Numero&gt;1,NOT(ISBLANK(Import.TransfereGOV))),"3. Na oportunidade, informamos que a execução financeira da parcela anterior está devidamente comprovada no TransfereGOV.","")</f>
        <v/>
      </c>
      <c r="C39" s="862"/>
      <c r="D39" s="862"/>
      <c r="E39" s="862"/>
      <c r="F39" s="862"/>
      <c r="G39" s="862"/>
    </row>
    <row r="40" spans="2:7" x14ac:dyDescent="0.2">
      <c r="B40" s="862"/>
      <c r="C40" s="862"/>
      <c r="D40" s="862"/>
      <c r="E40" s="862"/>
      <c r="F40" s="862"/>
      <c r="G40" s="862"/>
    </row>
    <row r="41" spans="2:7" x14ac:dyDescent="0.2">
      <c r="B41" s="402"/>
      <c r="C41" s="397"/>
      <c r="D41" s="397"/>
      <c r="E41" s="397"/>
      <c r="F41" s="397"/>
      <c r="G41" s="397"/>
    </row>
    <row r="42" spans="2:7" ht="12.75" customHeight="1" x14ac:dyDescent="0.2">
      <c r="B42" s="862"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2"/>
      <c r="D42" s="862"/>
      <c r="E42" s="862"/>
      <c r="F42" s="862"/>
      <c r="G42" s="862"/>
    </row>
    <row r="43" spans="2:7" x14ac:dyDescent="0.2">
      <c r="B43" s="862"/>
      <c r="C43" s="862"/>
      <c r="D43" s="862"/>
      <c r="E43" s="862"/>
      <c r="F43" s="862"/>
      <c r="G43" s="862"/>
    </row>
    <row r="44" spans="2:7" x14ac:dyDescent="0.2">
      <c r="B44" s="862"/>
      <c r="C44" s="862"/>
      <c r="D44" s="862"/>
      <c r="E44" s="862"/>
      <c r="F44" s="862"/>
      <c r="G44" s="862"/>
    </row>
    <row r="45" spans="2:7" x14ac:dyDescent="0.2">
      <c r="B45" s="862"/>
      <c r="C45" s="862"/>
      <c r="D45" s="862"/>
      <c r="E45" s="862"/>
      <c r="F45" s="862"/>
      <c r="G45" s="862"/>
    </row>
    <row r="46" spans="2:7" x14ac:dyDescent="0.2">
      <c r="B46" s="862"/>
      <c r="C46" s="862"/>
      <c r="D46" s="862"/>
      <c r="E46" s="862"/>
      <c r="F46" s="862"/>
      <c r="G46" s="862"/>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58">
        <f>DADOS!$C$28</f>
        <v>0</v>
      </c>
      <c r="C54" s="858"/>
      <c r="D54" s="858"/>
      <c r="E54" s="858"/>
      <c r="F54" s="858"/>
      <c r="G54" s="858"/>
    </row>
    <row r="55" spans="2:7" x14ac:dyDescent="0.2">
      <c r="B55" s="858">
        <f>DADOS!$C$29</f>
        <v>0</v>
      </c>
      <c r="C55" s="858"/>
      <c r="D55" s="858"/>
      <c r="E55" s="858"/>
      <c r="F55" s="858"/>
      <c r="G55" s="858"/>
    </row>
    <row r="56" spans="2:7" x14ac:dyDescent="0.2">
      <c r="B56" s="859"/>
      <c r="C56" s="859"/>
      <c r="D56" s="859"/>
      <c r="E56" s="859"/>
      <c r="F56" s="859"/>
      <c r="G56" s="859"/>
    </row>
  </sheetData>
  <sheetProtection algorithmName="SHA-512" hashValue="E9udR/Mr+DTcvQNK7vUT4SiW7aleMeVCcR2iln4seRPxT04vjEY0qE4qvPgLXKrxdY2iixuXphNxe/+hrLkEPQ==" saltValue="2jkPKMASgzQ2q/yG/wdDzA=="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7"/>
      <c r="B2" s="668"/>
      <c r="C2" s="667"/>
      <c r="D2" s="667"/>
      <c r="E2" s="667"/>
      <c r="F2" s="669"/>
      <c r="G2" s="667"/>
      <c r="H2" s="670"/>
      <c r="I2" s="670"/>
      <c r="J2" s="671"/>
      <c r="K2" s="672"/>
      <c r="L2" s="673"/>
      <c r="M2" s="667"/>
      <c r="N2" s="674"/>
      <c r="O2" s="667"/>
      <c r="P2" s="674"/>
      <c r="Q2" s="667"/>
      <c r="R2" s="675"/>
      <c r="S2" s="672"/>
    </row>
  </sheetData>
  <sheetProtection algorithmName="SHA-512" hashValue="DP/sE0qVYRuAiAaTZ2cjmUUQSZi0DQyflHWWMp+crwGJQFgPJngpm21Thb+vdiGThqwkWrBqRwj3eopAS/r68A==" saltValue="bcb0Fvnku4kGYtmZvdgPPQ==" spinCount="100000" sheet="1" objects="1" scenarios="1"/>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6"/>
      <c r="B2" s="666"/>
      <c r="C2" s="666"/>
      <c r="D2" s="666"/>
      <c r="E2" s="666"/>
    </row>
  </sheetData>
  <sheetProtection algorithmName="SHA-512" hashValue="uDcop0r63Qhkl//sA1xTovTwfnphQxeIqqrEHwKx2neeHkLXbpmKA+/96KnrVKd4EId78M0g0JaaWt+2oziygw==" saltValue="jminM0oBwyHevylHVubqnA=="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BDI!Print_Area</vt:lpstr>
      <vt:lpstr>BM!Print_Area</vt:lpstr>
      <vt:lpstr>CÁLCULO!Print_Area</vt:lpstr>
      <vt:lpstr>CRONO!Print_Area</vt:lpstr>
      <vt:lpstr>EVENTOS!Print_Area</vt:lpstr>
      <vt:lpstr>MENU!Print_Area</vt:lpstr>
      <vt:lpstr>OFÍCIO!Print_Area</vt:lpstr>
      <vt:lpstr>ORÇAMENTO!Print_Area</vt:lpstr>
      <vt:lpstr>PLE!Print_Area</vt:lpstr>
      <vt:lpstr>QCI!Print_Area</vt:lpstr>
      <vt:lpstr>RRE!Print_Area</vt:lpstr>
      <vt:lpstr>BDI!Print_Titles</vt:lpstr>
      <vt:lpstr>BM!Print_Titles</vt:lpstr>
      <vt:lpstr>CÁLCULO!Print_Titles</vt:lpstr>
      <vt:lpstr>CRONO!Print_Titles</vt:lpstr>
      <vt:lpstr>ORÇAMENTO!Print_Titles</vt:lpstr>
      <vt:lpstr>PLE!Print_Titles</vt:lpstr>
      <vt:lpstr>QCI!Print_Titles</vt:lpstr>
      <vt:lpstr>RRE!Print_Titles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app</cp:lastModifiedBy>
  <cp:revision>5</cp:revision>
  <cp:lastPrinted>2026-04-07T14:42:26Z</cp:lastPrinted>
  <dcterms:created xsi:type="dcterms:W3CDTF">1997-01-10T22:22:50Z</dcterms:created>
  <dcterms:modified xsi:type="dcterms:W3CDTF">2026-08-06T00:08:01Z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