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A8DDBFC0-9040-4ABA-9956-6D082F17E183}" xr6:coauthVersionLast="47" xr6:coauthVersionMax="47" xr10:uidLastSave="{00000000-0000-0000-0000-000000000000}"/>
  <workbookProtection workbookAlgorithmName="SHA-512" workbookHashValue="pyRpf2hG/7uaTtgQcugHiZn6yBGj4/iq0PAVh/865xoplM2N//fMbfLLhfbb8nYdcjP2cNx3duhOFWzDnWnWVw==" workbookSaltValue="5pIu0h914sFYVLtOFdl6Bw==" workbookSpinCount="100000" lockStructure="1"/>
  <bookViews>
    <workbookView xWindow="1170" yWindow="1170" windowWidth="14400" windowHeight="8145"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BM!$C$15:$C$162</definedName>
    <definedName name="_xlnm._FilterDatabase" localSheetId="6" hidden="1">CÁLCULO!$C$15:$C$162</definedName>
    <definedName name="_xlnm._FilterDatabase" localSheetId="8" hidden="1">CRONO!$G$13:$G$88</definedName>
    <definedName name="_xlnm._FilterDatabase" localSheetId="7" hidden="1">CRONOPLE!$A$13:$A$79</definedName>
    <definedName name="_xlnm._FilterDatabase" localSheetId="5" hidden="1">EVENTOS!$A$13:$A$72</definedName>
    <definedName name="_xlnm._FilterDatabase" localSheetId="4" hidden="1">ORÇAMENTO!$L$15:$L$162</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BM!$C$15:$C$162</definedName>
    <definedName name="BM.firstrow" hidden="1">BM!$15:$15</definedName>
    <definedName name="BM.FormulaMed" hidden="1">BM!$AO$7</definedName>
    <definedName name="BM.lastrow" hidden="1">BM!$162:$162</definedName>
    <definedName name="BM.LinhaPadrão" hidden="1">BM!$14:$14</definedName>
    <definedName name="BM.MaxMed" hidden="1">IF(RegimeExecucao="Global",1,BM!$G1)</definedName>
    <definedName name="BM.MCAIXA.Filter" hidden="1">BM!$C$15:$Z$162</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CÁLCULO!$C$15:$C$162</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CÁLCULO!$162:$162</definedName>
    <definedName name="CÁLCULO.LinhaPadrão" hidden="1">CÁLCULO!$14:$14</definedName>
    <definedName name="CÁLCULO.margemrow" hidden="1">CÁLCULO!$170:$170</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CÁLCULO!$162:$162</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CÁLCULO!$162:$162</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CÁLCULO!$162:$162</definedName>
    <definedName name="CÁLCULO.nEvento" hidden="1">CÁLCULO!$M$12</definedName>
    <definedName name="CÁLCULO.NúmeroDeEventos" hidden="1">IF(AUTOEVENTO&lt;&gt;"manual",MAX(CÁLCULO!$M$15:$M$162),MAX(OFFSET(EVENTOS!$C$1:$C$65,1,0)))</definedName>
    <definedName name="CÁLCULO.NúmeroDeFrentes" hidden="1">COLUMN(CÁLCULO!$AA$15)-COLUMN(CÁLCULO!$Q$15)</definedName>
    <definedName name="CÁLCULO.Título" hidden="1">CÁLCULO!$F$6</definedName>
    <definedName name="CÁLCULO.TotalAdmLocal" hidden="1">IF(AUTOEVENTO="manual",SUMIF(CÁLCULO!$M$15:$M$162,1,ORÇAMENTO!$X$15:$X$162),0)</definedName>
    <definedName name="CRONO.ColAux" hidden="1">CRONO!$M:$R</definedName>
    <definedName name="CRONO.ColunaPadrão" hidden="1">CRONO!$E:$E</definedName>
    <definedName name="CRONO.Erro" hidden="1">CRONO!$K$10</definedName>
    <definedName name="CRONO.Filtro" hidden="1">CRONO!$G$13:$G$88</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CRONO!$71:$71</definedName>
    <definedName name="CRONO.lastrow2" hidden="1">CRONO!$83:$83</definedName>
    <definedName name="CRONO.LinhaPadrão" hidden="1">CRONO!$1:$3</definedName>
    <definedName name="CRONO.LinhasNecessarias" hidden="1">COUNTIF(QCI!$B$13:$B$24,"Manual")+COUNTIF(QCI!$B$13:$B$24,"SemiAuto")+COUNT(ORÇAMENTO.ListaCrono)</definedName>
    <definedName name="CRONO.Lista.AdmLocal" hidden="1">CRONO!$A$13:$A$71</definedName>
    <definedName name="CRONO.Lista.Níveis" hidden="1">CRONO!$A$9:$A$11</definedName>
    <definedName name="CRONO.margemrow" hidden="1">CRONO!$88:$88</definedName>
    <definedName name="CRONO.MaxParc" hidden="1">CRONO!$H1048576+CRONO!A1</definedName>
    <definedName name="CRONO.NivelExibicao" hidden="1">CRONO!$H$10</definedName>
    <definedName name="CRONO.Parcela1" hidden="1">CRONO!$U$12:$U$13</definedName>
    <definedName name="CRONO.ParcelaFinal" hidden="1">MATCH(100%,CRONO!$U$77:$AG$77,0)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SUMIF(CÁLCULO!$M$15:$M$162,CRONOPLE!$B1,OFFSET(CÁLCULO!$AA$15:$AA$162,0,CRONOPLE!A$12))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BM!$D$165</definedName>
    <definedName name="Import.BMAFAcumulado" hidden="1">OFFSET(BM!$R$15,1,0):OFFSET(BM!$R$162,-1,0)</definedName>
    <definedName name="Import.BMArred" hidden="1">BM!$A$9</definedName>
    <definedName name="Import.CNPJ" hidden="1">DADOS!$C$39</definedName>
    <definedName name="Import.Código" hidden="1">OFFSET(ORÇAMENTO!$Q$15,1,0):OFFSET(ORÇAMENTO!$Q$162,-1,0)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OFFSET(ORÇAMENTO!$U$15,1,0):OFFSET(ORÇAMENTO!$U$162,-1,0)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OFFSET(ORÇAMENTO!$R$15,1,0):OFFSET(ORÇAMENTO!$R$162,-1,0)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OFFSET(ORÇAMENTO!$P$15,1,0):OFFSET(ORÇAMENTO!$P$162,-1,0)</definedName>
    <definedName name="Import.FrenteDeObra" hidden="1">CÁLCULO!$Q$12:OFFSET(CÁLCULO!$AA$12,0,-1)</definedName>
    <definedName name="Import.MacrosserviçoAdmLocal" hidden="1">CRONO!$H$82</definedName>
    <definedName name="Import.Município" hidden="1">DADOS!$C$6</definedName>
    <definedName name="Import.Nível" hidden="1">OFFSET(ORÇAMENTO!$M$15,1,0):OFFSET(ORÇAMENTO!$M$162,-1,0)</definedName>
    <definedName name="Import.Ofício.Dest" hidden="1">OFÍCIO!$B$11</definedName>
    <definedName name="Import.Ofício.GIGOV" hidden="1">OFÍCIO!$C$11</definedName>
    <definedName name="Import.Ofício.Num" hidden="1">OFÍCIO!$C$6</definedName>
    <definedName name="Import.OpcaoBDI" hidden="1">OFFSET(ORÇAMENTO!$V$15,1,0):OFFSET(ORÇAMENTO!$V$162,-1,0)</definedName>
    <definedName name="Import.ORÇAMENTO.DivRecurso" hidden="1">OFFSET(ORÇAMENTO!$Y$15,1,0):OFFSET(ORÇAMENTO!$Y$162,-1,0)</definedName>
    <definedName name="Import.ORÇAMENTO.Obs" hidden="1">ORÇAMENTO!$O$168</definedName>
    <definedName name="Import.PLE" hidden="1">OFFSET(PLE!$G$15,1,1):OFFSET(PLE!$AG$65,-1,-1)</definedName>
    <definedName name="Import.PLE.Datas" hidden="1">PLE!$I$68:$AF$68</definedName>
    <definedName name="Import.PLQ" hidden="1">OFFSET(CÁLCULO!$P$15,1,1):OFFSET(CÁLCULO!$AA$162,-1,-1)</definedName>
    <definedName name="Import.PLQ.MemCalc" hidden="1">OFFSET(CÁLCULO!$I$15,1,0):OFFSET(CÁLCULO!$I$162,-1,0)</definedName>
    <definedName name="Import.PLQ.nAgrupEvent" hidden="1">OFFSET(CÁLCULO!$K$15,1,0):OFFSET(CÁLCULO!$K$162,-1,0)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OFFSET(ORÇAMENTO!$AJ$15,1,0):OFFSET(ORÇAMENTO!$AJ$162,-1,0)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OFFSET(ORÇAMENTO!$S$15,1,0):OFFSET(ORÇAMENTO!$S$162,-1,0)</definedName>
    <definedName name="Import.UnitarioLicitado" hidden="1">OFFSET(ORÇAMENTO!$AL$15,1,0):OFFSET(ORÇAMENTO!$AL$162,-1,0)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ORÇAMENTO!$L$15:$L$162</definedName>
    <definedName name="ORÇAMENTO.firstrow" hidden="1">ORÇAMENTO!$15:$15</definedName>
    <definedName name="ORÇAMENTO.Fonte" hidden="1">ORÇAMENTO!$P1</definedName>
    <definedName name="ORÇAMENTO.lastrow" hidden="1">ORÇAMENTO!$162:$162</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OFFSET(ORÇAMENTO!$AD$15,1,0):OFFSET(ORÇAMENTO!$AD$162,-1,0)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OFFSET(ORÇAMENTO!$P$15,1,0):OFFSET(ORÇAMENTO!$S$162,-1,0)</definedName>
    <definedName name="ORÇAMENTO.PasteFormat2" hidden="1">OFFSET(ORÇAMENTO!$U$15,1,0):OFFSET(ORÇAMENTO!$V$162,-1,0)</definedName>
    <definedName name="ORÇAMENTO.PrecoUnitarioLicitado" hidden="1">ORÇAMENTO!$AL1</definedName>
    <definedName name="ORÇAMENTO.QuantBM" hidden="1">ORÇAMENTO!$AJ1</definedName>
    <definedName name="ORÇAMENTO.RangeQuant" hidden="1">OFFSET(ORÇAMENTO!$T$15,1,0):OFFSET(ORÇAMENTO!$T$162,-1,0)</definedName>
    <definedName name="ORÇAMENTO.SumCPMANUAL" hidden="1">SUMIF(ORÇAMENTO!$Z$15:$Z$162,"CP",ORÇAMENTO!$AA$15:$AA$162)</definedName>
    <definedName name="ORÇAMENTO.SumINVMANUAL" hidden="1">SUMIF(ORÇAMENTO!$Z$15:$Z$162,"RP",ORÇAMENTO!$X$15:$X$162)+SUMIF(ORÇAMENTO!$Z$15:$Z$162,"CP",ORÇAMENTO!$X$15:$X$162)+SUMIF(ORÇAMENTO!$Z$15:$Z$162,"OU",ORÇAMENTO!$X$15:$X$162)</definedName>
    <definedName name="ORÇAMENTO.SumOUTROSMANUAL" hidden="1">SUMIF(ORÇAMENTO!$Z$15:$Z$162,"OU",ORÇAMENTO!$AB$15:$AB$162)</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SUMIF(CÁLCULO!$M$15:$M$162,PLE!$B1,OFFSET(CÁLCULO!$AA$15:$AA$162,0,PLE!A$12))</definedName>
    <definedName name="PO.ValoresBDI" hidden="1">OFFSET(ORÇAMENTO!$AH$15,1,0):OFFSET(ORÇAMENTO!$AH$162,-1,0)</definedName>
    <definedName name="_xlnm.Print_Area" localSheetId="3">BDI!$J$1:$S$53</definedName>
    <definedName name="_xlnm.Print_Area" localSheetId="11">BM!$D$1:$O$177</definedName>
    <definedName name="_xlnm.Print_Area" localSheetId="6">CÁLCULO!$E$6:$I$170</definedName>
    <definedName name="_xlnm.Print_Area" localSheetId="8">CRONO!$I$1:$AG$88</definedName>
    <definedName name="_xlnm.Print_Area" localSheetId="5">EVENTOS!$C$2:$Z$72</definedName>
    <definedName name="_xlnm.Print_Area" localSheetId="1">MENU!$A$1:$I$25</definedName>
    <definedName name="_xlnm.Print_Area" localSheetId="13">OFÍCIO!$A$1:$G$56</definedName>
    <definedName name="_xlnm.Print_Area" localSheetId="4">ORÇAMENTO!$O$1:$Y$179</definedName>
    <definedName name="_xlnm.Print_Area" localSheetId="10">PLE!$B$3:$AG$82</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25" i="5" l="1"/>
  <c r="A72" i="5" l="1"/>
  <c r="A71" i="5"/>
  <c r="AJ69" i="5"/>
  <c r="AJ63" i="5"/>
  <c r="AJ62" i="5"/>
  <c r="A61" i="5"/>
  <c r="AJ57" i="5"/>
  <c r="AJ55" i="5"/>
  <c r="AJ53" i="5"/>
  <c r="AJ48" i="5"/>
  <c r="A43" i="5"/>
  <c r="AJ42" i="5"/>
  <c r="AJ40" i="5"/>
  <c r="AJ32" i="5"/>
  <c r="AJ33" i="5" s="1"/>
  <c r="AJ34" i="5" s="1"/>
  <c r="W69" i="8"/>
  <c r="AJ26" i="5"/>
  <c r="A26" i="5"/>
  <c r="A20" i="5"/>
  <c r="A19" i="5"/>
  <c r="A25" i="5"/>
  <c r="AJ43" i="5" l="1"/>
  <c r="A24" i="5"/>
  <c r="AJ38" i="5"/>
  <c r="A42" i="5"/>
  <c r="A56" i="5"/>
  <c r="AJ50" i="5" l="1"/>
  <c r="A60" i="5"/>
  <c r="A63" i="5"/>
  <c r="AJ37" i="5"/>
  <c r="A38" i="5"/>
  <c r="A37" i="5"/>
  <c r="A36" i="5"/>
  <c r="AJ66" i="5" l="1"/>
  <c r="A57" i="5"/>
  <c r="AJ41" i="5"/>
  <c r="AJ44" i="5" s="1"/>
  <c r="A41" i="5"/>
  <c r="A45" i="5"/>
  <c r="A70" i="5"/>
  <c r="A30" i="5"/>
  <c r="AJ45" i="5" l="1"/>
  <c r="AJ49" i="5"/>
  <c r="A50" i="5" l="1"/>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69" i="5"/>
  <c r="A68" i="5"/>
  <c r="A67" i="5"/>
  <c r="A66" i="5"/>
  <c r="A65" i="5"/>
  <c r="A64" i="5"/>
  <c r="A62" i="5"/>
  <c r="A59" i="5"/>
  <c r="A58" i="5"/>
  <c r="A55" i="5"/>
  <c r="A54" i="5"/>
  <c r="A53" i="5"/>
  <c r="A52" i="5"/>
  <c r="A51" i="5"/>
  <c r="A49" i="5"/>
  <c r="A48" i="5"/>
  <c r="A47" i="5"/>
  <c r="A46" i="5"/>
  <c r="A44" i="5"/>
  <c r="A40" i="5"/>
  <c r="A39" i="5"/>
  <c r="A35" i="5"/>
  <c r="A34" i="5"/>
  <c r="A33" i="5"/>
  <c r="A32" i="5"/>
  <c r="A31" i="5"/>
  <c r="A29" i="5"/>
  <c r="A28" i="5"/>
  <c r="A27" i="5"/>
  <c r="A23" i="5"/>
  <c r="A22" i="5"/>
  <c r="A21"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L19" i="6" s="1"/>
  <c r="B17" i="6"/>
  <c r="A17" i="12"/>
  <c r="E17" i="12"/>
  <c r="B17" i="5"/>
  <c r="I17" i="5"/>
  <c r="N17" i="5"/>
  <c r="W17" i="5" a="1"/>
  <c r="W17" i="5" s="1"/>
  <c r="H17" i="12" s="1" a="1"/>
  <c r="H17" i="12" s="1"/>
  <c r="C18" i="5"/>
  <c r="C19" i="5" s="1"/>
  <c r="H17" i="5"/>
  <c r="G17" i="5"/>
  <c r="F17" i="5"/>
  <c r="AE17" i="5" a="1"/>
  <c r="AE17" i="5" s="1"/>
  <c r="B23" i="8"/>
  <c r="M16" i="6"/>
  <c r="H16" i="6" a="1"/>
  <c r="H16" i="6" s="1"/>
  <c r="T16" i="5" s="1"/>
  <c r="G16" i="12" s="1" a="1"/>
  <c r="G16" i="12" s="1"/>
  <c r="G16" i="6"/>
  <c r="N16" i="6"/>
  <c r="AD16" i="5"/>
  <c r="AD17" i="5" s="1"/>
  <c r="E16" i="5"/>
  <c r="F16" i="6"/>
  <c r="AC162" i="5" a="1"/>
  <c r="AC162" i="5" s="1"/>
  <c r="AE19" i="5" l="1" a="1"/>
  <c r="AE19" i="5" s="1"/>
  <c r="N19" i="5"/>
  <c r="D19" i="6" s="1"/>
  <c r="C20" i="5"/>
  <c r="D19" i="5"/>
  <c r="B19" i="12" s="1"/>
  <c r="K19" i="5"/>
  <c r="AD19" i="5"/>
  <c r="J19" i="5"/>
  <c r="A19" i="12"/>
  <c r="L20" i="6"/>
  <c r="L21" i="6" s="1"/>
  <c r="B19" i="6"/>
  <c r="A18" i="12"/>
  <c r="J18" i="5"/>
  <c r="D18" i="5"/>
  <c r="B18" i="12" s="1"/>
  <c r="H18" i="5"/>
  <c r="H19" i="5" s="1"/>
  <c r="G18" i="5"/>
  <c r="G19" i="5" s="1"/>
  <c r="F18" i="5"/>
  <c r="F19" i="5" s="1"/>
  <c r="B18" i="5"/>
  <c r="B19" i="5" s="1"/>
  <c r="AE18" i="5" a="1"/>
  <c r="AE18" i="5" s="1"/>
  <c r="AD18" i="5"/>
  <c r="N18" i="5"/>
  <c r="D18" i="6" s="1"/>
  <c r="K18" i="5"/>
  <c r="B26" i="8"/>
  <c r="D17" i="6"/>
  <c r="F17" i="6"/>
  <c r="B14" i="11"/>
  <c r="A14" i="13"/>
  <c r="E17" i="5"/>
  <c r="B18" i="6"/>
  <c r="L14" i="6"/>
  <c r="AE7" i="10" a="1"/>
  <c r="AE7" i="10" s="1"/>
  <c r="AE6" i="10" a="1"/>
  <c r="AE6" i="10" s="1"/>
  <c r="V7" i="10" a="1"/>
  <c r="V7" i="10" s="1"/>
  <c r="V6" i="10" a="1"/>
  <c r="V6" i="10" s="1"/>
  <c r="D169" i="12" a="1"/>
  <c r="D169"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B20" i="6" l="1"/>
  <c r="A20" i="12"/>
  <c r="AD20" i="5"/>
  <c r="G20" i="5"/>
  <c r="F20" i="5"/>
  <c r="N20" i="5"/>
  <c r="D20" i="6" s="1"/>
  <c r="K20" i="5"/>
  <c r="D20" i="5"/>
  <c r="B20" i="12" s="1"/>
  <c r="J20" i="5"/>
  <c r="B20" i="5"/>
  <c r="C21" i="5" s="1"/>
  <c r="AE20" i="5" a="1"/>
  <c r="AE20" i="5" s="1"/>
  <c r="H20" i="5"/>
  <c r="H19" i="6" a="1"/>
  <c r="H19" i="6" s="1"/>
  <c r="T19" i="5" s="1"/>
  <c r="C14" i="13"/>
  <c r="K14" i="11" a="1"/>
  <c r="K14" i="11" s="1"/>
  <c r="J14" i="13" s="1"/>
  <c r="G14" i="11"/>
  <c r="F14" i="13" s="1"/>
  <c r="E18" i="5"/>
  <c r="L22" i="6"/>
  <c r="G17" i="6"/>
  <c r="M17" i="6"/>
  <c r="H17" i="6" a="1"/>
  <c r="H17" i="6" s="1"/>
  <c r="T17" i="5" s="1"/>
  <c r="N17" i="6"/>
  <c r="B29" i="8"/>
  <c r="AF17" i="5" a="1"/>
  <c r="AF17" i="5" s="1"/>
  <c r="AF16" i="5" a="1"/>
  <c r="AF16" i="5" s="1"/>
  <c r="B14" i="6"/>
  <c r="O8" i="5"/>
  <c r="F11" i="5"/>
  <c r="AE21" i="5" l="1" a="1"/>
  <c r="AE21" i="5" s="1"/>
  <c r="B21" i="5"/>
  <c r="AD21" i="5"/>
  <c r="F21" i="5"/>
  <c r="H20" i="6" a="1"/>
  <c r="H20" i="6" s="1"/>
  <c r="T20" i="5" s="1"/>
  <c r="C22" i="5"/>
  <c r="C23" i="5" s="1"/>
  <c r="C24" i="5" s="1"/>
  <c r="N21" i="5"/>
  <c r="D21" i="6" s="1"/>
  <c r="A21" i="12"/>
  <c r="G21" i="5"/>
  <c r="AF21" i="5" a="1"/>
  <c r="AF21" i="5" s="1"/>
  <c r="E21" i="12" s="1"/>
  <c r="G19" i="12" a="1"/>
  <c r="G19" i="12" s="1"/>
  <c r="B21" i="6"/>
  <c r="H21" i="5"/>
  <c r="E19" i="5"/>
  <c r="E20" i="5" s="1"/>
  <c r="E21" i="5" s="1"/>
  <c r="G17" i="12" a="1"/>
  <c r="G17" i="12" s="1"/>
  <c r="L23" i="6"/>
  <c r="L24" i="6" s="1"/>
  <c r="AG16" i="5" a="1"/>
  <c r="AG16" i="5" s="1"/>
  <c r="S16" i="5" a="1"/>
  <c r="S16" i="5" s="1"/>
  <c r="AG17" i="5" a="1"/>
  <c r="AG17" i="5" s="1"/>
  <c r="S17" i="5" a="1"/>
  <c r="S17" i="5" s="1"/>
  <c r="F17" i="12" s="1" a="1"/>
  <c r="F17" i="12" s="1"/>
  <c r="B32" i="8"/>
  <c r="F21" i="6"/>
  <c r="F14" i="6"/>
  <c r="D14" i="6"/>
  <c r="C171" i="3"/>
  <c r="C170" i="3"/>
  <c r="C169" i="3"/>
  <c r="C166" i="3"/>
  <c r="C160" i="3"/>
  <c r="C159" i="3"/>
  <c r="F22" i="5" l="1"/>
  <c r="F23" i="5" s="1"/>
  <c r="F24" i="5" s="1"/>
  <c r="J22" i="5"/>
  <c r="AG21" i="5" a="1"/>
  <c r="AG21" i="5" s="1"/>
  <c r="U21" i="5" s="1"/>
  <c r="S21" i="5" a="1"/>
  <c r="S21" i="5" s="1"/>
  <c r="F21" i="12" s="1" a="1"/>
  <c r="F21" i="12" s="1"/>
  <c r="K22" i="5"/>
  <c r="B22" i="5"/>
  <c r="B23" i="5" s="1"/>
  <c r="B24" i="5" s="1"/>
  <c r="A22" i="12"/>
  <c r="AD22" i="5"/>
  <c r="G20" i="12" a="1"/>
  <c r="G20" i="12" s="1"/>
  <c r="B22" i="6"/>
  <c r="G22" i="5"/>
  <c r="G23" i="5" s="1"/>
  <c r="G24" i="5" s="1"/>
  <c r="N22" i="5"/>
  <c r="D22" i="6" s="1"/>
  <c r="H22" i="5"/>
  <c r="H23" i="5" s="1"/>
  <c r="H24" i="5" s="1"/>
  <c r="D22" i="5"/>
  <c r="B22" i="12" s="1"/>
  <c r="AE22" i="5" a="1"/>
  <c r="AE22" i="5" s="1"/>
  <c r="E22" i="5"/>
  <c r="E23" i="5" s="1"/>
  <c r="E24" i="5" s="1"/>
  <c r="AD24" i="5"/>
  <c r="N24" i="5"/>
  <c r="D24" i="6" s="1"/>
  <c r="D24" i="5"/>
  <c r="B24" i="12" s="1"/>
  <c r="A24" i="12"/>
  <c r="AE24" i="5" a="1"/>
  <c r="AE24" i="5" s="1"/>
  <c r="K24" i="5"/>
  <c r="J24" i="5"/>
  <c r="B24" i="6"/>
  <c r="F16" i="12" a="1"/>
  <c r="F16" i="12" s="1"/>
  <c r="B35" i="8"/>
  <c r="B23" i="6"/>
  <c r="G21" i="6"/>
  <c r="A23" i="12"/>
  <c r="AD23" i="5"/>
  <c r="N23" i="5"/>
  <c r="AE23" i="5" a="1"/>
  <c r="AE23" i="5" s="1"/>
  <c r="K23" i="5"/>
  <c r="D23" i="5"/>
  <c r="B23" i="12" s="1"/>
  <c r="J23" i="5"/>
  <c r="G14" i="6"/>
  <c r="H14" i="6" a="1"/>
  <c r="H14" i="6" s="1"/>
  <c r="X9" i="5"/>
  <c r="W9" i="5"/>
  <c r="V9" i="5"/>
  <c r="U9" i="5"/>
  <c r="T9" i="5"/>
  <c r="H24" i="6" l="1" a="1"/>
  <c r="H24" i="6" s="1"/>
  <c r="T24" i="5" s="1"/>
  <c r="B38" i="8"/>
  <c r="D23" i="6"/>
  <c r="C177" i="3"/>
  <c r="C175" i="3"/>
  <c r="G24" i="12" l="1" a="1"/>
  <c r="G24" i="12" s="1"/>
  <c r="B41" i="8"/>
  <c r="C157" i="3"/>
  <c r="C173" i="3"/>
  <c r="C167" i="3"/>
  <c r="C164" i="3"/>
  <c r="C163" i="3"/>
  <c r="C161" i="3"/>
  <c r="B44" i="8" l="1"/>
  <c r="C153" i="3"/>
  <c r="C151" i="3"/>
  <c r="B47" i="8" l="1"/>
  <c r="A12" i="6"/>
  <c r="X64" i="7" l="1"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A19" i="6" s="1"/>
  <c r="B50" i="8"/>
  <c r="A14" i="6"/>
  <c r="A11" i="6"/>
  <c r="C147" i="3"/>
  <c r="C149" i="3"/>
  <c r="C145" i="3"/>
  <c r="C143" i="3"/>
  <c r="C141" i="3"/>
  <c r="U11" i="4"/>
  <c r="U10" i="4"/>
  <c r="Y26" i="4"/>
  <c r="Z26" i="4" s="1"/>
  <c r="Y106" i="4"/>
  <c r="Z106" i="4" s="1"/>
  <c r="Y66" i="4"/>
  <c r="Z66" i="4" s="1"/>
  <c r="R64" i="4"/>
  <c r="R63" i="4"/>
  <c r="R23" i="4"/>
  <c r="R24" i="4"/>
  <c r="C133" i="3"/>
  <c r="A20" i="6" l="1"/>
  <c r="N19" i="6"/>
  <c r="N18" i="6"/>
  <c r="A21" i="6"/>
  <c r="B53" i="8"/>
  <c r="X26" i="4"/>
  <c r="X106" i="4"/>
  <c r="X66" i="4"/>
  <c r="C137" i="3"/>
  <c r="C135" i="3"/>
  <c r="C132" i="3"/>
  <c r="N20" i="6" l="1"/>
  <c r="L25" i="6"/>
  <c r="L26" i="6" s="1"/>
  <c r="C25" i="5"/>
  <c r="C26" i="5" s="1"/>
  <c r="E27" i="12"/>
  <c r="N21" i="6"/>
  <c r="A22" i="6"/>
  <c r="B56"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6" i="6" l="1"/>
  <c r="A26" i="12"/>
  <c r="AE26" i="5" a="1"/>
  <c r="AE26" i="5" s="1"/>
  <c r="N26" i="5"/>
  <c r="D26" i="6" s="1"/>
  <c r="AD26" i="5"/>
  <c r="J26" i="5"/>
  <c r="D26" i="5"/>
  <c r="B26" i="12" s="1"/>
  <c r="K26" i="5"/>
  <c r="B25" i="6"/>
  <c r="N25" i="5"/>
  <c r="E25" i="5"/>
  <c r="E26" i="5" s="1"/>
  <c r="A25" i="12"/>
  <c r="D25" i="5"/>
  <c r="B25" i="12" s="1"/>
  <c r="K25" i="5"/>
  <c r="J25" i="5"/>
  <c r="B25" i="5"/>
  <c r="B26" i="5" s="1"/>
  <c r="AE25" i="5" a="1"/>
  <c r="AE25" i="5" s="1"/>
  <c r="H25" i="5"/>
  <c r="H26" i="5" s="1"/>
  <c r="AD25" i="5"/>
  <c r="G25" i="5"/>
  <c r="G26" i="5" s="1"/>
  <c r="F25" i="5"/>
  <c r="F26" i="5" s="1"/>
  <c r="B59" i="8"/>
  <c r="A23" i="6"/>
  <c r="A24" i="6" s="1"/>
  <c r="N22" i="6"/>
  <c r="J4" i="15"/>
  <c r="AB13" i="12" a="1"/>
  <c r="AB13" i="12" s="1"/>
  <c r="I69" i="10"/>
  <c r="H26" i="6" l="1" a="1"/>
  <c r="H26" i="6" s="1"/>
  <c r="T26" i="5" s="1"/>
  <c r="L27" i="6"/>
  <c r="D25" i="6"/>
  <c r="C27" i="5"/>
  <c r="N24" i="6"/>
  <c r="N23" i="6"/>
  <c r="P7" i="13"/>
  <c r="K14" i="13" a="1"/>
  <c r="K14" i="13" s="1"/>
  <c r="B62" i="8"/>
  <c r="G22" i="15" a="1"/>
  <c r="G22" i="15" s="1"/>
  <c r="C22" i="15" a="1"/>
  <c r="C22" i="15" s="1"/>
  <c r="F10" i="12" a="1"/>
  <c r="F10" i="12" s="1"/>
  <c r="F8" i="7"/>
  <c r="M8" i="12" a="1"/>
  <c r="M8" i="12" s="1"/>
  <c r="H83" i="8" a="1"/>
  <c r="H83" i="8" s="1"/>
  <c r="H81" i="8" a="1"/>
  <c r="H81" i="8" s="1"/>
  <c r="F7" i="6" a="1"/>
  <c r="F7" i="6" s="1"/>
  <c r="F6" i="6" a="1"/>
  <c r="F6" i="6" s="1"/>
  <c r="Q1" i="6" a="1"/>
  <c r="Q1" i="6" s="1"/>
  <c r="O1" i="6" a="1"/>
  <c r="O1" i="6" s="1"/>
  <c r="C11" i="7" a="1"/>
  <c r="C11" i="7" s="1"/>
  <c r="C122" i="3"/>
  <c r="C120" i="3"/>
  <c r="G26" i="12" l="1" a="1"/>
  <c r="G26" i="12" s="1"/>
  <c r="B27" i="6"/>
  <c r="L28" i="6"/>
  <c r="F27" i="6"/>
  <c r="H25" i="6" a="1"/>
  <c r="H25" i="6" s="1"/>
  <c r="T25" i="5" s="1"/>
  <c r="AD27" i="5"/>
  <c r="G27" i="5"/>
  <c r="AF27" i="5" a="1"/>
  <c r="AF27" i="5" s="1"/>
  <c r="B27" i="5"/>
  <c r="A27" i="12"/>
  <c r="C28" i="5"/>
  <c r="N27" i="5"/>
  <c r="D27" i="6" s="1"/>
  <c r="G27" i="6" s="1"/>
  <c r="E27" i="5"/>
  <c r="AE27" i="5" a="1"/>
  <c r="AE27" i="5" s="1"/>
  <c r="F27" i="5"/>
  <c r="H27" i="5"/>
  <c r="B65" i="8"/>
  <c r="C14" i="14" a="1"/>
  <c r="C14" i="14" s="1"/>
  <c r="B39" i="14" a="1"/>
  <c r="B39" i="14" s="1"/>
  <c r="B37" i="14" a="1"/>
  <c r="B37" i="14" s="1"/>
  <c r="E28" i="14" a="1"/>
  <c r="E28" i="14" s="1"/>
  <c r="R1" i="6" a="1"/>
  <c r="R1" i="6" s="1"/>
  <c r="S67" i="4"/>
  <c r="U67" i="4" s="1"/>
  <c r="S107" i="4"/>
  <c r="U107" i="4" s="1"/>
  <c r="S27" i="4"/>
  <c r="U27" i="4" s="1"/>
  <c r="C124" i="3"/>
  <c r="A28" i="12" l="1"/>
  <c r="C29" i="5"/>
  <c r="N28" i="5"/>
  <c r="D28" i="6" s="1"/>
  <c r="G28" i="6" s="1"/>
  <c r="AE28" i="5" a="1"/>
  <c r="AE28" i="5" s="1"/>
  <c r="AF28" i="5" a="1"/>
  <c r="AF28" i="5" s="1"/>
  <c r="G28" i="5"/>
  <c r="H28" i="5"/>
  <c r="AD28" i="5"/>
  <c r="F28" i="5"/>
  <c r="B28" i="5"/>
  <c r="E28" i="5"/>
  <c r="G25" i="12" a="1"/>
  <c r="G25" i="12" s="1"/>
  <c r="B28" i="6"/>
  <c r="L29" i="6"/>
  <c r="F28" i="6"/>
  <c r="AG27" i="5" a="1"/>
  <c r="AG27" i="5" s="1"/>
  <c r="U27" i="5" s="1"/>
  <c r="S27" i="5" a="1"/>
  <c r="S27" i="5" s="1"/>
  <c r="F27" i="12" s="1" a="1"/>
  <c r="F27" i="12" s="1"/>
  <c r="B68" i="8"/>
  <c r="S1" i="6" a="1"/>
  <c r="S1" i="6" s="1"/>
  <c r="H67" i="9"/>
  <c r="C30" i="5" l="1"/>
  <c r="K29" i="5"/>
  <c r="D29" i="5"/>
  <c r="B29" i="12" s="1"/>
  <c r="AD29" i="5"/>
  <c r="J29" i="5"/>
  <c r="F29" i="5"/>
  <c r="N29" i="5"/>
  <c r="D29" i="6" s="1"/>
  <c r="E29" i="5"/>
  <c r="G29" i="5"/>
  <c r="A29" i="12"/>
  <c r="AE29" i="5" a="1"/>
  <c r="AE29" i="5" s="1"/>
  <c r="H29" i="5"/>
  <c r="B29" i="5"/>
  <c r="L30" i="6"/>
  <c r="B29" i="6"/>
  <c r="E28" i="12"/>
  <c r="AG28" i="5" a="1"/>
  <c r="AG28" i="5" s="1"/>
  <c r="U28" i="5" s="1"/>
  <c r="S28" i="5" a="1"/>
  <c r="S28" i="5" s="1"/>
  <c r="F28" i="12" s="1" a="1"/>
  <c r="F28" i="12" s="1"/>
  <c r="T1" i="6" a="1"/>
  <c r="T1" i="6" s="1"/>
  <c r="C94" i="3"/>
  <c r="C92" i="3"/>
  <c r="H30" i="5" l="1"/>
  <c r="AE30" i="5" a="1"/>
  <c r="AE30" i="5" s="1"/>
  <c r="AD30" i="5"/>
  <c r="C31" i="5"/>
  <c r="K30" i="5"/>
  <c r="N30" i="5"/>
  <c r="D30" i="6" s="1"/>
  <c r="H30" i="6" s="1" a="1"/>
  <c r="H30" i="6" s="1"/>
  <c r="T30" i="5" s="1"/>
  <c r="G30" i="12" s="1" a="1"/>
  <c r="G30" i="12" s="1"/>
  <c r="D30" i="5"/>
  <c r="B30" i="12" s="1"/>
  <c r="J30" i="5"/>
  <c r="A30" i="12"/>
  <c r="E30" i="5"/>
  <c r="G30" i="5"/>
  <c r="B30" i="6"/>
  <c r="L31" i="6"/>
  <c r="F30" i="5"/>
  <c r="B30" i="5"/>
  <c r="U1" i="6" a="1"/>
  <c r="U1" i="6" s="1"/>
  <c r="C98" i="3"/>
  <c r="L32" i="6" l="1"/>
  <c r="B31" i="6"/>
  <c r="C32" i="5"/>
  <c r="AE31" i="5" a="1"/>
  <c r="AE31" i="5" s="1"/>
  <c r="N31" i="5"/>
  <c r="D31" i="6" s="1"/>
  <c r="G31" i="5"/>
  <c r="H31" i="5"/>
  <c r="B31" i="5"/>
  <c r="AD31" i="5"/>
  <c r="F31" i="5"/>
  <c r="A31" i="12"/>
  <c r="E31" i="5"/>
  <c r="K31" i="5"/>
  <c r="J31" i="5"/>
  <c r="D31" i="5"/>
  <c r="B31" i="12" s="1"/>
  <c r="A27" i="6"/>
  <c r="V1" i="6" a="1"/>
  <c r="V1" i="6" s="1"/>
  <c r="C5" i="14"/>
  <c r="A32" i="12" l="1"/>
  <c r="F32" i="5"/>
  <c r="E32" i="5"/>
  <c r="J32" i="5"/>
  <c r="B32" i="5"/>
  <c r="G32" i="5"/>
  <c r="K32" i="5"/>
  <c r="D32" i="5"/>
  <c r="B32" i="12" s="1"/>
  <c r="H32" i="5"/>
  <c r="N32" i="5"/>
  <c r="D32" i="6" s="1"/>
  <c r="AE32" i="5" a="1"/>
  <c r="AE32" i="5" s="1"/>
  <c r="AD32" i="5"/>
  <c r="C33" i="5"/>
  <c r="B32" i="6"/>
  <c r="L33" i="6"/>
  <c r="E36" i="12"/>
  <c r="N27" i="6"/>
  <c r="A28" i="6"/>
  <c r="W1" i="6" a="1"/>
  <c r="W1" i="6" s="1"/>
  <c r="S12" i="11"/>
  <c r="L34" i="6" l="1"/>
  <c r="B33" i="6"/>
  <c r="K33" i="5"/>
  <c r="G33" i="5"/>
  <c r="C34" i="5"/>
  <c r="H33" i="5"/>
  <c r="AD33" i="5"/>
  <c r="J33" i="5"/>
  <c r="F33" i="5"/>
  <c r="AE33" i="5" a="1"/>
  <c r="AE33" i="5" s="1"/>
  <c r="N33" i="5"/>
  <c r="D33" i="6" s="1"/>
  <c r="A33" i="12"/>
  <c r="E33" i="5"/>
  <c r="B33" i="5"/>
  <c r="D33" i="5"/>
  <c r="B33" i="12" s="1"/>
  <c r="A25" i="6"/>
  <c r="A26" i="6" s="1"/>
  <c r="N28" i="6"/>
  <c r="A29" i="6"/>
  <c r="A30" i="6" s="1"/>
  <c r="X1" i="6" a="1"/>
  <c r="X1" i="6" s="1"/>
  <c r="C1" i="7" a="1"/>
  <c r="C1" i="7" s="1"/>
  <c r="N26" i="6" l="1"/>
  <c r="AE34" i="5" a="1"/>
  <c r="AE34" i="5" s="1"/>
  <c r="N34" i="5"/>
  <c r="D34" i="6" s="1"/>
  <c r="AD34" i="5"/>
  <c r="B34" i="5"/>
  <c r="C35" i="5" s="1"/>
  <c r="G34" i="5"/>
  <c r="F34" i="5"/>
  <c r="E34" i="5"/>
  <c r="K34" i="5"/>
  <c r="H34" i="5"/>
  <c r="J34" i="5"/>
  <c r="D34" i="5"/>
  <c r="B34" i="12" s="1"/>
  <c r="A34" i="12"/>
  <c r="N25" i="6"/>
  <c r="B34" i="6"/>
  <c r="L35" i="6"/>
  <c r="N30" i="6"/>
  <c r="N29" i="6"/>
  <c r="A31"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C36" i="5" l="1"/>
  <c r="A35" i="12"/>
  <c r="AE35" i="5" a="1"/>
  <c r="AE35" i="5" s="1"/>
  <c r="B35" i="5"/>
  <c r="AF35" i="5" a="1"/>
  <c r="AF35" i="5" s="1"/>
  <c r="N35" i="5"/>
  <c r="D35" i="6" s="1"/>
  <c r="G35" i="6" s="1"/>
  <c r="E35" i="5"/>
  <c r="H35" i="5"/>
  <c r="AD35" i="5"/>
  <c r="AD36" i="5" s="1"/>
  <c r="G35" i="5"/>
  <c r="F35" i="5"/>
  <c r="L36" i="6"/>
  <c r="B35" i="6"/>
  <c r="F35" i="6"/>
  <c r="N31" i="6"/>
  <c r="A32" i="6"/>
  <c r="Z1" i="6" a="1"/>
  <c r="Z1" i="6" s="1"/>
  <c r="D27" i="2"/>
  <c r="D15" i="2"/>
  <c r="D35" i="2"/>
  <c r="D3" i="2"/>
  <c r="E36" i="5" l="1"/>
  <c r="F36" i="5"/>
  <c r="L37" i="6"/>
  <c r="B36" i="6"/>
  <c r="A36" i="6" s="1"/>
  <c r="F36" i="6"/>
  <c r="E35" i="12"/>
  <c r="AG35" i="5" a="1"/>
  <c r="AG35" i="5" s="1"/>
  <c r="U35" i="5" s="1"/>
  <c r="S35" i="5" a="1"/>
  <c r="S35" i="5" s="1"/>
  <c r="F35" i="12" s="1" a="1"/>
  <c r="F35" i="12" s="1"/>
  <c r="C37" i="5"/>
  <c r="N36" i="5"/>
  <c r="D36" i="6" s="1"/>
  <c r="B36" i="5"/>
  <c r="I36" i="5"/>
  <c r="G36" i="5"/>
  <c r="A36" i="12"/>
  <c r="W36" i="5" a="1"/>
  <c r="W36" i="5" s="1"/>
  <c r="H36" i="12" s="1" a="1"/>
  <c r="H36" i="12" s="1"/>
  <c r="AF36" i="5" a="1"/>
  <c r="AF36" i="5" s="1"/>
  <c r="AE36" i="5" a="1"/>
  <c r="AE36" i="5" s="1"/>
  <c r="H36" i="5"/>
  <c r="E39" i="12"/>
  <c r="N32" i="6"/>
  <c r="H10" i="7"/>
  <c r="E37" i="5" l="1"/>
  <c r="G37" i="5"/>
  <c r="F37" i="5"/>
  <c r="B37" i="5"/>
  <c r="H37" i="5"/>
  <c r="G36" i="6"/>
  <c r="N36" i="6"/>
  <c r="M36" i="6"/>
  <c r="H36" i="6" a="1"/>
  <c r="H36" i="6" s="1"/>
  <c r="T36" i="5" s="1"/>
  <c r="G36" i="12" s="1" a="1"/>
  <c r="G36" i="12" s="1"/>
  <c r="S36" i="5" a="1"/>
  <c r="S36" i="5" s="1"/>
  <c r="F36" i="12" s="1" a="1"/>
  <c r="F36" i="12" s="1"/>
  <c r="AG36" i="5" a="1"/>
  <c r="AG36" i="5" s="1"/>
  <c r="U36" i="5" s="1"/>
  <c r="AE37" i="5" a="1"/>
  <c r="AE37" i="5" s="1"/>
  <c r="J37" i="5"/>
  <c r="K37" i="5"/>
  <c r="AD37" i="5"/>
  <c r="D37" i="5"/>
  <c r="B37" i="12" s="1"/>
  <c r="A37" i="12"/>
  <c r="N37" i="5"/>
  <c r="D37" i="6" s="1"/>
  <c r="C38" i="5"/>
  <c r="B37" i="6"/>
  <c r="L38" i="6"/>
  <c r="AG83" i="8"/>
  <c r="A37" i="6" l="1"/>
  <c r="N37" i="6" s="1"/>
  <c r="N38" i="5"/>
  <c r="D38" i="6" s="1"/>
  <c r="AE38" i="5" a="1"/>
  <c r="AE38" i="5" s="1"/>
  <c r="A38" i="12"/>
  <c r="E38" i="5"/>
  <c r="H38" i="5"/>
  <c r="B38" i="5"/>
  <c r="C39" i="5" s="1"/>
  <c r="D38" i="5"/>
  <c r="B38" i="12" s="1"/>
  <c r="G38" i="5"/>
  <c r="J38" i="5"/>
  <c r="K38" i="5"/>
  <c r="AD38" i="5"/>
  <c r="F38" i="5"/>
  <c r="H37" i="6" a="1"/>
  <c r="H37" i="6" s="1"/>
  <c r="T37" i="5" s="1"/>
  <c r="G37" i="12" s="1" a="1"/>
  <c r="G37" i="12" s="1"/>
  <c r="B38" i="6"/>
  <c r="L39" i="6"/>
  <c r="E46" i="12"/>
  <c r="A33" i="6"/>
  <c r="C103" i="3"/>
  <c r="C100" i="3"/>
  <c r="C96" i="3"/>
  <c r="A38" i="6" l="1"/>
  <c r="N38" i="6" s="1"/>
  <c r="H38" i="6" a="1"/>
  <c r="H38" i="6" s="1"/>
  <c r="T38" i="5" s="1"/>
  <c r="G38" i="12" s="1" a="1"/>
  <c r="G38" i="12" s="1"/>
  <c r="F39" i="6"/>
  <c r="B39" i="6"/>
  <c r="L40" i="6"/>
  <c r="B39" i="5"/>
  <c r="C40" i="5"/>
  <c r="AF39" i="5" a="1"/>
  <c r="AF39" i="5" s="1"/>
  <c r="G39" i="5"/>
  <c r="H39" i="5"/>
  <c r="F39" i="5"/>
  <c r="K36" i="5" s="1"/>
  <c r="AD39" i="5"/>
  <c r="E39" i="5"/>
  <c r="AE39" i="5" a="1"/>
  <c r="AE39" i="5" s="1"/>
  <c r="A39" i="12"/>
  <c r="N39" i="5"/>
  <c r="D39" i="6" s="1"/>
  <c r="G39" i="6" s="1"/>
  <c r="N33" i="6"/>
  <c r="A34" i="6"/>
  <c r="C93" i="3"/>
  <c r="A40" i="12" l="1"/>
  <c r="N40" i="5"/>
  <c r="D40" i="6" s="1"/>
  <c r="H40" i="5"/>
  <c r="F40" i="5"/>
  <c r="G40" i="5"/>
  <c r="AE40" i="5" a="1"/>
  <c r="AE40" i="5" s="1"/>
  <c r="AD40" i="5"/>
  <c r="E40" i="5"/>
  <c r="J40" i="5"/>
  <c r="B40" i="5"/>
  <c r="D40" i="5"/>
  <c r="B40" i="12" s="1"/>
  <c r="C41" i="5"/>
  <c r="K40" i="5"/>
  <c r="L41" i="6"/>
  <c r="B40" i="6"/>
  <c r="AG39" i="5" a="1"/>
  <c r="AG39" i="5" s="1"/>
  <c r="U39" i="5" s="1"/>
  <c r="S39" i="5" a="1"/>
  <c r="S39" i="5" s="1"/>
  <c r="F39" i="12" s="1" a="1"/>
  <c r="F39" i="12" s="1"/>
  <c r="A35" i="6"/>
  <c r="N34" i="6"/>
  <c r="E47" i="12"/>
  <c r="C112" i="3"/>
  <c r="C108" i="3"/>
  <c r="C70" i="3"/>
  <c r="L35" i="13"/>
  <c r="L34" i="13" s="1"/>
  <c r="C84" i="3"/>
  <c r="L42" i="6" l="1"/>
  <c r="L43" i="6" s="1"/>
  <c r="B41" i="6"/>
  <c r="K41" i="5"/>
  <c r="G41" i="5"/>
  <c r="C42" i="5"/>
  <c r="C43" i="5" s="1"/>
  <c r="H41" i="5"/>
  <c r="J41" i="5"/>
  <c r="AE41" i="5" a="1"/>
  <c r="AE41" i="5" s="1"/>
  <c r="B41" i="5"/>
  <c r="AD41" i="5"/>
  <c r="D41" i="5"/>
  <c r="B41" i="12" s="1"/>
  <c r="N41" i="5"/>
  <c r="D41" i="6" s="1"/>
  <c r="H41" i="6" s="1" a="1"/>
  <c r="H41" i="6" s="1"/>
  <c r="T41" i="5" s="1"/>
  <c r="G41" i="12" s="1" a="1"/>
  <c r="G41" i="12" s="1"/>
  <c r="A41" i="12"/>
  <c r="E41" i="5"/>
  <c r="F41" i="5"/>
  <c r="N35" i="6"/>
  <c r="A39" i="6"/>
  <c r="C56" i="3"/>
  <c r="AD43" i="5" l="1"/>
  <c r="K43" i="5"/>
  <c r="D43" i="5"/>
  <c r="B43" i="12" s="1"/>
  <c r="A43" i="12"/>
  <c r="N43" i="5"/>
  <c r="D43" i="6" s="1"/>
  <c r="AE43" i="5" a="1"/>
  <c r="AE43" i="5" s="1"/>
  <c r="J43" i="5"/>
  <c r="B43" i="6"/>
  <c r="A42" i="12"/>
  <c r="E42" i="5"/>
  <c r="E43" i="5" s="1"/>
  <c r="N42" i="5"/>
  <c r="D42" i="6" s="1"/>
  <c r="H42" i="6" s="1" a="1"/>
  <c r="H42" i="6" s="1"/>
  <c r="T42" i="5" s="1"/>
  <c r="G42" i="12" s="1" a="1"/>
  <c r="G42" i="12" s="1"/>
  <c r="B42" i="5"/>
  <c r="B43" i="5" s="1"/>
  <c r="G42" i="5"/>
  <c r="G43" i="5" s="1"/>
  <c r="AE42" i="5" a="1"/>
  <c r="AE42" i="5" s="1"/>
  <c r="F42" i="5"/>
  <c r="F43" i="5" s="1"/>
  <c r="D42" i="5"/>
  <c r="B42" i="12" s="1"/>
  <c r="H42" i="5"/>
  <c r="H43" i="5" s="1"/>
  <c r="AD42" i="5"/>
  <c r="K42" i="5"/>
  <c r="J42" i="5"/>
  <c r="B42" i="6"/>
  <c r="A40" i="6"/>
  <c r="A41" i="6" s="1"/>
  <c r="N39" i="6"/>
  <c r="Q13" i="6"/>
  <c r="A1" i="7"/>
  <c r="V70" i="7" a="1"/>
  <c r="V70" i="7" s="1"/>
  <c r="Y5" i="7"/>
  <c r="X5" i="7"/>
  <c r="P5" i="7"/>
  <c r="C60" i="3"/>
  <c r="F5" i="7"/>
  <c r="H43" i="6" l="1" a="1"/>
  <c r="H43" i="6" s="1"/>
  <c r="T43" i="5" s="1"/>
  <c r="L44" i="6"/>
  <c r="C44" i="5"/>
  <c r="N41" i="6"/>
  <c r="N40" i="6"/>
  <c r="R13" i="6"/>
  <c r="S13" i="6" s="1"/>
  <c r="V71" i="7"/>
  <c r="V72" i="7"/>
  <c r="N5" i="7"/>
  <c r="O5" i="7"/>
  <c r="G43" i="12" l="1" a="1"/>
  <c r="G43" i="12" s="1"/>
  <c r="A44" i="12"/>
  <c r="F44" i="5"/>
  <c r="C45" i="5"/>
  <c r="E44" i="5"/>
  <c r="G44" i="5"/>
  <c r="H44" i="5"/>
  <c r="B44" i="5"/>
  <c r="J44" i="5"/>
  <c r="K44" i="5"/>
  <c r="D44" i="5"/>
  <c r="B44" i="12" s="1"/>
  <c r="AD44" i="5"/>
  <c r="N44" i="5"/>
  <c r="D44" i="6" s="1"/>
  <c r="AE44" i="5" a="1"/>
  <c r="AE44" i="5" s="1"/>
  <c r="B44" i="6"/>
  <c r="L45" i="6"/>
  <c r="A42" i="6"/>
  <c r="A43" i="6" s="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N43" i="6" l="1"/>
  <c r="L46" i="6"/>
  <c r="B45" i="6"/>
  <c r="E45" i="5"/>
  <c r="D45" i="5"/>
  <c r="B45" i="12" s="1"/>
  <c r="F45" i="5"/>
  <c r="K45" i="5"/>
  <c r="G45" i="5"/>
  <c r="AE45" i="5" a="1"/>
  <c r="AE45" i="5" s="1"/>
  <c r="A45" i="12"/>
  <c r="J45" i="5"/>
  <c r="B45" i="5"/>
  <c r="C46" i="5" s="1"/>
  <c r="N45" i="5"/>
  <c r="D45" i="6" s="1"/>
  <c r="H45" i="6" s="1" a="1"/>
  <c r="H45" i="6" s="1"/>
  <c r="T45" i="5" s="1"/>
  <c r="G45" i="12" s="1" a="1"/>
  <c r="G45" i="12" s="1"/>
  <c r="AD45" i="5"/>
  <c r="H45" i="5"/>
  <c r="A44" i="6"/>
  <c r="N42" i="6"/>
  <c r="U13" i="6"/>
  <c r="V77" i="9"/>
  <c r="V78" i="9"/>
  <c r="L70" i="7" a="1"/>
  <c r="L72" i="7" s="1"/>
  <c r="D68" i="7"/>
  <c r="C5" i="7"/>
  <c r="A45" i="6" l="1"/>
  <c r="N45" i="6" s="1"/>
  <c r="A46" i="12"/>
  <c r="N46" i="5"/>
  <c r="D46" i="6" s="1"/>
  <c r="G46" i="6" s="1"/>
  <c r="B46" i="5"/>
  <c r="H46" i="5"/>
  <c r="AE46" i="5" a="1"/>
  <c r="AE46" i="5" s="1"/>
  <c r="C47" i="5"/>
  <c r="AF46" i="5" a="1"/>
  <c r="AF46" i="5" s="1"/>
  <c r="E46" i="5"/>
  <c r="AD46" i="5"/>
  <c r="F46" i="5"/>
  <c r="G46" i="5"/>
  <c r="L47" i="6"/>
  <c r="F46" i="6"/>
  <c r="B46" i="6"/>
  <c r="A46" i="6" s="1"/>
  <c r="N44" i="6"/>
  <c r="V13" i="6"/>
  <c r="L70" i="7"/>
  <c r="L71" i="7"/>
  <c r="C69" i="3"/>
  <c r="C86" i="3"/>
  <c r="C81" i="3"/>
  <c r="C80" i="3"/>
  <c r="C79" i="3"/>
  <c r="C76" i="3"/>
  <c r="C75" i="3"/>
  <c r="C74" i="3"/>
  <c r="C67" i="3"/>
  <c r="C65" i="3"/>
  <c r="C64" i="3"/>
  <c r="C61" i="3"/>
  <c r="C62" i="3"/>
  <c r="C59" i="3"/>
  <c r="C58" i="3"/>
  <c r="C72" i="3"/>
  <c r="S108" i="4" a="1"/>
  <c r="S108" i="4" s="1"/>
  <c r="S68" i="4" a="1"/>
  <c r="S68" i="4" s="1"/>
  <c r="S28" i="4" a="1"/>
  <c r="S28" i="4" s="1"/>
  <c r="N46" i="6" l="1"/>
  <c r="AG46" i="5" a="1"/>
  <c r="AG46" i="5" s="1"/>
  <c r="U46" i="5" s="1"/>
  <c r="S46" i="5" a="1"/>
  <c r="S46" i="5" s="1"/>
  <c r="F46" i="12" s="1" a="1"/>
  <c r="F46" i="12" s="1"/>
  <c r="AE47" i="5" a="1"/>
  <c r="AE47" i="5" s="1"/>
  <c r="F47" i="5"/>
  <c r="E47" i="5"/>
  <c r="H47" i="5"/>
  <c r="AD47" i="5"/>
  <c r="N47" i="5"/>
  <c r="D47" i="6" s="1"/>
  <c r="G47" i="6" s="1"/>
  <c r="G47" i="5"/>
  <c r="B47" i="5"/>
  <c r="AF47" i="5" a="1"/>
  <c r="AF47" i="5" s="1"/>
  <c r="A47" i="12"/>
  <c r="C48" i="5"/>
  <c r="L48" i="6"/>
  <c r="F47" i="6"/>
  <c r="B47" i="6"/>
  <c r="A47" i="6"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86" i="8" a="1"/>
  <c r="T168" i="6" a="1"/>
  <c r="T170" i="6" s="1"/>
  <c r="I168" i="6" a="1"/>
  <c r="I169"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171" i="12"/>
  <c r="E172" i="12"/>
  <c r="K174" i="12" a="1"/>
  <c r="K176" i="12" s="1"/>
  <c r="E10" i="6"/>
  <c r="I10" i="6"/>
  <c r="K10" i="6"/>
  <c r="S10" i="6"/>
  <c r="U10" i="6"/>
  <c r="O13" i="6"/>
  <c r="O15" i="6" s="1"/>
  <c r="O11" i="6" s="1"/>
  <c r="B15" i="6"/>
  <c r="C15" i="6"/>
  <c r="E15" i="6"/>
  <c r="B162" i="6"/>
  <c r="C162" i="6"/>
  <c r="F166" i="6"/>
  <c r="S5" i="8"/>
  <c r="I8" i="8"/>
  <c r="L8" i="8"/>
  <c r="U8" i="8"/>
  <c r="E13" i="8"/>
  <c r="V13" i="8"/>
  <c r="W13" i="8" s="1"/>
  <c r="X13" i="8" s="1"/>
  <c r="Y13" i="8" s="1"/>
  <c r="Z13" i="8" s="1"/>
  <c r="AA13" i="8" s="1"/>
  <c r="AB13" i="8" s="1"/>
  <c r="AC13" i="8" s="1"/>
  <c r="AD13" i="8" s="1"/>
  <c r="AE13" i="8" s="1"/>
  <c r="AF13" i="8" s="1"/>
  <c r="T73" i="8"/>
  <c r="T78" i="8"/>
  <c r="I84"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72" i="5"/>
  <c r="O15" i="5"/>
  <c r="O175" i="5"/>
  <c r="T177" i="5" a="1"/>
  <c r="T177"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B48" i="6" l="1"/>
  <c r="L49" i="6"/>
  <c r="N48" i="5"/>
  <c r="D48" i="6" s="1"/>
  <c r="AE48" i="5" a="1"/>
  <c r="AE48" i="5" s="1"/>
  <c r="AD48" i="5"/>
  <c r="A48" i="12"/>
  <c r="J48" i="5"/>
  <c r="C49" i="5"/>
  <c r="K48" i="5"/>
  <c r="F48" i="5"/>
  <c r="B48" i="5"/>
  <c r="E48" i="5"/>
  <c r="H48" i="5"/>
  <c r="G48" i="5"/>
  <c r="D48" i="5"/>
  <c r="B48" i="12" s="1"/>
  <c r="S47" i="5" a="1"/>
  <c r="S47" i="5" s="1"/>
  <c r="F47" i="12" s="1" a="1"/>
  <c r="F47" i="12" s="1"/>
  <c r="AG47" i="5" a="1"/>
  <c r="AG47" i="5" s="1"/>
  <c r="U47" i="5" s="1"/>
  <c r="N47"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177" i="12"/>
  <c r="C21" i="4"/>
  <c r="C22" i="4"/>
  <c r="K132" i="4"/>
  <c r="W81" i="10"/>
  <c r="K174" i="12"/>
  <c r="T179" i="5"/>
  <c r="O7" i="13"/>
  <c r="T169" i="6"/>
  <c r="P125" i="4"/>
  <c r="I87" i="8"/>
  <c r="I170" i="6"/>
  <c r="I168" i="6"/>
  <c r="AC13" i="6"/>
  <c r="AC12" i="6" s="1"/>
  <c r="AN13" i="6"/>
  <c r="B14" i="5"/>
  <c r="F14" i="5"/>
  <c r="G15" i="9"/>
  <c r="H15" i="10"/>
  <c r="S110" i="4"/>
  <c r="I12" i="10"/>
  <c r="I11" i="10" s="1" a="1"/>
  <c r="I11" i="10" s="1"/>
  <c r="H12" i="9"/>
  <c r="S30" i="4"/>
  <c r="A36" i="4"/>
  <c r="C35" i="4"/>
  <c r="C24" i="4"/>
  <c r="AA87" i="8"/>
  <c r="AA88" i="8"/>
  <c r="AA86" i="8"/>
  <c r="P45" i="4"/>
  <c r="K14" i="5"/>
  <c r="J14" i="5"/>
  <c r="H14" i="5"/>
  <c r="A14" i="12"/>
  <c r="D14" i="5"/>
  <c r="B14" i="12" s="1"/>
  <c r="AD14" i="5"/>
  <c r="E14" i="5"/>
  <c r="G14" i="5"/>
  <c r="N14" i="5"/>
  <c r="E175" i="12"/>
  <c r="B80" i="10"/>
  <c r="F169" i="6"/>
  <c r="O178" i="5"/>
  <c r="D36" i="11"/>
  <c r="W79" i="10"/>
  <c r="A4" i="4"/>
  <c r="K51" i="4"/>
  <c r="K175" i="12"/>
  <c r="S70" i="4"/>
  <c r="K91" i="4"/>
  <c r="T168" i="6"/>
  <c r="K90" i="4"/>
  <c r="T178" i="5"/>
  <c r="D49" i="5" l="1"/>
  <c r="B49" i="12" s="1"/>
  <c r="A49" i="12"/>
  <c r="K49" i="5"/>
  <c r="F49" i="5"/>
  <c r="N49" i="5"/>
  <c r="D49" i="6" s="1"/>
  <c r="AD49" i="5"/>
  <c r="G49" i="5"/>
  <c r="H49" i="5"/>
  <c r="B49" i="5"/>
  <c r="AE49" i="5" a="1"/>
  <c r="AE49" i="5" s="1"/>
  <c r="J49" i="5"/>
  <c r="E49" i="5"/>
  <c r="C50" i="5"/>
  <c r="B49" i="6"/>
  <c r="L50" i="6"/>
  <c r="A48" i="6"/>
  <c r="N48" i="6" s="1"/>
  <c r="AC36" i="6"/>
  <c r="AY36" i="6" a="1"/>
  <c r="AY36" i="6" s="1"/>
  <c r="AV36" i="6"/>
  <c r="AR36" i="6"/>
  <c r="AU36" i="6"/>
  <c r="AN36" i="6"/>
  <c r="AX36" i="6" a="1"/>
  <c r="AX36" i="6" s="1"/>
  <c r="BC36" i="6" a="1"/>
  <c r="BC36" i="6" s="1"/>
  <c r="BB36" i="6" a="1"/>
  <c r="BB36" i="6" s="1"/>
  <c r="AP36" i="6"/>
  <c r="AM36" i="6"/>
  <c r="AT36" i="6"/>
  <c r="BE36" i="6" a="1"/>
  <c r="BE36" i="6" s="1"/>
  <c r="AO36" i="6"/>
  <c r="BG36" i="6" a="1"/>
  <c r="BG36" i="6" s="1"/>
  <c r="BD36" i="6" a="1"/>
  <c r="BD36" i="6" s="1"/>
  <c r="BA36" i="6" a="1"/>
  <c r="BA36" i="6" s="1"/>
  <c r="AS36" i="6"/>
  <c r="AZ36" i="6" a="1"/>
  <c r="AZ36" i="6" s="1"/>
  <c r="AQ36" i="6"/>
  <c r="BF36" i="6" a="1"/>
  <c r="BF36" i="6" s="1"/>
  <c r="AB36" i="6"/>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M19" i="6" s="1"/>
  <c r="AC16" i="6"/>
  <c r="AC17" i="6"/>
  <c r="AN12" i="6"/>
  <c r="AY12" i="6"/>
  <c r="U97" i="4"/>
  <c r="U57" i="4"/>
  <c r="C15" i="7" a="1"/>
  <c r="C15" i="7" s="1"/>
  <c r="B10" i="9"/>
  <c r="M69" i="10"/>
  <c r="M74" i="10" s="1"/>
  <c r="I12" i="9"/>
  <c r="U17" i="4"/>
  <c r="U14" i="4" s="1"/>
  <c r="T21" i="4" s="1"/>
  <c r="H5" i="5"/>
  <c r="X8" i="5" s="1" a="1"/>
  <c r="X8" i="5" s="1"/>
  <c r="F5" i="5"/>
  <c r="AH72"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61" i="5" l="1"/>
  <c r="AH71" i="5"/>
  <c r="AH26" i="5"/>
  <c r="AH43" i="5"/>
  <c r="AZ19" i="6" a="1"/>
  <c r="AZ19" i="6" s="1"/>
  <c r="AM19" i="6"/>
  <c r="AX19" i="6" a="1"/>
  <c r="AX19" i="6" s="1"/>
  <c r="AY19" i="6" a="1"/>
  <c r="AY19" i="6" s="1"/>
  <c r="AO19" i="6"/>
  <c r="AN19" i="6"/>
  <c r="AB19" i="6"/>
  <c r="AC19" i="6"/>
  <c r="AH19" i="5"/>
  <c r="AH20" i="5"/>
  <c r="AD19" i="6"/>
  <c r="M20" i="6"/>
  <c r="AE50" i="5" a="1"/>
  <c r="AE50" i="5" s="1"/>
  <c r="E50" i="5"/>
  <c r="AD50" i="5"/>
  <c r="K50" i="5"/>
  <c r="H50" i="5"/>
  <c r="J50" i="5"/>
  <c r="D50" i="5"/>
  <c r="B50" i="12" s="1"/>
  <c r="A50" i="12"/>
  <c r="F50" i="5"/>
  <c r="G50" i="5"/>
  <c r="B50" i="5"/>
  <c r="N50" i="5"/>
  <c r="D50" i="6" s="1"/>
  <c r="H50" i="6" s="1" a="1"/>
  <c r="H50" i="6" s="1"/>
  <c r="T50" i="5" s="1"/>
  <c r="G50" i="12" s="1" a="1"/>
  <c r="G50" i="12" s="1"/>
  <c r="AH25" i="5"/>
  <c r="B50" i="6"/>
  <c r="A49" i="6"/>
  <c r="N49" i="6" s="1"/>
  <c r="AH42" i="5"/>
  <c r="AH24" i="5"/>
  <c r="AH60" i="5"/>
  <c r="AH56" i="5"/>
  <c r="AH63" i="5"/>
  <c r="AD36" i="6"/>
  <c r="AH36" i="5"/>
  <c r="AN36" i="5" s="1" a="1"/>
  <c r="AN36" i="5" s="1"/>
  <c r="AH38" i="5"/>
  <c r="AH37" i="5"/>
  <c r="AH57" i="5"/>
  <c r="AH45" i="5"/>
  <c r="AH41" i="5"/>
  <c r="AH30" i="5"/>
  <c r="AH70" i="5"/>
  <c r="AH50" i="5"/>
  <c r="M27" i="6"/>
  <c r="AZ27" i="6" s="1" a="1"/>
  <c r="AZ27" i="6" s="1"/>
  <c r="M39" i="6"/>
  <c r="AM39" i="6" s="1"/>
  <c r="M47" i="6"/>
  <c r="AZ47" i="6" s="1" a="1"/>
  <c r="AZ47" i="6" s="1"/>
  <c r="M46" i="6"/>
  <c r="AY46" i="6" s="1" a="1"/>
  <c r="AY46" i="6" s="1"/>
  <c r="AN18" i="6"/>
  <c r="AZ18" i="6" a="1"/>
  <c r="AZ18" i="6" s="1"/>
  <c r="AX18" i="6" a="1"/>
  <c r="AX18" i="6" s="1"/>
  <c r="AY18" i="6" a="1"/>
  <c r="AY18" i="6" s="1"/>
  <c r="AO18" i="6"/>
  <c r="AM18" i="6"/>
  <c r="M28" i="6"/>
  <c r="AD16" i="6"/>
  <c r="AD17" i="6"/>
  <c r="M35" i="6"/>
  <c r="AH158" i="5"/>
  <c r="AN158" i="5" s="1" a="1"/>
  <c r="AN158" i="5" s="1"/>
  <c r="AH157" i="5"/>
  <c r="AN157" i="5" s="1" a="1"/>
  <c r="AN157" i="5" s="1"/>
  <c r="AH148" i="5"/>
  <c r="AN148" i="5" s="1" a="1"/>
  <c r="AN148" i="5" s="1"/>
  <c r="AH136" i="5"/>
  <c r="AN136" i="5" s="1" a="1"/>
  <c r="AN136" i="5" s="1"/>
  <c r="AH124" i="5"/>
  <c r="AN124" i="5" s="1" a="1"/>
  <c r="AN124" i="5" s="1"/>
  <c r="AH112" i="5"/>
  <c r="AH100" i="5"/>
  <c r="AH88" i="5"/>
  <c r="AH76" i="5"/>
  <c r="AH156" i="5"/>
  <c r="AN156" i="5" s="1" a="1"/>
  <c r="AN156" i="5" s="1"/>
  <c r="AH143" i="5"/>
  <c r="AN143" i="5" s="1" a="1"/>
  <c r="AN143" i="5" s="1"/>
  <c r="AH131" i="5"/>
  <c r="AN131" i="5" s="1" a="1"/>
  <c r="AN131" i="5" s="1"/>
  <c r="AH119" i="5"/>
  <c r="AN119" i="5" s="1" a="1"/>
  <c r="AN119" i="5" s="1"/>
  <c r="AH107" i="5"/>
  <c r="AH155" i="5"/>
  <c r="AN155" i="5" s="1" a="1"/>
  <c r="AN155" i="5" s="1"/>
  <c r="AH150" i="5"/>
  <c r="AN150" i="5" s="1" a="1"/>
  <c r="AN150" i="5" s="1"/>
  <c r="AH138" i="5"/>
  <c r="AN138" i="5" s="1" a="1"/>
  <c r="AN138" i="5" s="1"/>
  <c r="AH126" i="5"/>
  <c r="AN126" i="5" s="1" a="1"/>
  <c r="AN126" i="5" s="1"/>
  <c r="AH114" i="5"/>
  <c r="AN114" i="5" s="1" a="1"/>
  <c r="AN114" i="5" s="1"/>
  <c r="AH102" i="5"/>
  <c r="AH145" i="5"/>
  <c r="AN145" i="5" s="1" a="1"/>
  <c r="AN145" i="5" s="1"/>
  <c r="AH133" i="5"/>
  <c r="AN133" i="5" s="1" a="1"/>
  <c r="AN133" i="5" s="1"/>
  <c r="AH121" i="5"/>
  <c r="AN121" i="5" s="1" a="1"/>
  <c r="AN121" i="5" s="1"/>
  <c r="AH109" i="5"/>
  <c r="AH152" i="5"/>
  <c r="AN152" i="5" s="1" a="1"/>
  <c r="AN152" i="5" s="1"/>
  <c r="AH140" i="5"/>
  <c r="AN140" i="5" s="1" a="1"/>
  <c r="AN140" i="5" s="1"/>
  <c r="AH128" i="5"/>
  <c r="AN128" i="5" s="1" a="1"/>
  <c r="AN128" i="5" s="1"/>
  <c r="AH116" i="5"/>
  <c r="AN116" i="5" s="1" a="1"/>
  <c r="AN116" i="5" s="1"/>
  <c r="AH104" i="5"/>
  <c r="AH147" i="5"/>
  <c r="AN147" i="5" s="1" a="1"/>
  <c r="AN147" i="5" s="1"/>
  <c r="AH135" i="5"/>
  <c r="AN135" i="5" s="1" a="1"/>
  <c r="AN135" i="5" s="1"/>
  <c r="AH123" i="5"/>
  <c r="AN123" i="5" s="1" a="1"/>
  <c r="AN123" i="5" s="1"/>
  <c r="AH111" i="5"/>
  <c r="AH99" i="5"/>
  <c r="AH87" i="5"/>
  <c r="AH151" i="5"/>
  <c r="AN151" i="5" s="1" a="1"/>
  <c r="AN151" i="5" s="1"/>
  <c r="AH139" i="5"/>
  <c r="AN139" i="5" s="1" a="1"/>
  <c r="AN139" i="5" s="1"/>
  <c r="AH127" i="5"/>
  <c r="AN127" i="5" s="1" a="1"/>
  <c r="AN127" i="5" s="1"/>
  <c r="AH115" i="5"/>
  <c r="AN115" i="5" s="1" a="1"/>
  <c r="AN115" i="5" s="1"/>
  <c r="AH103" i="5"/>
  <c r="AH161" i="5"/>
  <c r="AN161" i="5" s="1" a="1"/>
  <c r="AN161" i="5" s="1"/>
  <c r="AH146" i="5"/>
  <c r="AN146" i="5" s="1" a="1"/>
  <c r="AN146" i="5" s="1"/>
  <c r="AH134" i="5"/>
  <c r="AN134" i="5" s="1" a="1"/>
  <c r="AN134" i="5" s="1"/>
  <c r="AH122" i="5"/>
  <c r="AN122" i="5" s="1" a="1"/>
  <c r="AN122" i="5" s="1"/>
  <c r="AH110" i="5"/>
  <c r="AH153" i="5"/>
  <c r="AN153" i="5" s="1" a="1"/>
  <c r="AN153" i="5" s="1"/>
  <c r="AH141" i="5"/>
  <c r="AN141" i="5" s="1" a="1"/>
  <c r="AN141" i="5" s="1"/>
  <c r="AH129" i="5"/>
  <c r="AN129" i="5" s="1" a="1"/>
  <c r="AN129" i="5" s="1"/>
  <c r="AH117" i="5"/>
  <c r="AN117" i="5" s="1" a="1"/>
  <c r="AN117" i="5" s="1"/>
  <c r="AH105" i="5"/>
  <c r="AH160" i="5"/>
  <c r="AN160" i="5" s="1" a="1"/>
  <c r="AN160" i="5" s="1"/>
  <c r="AH92" i="5"/>
  <c r="AH85" i="5"/>
  <c r="AH74" i="5"/>
  <c r="AH144" i="5"/>
  <c r="AN144" i="5" s="1" a="1"/>
  <c r="AN144" i="5" s="1"/>
  <c r="AH132" i="5"/>
  <c r="AN132" i="5" s="1" a="1"/>
  <c r="AN132" i="5" s="1"/>
  <c r="AH120" i="5"/>
  <c r="AN120" i="5" s="1" a="1"/>
  <c r="AN120" i="5" s="1"/>
  <c r="AH108" i="5"/>
  <c r="AH97" i="5"/>
  <c r="AH78" i="5"/>
  <c r="AH68" i="5"/>
  <c r="AH95" i="5"/>
  <c r="AH86" i="5"/>
  <c r="AH75" i="5"/>
  <c r="AH79" i="5"/>
  <c r="AH80" i="5"/>
  <c r="AH64" i="5"/>
  <c r="AH93" i="5"/>
  <c r="AH81" i="5"/>
  <c r="AH94" i="5"/>
  <c r="AH90" i="5"/>
  <c r="AH154" i="5"/>
  <c r="AN154" i="5" s="1" a="1"/>
  <c r="AN154" i="5" s="1"/>
  <c r="AH142" i="5"/>
  <c r="AN142" i="5" s="1" a="1"/>
  <c r="AN142" i="5" s="1"/>
  <c r="AH130" i="5"/>
  <c r="AN130" i="5" s="1" a="1"/>
  <c r="AN130" i="5" s="1"/>
  <c r="AH118" i="5"/>
  <c r="AN118" i="5" s="1" a="1"/>
  <c r="AN118" i="5" s="1"/>
  <c r="AH106" i="5"/>
  <c r="AH84" i="5"/>
  <c r="AH73" i="5"/>
  <c r="AH91" i="5"/>
  <c r="AH77" i="5"/>
  <c r="AH98" i="5"/>
  <c r="AH83" i="5"/>
  <c r="AH69" i="5"/>
  <c r="AH96" i="5"/>
  <c r="AH159" i="5"/>
  <c r="AN159" i="5" s="1" a="1"/>
  <c r="AN159" i="5" s="1"/>
  <c r="AH89" i="5"/>
  <c r="AH137" i="5"/>
  <c r="AN137" i="5" s="1" a="1"/>
  <c r="AN137" i="5" s="1"/>
  <c r="AH113" i="5"/>
  <c r="AN113" i="5" s="1" a="1"/>
  <c r="AN113" i="5" s="1"/>
  <c r="AH66" i="5"/>
  <c r="AH149" i="5"/>
  <c r="AN149" i="5" s="1" a="1"/>
  <c r="AN149" i="5" s="1"/>
  <c r="AH125" i="5"/>
  <c r="AN125" i="5" s="1" a="1"/>
  <c r="AN125" i="5" s="1"/>
  <c r="AH101" i="5"/>
  <c r="AH33" i="5"/>
  <c r="AH29" i="5"/>
  <c r="AH17" i="5"/>
  <c r="AN17" i="5" s="1" a="1"/>
  <c r="AN17" i="5" s="1"/>
  <c r="AH62" i="5"/>
  <c r="AH52" i="5"/>
  <c r="AH46" i="5"/>
  <c r="AH35" i="5"/>
  <c r="AH59" i="5"/>
  <c r="AH48" i="5"/>
  <c r="AH32" i="5"/>
  <c r="AH67" i="5"/>
  <c r="AH40" i="5"/>
  <c r="AH82" i="5"/>
  <c r="AH55" i="5"/>
  <c r="AH53" i="5"/>
  <c r="AH23" i="5"/>
  <c r="AH44" i="5"/>
  <c r="AH28" i="5"/>
  <c r="AH16" i="5"/>
  <c r="AN16" i="5" s="1" a="1"/>
  <c r="AN16" i="5" s="1"/>
  <c r="AH65" i="5"/>
  <c r="AH54" i="5"/>
  <c r="AH39" i="5"/>
  <c r="AH51" i="5"/>
  <c r="AH49" i="5"/>
  <c r="AH34" i="5"/>
  <c r="AH22" i="5"/>
  <c r="AH21" i="5"/>
  <c r="AH18" i="5"/>
  <c r="AH27" i="5"/>
  <c r="AH58" i="5"/>
  <c r="AH47" i="5"/>
  <c r="AH31" i="5"/>
  <c r="M21"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BA19" i="6" s="1" a="1"/>
  <c r="BA19" i="6" s="1"/>
  <c r="A18" i="4"/>
  <c r="C17" i="4"/>
  <c r="Y12" i="8"/>
  <c r="AE13" i="12"/>
  <c r="Z13" i="6"/>
  <c r="AE13" i="6"/>
  <c r="AP13" i="6"/>
  <c r="AP19" i="6" s="1"/>
  <c r="K12" i="10"/>
  <c r="K11" i="10" s="1" a="1"/>
  <c r="K11" i="10" s="1"/>
  <c r="C5" i="4"/>
  <c r="A6" i="4"/>
  <c r="BA20" i="6" l="1" a="1"/>
  <c r="BA20" i="6" s="1"/>
  <c r="AN20" i="6"/>
  <c r="AZ20" i="6" a="1"/>
  <c r="AZ20" i="6" s="1"/>
  <c r="AO20" i="6"/>
  <c r="AX20" i="6" a="1"/>
  <c r="AX20" i="6" s="1"/>
  <c r="AP20" i="6"/>
  <c r="AM20" i="6"/>
  <c r="AY20" i="6" a="1"/>
  <c r="AY20" i="6" s="1"/>
  <c r="AB20" i="6"/>
  <c r="AC20" i="6"/>
  <c r="AD20" i="6"/>
  <c r="A50" i="6"/>
  <c r="N50" i="6" s="1"/>
  <c r="AP27" i="6"/>
  <c r="BA47" i="6" a="1"/>
  <c r="BA47" i="6" s="1"/>
  <c r="AO39" i="6"/>
  <c r="AY39" i="6" a="1"/>
  <c r="AY39" i="6" s="1"/>
  <c r="AZ39" i="6" a="1"/>
  <c r="AZ39" i="6" s="1"/>
  <c r="AN39" i="6"/>
  <c r="AX39" i="6" a="1"/>
  <c r="AX39" i="6" s="1"/>
  <c r="AY27" i="6" a="1"/>
  <c r="AY27" i="6" s="1"/>
  <c r="AN27" i="6"/>
  <c r="AM27" i="6"/>
  <c r="AO27" i="6"/>
  <c r="AX27" i="6" a="1"/>
  <c r="AX27" i="6" s="1"/>
  <c r="M22" i="6"/>
  <c r="M26" i="6" s="1"/>
  <c r="AN46" i="6"/>
  <c r="AM46" i="6"/>
  <c r="AO46" i="6"/>
  <c r="AZ46" i="6" a="1"/>
  <c r="AZ46" i="6" s="1"/>
  <c r="AX46" i="6" a="1"/>
  <c r="AX46" i="6" s="1"/>
  <c r="AO47" i="6"/>
  <c r="AN47" i="6"/>
  <c r="AX47" i="6" a="1"/>
  <c r="AX47" i="6" s="1"/>
  <c r="AM47" i="6"/>
  <c r="AY47" i="6" a="1"/>
  <c r="AY47" i="6" s="1"/>
  <c r="AP39" i="6"/>
  <c r="AP46" i="6"/>
  <c r="AO35" i="6"/>
  <c r="AN35" i="6"/>
  <c r="AP35" i="6"/>
  <c r="AX35" i="6" a="1"/>
  <c r="AX35" i="6" s="1"/>
  <c r="BA35" i="6" a="1"/>
  <c r="BA35" i="6" s="1"/>
  <c r="AY35" i="6" a="1"/>
  <c r="AY35" i="6" s="1"/>
  <c r="AM35" i="6"/>
  <c r="AZ35" i="6" a="1"/>
  <c r="AZ35" i="6" s="1"/>
  <c r="BA39" i="6" a="1"/>
  <c r="BA39" i="6" s="1"/>
  <c r="BA27" i="6" a="1"/>
  <c r="BA27" i="6" s="1"/>
  <c r="B17" i="9"/>
  <c r="AN21" i="6"/>
  <c r="AP21" i="6"/>
  <c r="AX21" i="6" a="1"/>
  <c r="AX21" i="6" s="1"/>
  <c r="AM21" i="6"/>
  <c r="BA21" i="6" a="1"/>
  <c r="BA21" i="6" s="1"/>
  <c r="AO21" i="6"/>
  <c r="AY21" i="6" a="1"/>
  <c r="AY21" i="6" s="1"/>
  <c r="AZ21" i="6" a="1"/>
  <c r="AZ21" i="6" s="1"/>
  <c r="AN47" i="5" a="1"/>
  <c r="AN47" i="5" s="1"/>
  <c r="W47" i="5" a="1"/>
  <c r="W47" i="5" s="1"/>
  <c r="H47" i="12" s="1" a="1"/>
  <c r="H47" i="12" s="1"/>
  <c r="AN35" i="5" a="1"/>
  <c r="AN35" i="5" s="1"/>
  <c r="W35" i="5" a="1"/>
  <c r="W35" i="5" s="1"/>
  <c r="H35" i="12" s="1" a="1"/>
  <c r="H35" i="12" s="1"/>
  <c r="AP18" i="6"/>
  <c r="BA18" i="6" a="1"/>
  <c r="BA18" i="6" s="1"/>
  <c r="BA46" i="6" a="1"/>
  <c r="BA46" i="6" s="1"/>
  <c r="AN27" i="5" a="1"/>
  <c r="AN27" i="5" s="1"/>
  <c r="W27" i="5" a="1"/>
  <c r="W27" i="5" s="1"/>
  <c r="H27" i="12" s="1" a="1"/>
  <c r="H27" i="12" s="1"/>
  <c r="AP47" i="6"/>
  <c r="AN46" i="5" a="1"/>
  <c r="AN46" i="5" s="1"/>
  <c r="W46" i="5" a="1"/>
  <c r="W46" i="5" s="1"/>
  <c r="H46" i="12" s="1" a="1"/>
  <c r="H46" i="12" s="1"/>
  <c r="AN28" i="5" a="1"/>
  <c r="AN28" i="5" s="1"/>
  <c r="W28" i="5" a="1"/>
  <c r="W28" i="5" s="1"/>
  <c r="H28" i="12" s="1" a="1"/>
  <c r="H28" i="12" s="1"/>
  <c r="AN21" i="5" a="1"/>
  <c r="AN21" i="5" s="1"/>
  <c r="W21" i="5" a="1"/>
  <c r="W21" i="5" s="1"/>
  <c r="H21" i="12" s="1" a="1"/>
  <c r="H21" i="12" s="1"/>
  <c r="AN39" i="5" a="1"/>
  <c r="AN39" i="5" s="1"/>
  <c r="W39" i="5" a="1"/>
  <c r="W39" i="5" s="1"/>
  <c r="H39" i="12" s="1" a="1"/>
  <c r="H39" i="12" s="1"/>
  <c r="AO28" i="6"/>
  <c r="AY28" i="6" a="1"/>
  <c r="AY28" i="6" s="1"/>
  <c r="AM28" i="6"/>
  <c r="AP28" i="6"/>
  <c r="BA28" i="6" a="1"/>
  <c r="BA28" i="6" s="1"/>
  <c r="AN28" i="6"/>
  <c r="AZ28" i="6" a="1"/>
  <c r="AZ28" i="6" s="1"/>
  <c r="AX28" i="6" a="1"/>
  <c r="AX28" i="6"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19" i="6" s="1" a="1"/>
  <c r="BB19" i="6" s="1"/>
  <c r="AF13" i="6"/>
  <c r="AF12" i="6" s="1"/>
  <c r="AE12" i="6"/>
  <c r="A19" i="4"/>
  <c r="C19" i="4" s="1"/>
  <c r="C18" i="4"/>
  <c r="Z12" i="8"/>
  <c r="AF13" i="12"/>
  <c r="AQ13" i="6"/>
  <c r="AQ20" i="6" s="1"/>
  <c r="L12" i="10"/>
  <c r="L11" i="10" s="1" a="1"/>
  <c r="L11" i="10" s="1"/>
  <c r="A7" i="4"/>
  <c r="C7" i="4" s="1"/>
  <c r="C6" i="4"/>
  <c r="AP26" i="6" l="1"/>
  <c r="AN26" i="6"/>
  <c r="AZ26" i="6" a="1"/>
  <c r="AZ26" i="6" s="1"/>
  <c r="BA26" i="6" a="1"/>
  <c r="BA26" i="6" s="1"/>
  <c r="AM26" i="6"/>
  <c r="AY26" i="6" a="1"/>
  <c r="AY26" i="6" s="1"/>
  <c r="BB26" i="6" a="1"/>
  <c r="BB26" i="6" s="1"/>
  <c r="AQ26" i="6"/>
  <c r="AX26" i="6" a="1"/>
  <c r="AX26" i="6" s="1"/>
  <c r="AO26" i="6"/>
  <c r="AB26" i="6"/>
  <c r="AC26" i="6"/>
  <c r="AD26" i="6"/>
  <c r="AE26" i="6"/>
  <c r="AF26" i="6"/>
  <c r="AE19" i="6"/>
  <c r="AE20" i="6"/>
  <c r="AF19" i="6"/>
  <c r="AF20" i="6"/>
  <c r="AQ35" i="6"/>
  <c r="AQ19" i="6"/>
  <c r="BB20" i="6" a="1"/>
  <c r="BB20" i="6" s="1"/>
  <c r="M25" i="6"/>
  <c r="AE25" i="6" s="1"/>
  <c r="AM22" i="6"/>
  <c r="M24" i="6"/>
  <c r="AE24" i="6" s="1"/>
  <c r="AE36" i="6"/>
  <c r="AF36" i="6"/>
  <c r="AX22" i="6" a="1"/>
  <c r="AX22" i="6" s="1"/>
  <c r="AN22" i="6"/>
  <c r="AY22" i="6" a="1"/>
  <c r="AY22" i="6" s="1"/>
  <c r="BA22" i="6" a="1"/>
  <c r="BA22" i="6" s="1"/>
  <c r="AP22" i="6"/>
  <c r="AZ22" i="6" a="1"/>
  <c r="AZ22" i="6" s="1"/>
  <c r="AO22" i="6"/>
  <c r="M23" i="6"/>
  <c r="BB23" i="6" s="1" a="1"/>
  <c r="BB23" i="6" s="1"/>
  <c r="AQ22" i="6"/>
  <c r="BB28" i="6" a="1"/>
  <c r="BB28" i="6" s="1"/>
  <c r="AQ28" i="6"/>
  <c r="B18" i="9"/>
  <c r="BB22" i="6" a="1"/>
  <c r="BB22" i="6" s="1"/>
  <c r="BB35" i="6" a="1"/>
  <c r="BB35" i="6" s="1"/>
  <c r="BB21" i="6" a="1"/>
  <c r="BB21" i="6" s="1"/>
  <c r="AQ21" i="6"/>
  <c r="BB27" i="6" a="1"/>
  <c r="BB27" i="6" s="1"/>
  <c r="BB18" i="6" a="1"/>
  <c r="BB18" i="6" s="1"/>
  <c r="BB46" i="6" a="1"/>
  <c r="BB46" i="6" s="1"/>
  <c r="BB39" i="6" a="1"/>
  <c r="BB39" i="6" s="1"/>
  <c r="BB47" i="6" a="1"/>
  <c r="BB47" i="6" s="1"/>
  <c r="AQ18" i="6"/>
  <c r="AQ39" i="6"/>
  <c r="AQ47" i="6"/>
  <c r="AQ27" i="6"/>
  <c r="AQ46" i="6"/>
  <c r="AF16" i="6"/>
  <c r="AF17" i="6"/>
  <c r="AE16" i="6"/>
  <c r="AE17" i="6"/>
  <c r="X29" i="4"/>
  <c r="S69" i="10"/>
  <c r="S74" i="10" s="1"/>
  <c r="L12" i="9"/>
  <c r="BB12" i="6"/>
  <c r="AQ12" i="6"/>
  <c r="AG13" i="6"/>
  <c r="AG12" i="6" s="1"/>
  <c r="BC13" i="6"/>
  <c r="BC26" i="6" s="1" a="1"/>
  <c r="BC26" i="6" s="1"/>
  <c r="AA12" i="8"/>
  <c r="AG13" i="12"/>
  <c r="AR13" i="6"/>
  <c r="AR26"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G26" i="6" l="1"/>
  <c r="AR19" i="6"/>
  <c r="AR20" i="6"/>
  <c r="BC19" i="6" a="1"/>
  <c r="BC19" i="6" s="1"/>
  <c r="BC20" i="6" a="1"/>
  <c r="BC20" i="6" s="1"/>
  <c r="AG19" i="6"/>
  <c r="AG20" i="6"/>
  <c r="AF25" i="6"/>
  <c r="AG25" i="6"/>
  <c r="AY25" i="6" a="1"/>
  <c r="AY25" i="6" s="1"/>
  <c r="AX25" i="6" a="1"/>
  <c r="AX25" i="6" s="1"/>
  <c r="AQ25" i="6"/>
  <c r="AO25" i="6"/>
  <c r="BA25" i="6" a="1"/>
  <c r="BA25" i="6" s="1"/>
  <c r="AR25" i="6"/>
  <c r="AP25" i="6"/>
  <c r="AN25" i="6"/>
  <c r="AZ25" i="6" a="1"/>
  <c r="AZ25" i="6" s="1"/>
  <c r="AM25" i="6"/>
  <c r="BC25" i="6" a="1"/>
  <c r="BC25" i="6" s="1"/>
  <c r="BB25" i="6" a="1"/>
  <c r="BB25" i="6" s="1"/>
  <c r="AB25" i="6"/>
  <c r="AC25" i="6"/>
  <c r="AD25" i="6"/>
  <c r="AG24" i="6"/>
  <c r="AF24" i="6"/>
  <c r="AY24" i="6" a="1"/>
  <c r="AY24" i="6" s="1"/>
  <c r="AR24" i="6"/>
  <c r="BB24" i="6" a="1"/>
  <c r="BB24" i="6" s="1"/>
  <c r="AN24" i="6"/>
  <c r="AZ24" i="6" a="1"/>
  <c r="AZ24" i="6" s="1"/>
  <c r="BC24" i="6" a="1"/>
  <c r="BC24" i="6" s="1"/>
  <c r="AQ24" i="6"/>
  <c r="AM24" i="6"/>
  <c r="AO24" i="6"/>
  <c r="AP24" i="6"/>
  <c r="AX24" i="6" a="1"/>
  <c r="AX24" i="6" s="1"/>
  <c r="BA24" i="6" a="1"/>
  <c r="BA24" i="6" s="1"/>
  <c r="AB24" i="6"/>
  <c r="AC24" i="6"/>
  <c r="AD24" i="6"/>
  <c r="AG36" i="6"/>
  <c r="AQ23" i="6"/>
  <c r="M29" i="6"/>
  <c r="AX23" i="6" a="1"/>
  <c r="AX23" i="6" s="1"/>
  <c r="BA23" i="6" a="1"/>
  <c r="BA23" i="6" s="1"/>
  <c r="AO23" i="6"/>
  <c r="AM23" i="6"/>
  <c r="AZ23" i="6" a="1"/>
  <c r="AZ23" i="6" s="1"/>
  <c r="AN23" i="6"/>
  <c r="AP23" i="6"/>
  <c r="AY23" i="6" a="1"/>
  <c r="AY23" i="6" s="1"/>
  <c r="AR18" i="6"/>
  <c r="AR39" i="6"/>
  <c r="AR46" i="6"/>
  <c r="AR47" i="6"/>
  <c r="AR27" i="6"/>
  <c r="AR21" i="6"/>
  <c r="AR23" i="6"/>
  <c r="AR22" i="6"/>
  <c r="AR35" i="6"/>
  <c r="AR28" i="6"/>
  <c r="BC27" i="6" a="1"/>
  <c r="BC27" i="6" s="1"/>
  <c r="BC47" i="6" a="1"/>
  <c r="BC47" i="6" s="1"/>
  <c r="BC39" i="6" a="1"/>
  <c r="BC39" i="6" s="1"/>
  <c r="BC18" i="6" a="1"/>
  <c r="BC18" i="6" s="1"/>
  <c r="BC46" i="6" a="1"/>
  <c r="BC46" i="6" s="1"/>
  <c r="BC28" i="6" a="1"/>
  <c r="BC28" i="6" s="1"/>
  <c r="BC22" i="6" a="1"/>
  <c r="BC22" i="6" s="1"/>
  <c r="BC21" i="6" a="1"/>
  <c r="BC21" i="6" s="1"/>
  <c r="BC35" i="6" a="1"/>
  <c r="BC35" i="6" s="1"/>
  <c r="BC23" i="6" a="1"/>
  <c r="BC23"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BD26" i="6" s="1" a="1"/>
  <c r="BD26" i="6" s="1"/>
  <c r="AB12" i="8"/>
  <c r="AH13" i="12"/>
  <c r="AS13" i="6"/>
  <c r="AS26" i="6" s="1"/>
  <c r="N12" i="10"/>
  <c r="N11" i="10" s="1" a="1"/>
  <c r="N11" i="10" s="1"/>
  <c r="AH26" i="6" l="1"/>
  <c r="AH19" i="6"/>
  <c r="AH20" i="6"/>
  <c r="AS24" i="6"/>
  <c r="AS19" i="6"/>
  <c r="AS20" i="6"/>
  <c r="BD24" i="6" a="1"/>
  <c r="BD24" i="6" s="1"/>
  <c r="BD19" i="6" a="1"/>
  <c r="BD19" i="6" s="1"/>
  <c r="BD20" i="6" a="1"/>
  <c r="BD20" i="6" s="1"/>
  <c r="BD25" i="6" a="1"/>
  <c r="BD25" i="6" s="1"/>
  <c r="AS25" i="6"/>
  <c r="AH24" i="6"/>
  <c r="AH25" i="6"/>
  <c r="AH36" i="6"/>
  <c r="BC29" i="6" a="1"/>
  <c r="BC29" i="6" s="1"/>
  <c r="M30" i="6"/>
  <c r="AH30" i="6" s="1"/>
  <c r="AR29" i="6"/>
  <c r="M34" i="6"/>
  <c r="M32" i="6"/>
  <c r="BD32" i="6" s="1" a="1"/>
  <c r="BD32" i="6" s="1"/>
  <c r="M33" i="6"/>
  <c r="AS33" i="6" s="1"/>
  <c r="M31" i="6"/>
  <c r="AM29" i="6"/>
  <c r="AO29" i="6"/>
  <c r="BA29" i="6" a="1"/>
  <c r="BA29" i="6" s="1"/>
  <c r="AN29" i="6"/>
  <c r="AP29" i="6"/>
  <c r="AY29" i="6" a="1"/>
  <c r="AY29" i="6" s="1"/>
  <c r="AX29" i="6" a="1"/>
  <c r="AX29" i="6" s="1"/>
  <c r="AZ29" i="6" a="1"/>
  <c r="AZ29" i="6" s="1"/>
  <c r="BB29" i="6" a="1"/>
  <c r="BB29" i="6" s="1"/>
  <c r="AQ29" i="6"/>
  <c r="BD46" i="6" a="1"/>
  <c r="BD46" i="6" s="1"/>
  <c r="BD27" i="6" a="1"/>
  <c r="BD27" i="6" s="1"/>
  <c r="BD39" i="6" a="1"/>
  <c r="BD39" i="6" s="1"/>
  <c r="BD47" i="6" a="1"/>
  <c r="BD47" i="6" s="1"/>
  <c r="BD18" i="6" a="1"/>
  <c r="BD18" i="6" s="1"/>
  <c r="BD23" i="6" a="1"/>
  <c r="BD23" i="6" s="1"/>
  <c r="BD29" i="6" a="1"/>
  <c r="BD29" i="6" s="1"/>
  <c r="BD28" i="6" a="1"/>
  <c r="BD28" i="6" s="1"/>
  <c r="BD21" i="6" a="1"/>
  <c r="BD21" i="6" s="1"/>
  <c r="BD22" i="6" a="1"/>
  <c r="BD22" i="6" s="1"/>
  <c r="BD35" i="6" a="1"/>
  <c r="BD35" i="6" s="1"/>
  <c r="AH16" i="6"/>
  <c r="AH17" i="6"/>
  <c r="AS46" i="6"/>
  <c r="AS18" i="6"/>
  <c r="AS39" i="6"/>
  <c r="AS27" i="6"/>
  <c r="AS47" i="6"/>
  <c r="AS22" i="6"/>
  <c r="AS23" i="6"/>
  <c r="AS29" i="6"/>
  <c r="AS35" i="6"/>
  <c r="AS21" i="6"/>
  <c r="AS28" i="6"/>
  <c r="B20" i="9"/>
  <c r="AB10" i="12"/>
  <c r="W69" i="10"/>
  <c r="W74" i="10" s="1"/>
  <c r="N12" i="9"/>
  <c r="J72" i="4"/>
  <c r="U8" i="4"/>
  <c r="BD12" i="6"/>
  <c r="AS12" i="6"/>
  <c r="AI13" i="6"/>
  <c r="AI12" i="6" s="1"/>
  <c r="BE13" i="6"/>
  <c r="BE26" i="6" s="1" a="1"/>
  <c r="BE26" i="6" s="1"/>
  <c r="AC12" i="8"/>
  <c r="AI13" i="12"/>
  <c r="K72" i="4"/>
  <c r="J112" i="4"/>
  <c r="AT13" i="6"/>
  <c r="AT26" i="6" s="1"/>
  <c r="O12" i="10"/>
  <c r="O11" i="10" s="1" a="1"/>
  <c r="O11" i="10" s="1"/>
  <c r="K32" i="4"/>
  <c r="J32" i="4"/>
  <c r="AI26" i="6" l="1"/>
  <c r="AT19" i="6"/>
  <c r="AT20" i="6"/>
  <c r="AI19" i="6"/>
  <c r="AI20" i="6"/>
  <c r="BE19" i="6" a="1"/>
  <c r="BE19" i="6" s="1"/>
  <c r="BE20" i="6" a="1"/>
  <c r="BE20" i="6" s="1"/>
  <c r="AT24" i="6"/>
  <c r="AT25" i="6"/>
  <c r="BE24" i="6" a="1"/>
  <c r="BE24" i="6" s="1"/>
  <c r="BE25" i="6" a="1"/>
  <c r="BE25" i="6" s="1"/>
  <c r="AI24" i="6"/>
  <c r="AI25" i="6"/>
  <c r="BD34" i="6" a="1"/>
  <c r="BD34" i="6" s="1"/>
  <c r="M37" i="6"/>
  <c r="AI37" i="6" s="1"/>
  <c r="AI36" i="6"/>
  <c r="AI30" i="6"/>
  <c r="AR30" i="6"/>
  <c r="AT30" i="6"/>
  <c r="AP30" i="6"/>
  <c r="AN30" i="6"/>
  <c r="BD30" i="6" a="1"/>
  <c r="BD30" i="6" s="1"/>
  <c r="AZ30" i="6" a="1"/>
  <c r="AZ30" i="6" s="1"/>
  <c r="BE30" i="6" a="1"/>
  <c r="BE30" i="6" s="1"/>
  <c r="AS30" i="6"/>
  <c r="BC30" i="6" a="1"/>
  <c r="BC30" i="6" s="1"/>
  <c r="BB30" i="6" a="1"/>
  <c r="BB30" i="6" s="1"/>
  <c r="BA30" i="6" a="1"/>
  <c r="BA30" i="6" s="1"/>
  <c r="AY30" i="6" a="1"/>
  <c r="AY30" i="6" s="1"/>
  <c r="AX30" i="6" a="1"/>
  <c r="AX30" i="6" s="1"/>
  <c r="AQ30" i="6"/>
  <c r="AO30" i="6"/>
  <c r="AM30" i="6"/>
  <c r="AB30" i="6"/>
  <c r="AC30" i="6"/>
  <c r="AD30" i="6"/>
  <c r="AF30" i="6"/>
  <c r="AE30" i="6"/>
  <c r="AG30" i="6"/>
  <c r="E51" i="12"/>
  <c r="BD33" i="6" a="1"/>
  <c r="BD33" i="6" s="1"/>
  <c r="AS32" i="6"/>
  <c r="AS34" i="6"/>
  <c r="BD31" i="6" a="1"/>
  <c r="BD31" i="6" s="1"/>
  <c r="AS31" i="6"/>
  <c r="AN33" i="6"/>
  <c r="AO33" i="6"/>
  <c r="AY33" i="6" a="1"/>
  <c r="AY33" i="6" s="1"/>
  <c r="BA33" i="6" a="1"/>
  <c r="BA33" i="6" s="1"/>
  <c r="AP33" i="6"/>
  <c r="AX33" i="6" a="1"/>
  <c r="AX33" i="6" s="1"/>
  <c r="AM33" i="6"/>
  <c r="AZ33" i="6" a="1"/>
  <c r="AZ33" i="6" s="1"/>
  <c r="AQ33" i="6"/>
  <c r="BB33" i="6" a="1"/>
  <c r="BB33" i="6" s="1"/>
  <c r="AR33" i="6"/>
  <c r="BC33" i="6" a="1"/>
  <c r="BC33" i="6" s="1"/>
  <c r="AO32" i="6"/>
  <c r="BA32" i="6" a="1"/>
  <c r="BA32" i="6" s="1"/>
  <c r="AN32" i="6"/>
  <c r="AZ32" i="6" a="1"/>
  <c r="AZ32" i="6" s="1"/>
  <c r="AY32" i="6" a="1"/>
  <c r="AY32" i="6" s="1"/>
  <c r="AM32" i="6"/>
  <c r="AX32" i="6" a="1"/>
  <c r="AX32" i="6" s="1"/>
  <c r="AP32" i="6"/>
  <c r="BB32" i="6" a="1"/>
  <c r="BB32" i="6" s="1"/>
  <c r="AQ32" i="6"/>
  <c r="BC32" i="6" a="1"/>
  <c r="BC32" i="6" s="1"/>
  <c r="AR32" i="6"/>
  <c r="AX31" i="6" a="1"/>
  <c r="AX31" i="6" s="1"/>
  <c r="AY31" i="6" a="1"/>
  <c r="AY31" i="6" s="1"/>
  <c r="AP31" i="6"/>
  <c r="AO31" i="6"/>
  <c r="AZ31" i="6" a="1"/>
  <c r="AZ31" i="6" s="1"/>
  <c r="AN31" i="6"/>
  <c r="AM31" i="6"/>
  <c r="BA31" i="6" a="1"/>
  <c r="BA31" i="6" s="1"/>
  <c r="AQ31" i="6"/>
  <c r="BB31" i="6" a="1"/>
  <c r="BB31" i="6" s="1"/>
  <c r="BC31" i="6" a="1"/>
  <c r="BC31" i="6" s="1"/>
  <c r="AR31" i="6"/>
  <c r="AO34" i="6"/>
  <c r="AP34" i="6"/>
  <c r="BA34" i="6" a="1"/>
  <c r="BA34" i="6" s="1"/>
  <c r="AM34" i="6"/>
  <c r="AZ34" i="6" a="1"/>
  <c r="AZ34" i="6" s="1"/>
  <c r="AY34" i="6" a="1"/>
  <c r="AY34" i="6" s="1"/>
  <c r="AN34" i="6"/>
  <c r="AX34" i="6" a="1"/>
  <c r="AX34" i="6" s="1"/>
  <c r="AQ34" i="6"/>
  <c r="BB34" i="6" a="1"/>
  <c r="BB34" i="6" s="1"/>
  <c r="AR34" i="6"/>
  <c r="BC34" i="6" a="1"/>
  <c r="BC34" i="6" s="1"/>
  <c r="AT31" i="6"/>
  <c r="AT46" i="6"/>
  <c r="AT47" i="6"/>
  <c r="AT27" i="6"/>
  <c r="AT39" i="6"/>
  <c r="AT18" i="6"/>
  <c r="AT28" i="6"/>
  <c r="AT34" i="6"/>
  <c r="AT21" i="6"/>
  <c r="AT23" i="6"/>
  <c r="AT35" i="6"/>
  <c r="AT32" i="6"/>
  <c r="AT22" i="6"/>
  <c r="AT33" i="6"/>
  <c r="AT29" i="6"/>
  <c r="BE31" i="6" a="1"/>
  <c r="BE31" i="6" s="1"/>
  <c r="BE47" i="6" a="1"/>
  <c r="BE47" i="6" s="1"/>
  <c r="BE18" i="6" a="1"/>
  <c r="BE18" i="6" s="1"/>
  <c r="BE46" i="6" a="1"/>
  <c r="BE46" i="6" s="1"/>
  <c r="BE27" i="6" a="1"/>
  <c r="BE27" i="6" s="1"/>
  <c r="BE39" i="6" a="1"/>
  <c r="BE39" i="6" s="1"/>
  <c r="BE35" i="6" a="1"/>
  <c r="BE35" i="6" s="1"/>
  <c r="BE23" i="6" a="1"/>
  <c r="BE23" i="6" s="1"/>
  <c r="BE34" i="6" a="1"/>
  <c r="BE34" i="6" s="1"/>
  <c r="BE32" i="6" a="1"/>
  <c r="BE32" i="6" s="1"/>
  <c r="BE33" i="6" a="1"/>
  <c r="BE33" i="6" s="1"/>
  <c r="BE22" i="6" a="1"/>
  <c r="BE22" i="6" s="1"/>
  <c r="BE21" i="6" a="1"/>
  <c r="BE21" i="6" s="1"/>
  <c r="BE29" i="6" a="1"/>
  <c r="BE29" i="6" s="1"/>
  <c r="BE28" i="6" a="1"/>
  <c r="BE28" i="6" s="1"/>
  <c r="B21" i="9"/>
  <c r="AI16" i="6"/>
  <c r="AI17" i="6"/>
  <c r="O12" i="9"/>
  <c r="Y69" i="10"/>
  <c r="Y74" i="10" s="1"/>
  <c r="T11" i="11"/>
  <c r="BE12" i="6"/>
  <c r="AT12" i="6"/>
  <c r="AJ13" i="6"/>
  <c r="AJ12" i="6" s="1"/>
  <c r="BF13" i="6"/>
  <c r="BF26" i="6" s="1" a="1"/>
  <c r="BF26" i="6" s="1"/>
  <c r="AD12" i="8"/>
  <c r="AJ13" i="12"/>
  <c r="AU13" i="6"/>
  <c r="AU26" i="6" s="1"/>
  <c r="P12" i="10"/>
  <c r="P11" i="10" s="1" a="1"/>
  <c r="P11" i="10" s="1"/>
  <c r="AJ26" i="6" l="1"/>
  <c r="BF19" i="6" a="1"/>
  <c r="BF19" i="6" s="1"/>
  <c r="BF20" i="6" a="1"/>
  <c r="BF20" i="6" s="1"/>
  <c r="AU19" i="6"/>
  <c r="AU20" i="6"/>
  <c r="AJ19" i="6"/>
  <c r="AJ20" i="6"/>
  <c r="AJ24" i="6"/>
  <c r="AJ25" i="6"/>
  <c r="BF25" i="6" a="1"/>
  <c r="BF25" i="6" s="1"/>
  <c r="AU25" i="6"/>
  <c r="BF30" i="6" a="1"/>
  <c r="BF30" i="6" s="1"/>
  <c r="BF24" i="6" a="1"/>
  <c r="BF24" i="6" s="1"/>
  <c r="AU30" i="6"/>
  <c r="AU24" i="6"/>
  <c r="AJ36" i="6"/>
  <c r="AJ37" i="6"/>
  <c r="AN37" i="6"/>
  <c r="AZ37" i="6" a="1"/>
  <c r="AZ37" i="6" s="1"/>
  <c r="BC37" i="6" a="1"/>
  <c r="BC37" i="6" s="1"/>
  <c r="BF37" i="6" a="1"/>
  <c r="BF37" i="6" s="1"/>
  <c r="AU37" i="6"/>
  <c r="AY37" i="6" a="1"/>
  <c r="AY37" i="6" s="1"/>
  <c r="BB37" i="6" a="1"/>
  <c r="BB37" i="6" s="1"/>
  <c r="BE37" i="6" a="1"/>
  <c r="BE37" i="6" s="1"/>
  <c r="AO37" i="6"/>
  <c r="AQ37" i="6"/>
  <c r="AX37" i="6" a="1"/>
  <c r="AX37" i="6" s="1"/>
  <c r="BA37" i="6" a="1"/>
  <c r="BA37" i="6" s="1"/>
  <c r="AM37" i="6"/>
  <c r="BD37" i="6" a="1"/>
  <c r="BD37" i="6" s="1"/>
  <c r="AP37" i="6"/>
  <c r="AR37" i="6"/>
  <c r="AS37" i="6"/>
  <c r="AT37" i="6"/>
  <c r="AB37" i="6"/>
  <c r="M38" i="6"/>
  <c r="AJ38" i="6" s="1"/>
  <c r="AC37" i="6"/>
  <c r="AD37" i="6"/>
  <c r="AE37" i="6"/>
  <c r="AF37" i="6"/>
  <c r="AG37" i="6"/>
  <c r="AH37" i="6"/>
  <c r="AJ30" i="6"/>
  <c r="C51" i="5"/>
  <c r="L51" i="6"/>
  <c r="AU27" i="6"/>
  <c r="AU31" i="6"/>
  <c r="AU39" i="6"/>
  <c r="AU47" i="6"/>
  <c r="AU18" i="6"/>
  <c r="AU46" i="6"/>
  <c r="AU28" i="6"/>
  <c r="AU35" i="6"/>
  <c r="AU21" i="6"/>
  <c r="AU23" i="6"/>
  <c r="AU32" i="6"/>
  <c r="AU34" i="6"/>
  <c r="AU22" i="6"/>
  <c r="AU29" i="6"/>
  <c r="AU33" i="6"/>
  <c r="BF18" i="6" a="1"/>
  <c r="BF18" i="6" s="1"/>
  <c r="BF39" i="6" a="1"/>
  <c r="BF39" i="6" s="1"/>
  <c r="BF27" i="6" a="1"/>
  <c r="BF27" i="6" s="1"/>
  <c r="BF31" i="6" a="1"/>
  <c r="BF31" i="6" s="1"/>
  <c r="BF47" i="6" a="1"/>
  <c r="BF47" i="6" s="1"/>
  <c r="BF46" i="6" a="1"/>
  <c r="BF46" i="6" s="1"/>
  <c r="BF32" i="6" a="1"/>
  <c r="BF32" i="6" s="1"/>
  <c r="BF28" i="6" a="1"/>
  <c r="BF28" i="6" s="1"/>
  <c r="BF29" i="6" a="1"/>
  <c r="BF29" i="6" s="1"/>
  <c r="BF33" i="6" a="1"/>
  <c r="BF33" i="6" s="1"/>
  <c r="BF21" i="6" a="1"/>
  <c r="BF21" i="6" s="1"/>
  <c r="BF35" i="6" a="1"/>
  <c r="BF35" i="6" s="1"/>
  <c r="BF22" i="6" a="1"/>
  <c r="BF22" i="6" s="1"/>
  <c r="BF23" i="6" a="1"/>
  <c r="BF23" i="6" s="1"/>
  <c r="BF34" i="6" a="1"/>
  <c r="BF34" i="6" s="1"/>
  <c r="AJ16" i="6"/>
  <c r="AJ17" i="6"/>
  <c r="B22" i="9"/>
  <c r="P12" i="9"/>
  <c r="AA69" i="10"/>
  <c r="AA74" i="10" s="1"/>
  <c r="BF12" i="6"/>
  <c r="AU12" i="6"/>
  <c r="AK13" i="6"/>
  <c r="BG13" i="6"/>
  <c r="BG26" i="6" s="1" a="1"/>
  <c r="BG26" i="6" s="1"/>
  <c r="AE12" i="8"/>
  <c r="AK13" i="12"/>
  <c r="AV13" i="6"/>
  <c r="AV26" i="6" s="1"/>
  <c r="Q12" i="10"/>
  <c r="Q11" i="10" s="1" a="1"/>
  <c r="Q11" i="10" s="1"/>
  <c r="AV19" i="6" l="1"/>
  <c r="AV20" i="6"/>
  <c r="BG19" i="6" a="1"/>
  <c r="BG19" i="6" s="1"/>
  <c r="BG20" i="6" a="1"/>
  <c r="BG20" i="6" s="1"/>
  <c r="BG25" i="6" a="1"/>
  <c r="BG25" i="6" s="1"/>
  <c r="AV25" i="6"/>
  <c r="BG30" i="6" a="1"/>
  <c r="BG30" i="6" s="1"/>
  <c r="BG24" i="6" a="1"/>
  <c r="BG24" i="6" s="1"/>
  <c r="AV30" i="6"/>
  <c r="AV24" i="6"/>
  <c r="BG37" i="6" a="1"/>
  <c r="BG37" i="6" s="1"/>
  <c r="BE38" i="6" a="1"/>
  <c r="BE38" i="6" s="1"/>
  <c r="AR38" i="6"/>
  <c r="AO38" i="6"/>
  <c r="BG38" i="6" a="1"/>
  <c r="BG38" i="6" s="1"/>
  <c r="AQ38" i="6"/>
  <c r="BA38" i="6" a="1"/>
  <c r="BA38" i="6" s="1"/>
  <c r="AN38" i="6"/>
  <c r="AP38" i="6"/>
  <c r="AV38" i="6"/>
  <c r="AU38" i="6"/>
  <c r="BD38" i="6" a="1"/>
  <c r="BD38" i="6" s="1"/>
  <c r="AZ38" i="6" a="1"/>
  <c r="AZ38" i="6" s="1"/>
  <c r="AM38" i="6"/>
  <c r="AS38" i="6"/>
  <c r="BC38" i="6" a="1"/>
  <c r="BC38" i="6" s="1"/>
  <c r="BB38" i="6" a="1"/>
  <c r="BB38" i="6" s="1"/>
  <c r="AX38" i="6" a="1"/>
  <c r="AX38" i="6" s="1"/>
  <c r="AT38" i="6"/>
  <c r="AY38" i="6" a="1"/>
  <c r="AY38" i="6" s="1"/>
  <c r="BF38" i="6" a="1"/>
  <c r="BF38" i="6" s="1"/>
  <c r="AB38" i="6"/>
  <c r="AC38" i="6"/>
  <c r="AD38" i="6"/>
  <c r="AF38" i="6"/>
  <c r="AE38" i="6"/>
  <c r="AG38" i="6"/>
  <c r="AH38" i="6"/>
  <c r="AI38" i="6"/>
  <c r="M40" i="6"/>
  <c r="M43" i="6" s="1"/>
  <c r="AV37" i="6"/>
  <c r="F51" i="6"/>
  <c r="B51" i="6"/>
  <c r="W51" i="5" a="1"/>
  <c r="W51" i="5" s="1"/>
  <c r="H51" i="12" s="1" a="1"/>
  <c r="H51" i="12" s="1"/>
  <c r="F51" i="5"/>
  <c r="AF51" i="5" a="1"/>
  <c r="AF51" i="5" s="1"/>
  <c r="AD51" i="5"/>
  <c r="H51" i="5"/>
  <c r="N51" i="5"/>
  <c r="D51" i="6" s="1"/>
  <c r="G51" i="6" s="1"/>
  <c r="A51" i="12"/>
  <c r="G51" i="5"/>
  <c r="E51" i="5"/>
  <c r="B51" i="5"/>
  <c r="AE51" i="5" a="1"/>
  <c r="AE51" i="5" s="1"/>
  <c r="AV31" i="6"/>
  <c r="AV46" i="6"/>
  <c r="AV47" i="6"/>
  <c r="AV18" i="6"/>
  <c r="AV27" i="6"/>
  <c r="AV39" i="6"/>
  <c r="AV28" i="6"/>
  <c r="AV32" i="6"/>
  <c r="AV29" i="6"/>
  <c r="AV35" i="6"/>
  <c r="AV21" i="6"/>
  <c r="AV33" i="6"/>
  <c r="AV22" i="6"/>
  <c r="AV23" i="6"/>
  <c r="AV34" i="6"/>
  <c r="B23" i="9"/>
  <c r="BG47" i="6" a="1"/>
  <c r="BG47" i="6" s="1"/>
  <c r="BG39" i="6" a="1"/>
  <c r="BG39" i="6" s="1"/>
  <c r="BG18" i="6" a="1"/>
  <c r="BG18" i="6" s="1"/>
  <c r="BG27" i="6" a="1"/>
  <c r="BG27" i="6" s="1"/>
  <c r="BG46" i="6" a="1"/>
  <c r="BG46" i="6" s="1"/>
  <c r="BG31" i="6" a="1"/>
  <c r="BG31" i="6" s="1"/>
  <c r="BG28" i="6" a="1"/>
  <c r="BG28" i="6" s="1"/>
  <c r="BG32" i="6" a="1"/>
  <c r="BG32" i="6" s="1"/>
  <c r="BG21" i="6" a="1"/>
  <c r="BG21" i="6" s="1"/>
  <c r="BG29" i="6" a="1"/>
  <c r="BG29" i="6" s="1"/>
  <c r="BG34" i="6" a="1"/>
  <c r="BG34" i="6" s="1"/>
  <c r="BG33" i="6" a="1"/>
  <c r="BG33" i="6" s="1"/>
  <c r="BG22" i="6" a="1"/>
  <c r="BG22" i="6" s="1"/>
  <c r="BG35" i="6" a="1"/>
  <c r="BG35" i="6" s="1"/>
  <c r="BG23" i="6" a="1"/>
  <c r="BG23" i="6" s="1"/>
  <c r="AK12" i="6"/>
  <c r="Q12" i="9"/>
  <c r="AC69" i="10"/>
  <c r="AC74" i="10" s="1"/>
  <c r="BG12" i="6"/>
  <c r="AV12" i="6"/>
  <c r="AF12" i="8"/>
  <c r="AL13" i="12"/>
  <c r="R12" i="10"/>
  <c r="R11" i="10" s="1" a="1"/>
  <c r="R11" i="10" s="1"/>
  <c r="AK26" i="6" l="1"/>
  <c r="AK43" i="6"/>
  <c r="AR43" i="6"/>
  <c r="BC43" i="6" a="1"/>
  <c r="BC43" i="6" s="1"/>
  <c r="AZ43" i="6" a="1"/>
  <c r="AZ43" i="6" s="1"/>
  <c r="BA43" i="6" a="1"/>
  <c r="BA43" i="6" s="1"/>
  <c r="AY43" i="6" a="1"/>
  <c r="AY43" i="6" s="1"/>
  <c r="AU43" i="6"/>
  <c r="AQ43" i="6"/>
  <c r="AP43" i="6"/>
  <c r="AM43" i="6"/>
  <c r="BB43" i="6" a="1"/>
  <c r="BB43" i="6" s="1"/>
  <c r="AV43" i="6"/>
  <c r="BE43" i="6" a="1"/>
  <c r="BE43" i="6" s="1"/>
  <c r="AN43" i="6"/>
  <c r="BF43" i="6" a="1"/>
  <c r="BF43" i="6" s="1"/>
  <c r="AT43" i="6"/>
  <c r="AO43" i="6"/>
  <c r="AS43" i="6"/>
  <c r="AX43" i="6" a="1"/>
  <c r="AX43" i="6" s="1"/>
  <c r="BD43" i="6" a="1"/>
  <c r="BD43" i="6" s="1"/>
  <c r="BG43" i="6" a="1"/>
  <c r="BG43" i="6" s="1"/>
  <c r="AB43" i="6"/>
  <c r="AC43" i="6"/>
  <c r="AD43" i="6"/>
  <c r="AE43" i="6"/>
  <c r="AF43" i="6"/>
  <c r="AG43" i="6"/>
  <c r="AH43" i="6"/>
  <c r="AI43" i="6"/>
  <c r="AJ43" i="6"/>
  <c r="AK19" i="6"/>
  <c r="AK20" i="6"/>
  <c r="AK24" i="6"/>
  <c r="AK25" i="6"/>
  <c r="BG40" i="6" a="1"/>
  <c r="BG40" i="6" s="1"/>
  <c r="M42" i="6"/>
  <c r="AV40" i="6"/>
  <c r="AK36" i="6"/>
  <c r="AK37" i="6"/>
  <c r="AK38" i="6"/>
  <c r="BE40" i="6" a="1"/>
  <c r="BE40" i="6" s="1"/>
  <c r="AZ40" i="6" a="1"/>
  <c r="AZ40" i="6" s="1"/>
  <c r="BA40" i="6" a="1"/>
  <c r="BA40" i="6" s="1"/>
  <c r="AS40" i="6"/>
  <c r="BC40" i="6" a="1"/>
  <c r="BC40" i="6" s="1"/>
  <c r="M41" i="6"/>
  <c r="AK41" i="6" s="1"/>
  <c r="AT40" i="6"/>
  <c r="AU40" i="6"/>
  <c r="BD40" i="6" a="1"/>
  <c r="BD40" i="6" s="1"/>
  <c r="AQ40" i="6"/>
  <c r="AR40" i="6"/>
  <c r="AX40" i="6" a="1"/>
  <c r="AX40" i="6" s="1"/>
  <c r="AP40" i="6"/>
  <c r="AN40" i="6"/>
  <c r="M45" i="6"/>
  <c r="AK45" i="6" s="1"/>
  <c r="BB40" i="6" a="1"/>
  <c r="BB40" i="6" s="1"/>
  <c r="AM40" i="6"/>
  <c r="AY40" i="6" a="1"/>
  <c r="AY40" i="6" s="1"/>
  <c r="M44" i="6"/>
  <c r="AO40" i="6"/>
  <c r="BF40" i="6" a="1"/>
  <c r="BF40" i="6" s="1"/>
  <c r="AK30" i="6"/>
  <c r="AG51" i="5" a="1"/>
  <c r="AG51" i="5" s="1"/>
  <c r="S51" i="5" a="1"/>
  <c r="S51" i="5" s="1"/>
  <c r="F51" i="12" s="1" a="1"/>
  <c r="F51" i="12" s="1"/>
  <c r="B24" i="9"/>
  <c r="AK16" i="6"/>
  <c r="AK17" i="6"/>
  <c r="R12" i="9"/>
  <c r="AE69" i="10"/>
  <c r="AE74" i="10" s="1"/>
  <c r="AM13" i="12"/>
  <c r="S12" i="10"/>
  <c r="S11" i="10" s="1" a="1"/>
  <c r="S11" i="10" s="1"/>
  <c r="L43" i="12" l="1" a="1"/>
  <c r="L43" i="12" s="1"/>
  <c r="J43" i="12" a="1"/>
  <c r="J43" i="12" s="1"/>
  <c r="L26" i="12" a="1"/>
  <c r="L26" i="12" s="1"/>
  <c r="J26" i="12" a="1"/>
  <c r="J26" i="12" s="1"/>
  <c r="L19" i="12" a="1"/>
  <c r="L19" i="12" s="1"/>
  <c r="J20" i="12" a="1"/>
  <c r="J20" i="12" s="1"/>
  <c r="J19" i="12" a="1"/>
  <c r="J19" i="12" s="1"/>
  <c r="L20" i="12" a="1"/>
  <c r="L20" i="12" s="1"/>
  <c r="J25" i="12" a="1"/>
  <c r="J25" i="12" s="1"/>
  <c r="L25" i="12" a="1"/>
  <c r="L25" i="12" s="1"/>
  <c r="L24" i="12" a="1"/>
  <c r="L24" i="12" s="1"/>
  <c r="J24" i="12" a="1"/>
  <c r="J24" i="12" s="1"/>
  <c r="L42" i="12" a="1"/>
  <c r="L42" i="12" s="1"/>
  <c r="J42" i="12" a="1"/>
  <c r="J42" i="12" s="1"/>
  <c r="AR42" i="6"/>
  <c r="AQ42" i="6"/>
  <c r="AN42" i="6"/>
  <c r="BA42" i="6" a="1"/>
  <c r="BA42" i="6" s="1"/>
  <c r="AU42" i="6"/>
  <c r="BD42" i="6" a="1"/>
  <c r="BD42" i="6" s="1"/>
  <c r="AT42" i="6"/>
  <c r="AM42" i="6"/>
  <c r="AZ42" i="6" a="1"/>
  <c r="AZ42" i="6" s="1"/>
  <c r="BB42" i="6" a="1"/>
  <c r="BB42" i="6" s="1"/>
  <c r="AX42" i="6" a="1"/>
  <c r="AX42" i="6" s="1"/>
  <c r="AS42" i="6"/>
  <c r="AO42" i="6"/>
  <c r="AP42" i="6"/>
  <c r="AV42" i="6"/>
  <c r="BG42" i="6" a="1"/>
  <c r="BG42" i="6" s="1"/>
  <c r="BC42" i="6" a="1"/>
  <c r="BC42" i="6" s="1"/>
  <c r="BF42" i="6" a="1"/>
  <c r="BF42" i="6" s="1"/>
  <c r="AY42" i="6" a="1"/>
  <c r="AY42" i="6" s="1"/>
  <c r="BE42" i="6" a="1"/>
  <c r="BE42" i="6" s="1"/>
  <c r="AB42" i="6"/>
  <c r="AC42" i="6"/>
  <c r="AD42" i="6"/>
  <c r="AE42" i="6"/>
  <c r="AF42" i="6"/>
  <c r="AG42" i="6"/>
  <c r="AH42" i="6"/>
  <c r="AI42" i="6"/>
  <c r="AJ42" i="6"/>
  <c r="AK42" i="6"/>
  <c r="BD45" i="6" a="1"/>
  <c r="BD45" i="6" s="1"/>
  <c r="AS45" i="6"/>
  <c r="BG45" i="6" a="1"/>
  <c r="BG45" i="6" s="1"/>
  <c r="AE45" i="6"/>
  <c r="AY45" i="6" a="1"/>
  <c r="AY45" i="6" s="1"/>
  <c r="AX45" i="6" a="1"/>
  <c r="AX45" i="6" s="1"/>
  <c r="AN45" i="6"/>
  <c r="AG45" i="6"/>
  <c r="BF45" i="6" a="1"/>
  <c r="BF45" i="6" s="1"/>
  <c r="AU45" i="6"/>
  <c r="AV45" i="6"/>
  <c r="AH45" i="6"/>
  <c r="BA45" i="6" a="1"/>
  <c r="BA45" i="6" s="1"/>
  <c r="BE45" i="6" a="1"/>
  <c r="BE45" i="6" s="1"/>
  <c r="AO45" i="6"/>
  <c r="BC45" i="6" a="1"/>
  <c r="BC45" i="6" s="1"/>
  <c r="AI45" i="6"/>
  <c r="AT45" i="6"/>
  <c r="AZ45" i="6" a="1"/>
  <c r="AZ45" i="6" s="1"/>
  <c r="AM45" i="6"/>
  <c r="AB45" i="6"/>
  <c r="AJ45" i="6"/>
  <c r="AQ45" i="6"/>
  <c r="AP45" i="6"/>
  <c r="AC45" i="6"/>
  <c r="AF45" i="6"/>
  <c r="BB45" i="6" a="1"/>
  <c r="BB45" i="6" s="1"/>
  <c r="AR45" i="6"/>
  <c r="AD45" i="6"/>
  <c r="J37" i="12" a="1"/>
  <c r="J37" i="12" s="1"/>
  <c r="L38" i="12" a="1"/>
  <c r="L38" i="12" s="1"/>
  <c r="L37" i="12" a="1"/>
  <c r="L37" i="12" s="1"/>
  <c r="J38" i="12" a="1"/>
  <c r="J38" i="12" s="1"/>
  <c r="AJ41" i="6"/>
  <c r="BC41" i="6" a="1"/>
  <c r="BC41" i="6" s="1"/>
  <c r="AP41" i="6"/>
  <c r="AF41" i="6"/>
  <c r="AM41" i="6"/>
  <c r="AO41" i="6"/>
  <c r="AG41" i="6"/>
  <c r="BD41" i="6" a="1"/>
  <c r="BD41" i="6" s="1"/>
  <c r="BA41" i="6" a="1"/>
  <c r="BA41" i="6" s="1"/>
  <c r="AS41" i="6"/>
  <c r="AQ41" i="6"/>
  <c r="BB41" i="6" a="1"/>
  <c r="BB41" i="6" s="1"/>
  <c r="AB41" i="6"/>
  <c r="BF41" i="6" a="1"/>
  <c r="BF41" i="6" s="1"/>
  <c r="AX41" i="6" a="1"/>
  <c r="AX41" i="6" s="1"/>
  <c r="AD41" i="6"/>
  <c r="AY41" i="6" a="1"/>
  <c r="AY41" i="6" s="1"/>
  <c r="BE41" i="6" a="1"/>
  <c r="BE41" i="6" s="1"/>
  <c r="AR41" i="6"/>
  <c r="AH41" i="6"/>
  <c r="AT41" i="6"/>
  <c r="AN41" i="6"/>
  <c r="AE41" i="6"/>
  <c r="AZ41" i="6" a="1"/>
  <c r="AZ41" i="6" s="1"/>
  <c r="AV41" i="6"/>
  <c r="AI41" i="6"/>
  <c r="AU41" i="6"/>
  <c r="AC41" i="6"/>
  <c r="BG41" i="6" a="1"/>
  <c r="BG41" i="6" s="1"/>
  <c r="M48" i="6"/>
  <c r="BE44" i="6" a="1"/>
  <c r="BE44" i="6" s="1"/>
  <c r="AX44" i="6" a="1"/>
  <c r="AX44" i="6" s="1"/>
  <c r="BA44" i="6" a="1"/>
  <c r="BA44" i="6" s="1"/>
  <c r="AV44" i="6"/>
  <c r="AZ44" i="6" a="1"/>
  <c r="AZ44" i="6" s="1"/>
  <c r="AP44" i="6"/>
  <c r="AR44" i="6"/>
  <c r="BF44" i="6" a="1"/>
  <c r="BF44" i="6" s="1"/>
  <c r="AU44" i="6"/>
  <c r="AM44" i="6"/>
  <c r="AQ44" i="6"/>
  <c r="AN44" i="6"/>
  <c r="AT44" i="6"/>
  <c r="BG44" i="6" a="1"/>
  <c r="BG44" i="6" s="1"/>
  <c r="BC44" i="6" a="1"/>
  <c r="BC44" i="6" s="1"/>
  <c r="AS44" i="6"/>
  <c r="BD44" i="6" a="1"/>
  <c r="BD44" i="6" s="1"/>
  <c r="AO44" i="6"/>
  <c r="AY44" i="6" a="1"/>
  <c r="AY44" i="6" s="1"/>
  <c r="BB44" i="6" a="1"/>
  <c r="BB44" i="6" s="1"/>
  <c r="J41" i="12" a="1"/>
  <c r="J41" i="12" s="1"/>
  <c r="L41" i="12" a="1"/>
  <c r="L41" i="12" s="1"/>
  <c r="L45" i="12" a="1"/>
  <c r="L45" i="12" s="1"/>
  <c r="J45" i="12" a="1"/>
  <c r="J45" i="12" s="1"/>
  <c r="J30" i="12" a="1"/>
  <c r="J30" i="12" s="1"/>
  <c r="L30" i="12" a="1"/>
  <c r="L30" i="12" s="1"/>
  <c r="U51" i="5"/>
  <c r="AN51" i="5" s="1" a="1"/>
  <c r="AN51" i="5" s="1"/>
  <c r="L50" i="12" a="1"/>
  <c r="L50" i="12" s="1"/>
  <c r="J50" i="12" a="1"/>
  <c r="J50" i="12" s="1"/>
  <c r="L18" i="12" a="1"/>
  <c r="L18" i="12" s="1"/>
  <c r="J23" i="12" a="1"/>
  <c r="J23" i="12" s="1"/>
  <c r="J29" i="12" a="1"/>
  <c r="J29" i="12" s="1"/>
  <c r="J18" i="12" a="1"/>
  <c r="J18" i="12" s="1"/>
  <c r="L34" i="12" a="1"/>
  <c r="L34" i="12" s="1"/>
  <c r="J22" i="12" a="1"/>
  <c r="J22" i="12" s="1"/>
  <c r="L22" i="12" a="1"/>
  <c r="L22" i="12" s="1"/>
  <c r="J32" i="12" a="1"/>
  <c r="J32" i="12" s="1"/>
  <c r="L48" i="12" a="1"/>
  <c r="L48" i="12" s="1"/>
  <c r="L32" i="12" a="1"/>
  <c r="L32" i="12" s="1"/>
  <c r="J49" i="12" a="1"/>
  <c r="J49" i="12" s="1"/>
  <c r="L23" i="12" a="1"/>
  <c r="L23" i="12" s="1"/>
  <c r="L44" i="12" a="1"/>
  <c r="L44" i="12" s="1"/>
  <c r="L40" i="12" a="1"/>
  <c r="L40" i="12" s="1"/>
  <c r="L29" i="12" a="1"/>
  <c r="L29" i="12" s="1"/>
  <c r="J44" i="12" a="1"/>
  <c r="J44" i="12" s="1"/>
  <c r="L31" i="12" a="1"/>
  <c r="L31" i="12" s="1"/>
  <c r="J31" i="12" a="1"/>
  <c r="J31" i="12" s="1"/>
  <c r="L33" i="12" a="1"/>
  <c r="L33" i="12" s="1"/>
  <c r="J33" i="12" a="1"/>
  <c r="J33" i="12" s="1"/>
  <c r="J34" i="12" a="1"/>
  <c r="J34" i="12" s="1"/>
  <c r="J48" i="12" a="1"/>
  <c r="J48" i="12" s="1"/>
  <c r="L49" i="12" a="1"/>
  <c r="L49" i="12" s="1"/>
  <c r="J40" i="12" a="1"/>
  <c r="J40" i="12" s="1"/>
  <c r="B25" i="9"/>
  <c r="AO7" i="12" a="1"/>
  <c r="AO7" i="12" s="1"/>
  <c r="L14" i="12" a="1"/>
  <c r="L14" i="12" s="1"/>
  <c r="J14" i="12" a="1"/>
  <c r="J14" i="12" s="1"/>
  <c r="S12" i="9"/>
  <c r="T12" i="10"/>
  <c r="T11" i="10" s="1" a="1"/>
  <c r="T11" i="10" s="1"/>
  <c r="K43" i="12" l="1"/>
  <c r="K26" i="12"/>
  <c r="K20" i="12"/>
  <c r="K19" i="12"/>
  <c r="K25" i="12"/>
  <c r="K24" i="12"/>
  <c r="K42" i="12"/>
  <c r="K37" i="12"/>
  <c r="K38" i="12"/>
  <c r="M50" i="6"/>
  <c r="AQ48" i="6"/>
  <c r="AV48" i="6"/>
  <c r="BB48" i="6" a="1"/>
  <c r="BB48" i="6" s="1"/>
  <c r="AT48" i="6"/>
  <c r="BD48" i="6" a="1"/>
  <c r="BD48" i="6" s="1"/>
  <c r="AX48" i="6" a="1"/>
  <c r="AX48" i="6" s="1"/>
  <c r="AO48" i="6"/>
  <c r="BA48" i="6" a="1"/>
  <c r="BA48" i="6" s="1"/>
  <c r="AZ48" i="6" a="1"/>
  <c r="AZ48" i="6" s="1"/>
  <c r="BG48" i="6" a="1"/>
  <c r="BG48" i="6" s="1"/>
  <c r="BE48" i="6" a="1"/>
  <c r="BE48" i="6" s="1"/>
  <c r="M49" i="6"/>
  <c r="AR48" i="6"/>
  <c r="AN48" i="6"/>
  <c r="BF48" i="6" a="1"/>
  <c r="BF48" i="6" s="1"/>
  <c r="AM48" i="6"/>
  <c r="AP48" i="6"/>
  <c r="AS48" i="6"/>
  <c r="AU48" i="6"/>
  <c r="BC48" i="6" a="1"/>
  <c r="BC48" i="6" s="1"/>
  <c r="AY48" i="6" a="1"/>
  <c r="AY48" i="6" s="1"/>
  <c r="K41" i="12"/>
  <c r="K45" i="12"/>
  <c r="K30" i="12"/>
  <c r="K50" i="12"/>
  <c r="K32" i="12"/>
  <c r="K48" i="12"/>
  <c r="K23" i="12"/>
  <c r="K18" i="12"/>
  <c r="K44" i="12"/>
  <c r="K34" i="12"/>
  <c r="K33" i="12"/>
  <c r="B26" i="9"/>
  <c r="K49" i="12"/>
  <c r="A51" i="6"/>
  <c r="K22" i="12"/>
  <c r="K31" i="12"/>
  <c r="K29" i="12"/>
  <c r="K40" i="12"/>
  <c r="T12" i="9"/>
  <c r="K14" i="12"/>
  <c r="U12" i="10"/>
  <c r="U11" i="10" s="1" a="1"/>
  <c r="U11" i="10" s="1"/>
  <c r="AO49" i="6" l="1"/>
  <c r="AT49" i="6"/>
  <c r="AY49" i="6" a="1"/>
  <c r="AY49" i="6" s="1"/>
  <c r="AX49" i="6" a="1"/>
  <c r="AX49" i="6" s="1"/>
  <c r="AS49" i="6"/>
  <c r="BG49" i="6" a="1"/>
  <c r="BG49" i="6" s="1"/>
  <c r="BC49" i="6" a="1"/>
  <c r="BC49" i="6" s="1"/>
  <c r="AV49" i="6"/>
  <c r="AN49" i="6"/>
  <c r="BF49" i="6" a="1"/>
  <c r="BF49" i="6" s="1"/>
  <c r="BA49" i="6" a="1"/>
  <c r="BA49" i="6" s="1"/>
  <c r="AP49" i="6"/>
  <c r="AZ49" i="6" a="1"/>
  <c r="AZ49" i="6" s="1"/>
  <c r="BB49" i="6" a="1"/>
  <c r="BB49" i="6" s="1"/>
  <c r="AQ49" i="6"/>
  <c r="BD49" i="6" a="1"/>
  <c r="BD49" i="6" s="1"/>
  <c r="AM49" i="6"/>
  <c r="BE49" i="6" a="1"/>
  <c r="BE49" i="6" s="1"/>
  <c r="AR49" i="6"/>
  <c r="AU49" i="6"/>
  <c r="AK50" i="6"/>
  <c r="AP50" i="6"/>
  <c r="AU50" i="6"/>
  <c r="AS50" i="6"/>
  <c r="AG50" i="6"/>
  <c r="BB50" i="6" a="1"/>
  <c r="BB50" i="6" s="1"/>
  <c r="AN50" i="6"/>
  <c r="BD50" i="6" a="1"/>
  <c r="BD50" i="6" s="1"/>
  <c r="AX50" i="6" a="1"/>
  <c r="AX50" i="6" s="1"/>
  <c r="AH50" i="6"/>
  <c r="AE50" i="6"/>
  <c r="BG50" i="6" a="1"/>
  <c r="BG50" i="6" s="1"/>
  <c r="AY50" i="6" a="1"/>
  <c r="AY50" i="6" s="1"/>
  <c r="BA50" i="6" a="1"/>
  <c r="BA50" i="6" s="1"/>
  <c r="AI50" i="6"/>
  <c r="AT50" i="6"/>
  <c r="BF50" i="6" a="1"/>
  <c r="BF50" i="6" s="1"/>
  <c r="AB50" i="6"/>
  <c r="AJ50" i="6"/>
  <c r="AO50" i="6"/>
  <c r="AZ50" i="6" a="1"/>
  <c r="AZ50" i="6" s="1"/>
  <c r="AC50" i="6"/>
  <c r="AR50" i="6"/>
  <c r="BC50" i="6" a="1"/>
  <c r="BC50" i="6" s="1"/>
  <c r="AQ50" i="6"/>
  <c r="AD50" i="6"/>
  <c r="AM50" i="6"/>
  <c r="AV50" i="6"/>
  <c r="BE50" i="6" a="1"/>
  <c r="BE50" i="6" s="1"/>
  <c r="AF50" i="6"/>
  <c r="B27" i="9"/>
  <c r="N51" i="6"/>
  <c r="M51" i="6"/>
  <c r="U12" i="9"/>
  <c r="V12" i="10"/>
  <c r="V11" i="10" s="1" a="1"/>
  <c r="V11" i="10" s="1"/>
  <c r="AP51" i="6" l="1"/>
  <c r="BC51" i="6" a="1"/>
  <c r="BC51" i="6" s="1"/>
  <c r="AV51" i="6"/>
  <c r="AU51" i="6"/>
  <c r="BG51" i="6" a="1"/>
  <c r="BG51" i="6" s="1"/>
  <c r="BF51" i="6" a="1"/>
  <c r="BF51" i="6" s="1"/>
  <c r="AN51" i="6"/>
  <c r="AZ51" i="6" a="1"/>
  <c r="AZ51" i="6" s="1"/>
  <c r="AT51" i="6"/>
  <c r="AO51" i="6"/>
  <c r="BE51" i="6" a="1"/>
  <c r="BE51" i="6" s="1"/>
  <c r="AR51" i="6"/>
  <c r="BB51" i="6" a="1"/>
  <c r="BB51" i="6" s="1"/>
  <c r="AS51" i="6"/>
  <c r="BA51" i="6" a="1"/>
  <c r="BA51" i="6" s="1"/>
  <c r="AY51" i="6" a="1"/>
  <c r="AY51" i="6" s="1"/>
  <c r="AQ51" i="6"/>
  <c r="AM51" i="6"/>
  <c r="BD51" i="6" a="1"/>
  <c r="BD51" i="6" s="1"/>
  <c r="AX51" i="6" a="1"/>
  <c r="AX51" i="6" s="1"/>
  <c r="B28" i="9"/>
  <c r="V12" i="9"/>
  <c r="W12" i="10"/>
  <c r="W11" i="10" s="1" a="1"/>
  <c r="W11" i="10" s="1"/>
  <c r="B29" i="9" l="1"/>
  <c r="W12" i="9"/>
  <c r="X12" i="10"/>
  <c r="X11" i="10" s="1" a="1"/>
  <c r="X11" i="10" s="1"/>
  <c r="E52" i="12" l="1"/>
  <c r="B30" i="9"/>
  <c r="X12" i="9"/>
  <c r="Y12" i="10"/>
  <c r="Y11" i="10" s="1" a="1"/>
  <c r="Y11" i="10" s="1"/>
  <c r="L52" i="6" l="1"/>
  <c r="B31" i="9"/>
  <c r="Y12" i="9"/>
  <c r="Z12" i="10"/>
  <c r="Z11" i="10" s="1" a="1"/>
  <c r="Z11" i="10" s="1"/>
  <c r="F52" i="6" l="1"/>
  <c r="B32" i="9"/>
  <c r="Z12" i="9"/>
  <c r="AA12" i="10"/>
  <c r="AA11" i="10" s="1" a="1"/>
  <c r="AA11" i="10" s="1"/>
  <c r="C52" i="5" l="1"/>
  <c r="B33" i="9"/>
  <c r="AA12" i="9"/>
  <c r="AB12" i="10"/>
  <c r="AB11" i="10" s="1" a="1"/>
  <c r="AB11" i="10" s="1"/>
  <c r="F52" i="5" l="1"/>
  <c r="AE52" i="5" a="1"/>
  <c r="AE52" i="5" s="1"/>
  <c r="AF52" i="5" a="1"/>
  <c r="AF52" i="5" s="1"/>
  <c r="W52" i="5" a="1"/>
  <c r="W52" i="5" s="1"/>
  <c r="H52" i="12" s="1" a="1"/>
  <c r="H52" i="12" s="1"/>
  <c r="H52" i="5"/>
  <c r="B52" i="5"/>
  <c r="E52" i="5"/>
  <c r="B52" i="6"/>
  <c r="N52" i="5"/>
  <c r="D52" i="6" s="1"/>
  <c r="G52" i="6" s="1"/>
  <c r="G52" i="5"/>
  <c r="AD52" i="5"/>
  <c r="A52" i="12"/>
  <c r="B34" i="9"/>
  <c r="AB12" i="9"/>
  <c r="AC12" i="10"/>
  <c r="AC11" i="10" s="1" a="1"/>
  <c r="AC11" i="10" s="1"/>
  <c r="S52" i="5" l="1" a="1"/>
  <c r="S52" i="5" s="1"/>
  <c r="F52" i="12" s="1" a="1"/>
  <c r="F52" i="12" s="1"/>
  <c r="AG52" i="5" a="1"/>
  <c r="AG52" i="5" s="1"/>
  <c r="U52" i="5" s="1"/>
  <c r="AN52" i="5" s="1" a="1"/>
  <c r="AN52" i="5" s="1"/>
  <c r="C53" i="5"/>
  <c r="L53" i="6"/>
  <c r="A52" i="6"/>
  <c r="B35" i="9"/>
  <c r="AC12" i="9"/>
  <c r="AD12" i="10"/>
  <c r="AD11" i="10" s="1" a="1"/>
  <c r="AD11" i="10" s="1"/>
  <c r="B53" i="6" l="1"/>
  <c r="F53" i="5"/>
  <c r="D53" i="5"/>
  <c r="B53" i="12" s="1"/>
  <c r="B53" i="5"/>
  <c r="A53" i="12"/>
  <c r="K53" i="5"/>
  <c r="E53" i="5"/>
  <c r="J53" i="5"/>
  <c r="H53" i="5"/>
  <c r="AE53" i="5" a="1"/>
  <c r="AE53" i="5" s="1"/>
  <c r="G53" i="5"/>
  <c r="AD53" i="5"/>
  <c r="N53" i="5"/>
  <c r="D53" i="6" s="1"/>
  <c r="B36" i="9"/>
  <c r="M52" i="6"/>
  <c r="N52" i="6"/>
  <c r="AD12" i="9"/>
  <c r="AE12" i="10"/>
  <c r="AE11" i="10" s="1" a="1"/>
  <c r="AE11" i="10" s="1"/>
  <c r="L53" i="12" l="1" a="1"/>
  <c r="L53" i="12" s="1"/>
  <c r="J53" i="12" a="1"/>
  <c r="J53" i="12" s="1"/>
  <c r="B37" i="9"/>
  <c r="BD52" i="6" a="1"/>
  <c r="BD52" i="6" s="1"/>
  <c r="AS52" i="6"/>
  <c r="BA52" i="6" a="1"/>
  <c r="BA52" i="6" s="1"/>
  <c r="AR52" i="6"/>
  <c r="AX52" i="6" a="1"/>
  <c r="AX52" i="6" s="1"/>
  <c r="AT52" i="6"/>
  <c r="AV52" i="6"/>
  <c r="BF52" i="6" a="1"/>
  <c r="BF52" i="6" s="1"/>
  <c r="AQ52" i="6"/>
  <c r="AZ52" i="6" a="1"/>
  <c r="AZ52" i="6" s="1"/>
  <c r="AP52" i="6"/>
  <c r="BC52" i="6" a="1"/>
  <c r="BC52" i="6" s="1"/>
  <c r="AO52" i="6"/>
  <c r="AU52" i="6"/>
  <c r="BG52" i="6" a="1"/>
  <c r="BG52" i="6" s="1"/>
  <c r="AN52" i="6"/>
  <c r="BE52" i="6" a="1"/>
  <c r="BE52" i="6" s="1"/>
  <c r="AY52" i="6" a="1"/>
  <c r="AY52" i="6" s="1"/>
  <c r="BB52" i="6" a="1"/>
  <c r="BB52" i="6" s="1"/>
  <c r="AM52" i="6"/>
  <c r="AE12" i="9"/>
  <c r="AF12" i="10"/>
  <c r="AF11" i="10" s="1" a="1"/>
  <c r="AF11" i="10" s="1"/>
  <c r="K53" i="12" l="1"/>
  <c r="B38" i="9"/>
  <c r="M1" i="6"/>
  <c r="J26" i="6" l="1" a="1"/>
  <c r="J26" i="6" s="1"/>
  <c r="J43" i="6" a="1"/>
  <c r="J43" i="6" s="1"/>
  <c r="J19" i="6" a="1"/>
  <c r="J19" i="6" s="1"/>
  <c r="J20" i="6" a="1"/>
  <c r="J20" i="6" s="1"/>
  <c r="J25" i="6" a="1"/>
  <c r="J25" i="6" s="1"/>
  <c r="J42" i="6" a="1"/>
  <c r="J42" i="6" s="1"/>
  <c r="J24" i="6" a="1"/>
  <c r="J24" i="6" s="1"/>
  <c r="J36" i="6" a="1"/>
  <c r="J36" i="6" s="1"/>
  <c r="J37" i="6" a="1"/>
  <c r="J37" i="6" s="1"/>
  <c r="J38" i="6" a="1"/>
  <c r="J38" i="6" s="1"/>
  <c r="J41" i="6" a="1"/>
  <c r="J41" i="6" s="1"/>
  <c r="J30" i="6" a="1"/>
  <c r="J30" i="6" s="1"/>
  <c r="J45" i="6" a="1"/>
  <c r="J45" i="6" s="1"/>
  <c r="J50" i="6" a="1"/>
  <c r="J50" i="6" s="1"/>
  <c r="A53" i="6"/>
  <c r="B39" i="9"/>
  <c r="J16" i="6" a="1"/>
  <c r="J16" i="6" s="1"/>
  <c r="J17" i="6" a="1"/>
  <c r="J17" i="6" s="1"/>
  <c r="J18" i="6" a="1"/>
  <c r="J18" i="6" s="1"/>
  <c r="J21" i="6" a="1"/>
  <c r="J21" i="6" s="1"/>
  <c r="J22" i="6" a="1"/>
  <c r="J22" i="6" s="1"/>
  <c r="J23" i="6" a="1"/>
  <c r="J23" i="6" s="1"/>
  <c r="J27" i="6" a="1"/>
  <c r="J27" i="6" s="1"/>
  <c r="J28" i="6" a="1"/>
  <c r="J28" i="6" s="1"/>
  <c r="H29" i="6" a="1"/>
  <c r="H29" i="6" s="1"/>
  <c r="H28" i="6" a="1"/>
  <c r="H28" i="6" s="1"/>
  <c r="H22" i="6" a="1"/>
  <c r="H22" i="6" s="1"/>
  <c r="H27" i="6" a="1"/>
  <c r="H27" i="6" s="1"/>
  <c r="H18" i="6" a="1"/>
  <c r="H18" i="6" s="1"/>
  <c r="H23" i="6" a="1"/>
  <c r="H23" i="6" s="1"/>
  <c r="J29" i="6" a="1"/>
  <c r="J29" i="6" s="1"/>
  <c r="H21" i="6" a="1"/>
  <c r="H21" i="6" s="1"/>
  <c r="J31" i="6" a="1"/>
  <c r="J31" i="6" s="1"/>
  <c r="H31" i="6" a="1"/>
  <c r="H31" i="6" s="1"/>
  <c r="J32" i="6" a="1"/>
  <c r="J32" i="6" s="1"/>
  <c r="H32" i="6" a="1"/>
  <c r="H32" i="6" s="1"/>
  <c r="J33" i="6" a="1"/>
  <c r="J33" i="6" s="1"/>
  <c r="H33" i="6" a="1"/>
  <c r="H33" i="6" s="1"/>
  <c r="J34" i="6" a="1"/>
  <c r="J34" i="6" s="1"/>
  <c r="H34" i="6" a="1"/>
  <c r="H34" i="6" s="1"/>
  <c r="J35" i="6" a="1"/>
  <c r="J35" i="6" s="1"/>
  <c r="H35" i="6" a="1"/>
  <c r="H35" i="6" s="1"/>
  <c r="J39" i="6" a="1"/>
  <c r="J39" i="6" s="1"/>
  <c r="J40" i="6" a="1"/>
  <c r="J40" i="6" s="1"/>
  <c r="H40" i="6" a="1"/>
  <c r="H40" i="6" s="1"/>
  <c r="H39" i="6" a="1"/>
  <c r="H39" i="6" s="1"/>
  <c r="J44" i="6" a="1"/>
  <c r="J44" i="6" s="1"/>
  <c r="H44" i="6" a="1"/>
  <c r="H44" i="6" s="1"/>
  <c r="J46" i="6" a="1"/>
  <c r="J46" i="6" s="1"/>
  <c r="H47" i="6" a="1"/>
  <c r="H47" i="6" s="1"/>
  <c r="H46" i="6" a="1"/>
  <c r="H46" i="6" s="1"/>
  <c r="J47" i="6" a="1"/>
  <c r="J47" i="6" s="1"/>
  <c r="J48" i="6" a="1"/>
  <c r="J48" i="6" s="1"/>
  <c r="H48" i="6" a="1"/>
  <c r="H48" i="6" s="1"/>
  <c r="J49" i="6" a="1"/>
  <c r="J49" i="6" s="1"/>
  <c r="H49" i="6" a="1"/>
  <c r="H49" i="6" s="1"/>
  <c r="J51" i="6" a="1"/>
  <c r="J51" i="6" s="1"/>
  <c r="H51" i="6" a="1"/>
  <c r="H51" i="6" s="1"/>
  <c r="J52" i="6" a="1"/>
  <c r="J52" i="6" s="1"/>
  <c r="H52" i="6" a="1"/>
  <c r="H52" i="6" s="1"/>
  <c r="J53" i="6" a="1"/>
  <c r="J53" i="6" s="1"/>
  <c r="H53" i="6" a="1"/>
  <c r="H5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B40" i="9" l="1"/>
  <c r="M53" i="6"/>
  <c r="AG53" i="6" s="1"/>
  <c r="N53" i="6"/>
  <c r="T53" i="5"/>
  <c r="T51" i="5"/>
  <c r="AC51" i="6"/>
  <c r="AF51" i="6"/>
  <c r="AH51" i="6"/>
  <c r="AE51" i="6"/>
  <c r="AI51" i="6"/>
  <c r="AG51" i="6"/>
  <c r="AB51" i="6"/>
  <c r="AD51" i="6"/>
  <c r="AJ51" i="6"/>
  <c r="AK51" i="6"/>
  <c r="T48" i="5"/>
  <c r="AB48" i="6"/>
  <c r="AC48" i="6"/>
  <c r="AD48" i="6"/>
  <c r="AF48" i="6"/>
  <c r="AE48" i="6"/>
  <c r="AG48" i="6"/>
  <c r="AH48" i="6"/>
  <c r="AI48" i="6"/>
  <c r="AJ48" i="6"/>
  <c r="AK48" i="6"/>
  <c r="T32" i="5"/>
  <c r="AB32" i="6"/>
  <c r="AC32" i="6"/>
  <c r="AD32" i="6"/>
  <c r="AF32" i="6"/>
  <c r="AE32" i="6"/>
  <c r="AG32" i="6"/>
  <c r="AH32" i="6"/>
  <c r="AI32" i="6"/>
  <c r="AJ32" i="6"/>
  <c r="AK32" i="6"/>
  <c r="T27" i="5"/>
  <c r="AB27" i="6"/>
  <c r="AC27" i="6"/>
  <c r="AD27" i="6"/>
  <c r="AF27" i="6"/>
  <c r="AE27" i="6"/>
  <c r="AG27" i="6"/>
  <c r="AH27" i="6"/>
  <c r="AI27" i="6"/>
  <c r="AJ27" i="6"/>
  <c r="AK27" i="6"/>
  <c r="T22" i="5"/>
  <c r="AB22" i="6"/>
  <c r="AC22" i="6"/>
  <c r="AD22" i="6"/>
  <c r="AF22" i="6"/>
  <c r="AE22" i="6"/>
  <c r="AG22" i="6"/>
  <c r="AH22" i="6"/>
  <c r="AI22" i="6"/>
  <c r="AJ22" i="6"/>
  <c r="AK22" i="6"/>
  <c r="T49" i="5"/>
  <c r="AB49" i="6"/>
  <c r="AC49" i="6"/>
  <c r="AD49" i="6"/>
  <c r="AF49" i="6"/>
  <c r="AE49" i="6"/>
  <c r="AG49" i="6"/>
  <c r="AH49" i="6"/>
  <c r="AI49" i="6"/>
  <c r="AJ49" i="6"/>
  <c r="AK49" i="6"/>
  <c r="T35" i="5"/>
  <c r="AB35" i="6"/>
  <c r="AC35" i="6"/>
  <c r="AD35" i="6"/>
  <c r="AE35" i="6"/>
  <c r="AF35" i="6"/>
  <c r="AG35" i="6"/>
  <c r="AH35" i="6"/>
  <c r="AI35" i="6"/>
  <c r="AJ35" i="6"/>
  <c r="AK35" i="6"/>
  <c r="T31" i="5"/>
  <c r="AB31" i="6"/>
  <c r="AC31" i="6"/>
  <c r="AD31" i="6"/>
  <c r="AE31" i="6"/>
  <c r="AF31" i="6"/>
  <c r="AG31" i="6"/>
  <c r="AH31" i="6"/>
  <c r="AI31" i="6"/>
  <c r="AJ31" i="6"/>
  <c r="AK31" i="6"/>
  <c r="T28" i="5"/>
  <c r="AB28" i="6"/>
  <c r="AC28" i="6"/>
  <c r="AD28" i="6"/>
  <c r="AF28" i="6"/>
  <c r="AE28" i="6"/>
  <c r="AG28" i="6"/>
  <c r="AH28" i="6"/>
  <c r="AI28" i="6"/>
  <c r="AJ28" i="6"/>
  <c r="AK28" i="6"/>
  <c r="T46" i="5"/>
  <c r="AB46" i="6"/>
  <c r="AC46" i="6"/>
  <c r="AD46" i="6"/>
  <c r="AE46" i="6"/>
  <c r="AF46" i="6"/>
  <c r="AG46" i="6"/>
  <c r="AH46" i="6"/>
  <c r="AI46" i="6"/>
  <c r="AJ46" i="6"/>
  <c r="AK46" i="6"/>
  <c r="T29" i="5"/>
  <c r="AB29" i="6"/>
  <c r="AC29" i="6"/>
  <c r="AD29" i="6"/>
  <c r="AF29" i="6"/>
  <c r="AE29" i="6"/>
  <c r="AG29" i="6"/>
  <c r="AH29" i="6"/>
  <c r="AI29" i="6"/>
  <c r="AJ29" i="6"/>
  <c r="AK29" i="6"/>
  <c r="T23" i="5"/>
  <c r="AB23" i="6"/>
  <c r="AC23" i="6"/>
  <c r="AD23" i="6"/>
  <c r="AF23" i="6"/>
  <c r="AE23" i="6"/>
  <c r="AG23" i="6"/>
  <c r="AH23" i="6"/>
  <c r="AI23" i="6"/>
  <c r="AJ23" i="6"/>
  <c r="AK23" i="6"/>
  <c r="T34" i="5"/>
  <c r="AB34" i="6"/>
  <c r="AC34" i="6"/>
  <c r="AD34" i="6"/>
  <c r="AF34" i="6"/>
  <c r="AE34" i="6"/>
  <c r="AG34" i="6"/>
  <c r="AH34" i="6"/>
  <c r="AI34" i="6"/>
  <c r="AJ34" i="6"/>
  <c r="AK34" i="6"/>
  <c r="T39" i="5"/>
  <c r="AB39" i="6"/>
  <c r="AC39" i="6"/>
  <c r="AD39" i="6"/>
  <c r="AF39" i="6"/>
  <c r="AE39" i="6"/>
  <c r="AG39" i="6"/>
  <c r="AH39" i="6"/>
  <c r="AI39" i="6"/>
  <c r="AJ39" i="6"/>
  <c r="AK39" i="6"/>
  <c r="T40" i="5"/>
  <c r="AB40" i="6"/>
  <c r="AC40" i="6"/>
  <c r="AD40" i="6"/>
  <c r="AF40" i="6"/>
  <c r="AE40" i="6"/>
  <c r="AG40" i="6"/>
  <c r="AH40" i="6"/>
  <c r="AI40" i="6"/>
  <c r="AJ40" i="6"/>
  <c r="AK40" i="6"/>
  <c r="T18" i="5"/>
  <c r="AB18" i="6"/>
  <c r="AC18" i="6"/>
  <c r="AD18" i="6"/>
  <c r="AF18" i="6"/>
  <c r="AE18" i="6"/>
  <c r="AG18" i="6"/>
  <c r="AH18" i="6"/>
  <c r="AI18" i="6"/>
  <c r="AJ18" i="6"/>
  <c r="AK18" i="6"/>
  <c r="T52" i="5"/>
  <c r="AF52" i="6"/>
  <c r="AJ52" i="6"/>
  <c r="AI52" i="6"/>
  <c r="AE52" i="6"/>
  <c r="AB52" i="6"/>
  <c r="AD52" i="6"/>
  <c r="AH52" i="6"/>
  <c r="AC52" i="6"/>
  <c r="AG52" i="6"/>
  <c r="AK52" i="6"/>
  <c r="T47" i="5"/>
  <c r="AB47" i="6"/>
  <c r="AC47" i="6"/>
  <c r="AD47" i="6"/>
  <c r="AF47" i="6"/>
  <c r="AE47" i="6"/>
  <c r="AG47" i="6"/>
  <c r="AH47" i="6"/>
  <c r="AI47" i="6"/>
  <c r="AJ47" i="6"/>
  <c r="AK47" i="6"/>
  <c r="T21" i="5"/>
  <c r="AB21" i="6"/>
  <c r="AC21" i="6"/>
  <c r="AD21" i="6"/>
  <c r="AF21" i="6"/>
  <c r="AE21" i="6"/>
  <c r="AG21" i="6"/>
  <c r="AH21" i="6"/>
  <c r="AI21" i="6"/>
  <c r="AJ21" i="6"/>
  <c r="AK21" i="6"/>
  <c r="T44" i="5"/>
  <c r="AB44" i="6"/>
  <c r="AC44" i="6"/>
  <c r="AD44" i="6"/>
  <c r="AF44" i="6"/>
  <c r="AE44" i="6"/>
  <c r="AG44" i="6"/>
  <c r="AH44" i="6"/>
  <c r="AI44" i="6"/>
  <c r="AJ44" i="6"/>
  <c r="AK44" i="6"/>
  <c r="T33" i="5"/>
  <c r="AB33" i="6"/>
  <c r="AC33" i="6"/>
  <c r="AD33" i="6"/>
  <c r="AF33" i="6"/>
  <c r="AE33" i="6"/>
  <c r="AG33" i="6"/>
  <c r="AH33" i="6"/>
  <c r="AI33" i="6"/>
  <c r="AJ33" i="6"/>
  <c r="AK33" i="6"/>
  <c r="I10" i="7"/>
  <c r="K13" i="7"/>
  <c r="L13" i="7" s="1"/>
  <c r="J10" i="7"/>
  <c r="AI53" i="6" l="1"/>
  <c r="AJ53" i="6"/>
  <c r="AE53" i="6"/>
  <c r="AB53" i="6"/>
  <c r="AC53" i="6"/>
  <c r="AD53" i="6"/>
  <c r="AF53" i="6"/>
  <c r="G21" i="12" a="1"/>
  <c r="G21" i="12" s="1"/>
  <c r="G48" i="12" a="1"/>
  <c r="G48" i="12" s="1"/>
  <c r="B41" i="9"/>
  <c r="G32" i="12" a="1"/>
  <c r="G32" i="12" s="1"/>
  <c r="G22" i="12" a="1"/>
  <c r="G22" i="12" s="1"/>
  <c r="G27" i="12" a="1"/>
  <c r="G27" i="12" s="1"/>
  <c r="G23" i="12" a="1"/>
  <c r="G23" i="12" s="1"/>
  <c r="AK53" i="6"/>
  <c r="G51" i="12" a="1"/>
  <c r="G51" i="12" s="1"/>
  <c r="G53" i="12" a="1"/>
  <c r="G53" i="12" s="1"/>
  <c r="G34" i="12" a="1"/>
  <c r="G34" i="12" s="1"/>
  <c r="G35" i="12" a="1"/>
  <c r="G35" i="12" s="1"/>
  <c r="G49" i="12" a="1"/>
  <c r="G49" i="12" s="1"/>
  <c r="G31" i="12" a="1"/>
  <c r="G31" i="12" s="1"/>
  <c r="G44" i="12" a="1"/>
  <c r="G44" i="12" s="1"/>
  <c r="G33" i="12" a="1"/>
  <c r="G33" i="12" s="1"/>
  <c r="G52" i="12" a="1"/>
  <c r="G52" i="12" s="1"/>
  <c r="G18" i="12" a="1"/>
  <c r="G18" i="12" s="1"/>
  <c r="G46" i="12" a="1"/>
  <c r="G46" i="12" s="1"/>
  <c r="G28" i="12" a="1"/>
  <c r="G28" i="12" s="1"/>
  <c r="BB53" i="6" a="1"/>
  <c r="BB53" i="6" s="1"/>
  <c r="AM53" i="6"/>
  <c r="BD53" i="6" a="1"/>
  <c r="BD53" i="6" s="1"/>
  <c r="AS53" i="6"/>
  <c r="AX53" i="6" a="1"/>
  <c r="AX53" i="6" s="1"/>
  <c r="BC53" i="6" a="1"/>
  <c r="BC53" i="6" s="1"/>
  <c r="AO53" i="6"/>
  <c r="AP53" i="6"/>
  <c r="AU53" i="6"/>
  <c r="AQ53" i="6"/>
  <c r="AZ53" i="6" a="1"/>
  <c r="AZ53" i="6" s="1"/>
  <c r="AV53" i="6"/>
  <c r="BF53" i="6" a="1"/>
  <c r="BF53" i="6" s="1"/>
  <c r="BG53" i="6" a="1"/>
  <c r="BG53" i="6" s="1"/>
  <c r="AN53" i="6"/>
  <c r="AR53" i="6"/>
  <c r="AT53" i="6"/>
  <c r="BA53" i="6" a="1"/>
  <c r="BA53" i="6" s="1"/>
  <c r="BE53" i="6" a="1"/>
  <c r="BE53" i="6" s="1"/>
  <c r="AY53" i="6" a="1"/>
  <c r="AY53" i="6" s="1"/>
  <c r="G29" i="12" a="1"/>
  <c r="G29" i="12" s="1"/>
  <c r="G39" i="12" a="1"/>
  <c r="G39" i="12" s="1"/>
  <c r="G40" i="12" a="1"/>
  <c r="G40" i="12" s="1"/>
  <c r="G47" i="12" a="1"/>
  <c r="G47" i="12" s="1"/>
  <c r="AH53" i="6"/>
  <c r="M13" i="7"/>
  <c r="L10" i="7"/>
  <c r="B42" i="9" l="1"/>
  <c r="N13" i="7"/>
  <c r="M10" i="7"/>
  <c r="B43" i="9" l="1"/>
  <c r="O13" i="7"/>
  <c r="N10" i="7"/>
  <c r="B44" i="9" l="1"/>
  <c r="P13" i="7"/>
  <c r="O10" i="7"/>
  <c r="E54" i="12" l="1"/>
  <c r="B45" i="9"/>
  <c r="Q13" i="7"/>
  <c r="P10" i="7"/>
  <c r="B46" i="9" l="1"/>
  <c r="R13" i="7"/>
  <c r="Q10" i="7"/>
  <c r="B47" i="9" l="1"/>
  <c r="S13" i="7"/>
  <c r="R10" i="7"/>
  <c r="C54" i="5" l="1"/>
  <c r="L54" i="6"/>
  <c r="B48" i="9"/>
  <c r="T13" i="7"/>
  <c r="S10" i="7"/>
  <c r="F54" i="6" l="1"/>
  <c r="B54" i="6"/>
  <c r="J54" i="6" s="1" a="1"/>
  <c r="J54" i="6" s="1"/>
  <c r="AF54" i="5" a="1"/>
  <c r="AF54" i="5" s="1"/>
  <c r="W54" i="5" a="1"/>
  <c r="W54" i="5" s="1"/>
  <c r="H54" i="12" s="1" a="1"/>
  <c r="H54" i="12" s="1"/>
  <c r="B54" i="5"/>
  <c r="G54" i="5"/>
  <c r="AE54" i="5" a="1"/>
  <c r="AE54" i="5" s="1"/>
  <c r="H54" i="5"/>
  <c r="N54" i="5"/>
  <c r="D54" i="6" s="1"/>
  <c r="F54" i="5"/>
  <c r="A54" i="12"/>
  <c r="E54" i="5"/>
  <c r="AD54" i="5"/>
  <c r="B49" i="9"/>
  <c r="U13" i="7"/>
  <c r="T10" i="7"/>
  <c r="AG54" i="5" l="1" a="1"/>
  <c r="AG54" i="5" s="1"/>
  <c r="S54" i="5" a="1"/>
  <c r="S54" i="5" s="1"/>
  <c r="F54" i="12" s="1" a="1"/>
  <c r="F54" i="12" s="1"/>
  <c r="H54" i="6" a="1"/>
  <c r="H54" i="6" s="1"/>
  <c r="T54" i="5" s="1"/>
  <c r="G54" i="12" s="1" a="1"/>
  <c r="G54" i="12" s="1"/>
  <c r="G54" i="6"/>
  <c r="B50" i="9"/>
  <c r="V13" i="7"/>
  <c r="U10" i="7"/>
  <c r="K10" i="7"/>
  <c r="U54" i="5" l="1"/>
  <c r="AN54" i="5" s="1" a="1"/>
  <c r="AN54" i="5" s="1"/>
  <c r="B51" i="9"/>
  <c r="W13" i="7"/>
  <c r="V10" i="7"/>
  <c r="T14" i="5"/>
  <c r="G14" i="12" s="1" a="1"/>
  <c r="G14" i="12" s="1"/>
  <c r="A54" i="6" l="1"/>
  <c r="B52" i="9"/>
  <c r="X13" i="7"/>
  <c r="W10" i="7"/>
  <c r="N54" i="6" l="1"/>
  <c r="M54" i="6"/>
  <c r="B53" i="9"/>
  <c r="Y13" i="7"/>
  <c r="X10" i="7"/>
  <c r="A8" i="9"/>
  <c r="B7" i="9" a="1"/>
  <c r="B7" i="9" s="1"/>
  <c r="BF54" i="6" l="1" a="1"/>
  <c r="BF54" i="6" s="1"/>
  <c r="AQ54" i="6"/>
  <c r="BB54" i="6" a="1"/>
  <c r="BB54" i="6" s="1"/>
  <c r="AN54" i="6"/>
  <c r="AJ54" i="6"/>
  <c r="AP54" i="6"/>
  <c r="BG54" i="6" a="1"/>
  <c r="BG54" i="6" s="1"/>
  <c r="BE54" i="6" a="1"/>
  <c r="BE54" i="6" s="1"/>
  <c r="BD54" i="6" a="1"/>
  <c r="BD54" i="6" s="1"/>
  <c r="AO54" i="6"/>
  <c r="AX54" i="6" a="1"/>
  <c r="AX54" i="6" s="1"/>
  <c r="BC54" i="6" a="1"/>
  <c r="BC54" i="6" s="1"/>
  <c r="AU54" i="6"/>
  <c r="BA54" i="6" a="1"/>
  <c r="BA54" i="6" s="1"/>
  <c r="AM54" i="6"/>
  <c r="AV54" i="6"/>
  <c r="AZ54" i="6" a="1"/>
  <c r="AZ54" i="6" s="1"/>
  <c r="AG54" i="6"/>
  <c r="AT54" i="6"/>
  <c r="AR54" i="6"/>
  <c r="AY54" i="6" a="1"/>
  <c r="AY54" i="6" s="1"/>
  <c r="AC54" i="6"/>
  <c r="AS54" i="6"/>
  <c r="AD54" i="6"/>
  <c r="AI54" i="6"/>
  <c r="AE54" i="6"/>
  <c r="AF54" i="6"/>
  <c r="AK54" i="6"/>
  <c r="AH54" i="6"/>
  <c r="AB54" i="6"/>
  <c r="B54" i="9"/>
  <c r="Y10" i="7"/>
  <c r="D15" i="7"/>
  <c r="C16" i="7" s="1" a="1"/>
  <c r="C16" i="7" s="1"/>
  <c r="B15" i="10"/>
  <c r="B16" i="10" s="1"/>
  <c r="B55" i="9" l="1"/>
  <c r="B17" i="10"/>
  <c r="B16" i="7"/>
  <c r="C17" i="7" a="1"/>
  <c r="C17" i="7" s="1"/>
  <c r="A15" i="10"/>
  <c r="B15" i="7"/>
  <c r="C15" i="9"/>
  <c r="F15" i="9" s="1"/>
  <c r="C15" i="10"/>
  <c r="A15" i="7"/>
  <c r="I54" i="5" l="1"/>
  <c r="B56" i="9"/>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C55" i="5" l="1"/>
  <c r="L55" i="6"/>
  <c r="B21" i="7"/>
  <c r="C22" i="7" a="1"/>
  <c r="C22" i="7" s="1"/>
  <c r="B60" i="9"/>
  <c r="B22" i="10"/>
  <c r="A10" i="9"/>
  <c r="F15" i="7" a="1"/>
  <c r="F15" i="7" s="1"/>
  <c r="L56" i="6" l="1"/>
  <c r="C56" i="5"/>
  <c r="A55" i="12"/>
  <c r="N55" i="5"/>
  <c r="D55" i="6" s="1"/>
  <c r="H55" i="6" s="1" a="1"/>
  <c r="H55" i="6" s="1"/>
  <c r="T55" i="5" s="1"/>
  <c r="G55" i="12" s="1" a="1"/>
  <c r="G55" i="12" s="1"/>
  <c r="F55" i="5"/>
  <c r="J55" i="5"/>
  <c r="K55" i="5"/>
  <c r="AD55" i="5"/>
  <c r="E55" i="5"/>
  <c r="B55" i="5"/>
  <c r="D55" i="5"/>
  <c r="B55" i="12" s="1"/>
  <c r="G55" i="5"/>
  <c r="H55" i="5"/>
  <c r="AE55" i="5" a="1"/>
  <c r="AE55" i="5" s="1"/>
  <c r="B55" i="6"/>
  <c r="J55" i="6" s="1" a="1"/>
  <c r="J55" i="6" s="1"/>
  <c r="B23" i="10"/>
  <c r="B22" i="7"/>
  <c r="C23" i="7" a="1"/>
  <c r="C23" i="7" s="1"/>
  <c r="E58" i="12"/>
  <c r="B61" i="9"/>
  <c r="I15" i="7"/>
  <c r="J15" i="7"/>
  <c r="J1" i="7" a="1"/>
  <c r="J1" i="7" s="1"/>
  <c r="Q15" i="7"/>
  <c r="Q14" i="7" s="1"/>
  <c r="L1" i="7" a="1"/>
  <c r="L1" i="7" s="1"/>
  <c r="L15" i="7"/>
  <c r="K15" i="7"/>
  <c r="K1" i="7" a="1"/>
  <c r="K1" i="7" s="1"/>
  <c r="D56" i="5" l="1"/>
  <c r="B56" i="12" s="1"/>
  <c r="N56" i="5"/>
  <c r="K56" i="5"/>
  <c r="AD56" i="5"/>
  <c r="G56" i="5"/>
  <c r="F56" i="5"/>
  <c r="E56" i="5"/>
  <c r="J56" i="5"/>
  <c r="B56" i="5"/>
  <c r="A56" i="12"/>
  <c r="AE56" i="5" a="1"/>
  <c r="AE56" i="5" s="1"/>
  <c r="H56" i="5"/>
  <c r="C57" i="5"/>
  <c r="B56" i="6"/>
  <c r="L57" i="6"/>
  <c r="J55" i="12" a="1"/>
  <c r="J55" i="12" s="1"/>
  <c r="L55" i="12" a="1"/>
  <c r="L55" i="12" s="1"/>
  <c r="B23" i="7"/>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B57" i="6" l="1"/>
  <c r="J57" i="6" s="1" a="1"/>
  <c r="J57" i="6" s="1"/>
  <c r="B57" i="5"/>
  <c r="C58" i="5" s="1"/>
  <c r="E57" i="5"/>
  <c r="J56" i="6" a="1"/>
  <c r="J56" i="6" s="1"/>
  <c r="J56" i="12" a="1"/>
  <c r="J56" i="12" s="1"/>
  <c r="L56" i="12" a="1"/>
  <c r="L56" i="12" s="1"/>
  <c r="N57" i="5"/>
  <c r="D57" i="6" s="1"/>
  <c r="H57" i="6" s="1" a="1"/>
  <c r="H57" i="6" s="1"/>
  <c r="T57" i="5" s="1"/>
  <c r="D57" i="5"/>
  <c r="B57" i="12" s="1"/>
  <c r="J57" i="5"/>
  <c r="AE57" i="5" a="1"/>
  <c r="AE57" i="5" s="1"/>
  <c r="AD57" i="5"/>
  <c r="K57" i="5"/>
  <c r="A57" i="12"/>
  <c r="F57" i="5"/>
  <c r="D56" i="6"/>
  <c r="G57" i="5"/>
  <c r="H57" i="5"/>
  <c r="L58" i="6"/>
  <c r="K55" i="12"/>
  <c r="C25" i="7" a="1"/>
  <c r="C25" i="7" s="1"/>
  <c r="B24" i="7"/>
  <c r="B25" i="10"/>
  <c r="B63" i="9"/>
  <c r="H15" i="7"/>
  <c r="E15" i="7"/>
  <c r="K56" i="12" l="1"/>
  <c r="H56" i="6" a="1"/>
  <c r="H56" i="6" s="1"/>
  <c r="T56" i="5" s="1"/>
  <c r="L57" i="12" a="1"/>
  <c r="L57" i="12" s="1"/>
  <c r="J57" i="12" a="1"/>
  <c r="J57" i="12" s="1"/>
  <c r="G57" i="12" a="1"/>
  <c r="G57" i="12" s="1"/>
  <c r="F58" i="6"/>
  <c r="B58" i="6"/>
  <c r="J58" i="6" s="1" a="1"/>
  <c r="J58" i="6" s="1"/>
  <c r="AF58" i="5" a="1"/>
  <c r="AF58" i="5" s="1"/>
  <c r="AE58" i="5" a="1"/>
  <c r="AE58" i="5" s="1"/>
  <c r="H58" i="5"/>
  <c r="A58" i="12"/>
  <c r="G58" i="5"/>
  <c r="E58" i="5"/>
  <c r="N58" i="5"/>
  <c r="D58" i="6" s="1"/>
  <c r="B58" i="5"/>
  <c r="W58" i="5" a="1"/>
  <c r="W58" i="5" s="1"/>
  <c r="H58" i="12" s="1" a="1"/>
  <c r="H58" i="12" s="1"/>
  <c r="AD58" i="5"/>
  <c r="F58" i="5"/>
  <c r="A55" i="6"/>
  <c r="B25" i="7"/>
  <c r="C26" i="7" a="1"/>
  <c r="C26" i="7" s="1"/>
  <c r="B26" i="10"/>
  <c r="B64" i="9"/>
  <c r="D8" i="9"/>
  <c r="G56" i="12" l="1" a="1"/>
  <c r="G56" i="12" s="1"/>
  <c r="K57" i="12"/>
  <c r="A56" i="6"/>
  <c r="A57" i="6" s="1"/>
  <c r="N57" i="6" s="1"/>
  <c r="S58" i="5" a="1"/>
  <c r="S58" i="5" s="1"/>
  <c r="F58" i="12" s="1" a="1"/>
  <c r="F58" i="12" s="1"/>
  <c r="AG58" i="5" a="1"/>
  <c r="AG58" i="5" s="1"/>
  <c r="H58" i="6" a="1"/>
  <c r="H58" i="6" s="1"/>
  <c r="T58" i="5" s="1"/>
  <c r="G58" i="12" s="1" a="1"/>
  <c r="G58" i="12" s="1"/>
  <c r="G58" i="6"/>
  <c r="L59" i="6"/>
  <c r="L60" i="6" s="1"/>
  <c r="L61" i="6" s="1"/>
  <c r="C59" i="5"/>
  <c r="C60" i="5" s="1"/>
  <c r="C61" i="5" s="1"/>
  <c r="B26" i="7"/>
  <c r="C27" i="7" a="1"/>
  <c r="C27" i="7" s="1"/>
  <c r="N55" i="6"/>
  <c r="M55" i="6"/>
  <c r="B27" i="10"/>
  <c r="B61" i="6" l="1"/>
  <c r="A61" i="12"/>
  <c r="AE61" i="5" a="1"/>
  <c r="AE61" i="5" s="1"/>
  <c r="AD61" i="5"/>
  <c r="N61" i="5"/>
  <c r="D61" i="5"/>
  <c r="B61" i="12" s="1"/>
  <c r="K61" i="5"/>
  <c r="J61" i="5"/>
  <c r="M57" i="6"/>
  <c r="BD57" i="6" s="1" a="1"/>
  <c r="BD57" i="6" s="1"/>
  <c r="M56" i="6"/>
  <c r="N56" i="6"/>
  <c r="D60" i="5"/>
  <c r="B60" i="12" s="1"/>
  <c r="K60" i="5"/>
  <c r="J60" i="5"/>
  <c r="A60" i="12"/>
  <c r="AE60" i="5" a="1"/>
  <c r="AE60" i="5" s="1"/>
  <c r="AD60" i="5"/>
  <c r="N60" i="5"/>
  <c r="D60" i="6" s="1"/>
  <c r="B60" i="6"/>
  <c r="U58" i="5"/>
  <c r="AN58" i="5" s="1" a="1"/>
  <c r="AN58" i="5" s="1"/>
  <c r="B59" i="6"/>
  <c r="J59" i="6" s="1" a="1"/>
  <c r="J59" i="6" s="1"/>
  <c r="L62" i="6"/>
  <c r="L63" i="6" s="1"/>
  <c r="F59" i="5"/>
  <c r="F60" i="5" s="1"/>
  <c r="F61" i="5" s="1"/>
  <c r="K59" i="5"/>
  <c r="H59" i="5"/>
  <c r="H60" i="5" s="1"/>
  <c r="H61" i="5" s="1"/>
  <c r="AE59" i="5" a="1"/>
  <c r="AE59" i="5" s="1"/>
  <c r="C62" i="5"/>
  <c r="C63" i="5" s="1"/>
  <c r="N59" i="5"/>
  <c r="D59" i="6" s="1"/>
  <c r="H59" i="6" s="1" a="1"/>
  <c r="H59" i="6" s="1"/>
  <c r="T59" i="5" s="1"/>
  <c r="G59" i="12" s="1" a="1"/>
  <c r="G59" i="12" s="1"/>
  <c r="D59" i="5"/>
  <c r="B59" i="12" s="1"/>
  <c r="A59" i="12"/>
  <c r="J59" i="5"/>
  <c r="B59" i="5"/>
  <c r="B60" i="5" s="1"/>
  <c r="B61" i="5" s="1"/>
  <c r="G59" i="5"/>
  <c r="G60" i="5" s="1"/>
  <c r="G61" i="5" s="1"/>
  <c r="AD59" i="5"/>
  <c r="E59" i="5"/>
  <c r="E60" i="5" s="1"/>
  <c r="E61" i="5" s="1"/>
  <c r="AR55" i="6"/>
  <c r="BF55" i="6" a="1"/>
  <c r="BF55" i="6" s="1"/>
  <c r="BG55" i="6" a="1"/>
  <c r="BG55" i="6" s="1"/>
  <c r="AT55" i="6"/>
  <c r="BB55" i="6" a="1"/>
  <c r="BB55" i="6" s="1"/>
  <c r="AS55" i="6"/>
  <c r="BA55" i="6" a="1"/>
  <c r="BA55" i="6" s="1"/>
  <c r="AZ55" i="6" a="1"/>
  <c r="AZ55" i="6" s="1"/>
  <c r="AP55" i="6"/>
  <c r="BD55" i="6" a="1"/>
  <c r="BD55" i="6" s="1"/>
  <c r="AX55" i="6" a="1"/>
  <c r="AX55" i="6" s="1"/>
  <c r="AV55" i="6"/>
  <c r="AN55" i="6"/>
  <c r="AM55" i="6"/>
  <c r="AY55" i="6" a="1"/>
  <c r="AY55" i="6" s="1"/>
  <c r="AO55" i="6"/>
  <c r="BC55" i="6" a="1"/>
  <c r="BC55" i="6" s="1"/>
  <c r="AU55" i="6"/>
  <c r="AQ55" i="6"/>
  <c r="BE55" i="6" a="1"/>
  <c r="BE55" i="6" s="1"/>
  <c r="AH55" i="6"/>
  <c r="AD55" i="6"/>
  <c r="AB55" i="6"/>
  <c r="AG55" i="6"/>
  <c r="AI55" i="6"/>
  <c r="AJ55" i="6"/>
  <c r="AK55" i="6"/>
  <c r="AF55" i="6"/>
  <c r="AE55" i="6"/>
  <c r="AC55" i="6"/>
  <c r="B28" i="10"/>
  <c r="B27" i="7"/>
  <c r="C28" i="7" a="1"/>
  <c r="C28" i="7" s="1"/>
  <c r="L61" i="12" l="1" a="1"/>
  <c r="L61" i="12" s="1"/>
  <c r="J61" i="12" a="1"/>
  <c r="J61" i="12" s="1"/>
  <c r="J61" i="6" a="1"/>
  <c r="J61" i="6" s="1"/>
  <c r="D61" i="6"/>
  <c r="AF57" i="6"/>
  <c r="AD57" i="6"/>
  <c r="AN57" i="6"/>
  <c r="AO57" i="6"/>
  <c r="AQ57" i="6"/>
  <c r="AP57" i="6"/>
  <c r="AX57" i="6" a="1"/>
  <c r="AX57" i="6" s="1"/>
  <c r="BA57" i="6" a="1"/>
  <c r="BA57" i="6" s="1"/>
  <c r="AE57" i="6"/>
  <c r="AJ57" i="6"/>
  <c r="BB57" i="6" a="1"/>
  <c r="BB57" i="6" s="1"/>
  <c r="AG57" i="6"/>
  <c r="BC57" i="6" a="1"/>
  <c r="BC57" i="6" s="1"/>
  <c r="AC57" i="6"/>
  <c r="AM57" i="6"/>
  <c r="AR57" i="6"/>
  <c r="BG57" i="6" a="1"/>
  <c r="BG57" i="6" s="1"/>
  <c r="AS57" i="6"/>
  <c r="AH57" i="6"/>
  <c r="AV57" i="6"/>
  <c r="BF57" i="6" a="1"/>
  <c r="BF57" i="6" s="1"/>
  <c r="AI57" i="6"/>
  <c r="AB57" i="6"/>
  <c r="AY57" i="6" a="1"/>
  <c r="AY57" i="6" s="1"/>
  <c r="AZ57" i="6" a="1"/>
  <c r="AZ57" i="6" s="1"/>
  <c r="AK57" i="6"/>
  <c r="BE57" i="6" a="1"/>
  <c r="BE57" i="6" s="1"/>
  <c r="AT57" i="6"/>
  <c r="AU57" i="6"/>
  <c r="BF56" i="6" a="1"/>
  <c r="BF56" i="6" s="1"/>
  <c r="AN56" i="6"/>
  <c r="AT56" i="6"/>
  <c r="AJ56" i="6"/>
  <c r="AQ56" i="6"/>
  <c r="BB56" i="6" a="1"/>
  <c r="BB56" i="6" s="1"/>
  <c r="AY56" i="6" a="1"/>
  <c r="AY56" i="6" s="1"/>
  <c r="AS56" i="6"/>
  <c r="AG56" i="6"/>
  <c r="AM56" i="6"/>
  <c r="AX56" i="6" a="1"/>
  <c r="AX56" i="6" s="1"/>
  <c r="AZ56" i="6" a="1"/>
  <c r="AZ56" i="6" s="1"/>
  <c r="AP56" i="6"/>
  <c r="BC56" i="6" a="1"/>
  <c r="BC56" i="6" s="1"/>
  <c r="AD56" i="6"/>
  <c r="AB56" i="6"/>
  <c r="AO56" i="6"/>
  <c r="AR56" i="6"/>
  <c r="BE56" i="6" a="1"/>
  <c r="BE56" i="6" s="1"/>
  <c r="BG56" i="6" a="1"/>
  <c r="BG56" i="6" s="1"/>
  <c r="AV56" i="6"/>
  <c r="BA56" i="6" a="1"/>
  <c r="BA56" i="6" s="1"/>
  <c r="BD56" i="6" a="1"/>
  <c r="BD56" i="6" s="1"/>
  <c r="AU56" i="6"/>
  <c r="AI56" i="6"/>
  <c r="AF56" i="6"/>
  <c r="AK56" i="6"/>
  <c r="AE56" i="6"/>
  <c r="AH56" i="6"/>
  <c r="AC56" i="6"/>
  <c r="J60" i="6" a="1"/>
  <c r="J60" i="6" s="1"/>
  <c r="J60" i="12" a="1"/>
  <c r="J60" i="12" s="1"/>
  <c r="L60" i="12" a="1"/>
  <c r="L60" i="12" s="1"/>
  <c r="H60" i="6" a="1"/>
  <c r="H60" i="6" s="1"/>
  <c r="T60" i="5" s="1"/>
  <c r="AE63" i="5" a="1"/>
  <c r="AE63" i="5" s="1"/>
  <c r="N63" i="5"/>
  <c r="D63" i="6" s="1"/>
  <c r="A63" i="12"/>
  <c r="AD63" i="5"/>
  <c r="J63" i="5"/>
  <c r="D63" i="5"/>
  <c r="B63" i="12" s="1"/>
  <c r="K63" i="5"/>
  <c r="B63" i="6"/>
  <c r="J59" i="12" a="1"/>
  <c r="J59" i="12" s="1"/>
  <c r="L59" i="12" a="1"/>
  <c r="L59" i="12" s="1"/>
  <c r="B62" i="6"/>
  <c r="J62" i="6" s="1" a="1"/>
  <c r="J62" i="6" s="1"/>
  <c r="G62" i="5"/>
  <c r="G63" i="5" s="1"/>
  <c r="E62" i="5"/>
  <c r="E63" i="5" s="1"/>
  <c r="N62" i="5"/>
  <c r="D62" i="6" s="1"/>
  <c r="H62" i="6" s="1" a="1"/>
  <c r="H62" i="6" s="1"/>
  <c r="T62" i="5" s="1"/>
  <c r="G62" i="12" s="1" a="1"/>
  <c r="G62" i="12" s="1"/>
  <c r="B62" i="5"/>
  <c r="B63" i="5" s="1"/>
  <c r="K62" i="5"/>
  <c r="F62" i="5"/>
  <c r="F63" i="5" s="1"/>
  <c r="A62" i="12"/>
  <c r="J62" i="5"/>
  <c r="AE62" i="5" a="1"/>
  <c r="AE62" i="5" s="1"/>
  <c r="AD62" i="5"/>
  <c r="H62" i="5"/>
  <c r="H63" i="5" s="1"/>
  <c r="D62" i="5"/>
  <c r="B62" i="12" s="1"/>
  <c r="B29" i="10"/>
  <c r="C29" i="7" a="1"/>
  <c r="C29" i="7" s="1"/>
  <c r="B28" i="7"/>
  <c r="A58" i="6"/>
  <c r="K61" i="12" l="1"/>
  <c r="H61" i="6" a="1"/>
  <c r="H61" i="6" s="1"/>
  <c r="T61" i="5" s="1"/>
  <c r="K60" i="12"/>
  <c r="G60" i="12" a="1"/>
  <c r="G60" i="12" s="1"/>
  <c r="J63" i="12" a="1"/>
  <c r="J63" i="12" s="1"/>
  <c r="L63" i="12" a="1"/>
  <c r="L63" i="12" s="1"/>
  <c r="H63" i="6" a="1"/>
  <c r="H63" i="6" s="1"/>
  <c r="T63" i="5" s="1"/>
  <c r="J63" i="6" a="1"/>
  <c r="J63" i="6" s="1"/>
  <c r="K59" i="12"/>
  <c r="J62" i="12" a="1"/>
  <c r="J62" i="12" s="1"/>
  <c r="L62" i="12" a="1"/>
  <c r="L62" i="12" s="1"/>
  <c r="N58" i="6"/>
  <c r="M58" i="6"/>
  <c r="B30" i="10"/>
  <c r="C30" i="7" a="1"/>
  <c r="C30" i="7" s="1"/>
  <c r="B29" i="7"/>
  <c r="O15" i="12" a="1"/>
  <c r="O15" i="12" s="1"/>
  <c r="M15" i="12" a="1"/>
  <c r="M15" i="12" s="1"/>
  <c r="J14" i="6" a="1"/>
  <c r="J14" i="6" s="1"/>
  <c r="G61" i="12" l="1" a="1"/>
  <c r="G61" i="12" s="1"/>
  <c r="K63" i="12"/>
  <c r="G63" i="12" a="1"/>
  <c r="G63" i="12" s="1"/>
  <c r="K62" i="12"/>
  <c r="B31" i="10"/>
  <c r="A59" i="6"/>
  <c r="A60" i="6" s="1"/>
  <c r="A61" i="6" s="1"/>
  <c r="BB58" i="6" a="1"/>
  <c r="BB58" i="6" s="1"/>
  <c r="AJ58" i="6"/>
  <c r="BA58" i="6" a="1"/>
  <c r="BA58" i="6" s="1"/>
  <c r="AI58" i="6"/>
  <c r="AH58" i="6"/>
  <c r="AP58" i="6"/>
  <c r="BD58" i="6" a="1"/>
  <c r="BD58" i="6" s="1"/>
  <c r="AX58" i="6" a="1"/>
  <c r="AX58" i="6" s="1"/>
  <c r="BG58" i="6" a="1"/>
  <c r="BG58" i="6" s="1"/>
  <c r="BF58" i="6" a="1"/>
  <c r="BF58" i="6" s="1"/>
  <c r="AZ58" i="6" a="1"/>
  <c r="AZ58" i="6" s="1"/>
  <c r="AN58" i="6"/>
  <c r="AO58" i="6"/>
  <c r="AE58" i="6"/>
  <c r="AM58" i="6"/>
  <c r="AB58" i="6"/>
  <c r="AY58" i="6" a="1"/>
  <c r="AY58" i="6" s="1"/>
  <c r="AK58" i="6"/>
  <c r="AV58" i="6"/>
  <c r="AC58" i="6"/>
  <c r="AU58" i="6"/>
  <c r="AF58" i="6"/>
  <c r="AS58" i="6"/>
  <c r="AR58" i="6"/>
  <c r="AT58" i="6"/>
  <c r="AD58" i="6"/>
  <c r="AQ58" i="6"/>
  <c r="AG58" i="6"/>
  <c r="BC58" i="6" a="1"/>
  <c r="BC58" i="6" s="1"/>
  <c r="BE58" i="6" a="1"/>
  <c r="BE58" i="6" s="1"/>
  <c r="C31" i="7" a="1"/>
  <c r="C31" i="7" s="1"/>
  <c r="B30" i="7"/>
  <c r="I15" i="12" a="1"/>
  <c r="I15" i="12" s="1"/>
  <c r="J15" i="12" a="1"/>
  <c r="J15" i="12" s="1"/>
  <c r="L15" i="12" a="1"/>
  <c r="L15" i="12" s="1"/>
  <c r="N61" i="6" l="1"/>
  <c r="N60" i="6"/>
  <c r="A62" i="6"/>
  <c r="A63" i="6" s="1"/>
  <c r="N59" i="6"/>
  <c r="M59" i="6"/>
  <c r="M60" i="6" s="1"/>
  <c r="C32" i="7" a="1"/>
  <c r="C32" i="7" s="1"/>
  <c r="B31" i="7"/>
  <c r="B32" i="10"/>
  <c r="K15" i="12"/>
  <c r="N15" i="12"/>
  <c r="P10" i="12"/>
  <c r="O10" i="12" s="1"/>
  <c r="M61" i="6" l="1"/>
  <c r="AN60" i="6"/>
  <c r="AM60" i="6"/>
  <c r="AB60" i="6"/>
  <c r="BC60" i="6" a="1"/>
  <c r="BC60" i="6" s="1"/>
  <c r="AY60" i="6" a="1"/>
  <c r="AY60" i="6" s="1"/>
  <c r="BF60" i="6" a="1"/>
  <c r="BF60" i="6" s="1"/>
  <c r="BG60" i="6" a="1"/>
  <c r="BG60" i="6" s="1"/>
  <c r="BD60" i="6" a="1"/>
  <c r="BD60" i="6" s="1"/>
  <c r="AP60" i="6"/>
  <c r="AC60" i="6"/>
  <c r="BB60" i="6" a="1"/>
  <c r="BB60" i="6" s="1"/>
  <c r="AQ60" i="6"/>
  <c r="AS60" i="6"/>
  <c r="AT60" i="6"/>
  <c r="AG60" i="6"/>
  <c r="AO60" i="6"/>
  <c r="BE60" i="6" a="1"/>
  <c r="BE60" i="6" s="1"/>
  <c r="AX60" i="6" a="1"/>
  <c r="AX60" i="6" s="1"/>
  <c r="BA60" i="6" a="1"/>
  <c r="BA60" i="6" s="1"/>
  <c r="AR60" i="6"/>
  <c r="AV60" i="6"/>
  <c r="AU60" i="6"/>
  <c r="AI60" i="6"/>
  <c r="AZ60" i="6" a="1"/>
  <c r="AZ60" i="6" s="1"/>
  <c r="AF60" i="6"/>
  <c r="AK60" i="6"/>
  <c r="AJ60" i="6"/>
  <c r="AH60" i="6"/>
  <c r="AD60" i="6"/>
  <c r="AE60" i="6"/>
  <c r="M63" i="6"/>
  <c r="N63" i="6"/>
  <c r="BA59" i="6" a="1"/>
  <c r="BA59" i="6" s="1"/>
  <c r="BC59" i="6" a="1"/>
  <c r="BC59" i="6" s="1"/>
  <c r="AR59" i="6"/>
  <c r="AN59" i="6"/>
  <c r="AQ59" i="6"/>
  <c r="AX59" i="6" a="1"/>
  <c r="AX59" i="6" s="1"/>
  <c r="AM59" i="6"/>
  <c r="BB59" i="6" a="1"/>
  <c r="BB59" i="6" s="1"/>
  <c r="AS59" i="6"/>
  <c r="AT59" i="6"/>
  <c r="AZ59" i="6" a="1"/>
  <c r="AZ59" i="6" s="1"/>
  <c r="BG59" i="6" a="1"/>
  <c r="BG59" i="6" s="1"/>
  <c r="AU59" i="6"/>
  <c r="AY59" i="6" a="1"/>
  <c r="AY59" i="6" s="1"/>
  <c r="AP59" i="6"/>
  <c r="BF59" i="6" a="1"/>
  <c r="BF59" i="6" s="1"/>
  <c r="BE59" i="6" a="1"/>
  <c r="BE59" i="6" s="1"/>
  <c r="AV59" i="6"/>
  <c r="AH59" i="6"/>
  <c r="AO59" i="6"/>
  <c r="BD59" i="6" a="1"/>
  <c r="BD59" i="6" s="1"/>
  <c r="AK59" i="6"/>
  <c r="AC59" i="6"/>
  <c r="AD59" i="6"/>
  <c r="AI59" i="6"/>
  <c r="AJ59" i="6"/>
  <c r="AE59" i="6"/>
  <c r="AB59" i="6"/>
  <c r="AF59" i="6"/>
  <c r="AG59" i="6"/>
  <c r="M62" i="6"/>
  <c r="N62" i="6"/>
  <c r="B33" i="10"/>
  <c r="C33" i="7" a="1"/>
  <c r="C33" i="7" s="1"/>
  <c r="B32" i="7"/>
  <c r="E64" i="12"/>
  <c r="M14" i="6"/>
  <c r="AP61" i="6" l="1"/>
  <c r="AN61" i="6"/>
  <c r="AT61" i="6"/>
  <c r="BD61" i="6" a="1"/>
  <c r="BD61" i="6" s="1"/>
  <c r="AZ61" i="6" a="1"/>
  <c r="AZ61" i="6" s="1"/>
  <c r="BG61" i="6" a="1"/>
  <c r="BG61" i="6" s="1"/>
  <c r="BF61" i="6" a="1"/>
  <c r="BF61" i="6" s="1"/>
  <c r="AS61" i="6"/>
  <c r="BC61" i="6" a="1"/>
  <c r="BC61" i="6" s="1"/>
  <c r="BB61" i="6" a="1"/>
  <c r="BB61" i="6" s="1"/>
  <c r="BE61" i="6" a="1"/>
  <c r="BE61" i="6" s="1"/>
  <c r="AY61" i="6" a="1"/>
  <c r="AY61" i="6" s="1"/>
  <c r="AX61" i="6" a="1"/>
  <c r="AX61" i="6" s="1"/>
  <c r="BA61" i="6" a="1"/>
  <c r="BA61" i="6" s="1"/>
  <c r="AQ61" i="6"/>
  <c r="AO61" i="6"/>
  <c r="AU61" i="6"/>
  <c r="AH61" i="6"/>
  <c r="AF61" i="6"/>
  <c r="AM61" i="6"/>
  <c r="AR61" i="6"/>
  <c r="AV61" i="6"/>
  <c r="AD61" i="6"/>
  <c r="AE61" i="6"/>
  <c r="AB61" i="6"/>
  <c r="AG61" i="6"/>
  <c r="AJ61" i="6"/>
  <c r="AI61" i="6"/>
  <c r="AC61" i="6"/>
  <c r="AK61" i="6"/>
  <c r="AY63" i="6" a="1"/>
  <c r="AY63" i="6" s="1"/>
  <c r="AV63" i="6"/>
  <c r="AJ63" i="6"/>
  <c r="AQ63" i="6"/>
  <c r="AN63" i="6"/>
  <c r="AR63" i="6"/>
  <c r="BA63" i="6" a="1"/>
  <c r="BA63" i="6" s="1"/>
  <c r="AM63" i="6"/>
  <c r="AT63" i="6"/>
  <c r="BF63" i="6" a="1"/>
  <c r="BF63" i="6" s="1"/>
  <c r="AP63" i="6"/>
  <c r="AX63" i="6" a="1"/>
  <c r="AX63" i="6" s="1"/>
  <c r="BB63" i="6" a="1"/>
  <c r="BB63" i="6" s="1"/>
  <c r="AG63" i="6"/>
  <c r="BD63" i="6" a="1"/>
  <c r="BD63" i="6" s="1"/>
  <c r="BG63" i="6" a="1"/>
  <c r="BG63" i="6" s="1"/>
  <c r="AO63" i="6"/>
  <c r="AZ63" i="6" a="1"/>
  <c r="AZ63" i="6" s="1"/>
  <c r="BC63" i="6" a="1"/>
  <c r="BC63" i="6" s="1"/>
  <c r="BE63" i="6" a="1"/>
  <c r="BE63" i="6" s="1"/>
  <c r="AS63" i="6"/>
  <c r="AU63" i="6"/>
  <c r="AC63" i="6"/>
  <c r="AH63" i="6"/>
  <c r="AF63" i="6"/>
  <c r="AB63" i="6"/>
  <c r="AE63" i="6"/>
  <c r="AD63" i="6"/>
  <c r="AK63" i="6"/>
  <c r="AI63" i="6"/>
  <c r="B34" i="10"/>
  <c r="AR62" i="6"/>
  <c r="BF62" i="6" a="1"/>
  <c r="BF62" i="6" s="1"/>
  <c r="AZ62" i="6" a="1"/>
  <c r="AZ62" i="6" s="1"/>
  <c r="AC62" i="6"/>
  <c r="BE62" i="6" a="1"/>
  <c r="BE62" i="6" s="1"/>
  <c r="AI62" i="6"/>
  <c r="AN62" i="6"/>
  <c r="BB62" i="6" a="1"/>
  <c r="BB62" i="6" s="1"/>
  <c r="AG62" i="6"/>
  <c r="AX62" i="6" a="1"/>
  <c r="AX62" i="6" s="1"/>
  <c r="AQ62" i="6"/>
  <c r="AF62" i="6"/>
  <c r="AT62" i="6"/>
  <c r="BA62" i="6" a="1"/>
  <c r="BA62" i="6" s="1"/>
  <c r="BD62" i="6" a="1"/>
  <c r="BD62" i="6" s="1"/>
  <c r="AV62" i="6"/>
  <c r="AP62" i="6"/>
  <c r="AD62" i="6"/>
  <c r="AO62" i="6"/>
  <c r="BC62" i="6" a="1"/>
  <c r="BC62" i="6" s="1"/>
  <c r="AM62" i="6"/>
  <c r="AS62" i="6"/>
  <c r="AU62" i="6"/>
  <c r="AY62" i="6" a="1"/>
  <c r="AY62" i="6" s="1"/>
  <c r="BG62" i="6" a="1"/>
  <c r="BG62" i="6" s="1"/>
  <c r="AK62" i="6"/>
  <c r="AE62" i="6"/>
  <c r="AB62" i="6"/>
  <c r="AJ62" i="6"/>
  <c r="AH62" i="6"/>
  <c r="E65" i="12"/>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64" i="5" l="1"/>
  <c r="L64" i="6"/>
  <c r="C35" i="7" a="1"/>
  <c r="C35" i="7" s="1"/>
  <c r="B34" i="7"/>
  <c r="B35" i="10"/>
  <c r="X14" i="5" a="1"/>
  <c r="X14" i="5" s="1"/>
  <c r="A64" i="12" l="1"/>
  <c r="AD64" i="5"/>
  <c r="G64" i="5"/>
  <c r="B64" i="5"/>
  <c r="W64" i="5" a="1"/>
  <c r="W64" i="5" s="1"/>
  <c r="H64" i="12" s="1" a="1"/>
  <c r="H64" i="12" s="1"/>
  <c r="AF64" i="5" a="1"/>
  <c r="AF64" i="5" s="1"/>
  <c r="E64" i="5"/>
  <c r="F64" i="5"/>
  <c r="AE64" i="5" a="1"/>
  <c r="AE64" i="5" s="1"/>
  <c r="H64" i="5"/>
  <c r="C65" i="5"/>
  <c r="N64" i="5"/>
  <c r="D64" i="6" s="1"/>
  <c r="L65" i="6"/>
  <c r="B64" i="6"/>
  <c r="J64" i="6" s="1" a="1"/>
  <c r="J64" i="6" s="1"/>
  <c r="F64" i="6"/>
  <c r="C36" i="7" a="1"/>
  <c r="C36" i="7" s="1"/>
  <c r="B35" i="7"/>
  <c r="B36" i="10"/>
  <c r="I14" i="5"/>
  <c r="I14" i="12"/>
  <c r="L14" i="5"/>
  <c r="AM14" i="5"/>
  <c r="Z14" i="5"/>
  <c r="S64" i="5" l="1" a="1"/>
  <c r="S64" i="5" s="1"/>
  <c r="F64" i="12" s="1" a="1"/>
  <c r="F64" i="12" s="1"/>
  <c r="AG64" i="5" a="1"/>
  <c r="AG64" i="5" s="1"/>
  <c r="F65" i="6"/>
  <c r="L66" i="6"/>
  <c r="B65" i="6"/>
  <c r="J65" i="6" s="1" a="1"/>
  <c r="J65" i="6" s="1"/>
  <c r="H64" i="6" a="1"/>
  <c r="H64" i="6" s="1"/>
  <c r="T64" i="5" s="1"/>
  <c r="G64" i="12" s="1" a="1"/>
  <c r="G64" i="12" s="1"/>
  <c r="G64" i="6"/>
  <c r="E65" i="5"/>
  <c r="F65" i="5"/>
  <c r="AE65" i="5" a="1"/>
  <c r="AE65" i="5" s="1"/>
  <c r="AD65" i="5"/>
  <c r="N65" i="5"/>
  <c r="D65" i="6" s="1"/>
  <c r="B65" i="5"/>
  <c r="C66" i="5"/>
  <c r="AF65" i="5" a="1"/>
  <c r="AF65" i="5" s="1"/>
  <c r="G65" i="5"/>
  <c r="A65" i="12"/>
  <c r="H65" i="5"/>
  <c r="W65" i="5" a="1"/>
  <c r="W65" i="5" s="1"/>
  <c r="H65" i="12" s="1" a="1"/>
  <c r="H65" i="12" s="1"/>
  <c r="C37" i="7" a="1"/>
  <c r="C37" i="7" s="1"/>
  <c r="B36" i="7"/>
  <c r="B37" i="10"/>
  <c r="O14" i="5"/>
  <c r="AA14" i="5" a="1"/>
  <c r="AA14" i="5" s="1"/>
  <c r="AB14" i="5" a="1"/>
  <c r="AB14" i="5" s="1"/>
  <c r="AO14" i="12" a="1"/>
  <c r="AO14" i="12" s="1"/>
  <c r="C14" i="12"/>
  <c r="M14" i="12" a="1"/>
  <c r="M14" i="12" s="1"/>
  <c r="O14" i="12" a="1"/>
  <c r="O14" i="12" s="1"/>
  <c r="U64" i="5" l="1"/>
  <c r="AN64" i="5" s="1" a="1"/>
  <c r="AN64" i="5" s="1"/>
  <c r="AG65" i="5" a="1"/>
  <c r="AG65" i="5" s="1"/>
  <c r="S65" i="5" a="1"/>
  <c r="S65" i="5" s="1"/>
  <c r="F65" i="12" s="1" a="1"/>
  <c r="F65" i="12" s="1"/>
  <c r="AD66" i="5"/>
  <c r="AE66" i="5" a="1"/>
  <c r="AE66" i="5" s="1"/>
  <c r="K66" i="5"/>
  <c r="F66" i="5"/>
  <c r="B66" i="5"/>
  <c r="N66" i="5"/>
  <c r="D66" i="6" s="1"/>
  <c r="H66" i="6" s="1" a="1"/>
  <c r="H66" i="6" s="1"/>
  <c r="T66" i="5" s="1"/>
  <c r="G66" i="12" s="1" a="1"/>
  <c r="G66" i="12" s="1"/>
  <c r="C67" i="5"/>
  <c r="H66" i="5"/>
  <c r="J66" i="5"/>
  <c r="D66" i="5"/>
  <c r="B66" i="12" s="1"/>
  <c r="E66" i="5"/>
  <c r="A66" i="12"/>
  <c r="G66" i="5"/>
  <c r="H65" i="6" a="1"/>
  <c r="H65" i="6" s="1"/>
  <c r="T65" i="5" s="1"/>
  <c r="G65" i="12" s="1" a="1"/>
  <c r="G65" i="12" s="1"/>
  <c r="G65" i="6"/>
  <c r="B66" i="6"/>
  <c r="J66" i="6" s="1" a="1"/>
  <c r="J66" i="6" s="1"/>
  <c r="L67" i="6"/>
  <c r="C38" i="7" a="1"/>
  <c r="C38" i="7" s="1"/>
  <c r="B37" i="7"/>
  <c r="B38" i="10"/>
  <c r="N14" i="12"/>
  <c r="Y14" i="12"/>
  <c r="D14" i="12"/>
  <c r="U65" i="5" l="1"/>
  <c r="AN65" i="5" s="1" a="1"/>
  <c r="AN65" i="5" s="1"/>
  <c r="L66" i="12" a="1"/>
  <c r="L66" i="12" s="1"/>
  <c r="J66" i="12" a="1"/>
  <c r="J66" i="12" s="1"/>
  <c r="B67" i="6"/>
  <c r="J67" i="6" s="1" a="1"/>
  <c r="J67" i="6" s="1"/>
  <c r="K67" i="5"/>
  <c r="AD67" i="5"/>
  <c r="E67" i="5"/>
  <c r="D67" i="5"/>
  <c r="B67" i="12" s="1"/>
  <c r="N67" i="5"/>
  <c r="D67" i="6" s="1"/>
  <c r="H67" i="6" s="1" a="1"/>
  <c r="H67" i="6" s="1"/>
  <c r="T67" i="5" s="1"/>
  <c r="G67" i="12" s="1" a="1"/>
  <c r="G67" i="12" s="1"/>
  <c r="F67" i="5"/>
  <c r="AE67" i="5" a="1"/>
  <c r="AE67" i="5" s="1"/>
  <c r="A67" i="12"/>
  <c r="J67" i="5"/>
  <c r="H67" i="5"/>
  <c r="B67" i="5"/>
  <c r="G67" i="5"/>
  <c r="C39" i="7" a="1"/>
  <c r="C39" i="7" s="1"/>
  <c r="B38" i="7"/>
  <c r="A64" i="6"/>
  <c r="B39" i="10"/>
  <c r="W14" i="12" a="1"/>
  <c r="W14" i="12" s="1"/>
  <c r="X14" i="12" a="1"/>
  <c r="X14" i="12" s="1"/>
  <c r="K66" i="12" l="1"/>
  <c r="L67" i="12" a="1"/>
  <c r="L67" i="12" s="1"/>
  <c r="J67" i="12" a="1"/>
  <c r="J67" i="12" s="1"/>
  <c r="B40" i="10"/>
  <c r="B39" i="7"/>
  <c r="C40" i="7" a="1"/>
  <c r="C40" i="7" s="1"/>
  <c r="N64" i="6"/>
  <c r="M64" i="6"/>
  <c r="A65" i="6"/>
  <c r="U14" i="12"/>
  <c r="V14" i="12" a="1"/>
  <c r="V14" i="12" s="1"/>
  <c r="T14" i="12"/>
  <c r="K67" i="12" l="1"/>
  <c r="B40" i="7"/>
  <c r="C41" i="7" a="1"/>
  <c r="C41" i="7" s="1"/>
  <c r="M65" i="6"/>
  <c r="N65" i="6"/>
  <c r="A66" i="6"/>
  <c r="AT64" i="6"/>
  <c r="AY64" i="6" a="1"/>
  <c r="AY64" i="6" s="1"/>
  <c r="BB64" i="6" a="1"/>
  <c r="BB64" i="6" s="1"/>
  <c r="AQ64" i="6"/>
  <c r="AP64" i="6"/>
  <c r="BF64" i="6" a="1"/>
  <c r="BF64" i="6" s="1"/>
  <c r="AE64" i="6"/>
  <c r="AZ64" i="6" a="1"/>
  <c r="AZ64" i="6" s="1"/>
  <c r="BE64" i="6" a="1"/>
  <c r="BE64" i="6" s="1"/>
  <c r="AO64" i="6"/>
  <c r="AX64" i="6" a="1"/>
  <c r="AX64" i="6" s="1"/>
  <c r="AD64" i="6"/>
  <c r="AF64" i="6"/>
  <c r="AU64" i="6"/>
  <c r="BA64" i="6" a="1"/>
  <c r="BA64" i="6" s="1"/>
  <c r="AV64" i="6"/>
  <c r="AS64" i="6"/>
  <c r="AN64" i="6"/>
  <c r="AM64" i="6"/>
  <c r="BC64" i="6" a="1"/>
  <c r="BC64" i="6" s="1"/>
  <c r="BD64" i="6" a="1"/>
  <c r="BD64" i="6" s="1"/>
  <c r="AR64" i="6"/>
  <c r="BG64" i="6" a="1"/>
  <c r="BG64" i="6" s="1"/>
  <c r="AK64" i="6"/>
  <c r="AC64" i="6"/>
  <c r="AH64" i="6"/>
  <c r="AB64" i="6"/>
  <c r="AJ64" i="6"/>
  <c r="AI64" i="6"/>
  <c r="AG64" i="6"/>
  <c r="B41" i="10"/>
  <c r="AG14" i="5" a="1"/>
  <c r="AG14" i="5" s="1"/>
  <c r="S14" i="5" a="1"/>
  <c r="S14" i="5" s="1"/>
  <c r="F14" i="12" s="1" a="1"/>
  <c r="F14" i="12" s="1"/>
  <c r="BC65" i="6" l="1" a="1"/>
  <c r="BC65" i="6" s="1"/>
  <c r="AM65" i="6"/>
  <c r="AS65" i="6"/>
  <c r="BE65" i="6" a="1"/>
  <c r="BE65" i="6" s="1"/>
  <c r="AR65" i="6"/>
  <c r="AK65" i="6"/>
  <c r="AX65" i="6" a="1"/>
  <c r="AX65" i="6" s="1"/>
  <c r="AI65" i="6"/>
  <c r="AF65" i="6"/>
  <c r="AU65" i="6"/>
  <c r="BG65" i="6" a="1"/>
  <c r="BG65" i="6" s="1"/>
  <c r="AD65" i="6"/>
  <c r="AH65" i="6"/>
  <c r="AZ65" i="6" a="1"/>
  <c r="AZ65" i="6" s="1"/>
  <c r="BF65" i="6" a="1"/>
  <c r="BF65" i="6" s="1"/>
  <c r="AP65" i="6"/>
  <c r="AC65" i="6"/>
  <c r="AY65" i="6" a="1"/>
  <c r="AY65" i="6" s="1"/>
  <c r="BB65" i="6" a="1"/>
  <c r="BB65" i="6" s="1"/>
  <c r="AJ65" i="6"/>
  <c r="AG65" i="6"/>
  <c r="AB65" i="6"/>
  <c r="AQ65" i="6"/>
  <c r="AV65" i="6"/>
  <c r="BD65" i="6" a="1"/>
  <c r="BD65" i="6" s="1"/>
  <c r="AN65" i="6"/>
  <c r="BA65" i="6" a="1"/>
  <c r="BA65" i="6" s="1"/>
  <c r="AT65" i="6"/>
  <c r="AO65" i="6"/>
  <c r="AE65" i="6"/>
  <c r="N66" i="6"/>
  <c r="M66" i="6"/>
  <c r="A67" i="6"/>
  <c r="C42" i="7" a="1"/>
  <c r="C42" i="7" s="1"/>
  <c r="B41" i="7"/>
  <c r="B42" i="10"/>
  <c r="E14" i="12"/>
  <c r="AC14" i="5" a="1"/>
  <c r="AC14" i="5" s="1"/>
  <c r="M67" i="6" l="1"/>
  <c r="N67" i="6"/>
  <c r="AO66" i="6"/>
  <c r="BB66" i="6" a="1"/>
  <c r="BB66" i="6" s="1"/>
  <c r="AX66" i="6" a="1"/>
  <c r="AX66" i="6" s="1"/>
  <c r="AV66" i="6"/>
  <c r="BG66" i="6" a="1"/>
  <c r="BG66" i="6" s="1"/>
  <c r="AP66" i="6"/>
  <c r="AU66" i="6"/>
  <c r="AQ66" i="6"/>
  <c r="BD66" i="6" a="1"/>
  <c r="BD66" i="6" s="1"/>
  <c r="AR66" i="6"/>
  <c r="AM66" i="6"/>
  <c r="BA66" i="6" a="1"/>
  <c r="BA66" i="6" s="1"/>
  <c r="BC66" i="6" a="1"/>
  <c r="BC66" i="6" s="1"/>
  <c r="AN66" i="6"/>
  <c r="AT66" i="6"/>
  <c r="AS66" i="6"/>
  <c r="AY66" i="6" a="1"/>
  <c r="AY66" i="6" s="1"/>
  <c r="BF66" i="6" a="1"/>
  <c r="BF66" i="6" s="1"/>
  <c r="AZ66" i="6" a="1"/>
  <c r="AZ66" i="6" s="1"/>
  <c r="BE66" i="6" a="1"/>
  <c r="BE66" i="6" s="1"/>
  <c r="AC66" i="6"/>
  <c r="AG66" i="6"/>
  <c r="AB66" i="6"/>
  <c r="AD66" i="6"/>
  <c r="AE66" i="6"/>
  <c r="AH66" i="6"/>
  <c r="AK66" i="6"/>
  <c r="AF66" i="6"/>
  <c r="AJ66" i="6"/>
  <c r="AI66" i="6"/>
  <c r="C43" i="7" a="1"/>
  <c r="C43" i="7" s="1"/>
  <c r="B42" i="7"/>
  <c r="B43" i="10"/>
  <c r="I64" i="5"/>
  <c r="I1" i="7" a="1"/>
  <c r="I1" i="7" s="1"/>
  <c r="AU67" i="6" l="1"/>
  <c r="AZ67" i="6" a="1"/>
  <c r="AZ67" i="6" s="1"/>
  <c r="BD67" i="6" a="1"/>
  <c r="BD67" i="6" s="1"/>
  <c r="AY67" i="6" a="1"/>
  <c r="AY67" i="6" s="1"/>
  <c r="AJ67" i="6"/>
  <c r="AE67" i="6"/>
  <c r="AD67" i="6"/>
  <c r="AT67" i="6"/>
  <c r="AP67" i="6"/>
  <c r="BB67" i="6" a="1"/>
  <c r="BB67" i="6" s="1"/>
  <c r="BA67" i="6" a="1"/>
  <c r="BA67" i="6" s="1"/>
  <c r="AQ67" i="6"/>
  <c r="AB67" i="6"/>
  <c r="BF67" i="6" a="1"/>
  <c r="BF67" i="6" s="1"/>
  <c r="AS67" i="6"/>
  <c r="AO67" i="6"/>
  <c r="AG67" i="6"/>
  <c r="AR67" i="6"/>
  <c r="AN67" i="6"/>
  <c r="AI67" i="6"/>
  <c r="AM67" i="6"/>
  <c r="AC67" i="6"/>
  <c r="BE67" i="6" a="1"/>
  <c r="BE67" i="6" s="1"/>
  <c r="AX67" i="6" a="1"/>
  <c r="AX67" i="6" s="1"/>
  <c r="BC67" i="6" a="1"/>
  <c r="BC67" i="6" s="1"/>
  <c r="AV67" i="6"/>
  <c r="BG67" i="6" a="1"/>
  <c r="BG67" i="6" s="1"/>
  <c r="AK67" i="6"/>
  <c r="AF67" i="6"/>
  <c r="AH67" i="6"/>
  <c r="B43" i="7"/>
  <c r="C44" i="7" a="1"/>
  <c r="C44" i="7" s="1"/>
  <c r="B44" i="10"/>
  <c r="I65" i="5"/>
  <c r="F1" i="7"/>
  <c r="E1" i="7" a="1"/>
  <c r="E1" i="7" s="1"/>
  <c r="H1" i="7" a="1"/>
  <c r="H1" i="7" s="1"/>
  <c r="I14" i="7"/>
  <c r="B44" i="7" l="1"/>
  <c r="C45" i="7" a="1"/>
  <c r="C45" i="7" s="1"/>
  <c r="B45" i="10"/>
  <c r="I74" i="10"/>
  <c r="F14" i="7"/>
  <c r="H14" i="7"/>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C47" i="7" s="1"/>
  <c r="B47" i="10"/>
  <c r="F6" i="7"/>
  <c r="D1" i="2"/>
  <c r="B48" i="10" l="1"/>
  <c r="C48" i="7" a="1"/>
  <c r="C48" i="7" s="1"/>
  <c r="B47" i="7"/>
  <c r="E68" i="12" l="1"/>
  <c r="B49" i="10"/>
  <c r="C49" i="7" a="1"/>
  <c r="C49" i="7" s="1"/>
  <c r="B48" i="7"/>
  <c r="J10" i="13"/>
  <c r="C68" i="5" l="1"/>
  <c r="L68" i="6"/>
  <c r="B50" i="10"/>
  <c r="C50" i="7" a="1"/>
  <c r="C50" i="7" s="1"/>
  <c r="B49" i="7"/>
  <c r="B68" i="6" l="1"/>
  <c r="J68" i="6" s="1" a="1"/>
  <c r="J68" i="6" s="1"/>
  <c r="L69" i="6"/>
  <c r="F68" i="6"/>
  <c r="B68" i="5"/>
  <c r="F68" i="5"/>
  <c r="W68" i="5" a="1"/>
  <c r="W68" i="5" s="1"/>
  <c r="H68" i="12" s="1" a="1"/>
  <c r="H68" i="12" s="1"/>
  <c r="E68" i="5"/>
  <c r="AD68" i="5"/>
  <c r="H68" i="5"/>
  <c r="AE68" i="5" a="1"/>
  <c r="AE68" i="5" s="1"/>
  <c r="C69" i="5"/>
  <c r="AF68" i="5" a="1"/>
  <c r="AF68" i="5" s="1"/>
  <c r="A68" i="12"/>
  <c r="G68" i="5"/>
  <c r="N68" i="5"/>
  <c r="D68" i="6" s="1"/>
  <c r="B51" i="10"/>
  <c r="C51" i="7" a="1"/>
  <c r="C51" i="7" s="1"/>
  <c r="B50" i="7"/>
  <c r="AG68" i="5" l="1" a="1"/>
  <c r="AG68" i="5" s="1"/>
  <c r="S68" i="5" a="1"/>
  <c r="S68" i="5" s="1"/>
  <c r="F68" i="12" s="1" a="1"/>
  <c r="F68" i="12" s="1"/>
  <c r="A69" i="12"/>
  <c r="H69" i="5"/>
  <c r="N69" i="5"/>
  <c r="D69" i="6" s="1"/>
  <c r="H69" i="6" s="1" a="1"/>
  <c r="H69" i="6" s="1"/>
  <c r="T69" i="5" s="1"/>
  <c r="G69" i="12" s="1" a="1"/>
  <c r="G69" i="12" s="1"/>
  <c r="AE69" i="5" a="1"/>
  <c r="AE69" i="5" s="1"/>
  <c r="K69" i="5"/>
  <c r="J69" i="5"/>
  <c r="E69" i="5"/>
  <c r="G69" i="5"/>
  <c r="AD69" i="5"/>
  <c r="B69" i="5"/>
  <c r="D69" i="5"/>
  <c r="B69" i="12" s="1"/>
  <c r="F69" i="5"/>
  <c r="B69" i="6"/>
  <c r="J69" i="6" s="1" a="1"/>
  <c r="J69" i="6" s="1"/>
  <c r="G68" i="6"/>
  <c r="H68" i="6" a="1"/>
  <c r="H68" i="6" s="1"/>
  <c r="T68" i="5" s="1"/>
  <c r="G68" i="12" s="1" a="1"/>
  <c r="G68" i="12" s="1"/>
  <c r="B52" i="10"/>
  <c r="C52" i="7" a="1"/>
  <c r="C52" i="7" s="1"/>
  <c r="B51" i="7"/>
  <c r="U68" i="5" l="1"/>
  <c r="AN68" i="5" s="1" a="1"/>
  <c r="AN68" i="5" s="1"/>
  <c r="L70" i="6"/>
  <c r="L71" i="6" s="1"/>
  <c r="L72" i="6" s="1"/>
  <c r="C70" i="5"/>
  <c r="C71" i="5" s="1"/>
  <c r="C72" i="5" s="1"/>
  <c r="J69" i="12" a="1"/>
  <c r="J69" i="12" s="1"/>
  <c r="L69" i="12" a="1"/>
  <c r="L69" i="12" s="1"/>
  <c r="B52" i="7"/>
  <c r="C53" i="7" a="1"/>
  <c r="C53" i="7" s="1"/>
  <c r="B53" i="10"/>
  <c r="A72" i="12" l="1"/>
  <c r="AD72" i="5"/>
  <c r="N72" i="5"/>
  <c r="D72" i="6" s="1"/>
  <c r="D72" i="5"/>
  <c r="B72" i="12" s="1"/>
  <c r="K72" i="5"/>
  <c r="AE72" i="5" a="1"/>
  <c r="AE72" i="5" s="1"/>
  <c r="J72" i="5"/>
  <c r="B72" i="6"/>
  <c r="A71" i="12"/>
  <c r="AE71" i="5" a="1"/>
  <c r="AE71" i="5" s="1"/>
  <c r="AD71" i="5"/>
  <c r="N71" i="5"/>
  <c r="D71" i="6" s="1"/>
  <c r="D71" i="5"/>
  <c r="B71" i="12" s="1"/>
  <c r="K71" i="5"/>
  <c r="J71" i="5"/>
  <c r="B71" i="6"/>
  <c r="D70" i="5"/>
  <c r="B70" i="12" s="1"/>
  <c r="K70" i="5"/>
  <c r="AE70" i="5" a="1"/>
  <c r="AE70" i="5" s="1"/>
  <c r="AD70" i="5"/>
  <c r="J70" i="5"/>
  <c r="A70" i="12"/>
  <c r="N70" i="5"/>
  <c r="B70" i="6"/>
  <c r="H70" i="5"/>
  <c r="H71" i="5" s="1"/>
  <c r="H72" i="5" s="1"/>
  <c r="B70" i="5"/>
  <c r="B71" i="5" s="1"/>
  <c r="B72" i="5" s="1"/>
  <c r="G70" i="5"/>
  <c r="G71" i="5" s="1"/>
  <c r="G72" i="5" s="1"/>
  <c r="E70" i="5"/>
  <c r="E71" i="5" s="1"/>
  <c r="E72" i="5" s="1"/>
  <c r="F70" i="5"/>
  <c r="F71" i="5" s="1"/>
  <c r="F72" i="5" s="1"/>
  <c r="K69" i="12"/>
  <c r="B54" i="10"/>
  <c r="C54" i="7" a="1"/>
  <c r="C54" i="7" s="1"/>
  <c r="B53" i="7"/>
  <c r="A68" i="6"/>
  <c r="H72" i="6" l="1" a="1"/>
  <c r="H72" i="6" s="1"/>
  <c r="T72" i="5" s="1"/>
  <c r="J72" i="6" a="1"/>
  <c r="J72" i="6" s="1"/>
  <c r="L72" i="12" a="1"/>
  <c r="L72" i="12" s="1"/>
  <c r="J72" i="12" a="1"/>
  <c r="J72" i="12" s="1"/>
  <c r="H71" i="6" a="1"/>
  <c r="H71" i="6" s="1"/>
  <c r="T71" i="5" s="1"/>
  <c r="J71" i="6" a="1"/>
  <c r="J71" i="6" s="1"/>
  <c r="L71" i="12" a="1"/>
  <c r="L71" i="12" s="1"/>
  <c r="J71" i="12" a="1"/>
  <c r="J71" i="12" s="1"/>
  <c r="J70" i="6" a="1"/>
  <c r="J70" i="6" s="1"/>
  <c r="J70" i="12" a="1"/>
  <c r="J70" i="12" s="1"/>
  <c r="L70" i="12" a="1"/>
  <c r="L70" i="12" s="1"/>
  <c r="D70" i="6"/>
  <c r="B54" i="7"/>
  <c r="C55" i="7" a="1"/>
  <c r="C55" i="7" s="1"/>
  <c r="N68" i="6"/>
  <c r="A69" i="6"/>
  <c r="M68" i="6"/>
  <c r="B55" i="10"/>
  <c r="G72" i="12" l="1" a="1"/>
  <c r="G72" i="12" s="1"/>
  <c r="K72" i="12"/>
  <c r="G71" i="12" a="1"/>
  <c r="G71" i="12" s="1"/>
  <c r="K71" i="12"/>
  <c r="H70" i="6" a="1"/>
  <c r="H70" i="6" s="1"/>
  <c r="T70" i="5" s="1"/>
  <c r="K70" i="12"/>
  <c r="AV68" i="6"/>
  <c r="AN68" i="6"/>
  <c r="BC68" i="6" a="1"/>
  <c r="BC68" i="6" s="1"/>
  <c r="BB68" i="6" a="1"/>
  <c r="BB68" i="6" s="1"/>
  <c r="AU68" i="6"/>
  <c r="AF68" i="6"/>
  <c r="BE68" i="6" a="1"/>
  <c r="BE68" i="6" s="1"/>
  <c r="AH68" i="6"/>
  <c r="AT68" i="6"/>
  <c r="AQ68" i="6"/>
  <c r="AY68" i="6" a="1"/>
  <c r="AY68" i="6" s="1"/>
  <c r="BG68" i="6" a="1"/>
  <c r="BG68" i="6" s="1"/>
  <c r="AS68" i="6"/>
  <c r="BA68" i="6" a="1"/>
  <c r="BA68" i="6" s="1"/>
  <c r="AR68" i="6"/>
  <c r="AM68" i="6"/>
  <c r="BD68" i="6" a="1"/>
  <c r="BD68" i="6" s="1"/>
  <c r="BF68" i="6" a="1"/>
  <c r="BF68" i="6" s="1"/>
  <c r="AC68" i="6"/>
  <c r="AD68" i="6"/>
  <c r="AX68" i="6" a="1"/>
  <c r="AX68" i="6" s="1"/>
  <c r="AZ68" i="6" a="1"/>
  <c r="AZ68" i="6" s="1"/>
  <c r="AP68" i="6"/>
  <c r="AJ68" i="6"/>
  <c r="AO68" i="6"/>
  <c r="AG68" i="6"/>
  <c r="AK68" i="6"/>
  <c r="AE68" i="6"/>
  <c r="AB68" i="6"/>
  <c r="AI68" i="6"/>
  <c r="B55" i="7"/>
  <c r="C56" i="7" a="1"/>
  <c r="C56" i="7" s="1"/>
  <c r="B56" i="10"/>
  <c r="N69" i="6"/>
  <c r="M69" i="6"/>
  <c r="G70" i="12" l="1" a="1"/>
  <c r="G70" i="12" s="1"/>
  <c r="B56" i="7"/>
  <c r="C57" i="7" a="1"/>
  <c r="C57" i="7" s="1"/>
  <c r="B57" i="10"/>
  <c r="AR69" i="6"/>
  <c r="BD69" i="6" a="1"/>
  <c r="BD69" i="6" s="1"/>
  <c r="AX69" i="6" a="1"/>
  <c r="AX69" i="6" s="1"/>
  <c r="BG69" i="6" a="1"/>
  <c r="BG69" i="6" s="1"/>
  <c r="BE69" i="6" a="1"/>
  <c r="BE69" i="6" s="1"/>
  <c r="BA69" i="6" a="1"/>
  <c r="BA69" i="6" s="1"/>
  <c r="AV69" i="6"/>
  <c r="AQ69" i="6"/>
  <c r="AT69" i="6"/>
  <c r="BC69" i="6" a="1"/>
  <c r="BC69" i="6" s="1"/>
  <c r="AP69" i="6"/>
  <c r="AU69" i="6"/>
  <c r="BB69" i="6" a="1"/>
  <c r="BB69" i="6" s="1"/>
  <c r="BF69" i="6" a="1"/>
  <c r="BF69" i="6" s="1"/>
  <c r="AY69" i="6" a="1"/>
  <c r="AY69" i="6" s="1"/>
  <c r="AS69" i="6"/>
  <c r="AZ69" i="6" a="1"/>
  <c r="AZ69" i="6" s="1"/>
  <c r="AN69" i="6"/>
  <c r="AO69" i="6"/>
  <c r="AM69" i="6"/>
  <c r="AH69" i="6"/>
  <c r="AC69" i="6"/>
  <c r="AF69" i="6"/>
  <c r="AJ69" i="6"/>
  <c r="AE69" i="6"/>
  <c r="AK69" i="6"/>
  <c r="AB69" i="6"/>
  <c r="AD69" i="6"/>
  <c r="AG69" i="6"/>
  <c r="AI69" i="6"/>
  <c r="A70" i="6"/>
  <c r="A71" i="6" s="1"/>
  <c r="A72" i="6" s="1"/>
  <c r="N72" i="6" l="1"/>
  <c r="M72" i="6"/>
  <c r="M71" i="6"/>
  <c r="N71" i="6"/>
  <c r="M70" i="6"/>
  <c r="N70" i="6"/>
  <c r="I68" i="5"/>
  <c r="B58" i="10"/>
  <c r="C58" i="7" a="1"/>
  <c r="C58" i="7" s="1"/>
  <c r="B57" i="7"/>
  <c r="BD72" i="6" l="1" a="1"/>
  <c r="BD72" i="6" s="1"/>
  <c r="AN72" i="6"/>
  <c r="AM72" i="6"/>
  <c r="AY72" i="6" a="1"/>
  <c r="AY72" i="6" s="1"/>
  <c r="AZ72" i="6" a="1"/>
  <c r="AZ72" i="6" s="1"/>
  <c r="AP72" i="6"/>
  <c r="BF72" i="6" a="1"/>
  <c r="BF72" i="6" s="1"/>
  <c r="AS72" i="6"/>
  <c r="BB72" i="6" a="1"/>
  <c r="BB72" i="6" s="1"/>
  <c r="AT72" i="6"/>
  <c r="AF72" i="6"/>
  <c r="BE72" i="6" a="1"/>
  <c r="BE72" i="6" s="1"/>
  <c r="BG72" i="6" a="1"/>
  <c r="BG72" i="6" s="1"/>
  <c r="AX72" i="6" a="1"/>
  <c r="AX72" i="6" s="1"/>
  <c r="AB72" i="6"/>
  <c r="BC72" i="6" a="1"/>
  <c r="BC72" i="6" s="1"/>
  <c r="AO72" i="6"/>
  <c r="AC72" i="6"/>
  <c r="AR72" i="6"/>
  <c r="AQ72" i="6"/>
  <c r="BA72" i="6" a="1"/>
  <c r="BA72" i="6" s="1"/>
  <c r="AI72" i="6"/>
  <c r="AH72" i="6"/>
  <c r="AV72" i="6"/>
  <c r="AU72" i="6"/>
  <c r="AE72" i="6"/>
  <c r="AK72" i="6"/>
  <c r="AJ72" i="6"/>
  <c r="AG72" i="6"/>
  <c r="AD72" i="6"/>
  <c r="AR71" i="6"/>
  <c r="AV71" i="6"/>
  <c r="AT71" i="6"/>
  <c r="AP71" i="6"/>
  <c r="AN71" i="6"/>
  <c r="BD71" i="6" a="1"/>
  <c r="BD71" i="6" s="1"/>
  <c r="AZ71" i="6" a="1"/>
  <c r="AZ71" i="6" s="1"/>
  <c r="BG71" i="6" a="1"/>
  <c r="BG71" i="6" s="1"/>
  <c r="BF71" i="6" a="1"/>
  <c r="BF71" i="6" s="1"/>
  <c r="BE71" i="6" a="1"/>
  <c r="BE71" i="6" s="1"/>
  <c r="AS71" i="6"/>
  <c r="BC71" i="6" a="1"/>
  <c r="BC71" i="6" s="1"/>
  <c r="BB71" i="6" a="1"/>
  <c r="BB71" i="6" s="1"/>
  <c r="BA71" i="6" a="1"/>
  <c r="BA71" i="6" s="1"/>
  <c r="AY71" i="6" a="1"/>
  <c r="AY71" i="6" s="1"/>
  <c r="AX71" i="6" a="1"/>
  <c r="AX71" i="6" s="1"/>
  <c r="AU71" i="6"/>
  <c r="AQ71" i="6"/>
  <c r="AO71" i="6"/>
  <c r="AM71" i="6"/>
  <c r="AD71" i="6"/>
  <c r="AF71" i="6"/>
  <c r="AC71" i="6"/>
  <c r="AH71" i="6"/>
  <c r="AE71" i="6"/>
  <c r="AG71" i="6"/>
  <c r="AB71" i="6"/>
  <c r="AK71" i="6"/>
  <c r="AJ71" i="6"/>
  <c r="AI71" i="6"/>
  <c r="AV70" i="6"/>
  <c r="AN70" i="6"/>
  <c r="AT70" i="6"/>
  <c r="AP70" i="6"/>
  <c r="BF70" i="6" a="1"/>
  <c r="BF70" i="6" s="1"/>
  <c r="BC70" i="6" a="1"/>
  <c r="BC70" i="6" s="1"/>
  <c r="BB70" i="6" a="1"/>
  <c r="BB70" i="6" s="1"/>
  <c r="AY70" i="6" a="1"/>
  <c r="AY70" i="6" s="1"/>
  <c r="AR70" i="6"/>
  <c r="AX70" i="6" a="1"/>
  <c r="AX70" i="6" s="1"/>
  <c r="BE70" i="6" a="1"/>
  <c r="BE70" i="6" s="1"/>
  <c r="AO70" i="6"/>
  <c r="BA70" i="6" a="1"/>
  <c r="BA70" i="6" s="1"/>
  <c r="BD70" i="6" a="1"/>
  <c r="BD70" i="6" s="1"/>
  <c r="AU70" i="6"/>
  <c r="AZ70" i="6" a="1"/>
  <c r="AZ70" i="6" s="1"/>
  <c r="BG70" i="6" a="1"/>
  <c r="BG70" i="6" s="1"/>
  <c r="AQ70" i="6"/>
  <c r="AM70" i="6"/>
  <c r="AS70" i="6"/>
  <c r="AH70" i="6"/>
  <c r="AK70" i="6"/>
  <c r="AF70" i="6"/>
  <c r="AE70" i="6"/>
  <c r="AB70" i="6"/>
  <c r="AJ70" i="6"/>
  <c r="AD70" i="6"/>
  <c r="AI70" i="6"/>
  <c r="AG70" i="6"/>
  <c r="AC70" i="6"/>
  <c r="B59" i="10"/>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L73" i="6" l="1"/>
  <c r="L74" i="6" l="1"/>
  <c r="F73" i="6" l="1"/>
  <c r="L75" i="6"/>
  <c r="C73" i="5" l="1"/>
  <c r="E74" i="12"/>
  <c r="F74" i="6"/>
  <c r="N73" i="5" l="1"/>
  <c r="D73" i="6" s="1"/>
  <c r="A73" i="12"/>
  <c r="AD73" i="5"/>
  <c r="C74" i="5"/>
  <c r="B73" i="5"/>
  <c r="W73" i="5" a="1"/>
  <c r="W73" i="5" s="1"/>
  <c r="H73" i="12" s="1" a="1"/>
  <c r="H73" i="12" s="1"/>
  <c r="H73" i="5"/>
  <c r="B73" i="6"/>
  <c r="J73" i="6" s="1" a="1"/>
  <c r="J73" i="6" s="1"/>
  <c r="F73" i="5"/>
  <c r="J68" i="5" s="1"/>
  <c r="E73" i="5"/>
  <c r="G73" i="5"/>
  <c r="AE73" i="5" a="1"/>
  <c r="AE73" i="5" s="1"/>
  <c r="AF73" i="5" a="1"/>
  <c r="AF73" i="5" s="1"/>
  <c r="E73" i="12" l="1"/>
  <c r="S73" i="5" a="1"/>
  <c r="S73" i="5" s="1"/>
  <c r="F73" i="12" s="1" a="1"/>
  <c r="F73" i="12" s="1"/>
  <c r="AG73" i="5" a="1"/>
  <c r="AG73" i="5" s="1"/>
  <c r="A74" i="12"/>
  <c r="C75" i="5"/>
  <c r="H74" i="5"/>
  <c r="F74" i="5"/>
  <c r="AD74" i="5"/>
  <c r="B74" i="6"/>
  <c r="J74" i="6" s="1" a="1"/>
  <c r="J74" i="6" s="1"/>
  <c r="E74" i="5"/>
  <c r="G74" i="5"/>
  <c r="B74" i="5"/>
  <c r="AF74" i="5" a="1"/>
  <c r="AF74" i="5" s="1"/>
  <c r="W74" i="5" a="1"/>
  <c r="W74" i="5" s="1"/>
  <c r="H74" i="12" s="1" a="1"/>
  <c r="H74" i="12" s="1"/>
  <c r="AE74" i="5" a="1"/>
  <c r="AE74" i="5" s="1"/>
  <c r="N74" i="5"/>
  <c r="D74" i="6" s="1"/>
  <c r="G73" i="6"/>
  <c r="H73" i="6" a="1"/>
  <c r="H73" i="6" s="1"/>
  <c r="T73" i="5" s="1"/>
  <c r="G73" i="12" s="1" a="1"/>
  <c r="G73" i="12" s="1"/>
  <c r="L76" i="6"/>
  <c r="U73" i="5" l="1"/>
  <c r="AN73" i="5" s="1" a="1"/>
  <c r="AN73" i="5" s="1"/>
  <c r="H74" i="6" a="1"/>
  <c r="H74" i="6" s="1"/>
  <c r="T74" i="5" s="1"/>
  <c r="G74" i="12" s="1" a="1"/>
  <c r="G74" i="12" s="1"/>
  <c r="G74" i="6"/>
  <c r="S74" i="5" a="1"/>
  <c r="S74" i="5" s="1"/>
  <c r="F74" i="12" s="1" a="1"/>
  <c r="F74" i="12" s="1"/>
  <c r="AG74" i="5" a="1"/>
  <c r="AG74" i="5" s="1"/>
  <c r="H75" i="5"/>
  <c r="AE75" i="5" a="1"/>
  <c r="AE75" i="5" s="1"/>
  <c r="F75" i="5"/>
  <c r="D75" i="5"/>
  <c r="B75" i="12" s="1"/>
  <c r="G75" i="5"/>
  <c r="B75" i="6"/>
  <c r="J75" i="6" s="1" a="1"/>
  <c r="J75" i="6" s="1"/>
  <c r="E75" i="5"/>
  <c r="A75" i="12"/>
  <c r="J75" i="5"/>
  <c r="B75" i="5"/>
  <c r="K75" i="5"/>
  <c r="AD75" i="5"/>
  <c r="N75" i="5"/>
  <c r="D75" i="6" s="1"/>
  <c r="H75" i="6" s="1" a="1"/>
  <c r="H75" i="6" s="1"/>
  <c r="T75" i="5" s="1"/>
  <c r="G75" i="12" s="1" a="1"/>
  <c r="G75" i="12" s="1"/>
  <c r="L77" i="6"/>
  <c r="U74" i="5" l="1"/>
  <c r="AN74" i="5" s="1" a="1"/>
  <c r="AN74" i="5" s="1"/>
  <c r="L75" i="12" a="1"/>
  <c r="L75" i="12" s="1"/>
  <c r="J75" i="12" a="1"/>
  <c r="J75" i="12" s="1"/>
  <c r="L78" i="6"/>
  <c r="K75" i="12" l="1"/>
  <c r="A73" i="6"/>
  <c r="L79" i="6"/>
  <c r="L80" i="6" l="1"/>
  <c r="A74" i="6"/>
  <c r="M73" i="6"/>
  <c r="N73" i="6"/>
  <c r="L81" i="6" l="1"/>
  <c r="BF73" i="6" a="1"/>
  <c r="BF73" i="6" s="1"/>
  <c r="BB73" i="6" a="1"/>
  <c r="BB73" i="6" s="1"/>
  <c r="BG73" i="6" a="1"/>
  <c r="BG73" i="6" s="1"/>
  <c r="AV73" i="6"/>
  <c r="AE73" i="6"/>
  <c r="AZ73" i="6" a="1"/>
  <c r="AZ73" i="6" s="1"/>
  <c r="AP73" i="6"/>
  <c r="AG73" i="6"/>
  <c r="BA73" i="6" a="1"/>
  <c r="BA73" i="6" s="1"/>
  <c r="BE73" i="6" a="1"/>
  <c r="BE73" i="6" s="1"/>
  <c r="AO73" i="6"/>
  <c r="AQ73" i="6"/>
  <c r="AX73" i="6" a="1"/>
  <c r="AX73" i="6" s="1"/>
  <c r="AS73" i="6"/>
  <c r="AR73" i="6"/>
  <c r="AN73" i="6"/>
  <c r="AM73" i="6"/>
  <c r="AK73" i="6"/>
  <c r="BD73" i="6" a="1"/>
  <c r="BD73" i="6" s="1"/>
  <c r="AB73" i="6"/>
  <c r="AY73" i="6" a="1"/>
  <c r="AY73" i="6" s="1"/>
  <c r="AU73" i="6"/>
  <c r="AT73" i="6"/>
  <c r="AC73" i="6"/>
  <c r="AJ73" i="6"/>
  <c r="AF73" i="6"/>
  <c r="BC73" i="6" a="1"/>
  <c r="BC73" i="6" s="1"/>
  <c r="AH73" i="6"/>
  <c r="AD73" i="6"/>
  <c r="AI73" i="6"/>
  <c r="M74" i="6"/>
  <c r="N74" i="6"/>
  <c r="A75" i="6"/>
  <c r="C76" i="5" l="1"/>
  <c r="L82" i="6"/>
  <c r="M75" i="6"/>
  <c r="N75" i="6"/>
  <c r="BC74" i="6" a="1"/>
  <c r="BC74" i="6" s="1"/>
  <c r="AN74" i="6"/>
  <c r="AR74" i="6"/>
  <c r="AY74" i="6" a="1"/>
  <c r="AY74" i="6" s="1"/>
  <c r="BD74" i="6" a="1"/>
  <c r="BD74" i="6" s="1"/>
  <c r="BG74" i="6" a="1"/>
  <c r="BG74" i="6" s="1"/>
  <c r="AP74" i="6"/>
  <c r="AX74" i="6" a="1"/>
  <c r="AX74" i="6" s="1"/>
  <c r="AZ74" i="6" a="1"/>
  <c r="AZ74" i="6" s="1"/>
  <c r="BB74" i="6" a="1"/>
  <c r="BB74" i="6" s="1"/>
  <c r="AM74" i="6"/>
  <c r="AQ74" i="6"/>
  <c r="AT74" i="6"/>
  <c r="BF74" i="6" a="1"/>
  <c r="BF74" i="6" s="1"/>
  <c r="AV74" i="6"/>
  <c r="BA74" i="6" a="1"/>
  <c r="BA74" i="6" s="1"/>
  <c r="AS74" i="6"/>
  <c r="AU74" i="6"/>
  <c r="AI74" i="6"/>
  <c r="AO74" i="6"/>
  <c r="BE74" i="6" a="1"/>
  <c r="BE74" i="6" s="1"/>
  <c r="AE74" i="6"/>
  <c r="AC74" i="6"/>
  <c r="AB74" i="6"/>
  <c r="AK74" i="6"/>
  <c r="AF74" i="6"/>
  <c r="AJ74" i="6"/>
  <c r="AH74" i="6"/>
  <c r="AG74" i="6"/>
  <c r="AD74" i="6"/>
  <c r="H76" i="5" l="1"/>
  <c r="C77" i="5"/>
  <c r="A76" i="12"/>
  <c r="AE76" i="5" a="1"/>
  <c r="AE76" i="5" s="1"/>
  <c r="F76" i="5"/>
  <c r="N76" i="5"/>
  <c r="D76" i="6" s="1"/>
  <c r="H76" i="6" s="1" a="1"/>
  <c r="H76" i="6" s="1"/>
  <c r="T76" i="5" s="1"/>
  <c r="G76" i="12" s="1" a="1"/>
  <c r="G76" i="12" s="1"/>
  <c r="J76" i="5"/>
  <c r="K76" i="5"/>
  <c r="B76" i="5"/>
  <c r="D76" i="5"/>
  <c r="B76" i="12" s="1"/>
  <c r="AF76" i="5" a="1"/>
  <c r="AF76" i="5" s="1"/>
  <c r="G76" i="5"/>
  <c r="AD76" i="5"/>
  <c r="E76" i="5"/>
  <c r="B76" i="6"/>
  <c r="J76" i="6" s="1" a="1"/>
  <c r="J76" i="6" s="1"/>
  <c r="L83" i="6"/>
  <c r="AR75" i="6"/>
  <c r="BG75" i="6" a="1"/>
  <c r="BG75" i="6" s="1"/>
  <c r="AV75" i="6"/>
  <c r="BA75" i="6" a="1"/>
  <c r="BA75" i="6" s="1"/>
  <c r="BB75" i="6" a="1"/>
  <c r="BB75" i="6" s="1"/>
  <c r="AQ75" i="6"/>
  <c r="AP75" i="6"/>
  <c r="BD75" i="6" a="1"/>
  <c r="BD75" i="6" s="1"/>
  <c r="AU75" i="6"/>
  <c r="AT75" i="6"/>
  <c r="AZ75" i="6" a="1"/>
  <c r="AZ75" i="6" s="1"/>
  <c r="AY75" i="6" a="1"/>
  <c r="AY75" i="6" s="1"/>
  <c r="AN75" i="6"/>
  <c r="AO75" i="6"/>
  <c r="AM75" i="6"/>
  <c r="BF75" i="6" a="1"/>
  <c r="BF75" i="6" s="1"/>
  <c r="AE75" i="6"/>
  <c r="AK75" i="6"/>
  <c r="AJ75" i="6"/>
  <c r="BC75" i="6" a="1"/>
  <c r="BC75" i="6" s="1"/>
  <c r="BE75" i="6" a="1"/>
  <c r="BE75" i="6" s="1"/>
  <c r="AS75" i="6"/>
  <c r="AX75" i="6" a="1"/>
  <c r="AX75" i="6" s="1"/>
  <c r="AH75" i="6"/>
  <c r="AC75" i="6"/>
  <c r="AI75" i="6"/>
  <c r="AD75" i="6"/>
  <c r="AG75" i="6"/>
  <c r="AB75" i="6"/>
  <c r="AF75" i="6"/>
  <c r="I73" i="5"/>
  <c r="S76" i="5" l="1" a="1"/>
  <c r="S76" i="5" s="1"/>
  <c r="R76" i="5" a="1"/>
  <c r="R76" i="5" s="1"/>
  <c r="AG76" i="5" a="1"/>
  <c r="AG76" i="5" s="1"/>
  <c r="U76" i="5" s="1"/>
  <c r="L76" i="12" a="1"/>
  <c r="L76" i="12" s="1"/>
  <c r="J76" i="12" a="1"/>
  <c r="J76" i="12" s="1"/>
  <c r="A77" i="12"/>
  <c r="N77" i="5"/>
  <c r="D77" i="6" s="1"/>
  <c r="H77" i="6" s="1" a="1"/>
  <c r="H77" i="6" s="1"/>
  <c r="T77" i="5" s="1"/>
  <c r="G77" i="12" s="1" a="1"/>
  <c r="G77" i="12" s="1"/>
  <c r="B77" i="5"/>
  <c r="F77" i="5"/>
  <c r="J77" i="5"/>
  <c r="C78" i="5"/>
  <c r="G77" i="5"/>
  <c r="B77" i="6"/>
  <c r="J77" i="6" s="1" a="1"/>
  <c r="J77" i="6" s="1"/>
  <c r="E77" i="5"/>
  <c r="D77" i="5"/>
  <c r="B77" i="12" s="1"/>
  <c r="AF77" i="5" a="1"/>
  <c r="AF77" i="5" s="1"/>
  <c r="AE77" i="5" a="1"/>
  <c r="AE77" i="5" s="1"/>
  <c r="H77" i="5"/>
  <c r="K77" i="5"/>
  <c r="AD77" i="5"/>
  <c r="I74" i="5"/>
  <c r="L84" i="6"/>
  <c r="K76" i="12" l="1"/>
  <c r="N78" i="5"/>
  <c r="D78" i="6" s="1"/>
  <c r="H78" i="6" s="1" a="1"/>
  <c r="H78" i="6" s="1"/>
  <c r="T78" i="5" s="1"/>
  <c r="G78" i="12" s="1" a="1"/>
  <c r="G78" i="12" s="1"/>
  <c r="B78" i="6"/>
  <c r="J78" i="6" s="1" a="1"/>
  <c r="J78" i="6" s="1"/>
  <c r="AE78" i="5" a="1"/>
  <c r="AE78" i="5" s="1"/>
  <c r="A78" i="12"/>
  <c r="D78" i="5"/>
  <c r="B78" i="12" s="1"/>
  <c r="E78" i="5"/>
  <c r="H78" i="5"/>
  <c r="K78" i="5"/>
  <c r="C79" i="5"/>
  <c r="AD78" i="5"/>
  <c r="G78" i="5"/>
  <c r="J78" i="5"/>
  <c r="AF78" i="5" a="1"/>
  <c r="AF78" i="5" s="1"/>
  <c r="B78" i="5"/>
  <c r="F78" i="5"/>
  <c r="W76" i="5" a="1"/>
  <c r="W76" i="5" s="1"/>
  <c r="H76" i="12" s="1" a="1"/>
  <c r="H76" i="12" s="1"/>
  <c r="AN76" i="5" a="1"/>
  <c r="AN76" i="5" s="1"/>
  <c r="R77" i="5" a="1"/>
  <c r="R77" i="5" s="1"/>
  <c r="AG77" i="5" a="1"/>
  <c r="AG77" i="5" s="1"/>
  <c r="U77" i="5" s="1"/>
  <c r="S77" i="5" a="1"/>
  <c r="S77" i="5" s="1"/>
  <c r="E76" i="12"/>
  <c r="F76" i="6"/>
  <c r="F76" i="12" a="1"/>
  <c r="F76" i="12" s="1"/>
  <c r="G76" i="6"/>
  <c r="J77" i="12" a="1"/>
  <c r="J77" i="12" s="1"/>
  <c r="L77" i="12" a="1"/>
  <c r="L77" i="12" s="1"/>
  <c r="L85" i="6"/>
  <c r="A76" i="6"/>
  <c r="K77" i="12" l="1"/>
  <c r="F77" i="12" a="1"/>
  <c r="F77" i="12" s="1"/>
  <c r="G77" i="6"/>
  <c r="R78" i="5" a="1"/>
  <c r="R78" i="5" s="1"/>
  <c r="S78" i="5" a="1"/>
  <c r="S78" i="5" s="1"/>
  <c r="AG78" i="5" a="1"/>
  <c r="AG78" i="5" s="1"/>
  <c r="U78" i="5" s="1"/>
  <c r="AN77" i="5" a="1"/>
  <c r="AN77" i="5" s="1"/>
  <c r="W77" i="5" a="1"/>
  <c r="W77" i="5" s="1"/>
  <c r="H77" i="12" s="1" a="1"/>
  <c r="H77" i="12" s="1"/>
  <c r="J78" i="12" a="1"/>
  <c r="J78" i="12" s="1"/>
  <c r="L78" i="12" a="1"/>
  <c r="L78" i="12" s="1"/>
  <c r="E77" i="12"/>
  <c r="F77" i="6"/>
  <c r="J79" i="5"/>
  <c r="AD79" i="5"/>
  <c r="E79" i="5"/>
  <c r="N79" i="5"/>
  <c r="D79" i="6" s="1"/>
  <c r="H79" i="6" s="1" a="1"/>
  <c r="H79" i="6" s="1"/>
  <c r="T79" i="5" s="1"/>
  <c r="G79" i="12" s="1" a="1"/>
  <c r="G79" i="12" s="1"/>
  <c r="H79" i="5"/>
  <c r="K79" i="5"/>
  <c r="AF79" i="5" a="1"/>
  <c r="AF79" i="5" s="1"/>
  <c r="B79" i="5"/>
  <c r="B79" i="6"/>
  <c r="J79" i="6" s="1" a="1"/>
  <c r="J79" i="6" s="1"/>
  <c r="F79" i="5"/>
  <c r="G79" i="5"/>
  <c r="D79" i="5"/>
  <c r="B79" i="12" s="1"/>
  <c r="C80" i="5"/>
  <c r="AE79" i="5" a="1"/>
  <c r="AE79" i="5" s="1"/>
  <c r="A79" i="12"/>
  <c r="N76" i="6"/>
  <c r="M76" i="6"/>
  <c r="A77" i="6"/>
  <c r="L86" i="6"/>
  <c r="AN78" i="5" l="1" a="1"/>
  <c r="AN78" i="5" s="1"/>
  <c r="W78" i="5" a="1"/>
  <c r="W78" i="5" s="1"/>
  <c r="H78" i="12" s="1" a="1"/>
  <c r="H78" i="12" s="1"/>
  <c r="F78" i="12" a="1"/>
  <c r="F78" i="12" s="1"/>
  <c r="G78" i="6"/>
  <c r="E78" i="12"/>
  <c r="F78" i="6"/>
  <c r="J79" i="12" a="1"/>
  <c r="J79" i="12" s="1"/>
  <c r="L79" i="12" a="1"/>
  <c r="L79" i="12" s="1"/>
  <c r="S79" i="5" a="1"/>
  <c r="S79" i="5" s="1"/>
  <c r="F79" i="12" s="1" a="1"/>
  <c r="F79" i="12" s="1"/>
  <c r="R79" i="5" a="1"/>
  <c r="R79" i="5" s="1"/>
  <c r="AG79" i="5" a="1"/>
  <c r="AG79" i="5" s="1"/>
  <c r="U79" i="5" s="1"/>
  <c r="F80" i="5"/>
  <c r="AD80" i="5"/>
  <c r="D80" i="5"/>
  <c r="B80" i="12" s="1"/>
  <c r="E80" i="5"/>
  <c r="B80" i="5"/>
  <c r="H80" i="5"/>
  <c r="AF80" i="5" a="1"/>
  <c r="AF80" i="5" s="1"/>
  <c r="N80" i="5"/>
  <c r="D80" i="6" s="1"/>
  <c r="H80" i="6" s="1" a="1"/>
  <c r="H80" i="6" s="1"/>
  <c r="T80" i="5" s="1"/>
  <c r="G80" i="12" s="1" a="1"/>
  <c r="G80" i="12" s="1"/>
  <c r="B80" i="6"/>
  <c r="J80" i="6" s="1" a="1"/>
  <c r="J80" i="6" s="1"/>
  <c r="C81" i="5"/>
  <c r="AE80" i="5" a="1"/>
  <c r="AE80" i="5" s="1"/>
  <c r="K80" i="5"/>
  <c r="A80" i="12"/>
  <c r="G80" i="5"/>
  <c r="J80" i="5"/>
  <c r="K78" i="12"/>
  <c r="L87" i="6"/>
  <c r="M77" i="6"/>
  <c r="N77" i="6"/>
  <c r="A78" i="6"/>
  <c r="AM76" i="6"/>
  <c r="AT76" i="6"/>
  <c r="AZ76" i="6" a="1"/>
  <c r="AZ76" i="6" s="1"/>
  <c r="AJ76" i="6"/>
  <c r="AE76" i="6"/>
  <c r="BC76" i="6" a="1"/>
  <c r="BC76" i="6" s="1"/>
  <c r="BE76" i="6" a="1"/>
  <c r="BE76" i="6" s="1"/>
  <c r="BF76" i="6" a="1"/>
  <c r="BF76" i="6" s="1"/>
  <c r="BG76" i="6" a="1"/>
  <c r="BG76" i="6" s="1"/>
  <c r="AV76" i="6"/>
  <c r="AG76" i="6"/>
  <c r="AK76" i="6"/>
  <c r="AI76" i="6"/>
  <c r="AB76" i="6"/>
  <c r="AR76" i="6"/>
  <c r="AY76" i="6" a="1"/>
  <c r="AY76" i="6" s="1"/>
  <c r="AS76" i="6"/>
  <c r="AX76" i="6" a="1"/>
  <c r="AX76" i="6" s="1"/>
  <c r="AC76" i="6"/>
  <c r="AH76" i="6"/>
  <c r="BA76" i="6" a="1"/>
  <c r="BA76" i="6" s="1"/>
  <c r="AQ76" i="6"/>
  <c r="AP76" i="6"/>
  <c r="BD76" i="6" a="1"/>
  <c r="BD76" i="6" s="1"/>
  <c r="AD76" i="6"/>
  <c r="AU76" i="6"/>
  <c r="BB76" i="6" a="1"/>
  <c r="BB76" i="6" s="1"/>
  <c r="AN76" i="6"/>
  <c r="AO76" i="6"/>
  <c r="AF76" i="6"/>
  <c r="K79" i="12" l="1"/>
  <c r="N81" i="5"/>
  <c r="D81" i="6" s="1"/>
  <c r="H81" i="6" s="1" a="1"/>
  <c r="H81" i="6" s="1"/>
  <c r="T81" i="5" s="1"/>
  <c r="G81" i="12" s="1" a="1"/>
  <c r="G81" i="12" s="1"/>
  <c r="AF81" i="5" a="1"/>
  <c r="AF81" i="5" s="1"/>
  <c r="R81" i="5" s="1" a="1"/>
  <c r="R81" i="5" s="1"/>
  <c r="E81" i="12" s="1"/>
  <c r="F81" i="5"/>
  <c r="K81" i="5"/>
  <c r="H81" i="5"/>
  <c r="B81" i="6"/>
  <c r="J81" i="6" s="1" a="1"/>
  <c r="J81" i="6" s="1"/>
  <c r="E81" i="5"/>
  <c r="D81" i="5"/>
  <c r="B81" i="12" s="1"/>
  <c r="A81" i="12"/>
  <c r="J81" i="5"/>
  <c r="AD81" i="5"/>
  <c r="AE81" i="5" a="1"/>
  <c r="AE81" i="5" s="1"/>
  <c r="C82" i="5"/>
  <c r="B81" i="5"/>
  <c r="G81" i="5"/>
  <c r="G79" i="6"/>
  <c r="W79" i="5" a="1"/>
  <c r="W79" i="5" s="1"/>
  <c r="H79" i="12" s="1" a="1"/>
  <c r="H79" i="12" s="1"/>
  <c r="AN79" i="5" a="1"/>
  <c r="AN79" i="5" s="1"/>
  <c r="S80" i="5" a="1"/>
  <c r="S80" i="5" s="1"/>
  <c r="F80" i="12" s="1" a="1"/>
  <c r="F80" i="12" s="1"/>
  <c r="AG80" i="5" a="1"/>
  <c r="AG80" i="5" s="1"/>
  <c r="U80" i="5" s="1"/>
  <c r="E79" i="12"/>
  <c r="F79" i="6"/>
  <c r="L80" i="12" a="1"/>
  <c r="L80" i="12" s="1"/>
  <c r="J80" i="12" a="1"/>
  <c r="J80" i="12" s="1"/>
  <c r="R80" i="5" a="1"/>
  <c r="R80" i="5" s="1"/>
  <c r="L88" i="6"/>
  <c r="X76" i="5" a="1"/>
  <c r="X76" i="5" s="1"/>
  <c r="M78" i="6"/>
  <c r="N78" i="6"/>
  <c r="A79" i="6"/>
  <c r="AU77" i="6"/>
  <c r="BG77" i="6" a="1"/>
  <c r="BG77" i="6" s="1"/>
  <c r="AZ77" i="6" a="1"/>
  <c r="AZ77" i="6" s="1"/>
  <c r="AH77" i="6"/>
  <c r="AQ77" i="6"/>
  <c r="BD77" i="6" a="1"/>
  <c r="BD77" i="6" s="1"/>
  <c r="AS77" i="6"/>
  <c r="AM77" i="6"/>
  <c r="AX77" i="6" a="1"/>
  <c r="AX77" i="6" s="1"/>
  <c r="BC77" i="6" a="1"/>
  <c r="BC77" i="6" s="1"/>
  <c r="BF77" i="6" a="1"/>
  <c r="BF77" i="6" s="1"/>
  <c r="BB77" i="6" a="1"/>
  <c r="BB77" i="6" s="1"/>
  <c r="AO77" i="6"/>
  <c r="AT77" i="6"/>
  <c r="AR77" i="6"/>
  <c r="AY77" i="6" a="1"/>
  <c r="AY77" i="6" s="1"/>
  <c r="BE77" i="6" a="1"/>
  <c r="BE77" i="6" s="1"/>
  <c r="AB77" i="6"/>
  <c r="AN77" i="6"/>
  <c r="AV77" i="6"/>
  <c r="AP77" i="6"/>
  <c r="BA77" i="6" a="1"/>
  <c r="BA77" i="6" s="1"/>
  <c r="AI77" i="6"/>
  <c r="AC77" i="6"/>
  <c r="AG77" i="6"/>
  <c r="AK77" i="6"/>
  <c r="AF77" i="6"/>
  <c r="AD77" i="6"/>
  <c r="AE77" i="6"/>
  <c r="AJ77" i="6"/>
  <c r="G80" i="6" l="1"/>
  <c r="K80" i="12"/>
  <c r="F81" i="6"/>
  <c r="W80" i="5" a="1"/>
  <c r="W80" i="5" s="1"/>
  <c r="H80" i="12" s="1" a="1"/>
  <c r="H80" i="12" s="1"/>
  <c r="AN80" i="5" a="1"/>
  <c r="AN80" i="5" s="1"/>
  <c r="D82" i="5"/>
  <c r="B82" i="12" s="1"/>
  <c r="K82" i="5"/>
  <c r="H82" i="5"/>
  <c r="E82" i="5"/>
  <c r="AE82" i="5" a="1"/>
  <c r="AE82" i="5" s="1"/>
  <c r="AD82" i="5"/>
  <c r="B82" i="6"/>
  <c r="J82" i="6" s="1" a="1"/>
  <c r="J82" i="6" s="1"/>
  <c r="G82" i="5"/>
  <c r="A82" i="12"/>
  <c r="B82" i="5"/>
  <c r="F82" i="5"/>
  <c r="N82" i="5"/>
  <c r="D82" i="6" s="1"/>
  <c r="H82" i="6" s="1" a="1"/>
  <c r="H82" i="6" s="1"/>
  <c r="T82" i="5" s="1"/>
  <c r="G82" i="12" s="1" a="1"/>
  <c r="G82" i="12" s="1"/>
  <c r="AF82" i="5" a="1"/>
  <c r="AF82" i="5" s="1"/>
  <c r="C83" i="5"/>
  <c r="J82" i="5"/>
  <c r="E80" i="12"/>
  <c r="F80" i="6"/>
  <c r="S81" i="5" a="1"/>
  <c r="S81" i="5" s="1"/>
  <c r="AG81" i="5" a="1"/>
  <c r="AG81" i="5" s="1"/>
  <c r="U81" i="5" s="1"/>
  <c r="J81" i="12" a="1"/>
  <c r="J81" i="12" s="1"/>
  <c r="L81" i="12" a="1"/>
  <c r="L81" i="12" s="1"/>
  <c r="I76" i="12"/>
  <c r="AM76" i="5"/>
  <c r="L76" i="5"/>
  <c r="Z76" i="5"/>
  <c r="N79" i="6"/>
  <c r="M79" i="6"/>
  <c r="A80" i="6"/>
  <c r="AQ78" i="6"/>
  <c r="AX78" i="6" a="1"/>
  <c r="AX78" i="6" s="1"/>
  <c r="AO78" i="6"/>
  <c r="AM78" i="6"/>
  <c r="BF78" i="6" a="1"/>
  <c r="BF78" i="6" s="1"/>
  <c r="AN78" i="6"/>
  <c r="AV78" i="6"/>
  <c r="BC78" i="6" a="1"/>
  <c r="BC78" i="6" s="1"/>
  <c r="AR78" i="6"/>
  <c r="AZ78" i="6" a="1"/>
  <c r="AZ78" i="6" s="1"/>
  <c r="AS78" i="6"/>
  <c r="AT78" i="6"/>
  <c r="BD78" i="6" a="1"/>
  <c r="BD78" i="6" s="1"/>
  <c r="AY78" i="6" a="1"/>
  <c r="AY78" i="6" s="1"/>
  <c r="AU78" i="6"/>
  <c r="BB78" i="6" a="1"/>
  <c r="BB78" i="6" s="1"/>
  <c r="BG78" i="6" a="1"/>
  <c r="BG78" i="6" s="1"/>
  <c r="BA78" i="6" a="1"/>
  <c r="BA78" i="6" s="1"/>
  <c r="BE78" i="6" a="1"/>
  <c r="BE78" i="6" s="1"/>
  <c r="AP78" i="6"/>
  <c r="AK78" i="6"/>
  <c r="AB78" i="6"/>
  <c r="AG78" i="6"/>
  <c r="AJ78" i="6"/>
  <c r="AH78" i="6"/>
  <c r="AE78" i="6"/>
  <c r="AD78" i="6"/>
  <c r="AI78" i="6"/>
  <c r="AF78" i="6"/>
  <c r="AC78" i="6"/>
  <c r="L89" i="6"/>
  <c r="X77" i="5" a="1"/>
  <c r="X77" i="5" s="1"/>
  <c r="K81" i="12" l="1"/>
  <c r="R82" i="5" a="1"/>
  <c r="R82" i="5" s="1"/>
  <c r="AG82" i="5" a="1"/>
  <c r="AG82" i="5" s="1"/>
  <c r="U82" i="5" s="1"/>
  <c r="S82" i="5" a="1"/>
  <c r="S82" i="5" s="1"/>
  <c r="F82" i="12" s="1" a="1"/>
  <c r="F82" i="12" s="1"/>
  <c r="G83" i="5"/>
  <c r="F83" i="5"/>
  <c r="N83" i="5"/>
  <c r="D83" i="6" s="1"/>
  <c r="H83" i="6" s="1" a="1"/>
  <c r="H83" i="6" s="1"/>
  <c r="T83" i="5" s="1"/>
  <c r="G83" i="12" s="1" a="1"/>
  <c r="G83" i="12" s="1"/>
  <c r="K83" i="5"/>
  <c r="C84" i="5"/>
  <c r="AE83" i="5" a="1"/>
  <c r="AE83" i="5" s="1"/>
  <c r="AF83" i="5" a="1"/>
  <c r="AF83" i="5" s="1"/>
  <c r="R83" i="5" s="1" a="1"/>
  <c r="R83" i="5" s="1"/>
  <c r="F83" i="6" s="1"/>
  <c r="A83" i="12"/>
  <c r="D83" i="5"/>
  <c r="B83" i="12" s="1"/>
  <c r="AD83" i="5"/>
  <c r="E83" i="5"/>
  <c r="B83" i="5"/>
  <c r="J83" i="5"/>
  <c r="B83" i="6"/>
  <c r="J83" i="6" s="1" a="1"/>
  <c r="J83" i="6" s="1"/>
  <c r="H83" i="5"/>
  <c r="W81" i="5" a="1"/>
  <c r="W81" i="5" s="1"/>
  <c r="H81" i="12" s="1" a="1"/>
  <c r="H81" i="12" s="1"/>
  <c r="AN81" i="5" a="1"/>
  <c r="AN81" i="5" s="1"/>
  <c r="F81" i="12" a="1"/>
  <c r="F81" i="12" s="1"/>
  <c r="G81" i="6"/>
  <c r="J82" i="12" a="1"/>
  <c r="J82" i="12" s="1"/>
  <c r="L82" i="12" a="1"/>
  <c r="L82" i="12" s="1"/>
  <c r="X78" i="5" a="1"/>
  <c r="X78" i="5" s="1"/>
  <c r="L90" i="6"/>
  <c r="AB76" i="5" a="1"/>
  <c r="AB76" i="5" s="1"/>
  <c r="AA76" i="5" a="1"/>
  <c r="AA76" i="5" s="1"/>
  <c r="N80" i="6"/>
  <c r="M80" i="6"/>
  <c r="A81" i="6"/>
  <c r="C76" i="6"/>
  <c r="O76" i="5"/>
  <c r="AC76" i="5" a="1"/>
  <c r="AC76" i="5" s="1"/>
  <c r="I77" i="12"/>
  <c r="L77" i="5"/>
  <c r="AM77" i="5"/>
  <c r="Z77" i="5"/>
  <c r="BB79" i="6" a="1"/>
  <c r="BB79" i="6" s="1"/>
  <c r="BD79" i="6" a="1"/>
  <c r="BD79" i="6" s="1"/>
  <c r="AP79" i="6"/>
  <c r="AY79" i="6" a="1"/>
  <c r="AY79" i="6" s="1"/>
  <c r="AV79" i="6"/>
  <c r="BC79" i="6" a="1"/>
  <c r="BC79" i="6" s="1"/>
  <c r="BF79" i="6" a="1"/>
  <c r="BF79" i="6" s="1"/>
  <c r="BG79" i="6" a="1"/>
  <c r="BG79" i="6" s="1"/>
  <c r="AX79" i="6" a="1"/>
  <c r="AX79" i="6" s="1"/>
  <c r="BE79" i="6" a="1"/>
  <c r="BE79" i="6" s="1"/>
  <c r="AO79" i="6"/>
  <c r="AS79" i="6"/>
  <c r="BA79" i="6" a="1"/>
  <c r="BA79" i="6" s="1"/>
  <c r="AU79" i="6"/>
  <c r="AR79" i="6"/>
  <c r="AN79" i="6"/>
  <c r="AM79" i="6"/>
  <c r="AT79" i="6"/>
  <c r="AZ79" i="6" a="1"/>
  <c r="AZ79" i="6" s="1"/>
  <c r="AQ79" i="6"/>
  <c r="AD79" i="6"/>
  <c r="AI79" i="6"/>
  <c r="AG79" i="6"/>
  <c r="AF79" i="6"/>
  <c r="AJ79" i="6"/>
  <c r="AK79" i="6"/>
  <c r="AC79" i="6"/>
  <c r="AB79" i="6"/>
  <c r="AH79" i="6"/>
  <c r="AE79" i="6"/>
  <c r="C76" i="12"/>
  <c r="O76" i="12" a="1"/>
  <c r="O76" i="12" s="1"/>
  <c r="AO76" i="12" a="1"/>
  <c r="AO76" i="12" s="1"/>
  <c r="M76" i="12" a="1"/>
  <c r="M76" i="12" s="1"/>
  <c r="G82" i="6" l="1"/>
  <c r="E83" i="12"/>
  <c r="J83" i="12" a="1"/>
  <c r="J83" i="12" s="1"/>
  <c r="L83" i="12" a="1"/>
  <c r="L83" i="12" s="1"/>
  <c r="K82" i="12"/>
  <c r="S83" i="5" a="1"/>
  <c r="S83" i="5" s="1"/>
  <c r="AG83" i="5" a="1"/>
  <c r="AG83" i="5" s="1"/>
  <c r="U83" i="5" s="1"/>
  <c r="AN82" i="5" a="1"/>
  <c r="AN82" i="5" s="1"/>
  <c r="W82" i="5" a="1"/>
  <c r="W82" i="5" s="1"/>
  <c r="H82" i="12" s="1" a="1"/>
  <c r="H82" i="12" s="1"/>
  <c r="E82" i="12"/>
  <c r="F82" i="6"/>
  <c r="K84" i="5"/>
  <c r="D84" i="5"/>
  <c r="B84" i="12" s="1"/>
  <c r="AF84" i="5" a="1"/>
  <c r="AF84" i="5" s="1"/>
  <c r="N84" i="5"/>
  <c r="D84" i="6" s="1"/>
  <c r="H84" i="6" s="1" a="1"/>
  <c r="H84" i="6" s="1"/>
  <c r="T84" i="5" s="1"/>
  <c r="G84" i="12" s="1" a="1"/>
  <c r="G84" i="12" s="1"/>
  <c r="AE84" i="5" a="1"/>
  <c r="AE84" i="5" s="1"/>
  <c r="C85" i="5"/>
  <c r="AD84" i="5"/>
  <c r="E84" i="5"/>
  <c r="B84" i="6"/>
  <c r="J84" i="6" s="1" a="1"/>
  <c r="J84" i="6" s="1"/>
  <c r="A84" i="12"/>
  <c r="G84" i="5"/>
  <c r="B84" i="5"/>
  <c r="H84" i="5"/>
  <c r="J84" i="5"/>
  <c r="F84" i="5"/>
  <c r="O77" i="5"/>
  <c r="C77" i="6"/>
  <c r="AC77" i="5" a="1"/>
  <c r="AC77" i="5" s="1"/>
  <c r="I78" i="12"/>
  <c r="AM78" i="5"/>
  <c r="L78" i="5"/>
  <c r="Z78" i="5"/>
  <c r="C77" i="12"/>
  <c r="AO77" i="12" a="1"/>
  <c r="AO77" i="12" s="1"/>
  <c r="M77" i="12" a="1"/>
  <c r="M77" i="12" s="1"/>
  <c r="O77" i="12" a="1"/>
  <c r="O77" i="12" s="1"/>
  <c r="Y76" i="12"/>
  <c r="X79" i="5" a="1"/>
  <c r="X79" i="5" s="1"/>
  <c r="N81" i="6"/>
  <c r="M81" i="6"/>
  <c r="A82" i="6"/>
  <c r="BG80" i="6" a="1"/>
  <c r="BG80" i="6" s="1"/>
  <c r="AY80" i="6" a="1"/>
  <c r="AY80" i="6" s="1"/>
  <c r="AT80" i="6"/>
  <c r="AV80" i="6"/>
  <c r="BA80" i="6" a="1"/>
  <c r="BA80" i="6" s="1"/>
  <c r="AS80" i="6"/>
  <c r="AF80" i="6"/>
  <c r="AQ80" i="6"/>
  <c r="AP80" i="6"/>
  <c r="AB80" i="6"/>
  <c r="BB80" i="6" a="1"/>
  <c r="BB80" i="6" s="1"/>
  <c r="BF80" i="6" a="1"/>
  <c r="BF80" i="6" s="1"/>
  <c r="AX80" i="6" a="1"/>
  <c r="AX80" i="6" s="1"/>
  <c r="AM80" i="6"/>
  <c r="AZ80" i="6" a="1"/>
  <c r="AZ80" i="6" s="1"/>
  <c r="AO80" i="6"/>
  <c r="BE80" i="6" a="1"/>
  <c r="BE80" i="6" s="1"/>
  <c r="BC80" i="6" a="1"/>
  <c r="BC80" i="6" s="1"/>
  <c r="AN80" i="6"/>
  <c r="AR80" i="6"/>
  <c r="AU80" i="6"/>
  <c r="BD80" i="6" a="1"/>
  <c r="BD80" i="6" s="1"/>
  <c r="AE80" i="6"/>
  <c r="AC80" i="6"/>
  <c r="AJ80" i="6"/>
  <c r="AK80" i="6"/>
  <c r="AI80" i="6"/>
  <c r="AG80" i="6"/>
  <c r="AH80" i="6"/>
  <c r="AD80" i="6"/>
  <c r="L91" i="6"/>
  <c r="N76" i="12"/>
  <c r="D76" i="12"/>
  <c r="E76" i="6"/>
  <c r="AB77" i="5" a="1"/>
  <c r="AB77" i="5" s="1"/>
  <c r="AA77" i="5" a="1"/>
  <c r="AA77" i="5" s="1"/>
  <c r="K83" i="12" l="1"/>
  <c r="B85" i="5"/>
  <c r="AE85" i="5" a="1"/>
  <c r="AE85" i="5" s="1"/>
  <c r="G85" i="5"/>
  <c r="N85" i="5"/>
  <c r="D85" i="6" s="1"/>
  <c r="H85" i="6" s="1" a="1"/>
  <c r="H85" i="6" s="1"/>
  <c r="T85" i="5" s="1"/>
  <c r="G85" i="12" s="1" a="1"/>
  <c r="G85" i="12" s="1"/>
  <c r="C86" i="5"/>
  <c r="A85" i="12"/>
  <c r="H85" i="5"/>
  <c r="F85" i="5"/>
  <c r="K85" i="5"/>
  <c r="AD85" i="5"/>
  <c r="E85" i="5"/>
  <c r="B85" i="6"/>
  <c r="J85" i="6" s="1" a="1"/>
  <c r="J85" i="6" s="1"/>
  <c r="J85" i="5"/>
  <c r="D85" i="5"/>
  <c r="B85" i="12" s="1"/>
  <c r="AF85" i="5" a="1"/>
  <c r="AF85" i="5" s="1"/>
  <c r="AN83" i="5" a="1"/>
  <c r="AN83" i="5" s="1"/>
  <c r="W83" i="5" a="1"/>
  <c r="W83" i="5" s="1"/>
  <c r="H83" i="12" s="1" a="1"/>
  <c r="H83" i="12" s="1"/>
  <c r="AG84" i="5" a="1"/>
  <c r="AG84" i="5" s="1"/>
  <c r="U84" i="5" s="1"/>
  <c r="S84" i="5" a="1"/>
  <c r="S84" i="5" s="1"/>
  <c r="F84" i="12" s="1" a="1"/>
  <c r="F84" i="12" s="1"/>
  <c r="R84" i="5" a="1"/>
  <c r="R84" i="5" s="1"/>
  <c r="F83" i="12" a="1"/>
  <c r="F83" i="12" s="1"/>
  <c r="G83" i="6"/>
  <c r="L84" i="12" a="1"/>
  <c r="L84" i="12" s="1"/>
  <c r="J84" i="12" a="1"/>
  <c r="J84" i="12" s="1"/>
  <c r="Y77" i="12"/>
  <c r="X77" i="12" s="1" a="1"/>
  <c r="X77" i="12" s="1"/>
  <c r="N77" i="12"/>
  <c r="W76" i="12" a="1"/>
  <c r="W76" i="12" s="1"/>
  <c r="X76" i="12" a="1"/>
  <c r="X76" i="12" s="1"/>
  <c r="D77" i="12"/>
  <c r="E77" i="6"/>
  <c r="X80" i="5" a="1"/>
  <c r="X80" i="5" s="1"/>
  <c r="AT81" i="6"/>
  <c r="BB81" i="6" a="1"/>
  <c r="BB81" i="6" s="1"/>
  <c r="AM81" i="6"/>
  <c r="AG81" i="6"/>
  <c r="AP81" i="6"/>
  <c r="AK81" i="6"/>
  <c r="AV81" i="6"/>
  <c r="AO81" i="6"/>
  <c r="AZ81" i="6" a="1"/>
  <c r="AZ81" i="6" s="1"/>
  <c r="AD81" i="6"/>
  <c r="BA81" i="6" a="1"/>
  <c r="BA81" i="6" s="1"/>
  <c r="AQ81" i="6"/>
  <c r="BE81" i="6" a="1"/>
  <c r="BE81" i="6" s="1"/>
  <c r="AN81" i="6"/>
  <c r="BD81" i="6" a="1"/>
  <c r="BD81" i="6" s="1"/>
  <c r="AS81" i="6"/>
  <c r="BG81" i="6" a="1"/>
  <c r="BG81" i="6" s="1"/>
  <c r="AI81" i="6"/>
  <c r="AU81" i="6"/>
  <c r="AX81" i="6" a="1"/>
  <c r="AX81" i="6" s="1"/>
  <c r="AC81" i="6"/>
  <c r="AR81" i="6"/>
  <c r="AY81" i="6" a="1"/>
  <c r="AY81" i="6" s="1"/>
  <c r="BF81" i="6" a="1"/>
  <c r="BF81" i="6" s="1"/>
  <c r="BC81" i="6" a="1"/>
  <c r="BC81" i="6" s="1"/>
  <c r="AB81" i="6"/>
  <c r="AF81" i="6"/>
  <c r="AH81" i="6"/>
  <c r="AE81" i="6"/>
  <c r="AJ81" i="6"/>
  <c r="A83" i="6"/>
  <c r="M82" i="6"/>
  <c r="N82" i="6"/>
  <c r="I79" i="12"/>
  <c r="L79" i="5"/>
  <c r="AM79" i="5"/>
  <c r="Z79" i="5"/>
  <c r="AB78" i="5" a="1"/>
  <c r="AB78" i="5" s="1"/>
  <c r="AA78" i="5" a="1"/>
  <c r="AA78" i="5" s="1"/>
  <c r="C78" i="6"/>
  <c r="O78" i="5"/>
  <c r="AC78" i="5" a="1"/>
  <c r="AC78" i="5" s="1"/>
  <c r="L92" i="6"/>
  <c r="C78" i="12"/>
  <c r="O78" i="12" a="1"/>
  <c r="O78" i="12" s="1"/>
  <c r="AO78" i="12" a="1"/>
  <c r="AO78" i="12" s="1"/>
  <c r="M78" i="12" a="1"/>
  <c r="M78" i="12" s="1"/>
  <c r="K84" i="12" l="1"/>
  <c r="G84" i="6"/>
  <c r="J85" i="12" a="1"/>
  <c r="J85" i="12" s="1"/>
  <c r="L85" i="12" a="1"/>
  <c r="L85" i="12" s="1"/>
  <c r="B86" i="6"/>
  <c r="J86" i="6" s="1" a="1"/>
  <c r="J86" i="6" s="1"/>
  <c r="E86" i="5"/>
  <c r="K86" i="5"/>
  <c r="A86" i="12"/>
  <c r="H86" i="5"/>
  <c r="B86" i="5"/>
  <c r="C87" i="5"/>
  <c r="AD86" i="5"/>
  <c r="J86" i="5"/>
  <c r="D86" i="5"/>
  <c r="B86" i="12" s="1"/>
  <c r="AE86" i="5" a="1"/>
  <c r="AE86" i="5" s="1"/>
  <c r="N86" i="5"/>
  <c r="D86" i="6" s="1"/>
  <c r="H86" i="6" s="1" a="1"/>
  <c r="H86" i="6" s="1"/>
  <c r="T86" i="5" s="1"/>
  <c r="G86" i="12" s="1" a="1"/>
  <c r="G86" i="12" s="1"/>
  <c r="AF86" i="5" a="1"/>
  <c r="AF86" i="5" s="1"/>
  <c r="G86" i="5"/>
  <c r="F86" i="5"/>
  <c r="R85" i="5" a="1"/>
  <c r="R85" i="5" s="1"/>
  <c r="AG85" i="5" a="1"/>
  <c r="AG85" i="5" s="1"/>
  <c r="U85" i="5" s="1"/>
  <c r="S85" i="5" a="1"/>
  <c r="S85" i="5" s="1"/>
  <c r="E84" i="12"/>
  <c r="F84" i="6"/>
  <c r="AN84" i="5" a="1"/>
  <c r="AN84" i="5" s="1"/>
  <c r="W84" i="5" a="1"/>
  <c r="W84" i="5" s="1"/>
  <c r="H84" i="12" s="1" a="1"/>
  <c r="H84" i="12" s="1"/>
  <c r="W77" i="12" a="1"/>
  <c r="W77" i="12" s="1"/>
  <c r="U77" i="12" s="1"/>
  <c r="N78" i="12"/>
  <c r="Y78" i="12"/>
  <c r="X78" i="12" s="1" a="1"/>
  <c r="X78" i="12" s="1"/>
  <c r="O79" i="5"/>
  <c r="C79" i="6"/>
  <c r="AC79" i="5" a="1"/>
  <c r="AC79" i="5" s="1"/>
  <c r="L93" i="6"/>
  <c r="C79" i="12"/>
  <c r="AO79" i="12" a="1"/>
  <c r="AO79" i="12" s="1"/>
  <c r="M79" i="12" a="1"/>
  <c r="M79" i="12" s="1"/>
  <c r="O79" i="12" a="1"/>
  <c r="O79" i="12" s="1"/>
  <c r="BD82" i="6" a="1"/>
  <c r="BD82" i="6" s="1"/>
  <c r="AQ82" i="6"/>
  <c r="AU82" i="6"/>
  <c r="BC82" i="6" a="1"/>
  <c r="BC82" i="6" s="1"/>
  <c r="AC82" i="6"/>
  <c r="AX82" i="6" a="1"/>
  <c r="AX82" i="6" s="1"/>
  <c r="AJ82" i="6"/>
  <c r="AN82" i="6"/>
  <c r="BE82" i="6" a="1"/>
  <c r="BE82" i="6" s="1"/>
  <c r="BB82" i="6" a="1"/>
  <c r="BB82" i="6" s="1"/>
  <c r="AM82" i="6"/>
  <c r="AT82" i="6"/>
  <c r="AR82" i="6"/>
  <c r="AS82" i="6"/>
  <c r="BA82" i="6" a="1"/>
  <c r="BA82" i="6" s="1"/>
  <c r="AZ82" i="6" a="1"/>
  <c r="AZ82" i="6" s="1"/>
  <c r="BF82" i="6" a="1"/>
  <c r="BF82" i="6" s="1"/>
  <c r="AP82" i="6"/>
  <c r="AI82" i="6"/>
  <c r="AV82" i="6"/>
  <c r="AB82" i="6"/>
  <c r="AF82" i="6"/>
  <c r="BG82" i="6" a="1"/>
  <c r="BG82" i="6" s="1"/>
  <c r="AH82" i="6"/>
  <c r="AE82" i="6"/>
  <c r="AO82" i="6"/>
  <c r="AY82" i="6" a="1"/>
  <c r="AY82" i="6" s="1"/>
  <c r="AG82" i="6"/>
  <c r="AD82" i="6"/>
  <c r="AK82" i="6"/>
  <c r="D78" i="12"/>
  <c r="E78" i="6"/>
  <c r="M83" i="6"/>
  <c r="A84" i="6"/>
  <c r="N83" i="6"/>
  <c r="I80" i="12"/>
  <c r="L80" i="5"/>
  <c r="AM80" i="5"/>
  <c r="Z80" i="5"/>
  <c r="V76" i="12" a="1"/>
  <c r="V76" i="12" s="1"/>
  <c r="U76" i="12"/>
  <c r="T76" i="12"/>
  <c r="AA79" i="5" a="1"/>
  <c r="AA79" i="5" s="1"/>
  <c r="AB79" i="5" a="1"/>
  <c r="AB79" i="5" s="1"/>
  <c r="X81" i="5" a="1"/>
  <c r="X81" i="5" s="1"/>
  <c r="K85" i="12" l="1"/>
  <c r="R86" i="5" a="1"/>
  <c r="R86" i="5" s="1"/>
  <c r="AG86" i="5" a="1"/>
  <c r="AG86" i="5" s="1"/>
  <c r="U86" i="5" s="1"/>
  <c r="S86" i="5" a="1"/>
  <c r="S86" i="5" s="1"/>
  <c r="F86" i="12" s="1" a="1"/>
  <c r="F86" i="12" s="1"/>
  <c r="J86" i="12" a="1"/>
  <c r="J86" i="12" s="1"/>
  <c r="L86" i="12" a="1"/>
  <c r="L86" i="12" s="1"/>
  <c r="F85" i="12" a="1"/>
  <c r="F85" i="12" s="1"/>
  <c r="G85" i="6"/>
  <c r="W85" i="5" a="1"/>
  <c r="W85" i="5" s="1"/>
  <c r="H85" i="12" s="1" a="1"/>
  <c r="H85" i="12" s="1"/>
  <c r="AN85" i="5" a="1"/>
  <c r="AN85" i="5" s="1"/>
  <c r="F85" i="6"/>
  <c r="E85" i="12"/>
  <c r="B87" i="5"/>
  <c r="A87" i="12"/>
  <c r="E87" i="5"/>
  <c r="G87" i="5"/>
  <c r="AF87" i="5" a="1"/>
  <c r="AF87" i="5" s="1"/>
  <c r="F87" i="5"/>
  <c r="J87" i="5"/>
  <c r="AE87" i="5" a="1"/>
  <c r="AE87" i="5" s="1"/>
  <c r="H87" i="5"/>
  <c r="AD87" i="5"/>
  <c r="N87" i="5"/>
  <c r="D87" i="6" s="1"/>
  <c r="H87" i="6" s="1" a="1"/>
  <c r="H87" i="6" s="1"/>
  <c r="T87" i="5" s="1"/>
  <c r="G87" i="12" s="1" a="1"/>
  <c r="G87" i="12" s="1"/>
  <c r="C88" i="5"/>
  <c r="D87" i="5"/>
  <c r="B87" i="12" s="1"/>
  <c r="B87" i="6"/>
  <c r="J87" i="6" s="1" a="1"/>
  <c r="J87" i="6" s="1"/>
  <c r="K87" i="5"/>
  <c r="W78" i="12" a="1"/>
  <c r="W78" i="12" s="1"/>
  <c r="V78" i="12" s="1" a="1"/>
  <c r="V78" i="12" s="1"/>
  <c r="T77" i="12"/>
  <c r="V77" i="12" a="1"/>
  <c r="V77" i="12" s="1"/>
  <c r="Y79" i="12"/>
  <c r="W79" i="12" s="1" a="1"/>
  <c r="W79" i="12" s="1"/>
  <c r="X82" i="5" a="1"/>
  <c r="X82" i="5" s="1"/>
  <c r="Z82" i="5" s="1"/>
  <c r="N79" i="12"/>
  <c r="AN83" i="6"/>
  <c r="BB83" i="6" a="1"/>
  <c r="BB83" i="6" s="1"/>
  <c r="AX83" i="6" a="1"/>
  <c r="AX83" i="6" s="1"/>
  <c r="AV83" i="6"/>
  <c r="BF83" i="6" a="1"/>
  <c r="BF83" i="6" s="1"/>
  <c r="BE83" i="6" a="1"/>
  <c r="BE83" i="6" s="1"/>
  <c r="AP83" i="6"/>
  <c r="AT83" i="6"/>
  <c r="AY83" i="6" a="1"/>
  <c r="AY83" i="6" s="1"/>
  <c r="AQ83" i="6"/>
  <c r="AM83" i="6"/>
  <c r="BA83" i="6" a="1"/>
  <c r="BA83" i="6" s="1"/>
  <c r="AU83" i="6"/>
  <c r="BG83" i="6" a="1"/>
  <c r="BG83" i="6" s="1"/>
  <c r="BD83" i="6" a="1"/>
  <c r="BD83" i="6" s="1"/>
  <c r="AR83" i="6"/>
  <c r="AS83" i="6"/>
  <c r="AO83" i="6"/>
  <c r="AZ83" i="6" a="1"/>
  <c r="AZ83" i="6" s="1"/>
  <c r="BC83" i="6" a="1"/>
  <c r="BC83" i="6" s="1"/>
  <c r="AH83" i="6"/>
  <c r="AG83" i="6"/>
  <c r="AF83" i="6"/>
  <c r="AD83" i="6"/>
  <c r="AK83" i="6"/>
  <c r="AJ83" i="6"/>
  <c r="AC83" i="6"/>
  <c r="AB83" i="6"/>
  <c r="AI83" i="6"/>
  <c r="AE83" i="6"/>
  <c r="I81" i="12"/>
  <c r="L81" i="5"/>
  <c r="AM81" i="5"/>
  <c r="Z81" i="5"/>
  <c r="AA80" i="5" a="1"/>
  <c r="AA80" i="5" s="1"/>
  <c r="AB80" i="5" a="1"/>
  <c r="AB80" i="5" s="1"/>
  <c r="L94" i="6"/>
  <c r="C80" i="6"/>
  <c r="O80" i="5"/>
  <c r="AC80" i="5" a="1"/>
  <c r="AC80" i="5" s="1"/>
  <c r="C80" i="12"/>
  <c r="M80" i="12" a="1"/>
  <c r="M80" i="12" s="1"/>
  <c r="AO80" i="12" a="1"/>
  <c r="AO80" i="12" s="1"/>
  <c r="O80" i="12" a="1"/>
  <c r="O80" i="12" s="1"/>
  <c r="M84" i="6"/>
  <c r="A85" i="6"/>
  <c r="N84" i="6"/>
  <c r="D79" i="12"/>
  <c r="E79" i="6"/>
  <c r="U78" i="12" l="1"/>
  <c r="G86" i="6"/>
  <c r="K86" i="12"/>
  <c r="B88" i="5"/>
  <c r="B88" i="6"/>
  <c r="J88" i="6" s="1" a="1"/>
  <c r="J88" i="6" s="1"/>
  <c r="AD88" i="5"/>
  <c r="K88" i="5"/>
  <c r="C89" i="5"/>
  <c r="F88" i="5"/>
  <c r="AE88" i="5" a="1"/>
  <c r="AE88" i="5" s="1"/>
  <c r="H88" i="5"/>
  <c r="J88" i="5"/>
  <c r="G88" i="5"/>
  <c r="N88" i="5"/>
  <c r="D88" i="6" s="1"/>
  <c r="H88" i="6" s="1" a="1"/>
  <c r="H88" i="6" s="1"/>
  <c r="T88" i="5" s="1"/>
  <c r="G88" i="12" s="1" a="1"/>
  <c r="G88" i="12" s="1"/>
  <c r="AF88" i="5" a="1"/>
  <c r="AF88" i="5" s="1"/>
  <c r="E88" i="5"/>
  <c r="D88" i="5"/>
  <c r="B88" i="12" s="1"/>
  <c r="A88" i="12"/>
  <c r="J87" i="12" a="1"/>
  <c r="J87" i="12" s="1"/>
  <c r="L87" i="12" a="1"/>
  <c r="L87" i="12" s="1"/>
  <c r="AN86" i="5" a="1"/>
  <c r="AN86" i="5" s="1"/>
  <c r="W86" i="5" a="1"/>
  <c r="W86" i="5" s="1"/>
  <c r="H86" i="12" s="1" a="1"/>
  <c r="H86" i="12" s="1"/>
  <c r="R87" i="5" a="1"/>
  <c r="R87" i="5" s="1"/>
  <c r="S87" i="5" a="1"/>
  <c r="S87" i="5" s="1"/>
  <c r="AG87" i="5" a="1"/>
  <c r="AG87" i="5" s="1"/>
  <c r="U87" i="5" s="1"/>
  <c r="F86" i="6"/>
  <c r="E86" i="12"/>
  <c r="T78" i="12"/>
  <c r="X79" i="12" a="1"/>
  <c r="X79" i="12" s="1"/>
  <c r="AM82" i="5"/>
  <c r="L82" i="5"/>
  <c r="O82" i="5" s="1"/>
  <c r="I82" i="12"/>
  <c r="C82" i="12" s="1"/>
  <c r="N80" i="12"/>
  <c r="L95" i="6"/>
  <c r="O81" i="5"/>
  <c r="C81" i="6"/>
  <c r="AC81" i="5" a="1"/>
  <c r="AC81" i="5" s="1"/>
  <c r="C81" i="12"/>
  <c r="AO81" i="12" a="1"/>
  <c r="AO81" i="12" s="1"/>
  <c r="M81" i="12" a="1"/>
  <c r="M81" i="12" s="1"/>
  <c r="O81" i="12" a="1"/>
  <c r="O81" i="12" s="1"/>
  <c r="X83" i="5" a="1"/>
  <c r="X83" i="5" s="1"/>
  <c r="D80" i="12"/>
  <c r="E80" i="6"/>
  <c r="AB81" i="5" a="1"/>
  <c r="AB81" i="5" s="1"/>
  <c r="AA81" i="5" a="1"/>
  <c r="AA81" i="5" s="1"/>
  <c r="N85" i="6"/>
  <c r="M85" i="6"/>
  <c r="A86" i="6"/>
  <c r="AN84" i="6"/>
  <c r="AQ84" i="6"/>
  <c r="BA84" i="6" a="1"/>
  <c r="BA84" i="6" s="1"/>
  <c r="AM84" i="6"/>
  <c r="AJ84" i="6"/>
  <c r="AE84" i="6"/>
  <c r="BE84" i="6" a="1"/>
  <c r="BE84" i="6" s="1"/>
  <c r="BC84" i="6" a="1"/>
  <c r="BC84" i="6" s="1"/>
  <c r="AP84" i="6"/>
  <c r="BF84" i="6" a="1"/>
  <c r="BF84" i="6" s="1"/>
  <c r="AB84" i="6"/>
  <c r="AV84" i="6"/>
  <c r="BG84" i="6" a="1"/>
  <c r="BG84" i="6" s="1"/>
  <c r="AY84" i="6" a="1"/>
  <c r="AY84" i="6" s="1"/>
  <c r="BD84" i="6" a="1"/>
  <c r="BD84" i="6" s="1"/>
  <c r="BB84" i="6" a="1"/>
  <c r="BB84" i="6" s="1"/>
  <c r="AX84" i="6" a="1"/>
  <c r="AX84" i="6" s="1"/>
  <c r="AT84" i="6"/>
  <c r="AO84" i="6"/>
  <c r="AS84" i="6"/>
  <c r="AR84" i="6"/>
  <c r="AU84" i="6"/>
  <c r="AZ84" i="6" a="1"/>
  <c r="AZ84" i="6" s="1"/>
  <c r="AC84" i="6"/>
  <c r="AI84" i="6"/>
  <c r="AD84" i="6"/>
  <c r="AH84" i="6"/>
  <c r="AF84" i="6"/>
  <c r="AG84" i="6"/>
  <c r="AK84" i="6"/>
  <c r="Y80" i="12"/>
  <c r="AB82" i="5" a="1"/>
  <c r="AB82" i="5" s="1"/>
  <c r="AA82" i="5" a="1"/>
  <c r="AA82" i="5" s="1"/>
  <c r="V79" i="12" a="1"/>
  <c r="V79" i="12" s="1"/>
  <c r="U79" i="12"/>
  <c r="T79" i="12"/>
  <c r="F87" i="6" l="1"/>
  <c r="E87" i="12"/>
  <c r="J88" i="12" a="1"/>
  <c r="J88" i="12" s="1"/>
  <c r="L88" i="12" a="1"/>
  <c r="L88" i="12" s="1"/>
  <c r="AN87" i="5" a="1"/>
  <c r="AN87" i="5" s="1"/>
  <c r="W87" i="5" a="1"/>
  <c r="W87" i="5" s="1"/>
  <c r="H87" i="12" s="1" a="1"/>
  <c r="H87" i="12" s="1"/>
  <c r="R88" i="5" a="1"/>
  <c r="R88" i="5" s="1"/>
  <c r="S88" i="5" a="1"/>
  <c r="S88" i="5" s="1"/>
  <c r="AG88" i="5" a="1"/>
  <c r="AG88" i="5" s="1"/>
  <c r="U88" i="5" s="1"/>
  <c r="F87" i="12" a="1"/>
  <c r="F87" i="12" s="1"/>
  <c r="G87" i="6"/>
  <c r="K89" i="5"/>
  <c r="F89" i="5"/>
  <c r="C90" i="5"/>
  <c r="AE89" i="5" a="1"/>
  <c r="AE89" i="5" s="1"/>
  <c r="AF89" i="5" a="1"/>
  <c r="AF89" i="5" s="1"/>
  <c r="J89" i="5"/>
  <c r="N89" i="5"/>
  <c r="D89" i="6" s="1"/>
  <c r="H89" i="6" s="1" a="1"/>
  <c r="H89" i="6" s="1"/>
  <c r="T89" i="5" s="1"/>
  <c r="G89" i="12" s="1" a="1"/>
  <c r="G89" i="12" s="1"/>
  <c r="AD89" i="5"/>
  <c r="D89" i="5"/>
  <c r="B89" i="12" s="1"/>
  <c r="H89" i="5"/>
  <c r="E89" i="5"/>
  <c r="B89" i="6"/>
  <c r="J89" i="6" s="1" a="1"/>
  <c r="J89" i="6" s="1"/>
  <c r="G89" i="5"/>
  <c r="B89" i="5"/>
  <c r="A89" i="12"/>
  <c r="K87" i="12"/>
  <c r="AO82" i="12" a="1"/>
  <c r="AO82" i="12" s="1"/>
  <c r="M82" i="12" a="1"/>
  <c r="M82" i="12" s="1"/>
  <c r="O82" i="12" a="1"/>
  <c r="O82" i="12" s="1"/>
  <c r="AC82" i="5" a="1"/>
  <c r="AC82" i="5" s="1"/>
  <c r="C82" i="6"/>
  <c r="N81" i="12"/>
  <c r="X84" i="5" a="1"/>
  <c r="X84" i="5" s="1"/>
  <c r="Z84" i="5" s="1"/>
  <c r="AO85" i="6"/>
  <c r="BE85" i="6" a="1"/>
  <c r="BE85" i="6" s="1"/>
  <c r="AN85" i="6"/>
  <c r="AD85" i="6"/>
  <c r="AS85" i="6"/>
  <c r="AJ85" i="6"/>
  <c r="BC85" i="6" a="1"/>
  <c r="BC85" i="6" s="1"/>
  <c r="AX85" i="6" a="1"/>
  <c r="AX85" i="6" s="1"/>
  <c r="BD85" i="6" a="1"/>
  <c r="BD85" i="6" s="1"/>
  <c r="AC85" i="6"/>
  <c r="AR85" i="6"/>
  <c r="BB85" i="6" a="1"/>
  <c r="BB85" i="6" s="1"/>
  <c r="BG85" i="6" a="1"/>
  <c r="BG85" i="6" s="1"/>
  <c r="AZ85" i="6" a="1"/>
  <c r="AZ85" i="6" s="1"/>
  <c r="BA85" i="6" a="1"/>
  <c r="BA85" i="6" s="1"/>
  <c r="AE85" i="6"/>
  <c r="AP85" i="6"/>
  <c r="AQ85" i="6"/>
  <c r="AV85" i="6"/>
  <c r="BF85" i="6" a="1"/>
  <c r="BF85" i="6" s="1"/>
  <c r="AU85" i="6"/>
  <c r="AH85" i="6"/>
  <c r="AM85" i="6"/>
  <c r="AB85" i="6"/>
  <c r="AG85" i="6"/>
  <c r="AY85" i="6" a="1"/>
  <c r="AY85" i="6" s="1"/>
  <c r="AT85" i="6"/>
  <c r="AF85" i="6"/>
  <c r="AK85" i="6"/>
  <c r="AI85" i="6"/>
  <c r="D81" i="12"/>
  <c r="E81" i="6"/>
  <c r="W80" i="12" a="1"/>
  <c r="W80" i="12" s="1"/>
  <c r="X80" i="12" a="1"/>
  <c r="X80" i="12" s="1"/>
  <c r="Y81" i="12"/>
  <c r="I83" i="12"/>
  <c r="AM83" i="5"/>
  <c r="L83" i="5"/>
  <c r="Z83" i="5"/>
  <c r="D82" i="12"/>
  <c r="E82" i="6"/>
  <c r="L96" i="6"/>
  <c r="N86" i="6"/>
  <c r="A87" i="6"/>
  <c r="M86" i="6"/>
  <c r="K88" i="12" l="1"/>
  <c r="S89" i="5" a="1"/>
  <c r="S89" i="5" s="1"/>
  <c r="AG89" i="5" a="1"/>
  <c r="AG89" i="5" s="1"/>
  <c r="U89" i="5" s="1"/>
  <c r="R89" i="5" a="1"/>
  <c r="R89" i="5" s="1"/>
  <c r="E88" i="12"/>
  <c r="F88" i="6"/>
  <c r="D90" i="5"/>
  <c r="B90" i="12" s="1"/>
  <c r="N90" i="5"/>
  <c r="D90" i="6" s="1"/>
  <c r="H90" i="6" s="1" a="1"/>
  <c r="H90" i="6" s="1"/>
  <c r="T90" i="5" s="1"/>
  <c r="G90" i="12" s="1" a="1"/>
  <c r="G90" i="12" s="1"/>
  <c r="AE90" i="5" a="1"/>
  <c r="AE90" i="5" s="1"/>
  <c r="B90" i="6"/>
  <c r="J90" i="6" s="1" a="1"/>
  <c r="J90" i="6" s="1"/>
  <c r="AF90" i="5" a="1"/>
  <c r="AF90" i="5" s="1"/>
  <c r="G90" i="5"/>
  <c r="B90" i="5"/>
  <c r="F90" i="5"/>
  <c r="AD90" i="5"/>
  <c r="A90" i="12"/>
  <c r="J90" i="5"/>
  <c r="C91" i="5"/>
  <c r="E90" i="5"/>
  <c r="H90" i="5"/>
  <c r="K90" i="5"/>
  <c r="F88" i="12" a="1"/>
  <c r="F88" i="12" s="1"/>
  <c r="G88" i="6"/>
  <c r="L89" i="12" a="1"/>
  <c r="L89" i="12" s="1"/>
  <c r="J89" i="12" a="1"/>
  <c r="J89" i="12" s="1"/>
  <c r="W88" i="5" a="1"/>
  <c r="W88" i="5" s="1"/>
  <c r="H88" i="12" s="1" a="1"/>
  <c r="H88" i="12" s="1"/>
  <c r="AN88" i="5" a="1"/>
  <c r="AN88" i="5" s="1"/>
  <c r="I84" i="12"/>
  <c r="C84" i="12" s="1"/>
  <c r="Y82" i="12"/>
  <c r="W82" i="12" s="1" a="1"/>
  <c r="W82" i="12" s="1"/>
  <c r="N82" i="12"/>
  <c r="AM84" i="5"/>
  <c r="L84" i="5"/>
  <c r="AC84" i="5" s="1" a="1"/>
  <c r="AC84" i="5" s="1"/>
  <c r="X85" i="5" a="1"/>
  <c r="X85" i="5" s="1"/>
  <c r="I85" i="12" s="1"/>
  <c r="L97" i="6"/>
  <c r="AA84" i="5" a="1"/>
  <c r="AA84" i="5" s="1"/>
  <c r="AB84" i="5" a="1"/>
  <c r="AB84" i="5" s="1"/>
  <c r="C83" i="6"/>
  <c r="O83" i="5"/>
  <c r="AC83" i="5" a="1"/>
  <c r="AC83" i="5" s="1"/>
  <c r="X81" i="12" a="1"/>
  <c r="X81" i="12" s="1"/>
  <c r="W81" i="12" a="1"/>
  <c r="W81" i="12" s="1"/>
  <c r="AU86" i="6"/>
  <c r="BG86" i="6" a="1"/>
  <c r="BG86" i="6" s="1"/>
  <c r="AN86" i="6"/>
  <c r="BF86" i="6" a="1"/>
  <c r="BF86" i="6" s="1"/>
  <c r="AS86" i="6"/>
  <c r="BD86" i="6" a="1"/>
  <c r="BD86" i="6" s="1"/>
  <c r="AZ86" i="6" a="1"/>
  <c r="AZ86" i="6" s="1"/>
  <c r="AX86" i="6" a="1"/>
  <c r="AX86" i="6" s="1"/>
  <c r="AM86" i="6"/>
  <c r="BC86" i="6" a="1"/>
  <c r="BC86" i="6" s="1"/>
  <c r="AI86" i="6"/>
  <c r="BA86" i="6" a="1"/>
  <c r="BA86" i="6" s="1"/>
  <c r="AP86" i="6"/>
  <c r="AY86" i="6" a="1"/>
  <c r="AY86" i="6" s="1"/>
  <c r="AO86" i="6"/>
  <c r="AK86" i="6"/>
  <c r="AE86" i="6"/>
  <c r="BB86" i="6" a="1"/>
  <c r="BB86" i="6" s="1"/>
  <c r="BE86" i="6" a="1"/>
  <c r="BE86" i="6" s="1"/>
  <c r="AD86" i="6"/>
  <c r="AV86" i="6"/>
  <c r="AR86" i="6"/>
  <c r="AT86" i="6"/>
  <c r="AQ86" i="6"/>
  <c r="AB86" i="6"/>
  <c r="AG86" i="6"/>
  <c r="AH86" i="6"/>
  <c r="AC86" i="6"/>
  <c r="AJ86" i="6"/>
  <c r="AF86" i="6"/>
  <c r="AB83" i="5" a="1"/>
  <c r="AB83" i="5" s="1"/>
  <c r="AA83" i="5" a="1"/>
  <c r="AA83" i="5" s="1"/>
  <c r="C83" i="12"/>
  <c r="O83" i="12" a="1"/>
  <c r="O83" i="12" s="1"/>
  <c r="AO83" i="12" a="1"/>
  <c r="AO83" i="12" s="1"/>
  <c r="M83" i="12" a="1"/>
  <c r="M83" i="12" s="1"/>
  <c r="N87" i="6"/>
  <c r="M87" i="6"/>
  <c r="A88" i="6"/>
  <c r="V80" i="12" a="1"/>
  <c r="V80" i="12" s="1"/>
  <c r="U80" i="12"/>
  <c r="T80" i="12"/>
  <c r="K89" i="12" l="1"/>
  <c r="J90" i="12" a="1"/>
  <c r="J90" i="12" s="1"/>
  <c r="L90" i="12" a="1"/>
  <c r="L90" i="12" s="1"/>
  <c r="E89" i="12"/>
  <c r="F89" i="6"/>
  <c r="S90" i="5" a="1"/>
  <c r="S90" i="5" s="1"/>
  <c r="AG90" i="5" a="1"/>
  <c r="AG90" i="5" s="1"/>
  <c r="U90" i="5" s="1"/>
  <c r="W89" i="5" a="1"/>
  <c r="W89" i="5" s="1"/>
  <c r="H89" i="12" s="1" a="1"/>
  <c r="H89" i="12" s="1"/>
  <c r="AN89" i="5" a="1"/>
  <c r="AN89" i="5" s="1"/>
  <c r="R90" i="5" a="1"/>
  <c r="R90" i="5" s="1"/>
  <c r="AE91" i="5" a="1"/>
  <c r="AE91" i="5" s="1"/>
  <c r="J91" i="5"/>
  <c r="A91" i="12"/>
  <c r="B91" i="6"/>
  <c r="J91" i="6" s="1" a="1"/>
  <c r="J91" i="6" s="1"/>
  <c r="C92" i="5"/>
  <c r="G91" i="5"/>
  <c r="K91" i="5"/>
  <c r="N91" i="5"/>
  <c r="D91" i="6" s="1"/>
  <c r="H91" i="6" s="1" a="1"/>
  <c r="H91" i="6" s="1"/>
  <c r="T91" i="5" s="1"/>
  <c r="G91" i="12" s="1" a="1"/>
  <c r="G91" i="12" s="1"/>
  <c r="AD91" i="5"/>
  <c r="E91" i="5"/>
  <c r="F91" i="5"/>
  <c r="H91" i="5"/>
  <c r="AF91" i="5" a="1"/>
  <c r="AF91" i="5" s="1"/>
  <c r="D91" i="5"/>
  <c r="B91" i="12" s="1"/>
  <c r="B91" i="5"/>
  <c r="F89" i="12" a="1"/>
  <c r="F89" i="12" s="1"/>
  <c r="G89" i="6"/>
  <c r="M84" i="12" a="1"/>
  <c r="M84" i="12" s="1"/>
  <c r="AO84" i="12" a="1"/>
  <c r="AO84" i="12" s="1"/>
  <c r="O84" i="12" a="1"/>
  <c r="O84" i="12" s="1"/>
  <c r="X82" i="12" a="1"/>
  <c r="X82" i="12" s="1"/>
  <c r="O84" i="5"/>
  <c r="D84" i="12" s="1"/>
  <c r="C84" i="6"/>
  <c r="L85" i="5"/>
  <c r="C85" i="6" s="1"/>
  <c r="Z85" i="5"/>
  <c r="AA85" i="5" s="1" a="1"/>
  <c r="AA85" i="5" s="1"/>
  <c r="AM85" i="5"/>
  <c r="Y83" i="12"/>
  <c r="X83" i="12" s="1" a="1"/>
  <c r="X83" i="12" s="1"/>
  <c r="N83" i="12"/>
  <c r="C85" i="12"/>
  <c r="M85" i="12" a="1"/>
  <c r="M85" i="12" s="1"/>
  <c r="AO85" i="12" a="1"/>
  <c r="AO85" i="12" s="1"/>
  <c r="O85" i="12" a="1"/>
  <c r="O85" i="12" s="1"/>
  <c r="N88" i="6"/>
  <c r="M88" i="6"/>
  <c r="A89" i="6"/>
  <c r="BD87" i="6" a="1"/>
  <c r="BD87" i="6" s="1"/>
  <c r="AN87" i="6"/>
  <c r="AP87" i="6"/>
  <c r="AT87" i="6"/>
  <c r="AS87" i="6"/>
  <c r="BE87" i="6" a="1"/>
  <c r="BE87" i="6" s="1"/>
  <c r="AO87" i="6"/>
  <c r="AR87" i="6"/>
  <c r="AV87" i="6"/>
  <c r="BB87" i="6" a="1"/>
  <c r="BB87" i="6" s="1"/>
  <c r="AQ87" i="6"/>
  <c r="AX87" i="6" a="1"/>
  <c r="AX87" i="6" s="1"/>
  <c r="AM87" i="6"/>
  <c r="AY87" i="6" a="1"/>
  <c r="AY87" i="6" s="1"/>
  <c r="AC87" i="6"/>
  <c r="BF87" i="6" a="1"/>
  <c r="BF87" i="6" s="1"/>
  <c r="AU87" i="6"/>
  <c r="BA87" i="6" a="1"/>
  <c r="BA87" i="6" s="1"/>
  <c r="AZ87" i="6" a="1"/>
  <c r="AZ87" i="6" s="1"/>
  <c r="BG87" i="6" a="1"/>
  <c r="BG87" i="6" s="1"/>
  <c r="AE87" i="6"/>
  <c r="BC87" i="6" a="1"/>
  <c r="BC87" i="6" s="1"/>
  <c r="AD87" i="6"/>
  <c r="AF87" i="6"/>
  <c r="AI87" i="6"/>
  <c r="AK87" i="6"/>
  <c r="AJ87" i="6"/>
  <c r="AB87" i="6"/>
  <c r="AH87" i="6"/>
  <c r="AG87" i="6"/>
  <c r="D83" i="12"/>
  <c r="E83" i="6"/>
  <c r="V81" i="12" a="1"/>
  <c r="V81" i="12" s="1"/>
  <c r="U81" i="12"/>
  <c r="T81" i="12"/>
  <c r="X86" i="5" a="1"/>
  <c r="X86" i="5" s="1"/>
  <c r="L98" i="6"/>
  <c r="V82" i="12" a="1"/>
  <c r="V82" i="12" s="1"/>
  <c r="U82" i="12"/>
  <c r="T82" i="12"/>
  <c r="K90" i="12" l="1"/>
  <c r="R91" i="5" a="1"/>
  <c r="R91" i="5" s="1"/>
  <c r="S91" i="5" a="1"/>
  <c r="S91" i="5" s="1"/>
  <c r="AG91" i="5" a="1"/>
  <c r="AG91" i="5" s="1"/>
  <c r="U91" i="5" s="1"/>
  <c r="C93" i="5"/>
  <c r="A92" i="12"/>
  <c r="G92" i="5"/>
  <c r="K92" i="5"/>
  <c r="E92" i="5"/>
  <c r="B92" i="6"/>
  <c r="J92" i="6" s="1" a="1"/>
  <c r="J92" i="6" s="1"/>
  <c r="AF92" i="5" a="1"/>
  <c r="AF92" i="5" s="1"/>
  <c r="N92" i="5"/>
  <c r="D92" i="6" s="1"/>
  <c r="H92" i="6" s="1" a="1"/>
  <c r="H92" i="6" s="1"/>
  <c r="T92" i="5" s="1"/>
  <c r="G92" i="12" s="1" a="1"/>
  <c r="G92" i="12" s="1"/>
  <c r="D92" i="5"/>
  <c r="B92" i="12" s="1"/>
  <c r="AD92" i="5"/>
  <c r="AE92" i="5" a="1"/>
  <c r="AE92" i="5" s="1"/>
  <c r="H92" i="5"/>
  <c r="B92" i="5"/>
  <c r="J92" i="5"/>
  <c r="F92" i="5"/>
  <c r="AN90" i="5" a="1"/>
  <c r="AN90" i="5" s="1"/>
  <c r="W90" i="5" a="1"/>
  <c r="W90" i="5" s="1"/>
  <c r="H90" i="12" s="1" a="1"/>
  <c r="H90" i="12" s="1"/>
  <c r="F90" i="12" a="1"/>
  <c r="F90" i="12" s="1"/>
  <c r="G90" i="6"/>
  <c r="L91" i="12" a="1"/>
  <c r="L91" i="12" s="1"/>
  <c r="J91" i="12" a="1"/>
  <c r="J91" i="12" s="1"/>
  <c r="F90" i="6"/>
  <c r="E90" i="12"/>
  <c r="Y84" i="12"/>
  <c r="X84" i="12" s="1" a="1"/>
  <c r="X84" i="12" s="1"/>
  <c r="N84" i="12"/>
  <c r="AB85" i="5" a="1"/>
  <c r="AB85" i="5" s="1"/>
  <c r="AC85" i="5" a="1"/>
  <c r="AC85" i="5" s="1"/>
  <c r="W83" i="12" a="1"/>
  <c r="W83" i="12" s="1"/>
  <c r="T83" i="12" s="1"/>
  <c r="E84" i="6"/>
  <c r="O85" i="5"/>
  <c r="D85" i="12" s="1"/>
  <c r="N85" i="12"/>
  <c r="BB88" i="6" a="1"/>
  <c r="BB88" i="6" s="1"/>
  <c r="AR88" i="6"/>
  <c r="AM88" i="6"/>
  <c r="AV88" i="6"/>
  <c r="BF88" i="6" a="1"/>
  <c r="BF88" i="6" s="1"/>
  <c r="AQ88" i="6"/>
  <c r="BD88" i="6" a="1"/>
  <c r="BD88" i="6" s="1"/>
  <c r="BA88" i="6" a="1"/>
  <c r="BA88" i="6" s="1"/>
  <c r="AD88" i="6"/>
  <c r="BG88" i="6" a="1"/>
  <c r="BG88" i="6" s="1"/>
  <c r="AX88" i="6" a="1"/>
  <c r="AX88" i="6" s="1"/>
  <c r="AK88" i="6"/>
  <c r="BC88" i="6" a="1"/>
  <c r="BC88" i="6" s="1"/>
  <c r="AJ88" i="6"/>
  <c r="AC88" i="6"/>
  <c r="AG88" i="6"/>
  <c r="AB88" i="6"/>
  <c r="AU88" i="6"/>
  <c r="AY88" i="6" a="1"/>
  <c r="AY88" i="6" s="1"/>
  <c r="AT88" i="6"/>
  <c r="BE88" i="6" a="1"/>
  <c r="BE88" i="6" s="1"/>
  <c r="AZ88" i="6" a="1"/>
  <c r="AZ88" i="6" s="1"/>
  <c r="AP88" i="6"/>
  <c r="AF88" i="6"/>
  <c r="AO88" i="6"/>
  <c r="AI88" i="6"/>
  <c r="AS88" i="6"/>
  <c r="AN88" i="6"/>
  <c r="AH88" i="6"/>
  <c r="AE88" i="6"/>
  <c r="Y85" i="12"/>
  <c r="M89" i="6"/>
  <c r="N89" i="6"/>
  <c r="A90" i="6"/>
  <c r="X87" i="5" a="1"/>
  <c r="X87" i="5" s="1"/>
  <c r="I86" i="12"/>
  <c r="L86" i="5"/>
  <c r="AM86" i="5"/>
  <c r="Z86" i="5"/>
  <c r="L99" i="6"/>
  <c r="K91" i="12" l="1"/>
  <c r="L92" i="12" a="1"/>
  <c r="L92" i="12" s="1"/>
  <c r="J92" i="12" a="1"/>
  <c r="J92" i="12" s="1"/>
  <c r="E93" i="5"/>
  <c r="AE93" i="5" a="1"/>
  <c r="AE93" i="5" s="1"/>
  <c r="H93" i="5"/>
  <c r="J93" i="5"/>
  <c r="D93" i="5"/>
  <c r="B93" i="12" s="1"/>
  <c r="AF93" i="5" a="1"/>
  <c r="AF93" i="5" s="1"/>
  <c r="G93" i="5"/>
  <c r="K93" i="5"/>
  <c r="A93" i="12"/>
  <c r="AD93" i="5"/>
  <c r="F93" i="5"/>
  <c r="C94" i="5"/>
  <c r="B93" i="5"/>
  <c r="N93" i="5"/>
  <c r="D93" i="6" s="1"/>
  <c r="H93" i="6" s="1" a="1"/>
  <c r="H93" i="6" s="1"/>
  <c r="T93" i="5" s="1"/>
  <c r="G93" i="12" s="1" a="1"/>
  <c r="G93" i="12" s="1"/>
  <c r="B93" i="6"/>
  <c r="J93" i="6" s="1" a="1"/>
  <c r="J93" i="6" s="1"/>
  <c r="AN91" i="5" a="1"/>
  <c r="AN91" i="5" s="1"/>
  <c r="W91" i="5" a="1"/>
  <c r="W91" i="5" s="1"/>
  <c r="H91" i="12" s="1" a="1"/>
  <c r="H91" i="12" s="1"/>
  <c r="R92" i="5" a="1"/>
  <c r="R92" i="5" s="1"/>
  <c r="S92" i="5" a="1"/>
  <c r="S92" i="5" s="1"/>
  <c r="AG92" i="5" a="1"/>
  <c r="AG92" i="5" s="1"/>
  <c r="U92" i="5" s="1"/>
  <c r="F91" i="12" a="1"/>
  <c r="F91" i="12" s="1"/>
  <c r="G91" i="6"/>
  <c r="E91" i="12"/>
  <c r="F91" i="6"/>
  <c r="W84" i="12" a="1"/>
  <c r="W84" i="12" s="1"/>
  <c r="U84" i="12" s="1"/>
  <c r="U83" i="12"/>
  <c r="V83" i="12" a="1"/>
  <c r="V83" i="12" s="1"/>
  <c r="E85" i="6"/>
  <c r="W85" i="12" a="1"/>
  <c r="W85" i="12" s="1"/>
  <c r="X85" i="12" a="1"/>
  <c r="X85" i="12" s="1"/>
  <c r="C86" i="6"/>
  <c r="O86" i="5"/>
  <c r="AC86" i="5" a="1"/>
  <c r="AC86" i="5" s="1"/>
  <c r="AB86" i="5" a="1"/>
  <c r="AB86" i="5" s="1"/>
  <c r="AA86" i="5" a="1"/>
  <c r="AA86" i="5" s="1"/>
  <c r="C86" i="12"/>
  <c r="M86" i="12" a="1"/>
  <c r="M86" i="12" s="1"/>
  <c r="O86" i="12" a="1"/>
  <c r="O86" i="12" s="1"/>
  <c r="AO86" i="12" a="1"/>
  <c r="AO86" i="12" s="1"/>
  <c r="I87" i="12"/>
  <c r="L87" i="5"/>
  <c r="AM87" i="5"/>
  <c r="Z87" i="5"/>
  <c r="X88" i="5" a="1"/>
  <c r="X88" i="5" s="1"/>
  <c r="M90" i="6"/>
  <c r="A91" i="6"/>
  <c r="N90" i="6"/>
  <c r="L100" i="6"/>
  <c r="AR89" i="6"/>
  <c r="AO89" i="6"/>
  <c r="AN89" i="6"/>
  <c r="BG89" i="6" a="1"/>
  <c r="BG89" i="6" s="1"/>
  <c r="AP89" i="6"/>
  <c r="BD89" i="6" a="1"/>
  <c r="BD89" i="6" s="1"/>
  <c r="BA89" i="6" a="1"/>
  <c r="BA89" i="6" s="1"/>
  <c r="AQ89" i="6"/>
  <c r="AU89" i="6"/>
  <c r="AZ89" i="6" a="1"/>
  <c r="AZ89" i="6" s="1"/>
  <c r="AF89" i="6"/>
  <c r="BC89" i="6" a="1"/>
  <c r="BC89" i="6" s="1"/>
  <c r="AY89" i="6" a="1"/>
  <c r="AY89" i="6" s="1"/>
  <c r="AT89" i="6"/>
  <c r="AS89" i="6"/>
  <c r="AX89" i="6" a="1"/>
  <c r="AX89" i="6" s="1"/>
  <c r="AV89" i="6"/>
  <c r="BE89" i="6" a="1"/>
  <c r="BE89" i="6" s="1"/>
  <c r="BB89" i="6" a="1"/>
  <c r="BB89" i="6" s="1"/>
  <c r="BF89" i="6" a="1"/>
  <c r="BF89" i="6" s="1"/>
  <c r="AM89" i="6"/>
  <c r="AI89" i="6"/>
  <c r="AJ89" i="6"/>
  <c r="AB89" i="6"/>
  <c r="AE89" i="6"/>
  <c r="AH89" i="6"/>
  <c r="AC89" i="6"/>
  <c r="AG89" i="6"/>
  <c r="AK89" i="6"/>
  <c r="AD89" i="6"/>
  <c r="K92" i="12" l="1"/>
  <c r="W92" i="5" a="1"/>
  <c r="W92" i="5" s="1"/>
  <c r="H92" i="12" s="1" a="1"/>
  <c r="H92" i="12" s="1"/>
  <c r="AN92" i="5" a="1"/>
  <c r="AN92" i="5" s="1"/>
  <c r="E94" i="5"/>
  <c r="B94" i="5"/>
  <c r="AE94" i="5" a="1"/>
  <c r="AE94" i="5" s="1"/>
  <c r="AF94" i="5" a="1"/>
  <c r="AF94" i="5" s="1"/>
  <c r="D94" i="5"/>
  <c r="B94" i="12" s="1"/>
  <c r="AD94" i="5"/>
  <c r="H94" i="5"/>
  <c r="N94" i="5"/>
  <c r="D94" i="6" s="1"/>
  <c r="J94" i="5"/>
  <c r="A94" i="12"/>
  <c r="B94" i="6"/>
  <c r="J94" i="6" s="1" a="1"/>
  <c r="J94" i="6" s="1"/>
  <c r="K94" i="5"/>
  <c r="G94" i="5"/>
  <c r="F94" i="5"/>
  <c r="C95" i="5"/>
  <c r="F92" i="12" a="1"/>
  <c r="F92" i="12" s="1"/>
  <c r="G92" i="6"/>
  <c r="E92" i="12"/>
  <c r="F92" i="6"/>
  <c r="L93" i="12" a="1"/>
  <c r="L93" i="12" s="1"/>
  <c r="J93" i="12" a="1"/>
  <c r="J93" i="12" s="1"/>
  <c r="AG93" i="5" a="1"/>
  <c r="AG93" i="5" s="1"/>
  <c r="U93" i="5" s="1"/>
  <c r="R93" i="5" a="1"/>
  <c r="R93" i="5" s="1"/>
  <c r="S93" i="5" a="1"/>
  <c r="S93" i="5" s="1"/>
  <c r="V84" i="12" a="1"/>
  <c r="V84" i="12" s="1"/>
  <c r="T84" i="12"/>
  <c r="X89" i="5" a="1"/>
  <c r="X89" i="5" s="1"/>
  <c r="I89" i="12" s="1"/>
  <c r="Y86" i="12"/>
  <c r="X86" i="12" s="1" a="1"/>
  <c r="X86" i="12" s="1"/>
  <c r="O87" i="5"/>
  <c r="C87" i="6"/>
  <c r="AC87" i="5" a="1"/>
  <c r="AC87" i="5" s="1"/>
  <c r="C87" i="12"/>
  <c r="AO87" i="12" a="1"/>
  <c r="AO87" i="12" s="1"/>
  <c r="O87" i="12" a="1"/>
  <c r="O87" i="12" s="1"/>
  <c r="M87" i="12" a="1"/>
  <c r="M87" i="12" s="1"/>
  <c r="N86" i="12"/>
  <c r="M91" i="6"/>
  <c r="A92" i="6"/>
  <c r="N91" i="6"/>
  <c r="BA90" i="6" a="1"/>
  <c r="BA90" i="6" s="1"/>
  <c r="BE90" i="6" a="1"/>
  <c r="BE90" i="6" s="1"/>
  <c r="AM90" i="6"/>
  <c r="AP90" i="6"/>
  <c r="AN90" i="6"/>
  <c r="BG90" i="6" a="1"/>
  <c r="BG90" i="6" s="1"/>
  <c r="BD90" i="6" a="1"/>
  <c r="BD90" i="6" s="1"/>
  <c r="AO90" i="6"/>
  <c r="AX90" i="6" a="1"/>
  <c r="AX90" i="6" s="1"/>
  <c r="BC90" i="6" a="1"/>
  <c r="BC90" i="6" s="1"/>
  <c r="AS90" i="6"/>
  <c r="BB90" i="6" a="1"/>
  <c r="BB90" i="6" s="1"/>
  <c r="AZ90" i="6" a="1"/>
  <c r="AZ90" i="6" s="1"/>
  <c r="AR90" i="6"/>
  <c r="AC90" i="6"/>
  <c r="BF90" i="6" a="1"/>
  <c r="BF90" i="6" s="1"/>
  <c r="AU90" i="6"/>
  <c r="AY90" i="6" a="1"/>
  <c r="AY90" i="6" s="1"/>
  <c r="AT90" i="6"/>
  <c r="AV90" i="6"/>
  <c r="AQ90" i="6"/>
  <c r="AH90" i="6"/>
  <c r="AJ90" i="6"/>
  <c r="AK90" i="6"/>
  <c r="AE90" i="6"/>
  <c r="AD90" i="6"/>
  <c r="AB90" i="6"/>
  <c r="AG90" i="6"/>
  <c r="AI90" i="6"/>
  <c r="AF90" i="6"/>
  <c r="D86" i="12"/>
  <c r="E86" i="6"/>
  <c r="L101" i="6"/>
  <c r="AA87" i="5" a="1"/>
  <c r="AA87" i="5" s="1"/>
  <c r="AB87" i="5" a="1"/>
  <c r="AB87" i="5" s="1"/>
  <c r="V85" i="12" a="1"/>
  <c r="V85" i="12" s="1"/>
  <c r="U85" i="12"/>
  <c r="T85" i="12"/>
  <c r="I88" i="12"/>
  <c r="L88" i="5"/>
  <c r="AM88" i="5"/>
  <c r="Z88" i="5"/>
  <c r="K93" i="12" l="1"/>
  <c r="R94" i="5" a="1"/>
  <c r="R94" i="5" s="1"/>
  <c r="AG94" i="5" a="1"/>
  <c r="AG94" i="5" s="1"/>
  <c r="U94" i="5" s="1"/>
  <c r="S94" i="5" a="1"/>
  <c r="S94" i="5" s="1"/>
  <c r="F94" i="12" s="1" a="1"/>
  <c r="F94" i="12" s="1"/>
  <c r="W93" i="5" a="1"/>
  <c r="W93" i="5" s="1"/>
  <c r="H93" i="12" s="1" a="1"/>
  <c r="H93" i="12" s="1"/>
  <c r="AN93" i="5" a="1"/>
  <c r="AN93" i="5" s="1"/>
  <c r="J94" i="12" a="1"/>
  <c r="J94" i="12" s="1"/>
  <c r="L94" i="12" a="1"/>
  <c r="L94" i="12" s="1"/>
  <c r="F93" i="12" a="1"/>
  <c r="F93" i="12" s="1"/>
  <c r="G93" i="6"/>
  <c r="H94" i="6" a="1"/>
  <c r="H94" i="6" s="1"/>
  <c r="T94" i="5" s="1"/>
  <c r="G94" i="12" s="1" a="1"/>
  <c r="G94" i="12" s="1"/>
  <c r="E93" i="12"/>
  <c r="F93" i="6"/>
  <c r="A95" i="12"/>
  <c r="B95" i="6"/>
  <c r="J95" i="6" s="1" a="1"/>
  <c r="J95" i="6" s="1"/>
  <c r="B95" i="5"/>
  <c r="E95" i="5"/>
  <c r="N95" i="5"/>
  <c r="D95" i="6" s="1"/>
  <c r="H95" i="6" s="1" a="1"/>
  <c r="H95" i="6" s="1"/>
  <c r="T95" i="5" s="1"/>
  <c r="G95" i="12" s="1" a="1"/>
  <c r="G95" i="12" s="1"/>
  <c r="K95" i="5"/>
  <c r="H95" i="5"/>
  <c r="AF95" i="5" a="1"/>
  <c r="AF95" i="5" s="1"/>
  <c r="AD95" i="5"/>
  <c r="J95" i="5"/>
  <c r="F95" i="5"/>
  <c r="G95" i="5"/>
  <c r="D95" i="5"/>
  <c r="B95" i="12" s="1"/>
  <c r="AE95" i="5" a="1"/>
  <c r="AE95" i="5" s="1"/>
  <c r="C96" i="5"/>
  <c r="Z89" i="5"/>
  <c r="AA89" i="5" s="1" a="1"/>
  <c r="AA89" i="5" s="1"/>
  <c r="W86" i="12" a="1"/>
  <c r="W86" i="12" s="1"/>
  <c r="T86" i="12" s="1"/>
  <c r="AM89" i="5"/>
  <c r="L89" i="5"/>
  <c r="O89" i="5" s="1"/>
  <c r="Y87" i="12"/>
  <c r="X87" i="12" s="1" a="1"/>
  <c r="X87" i="12" s="1"/>
  <c r="L102" i="6"/>
  <c r="X90" i="5" a="1"/>
  <c r="X90" i="5" s="1"/>
  <c r="D87" i="12"/>
  <c r="E87" i="6"/>
  <c r="C89" i="12"/>
  <c r="O89" i="12" a="1"/>
  <c r="O89" i="12" s="1"/>
  <c r="AO89" i="12" a="1"/>
  <c r="AO89" i="12" s="1"/>
  <c r="M89" i="12" a="1"/>
  <c r="M89" i="12" s="1"/>
  <c r="N87" i="12"/>
  <c r="AN91" i="6"/>
  <c r="AX91" i="6" a="1"/>
  <c r="AX91" i="6" s="1"/>
  <c r="BF91" i="6" a="1"/>
  <c r="BF91" i="6" s="1"/>
  <c r="AP91" i="6"/>
  <c r="BC91" i="6" a="1"/>
  <c r="BC91" i="6" s="1"/>
  <c r="AV91" i="6"/>
  <c r="BE91" i="6" a="1"/>
  <c r="BE91" i="6" s="1"/>
  <c r="BG91" i="6" a="1"/>
  <c r="BG91" i="6" s="1"/>
  <c r="AM91" i="6"/>
  <c r="AU91" i="6"/>
  <c r="AH91" i="6"/>
  <c r="BA91" i="6" a="1"/>
  <c r="BA91" i="6" s="1"/>
  <c r="BB91" i="6" a="1"/>
  <c r="BB91" i="6" s="1"/>
  <c r="AQ91" i="6"/>
  <c r="AR91" i="6"/>
  <c r="BD91" i="6" a="1"/>
  <c r="BD91" i="6" s="1"/>
  <c r="AB91" i="6"/>
  <c r="AO91" i="6"/>
  <c r="AT91" i="6"/>
  <c r="AY91" i="6" a="1"/>
  <c r="AY91" i="6" s="1"/>
  <c r="AS91" i="6"/>
  <c r="AZ91" i="6" a="1"/>
  <c r="AZ91" i="6" s="1"/>
  <c r="AJ91" i="6"/>
  <c r="AE91" i="6"/>
  <c r="AG91" i="6"/>
  <c r="AF91" i="6"/>
  <c r="AD91" i="6"/>
  <c r="AC91" i="6"/>
  <c r="AK91" i="6"/>
  <c r="AI91" i="6"/>
  <c r="AB88" i="5" a="1"/>
  <c r="AB88" i="5" s="1"/>
  <c r="AA88" i="5" a="1"/>
  <c r="AA88" i="5" s="1"/>
  <c r="M92" i="6"/>
  <c r="N92" i="6"/>
  <c r="A93" i="6"/>
  <c r="C88" i="6"/>
  <c r="O88" i="5"/>
  <c r="AC88" i="5" a="1"/>
  <c r="AC88" i="5" s="1"/>
  <c r="C88" i="12"/>
  <c r="M88" i="12" a="1"/>
  <c r="M88" i="12" s="1"/>
  <c r="O88" i="12" a="1"/>
  <c r="O88" i="12" s="1"/>
  <c r="AO88" i="12" a="1"/>
  <c r="AO88" i="12" s="1"/>
  <c r="G94" i="6" l="1"/>
  <c r="K94" i="12"/>
  <c r="J95" i="12" a="1"/>
  <c r="J95" i="12" s="1"/>
  <c r="L95" i="12" a="1"/>
  <c r="L95" i="12" s="1"/>
  <c r="AG95" i="5" a="1"/>
  <c r="AG95" i="5" s="1"/>
  <c r="U95" i="5" s="1"/>
  <c r="S95" i="5" a="1"/>
  <c r="S95" i="5" s="1"/>
  <c r="F95" i="12" s="1" a="1"/>
  <c r="F95" i="12" s="1"/>
  <c r="A96" i="12"/>
  <c r="J96" i="5"/>
  <c r="K96" i="5"/>
  <c r="B96" i="5"/>
  <c r="C97" i="5"/>
  <c r="E96" i="5"/>
  <c r="G96" i="5"/>
  <c r="AF96" i="5" a="1"/>
  <c r="AF96" i="5" s="1"/>
  <c r="AE96" i="5" a="1"/>
  <c r="AE96" i="5" s="1"/>
  <c r="AD96" i="5"/>
  <c r="D96" i="5"/>
  <c r="B96" i="12" s="1"/>
  <c r="N96" i="5"/>
  <c r="D96" i="6" s="1"/>
  <c r="H96" i="6" s="1" a="1"/>
  <c r="H96" i="6" s="1"/>
  <c r="T96" i="5" s="1"/>
  <c r="G96" i="12" s="1" a="1"/>
  <c r="G96" i="12" s="1"/>
  <c r="F96" i="5"/>
  <c r="B96" i="6"/>
  <c r="J96" i="6" s="1" a="1"/>
  <c r="J96" i="6" s="1"/>
  <c r="H96" i="5"/>
  <c r="AN94" i="5" a="1"/>
  <c r="AN94" i="5" s="1"/>
  <c r="W94" i="5" a="1"/>
  <c r="W94" i="5" s="1"/>
  <c r="H94" i="12" s="1" a="1"/>
  <c r="H94" i="12" s="1"/>
  <c r="E94" i="12"/>
  <c r="F94" i="6"/>
  <c r="R95" i="5" a="1"/>
  <c r="R95" i="5" s="1"/>
  <c r="AB89" i="5" a="1"/>
  <c r="AB89" i="5" s="1"/>
  <c r="U86" i="12"/>
  <c r="V86" i="12" a="1"/>
  <c r="V86" i="12" s="1"/>
  <c r="AC89" i="5" a="1"/>
  <c r="AC89" i="5" s="1"/>
  <c r="C89" i="6"/>
  <c r="W87" i="12" a="1"/>
  <c r="W87" i="12" s="1"/>
  <c r="U87" i="12" s="1"/>
  <c r="Y89" i="12"/>
  <c r="W89" i="12" s="1" a="1"/>
  <c r="W89" i="12" s="1"/>
  <c r="N88" i="12"/>
  <c r="D89" i="12"/>
  <c r="E89" i="6"/>
  <c r="Y88" i="12"/>
  <c r="N89" i="12"/>
  <c r="I90" i="12"/>
  <c r="AM90" i="5"/>
  <c r="L90" i="5"/>
  <c r="Z90" i="5"/>
  <c r="X91" i="5" a="1"/>
  <c r="X91" i="5" s="1"/>
  <c r="D88" i="12"/>
  <c r="E88" i="6"/>
  <c r="L103" i="6"/>
  <c r="M93" i="6"/>
  <c r="A94" i="6"/>
  <c r="N93" i="6"/>
  <c r="BD92" i="6" a="1"/>
  <c r="BD92" i="6" s="1"/>
  <c r="BA92" i="6" a="1"/>
  <c r="BA92" i="6" s="1"/>
  <c r="AC92" i="6"/>
  <c r="AS92" i="6"/>
  <c r="AX92" i="6" a="1"/>
  <c r="AX92" i="6" s="1"/>
  <c r="BC92" i="6" a="1"/>
  <c r="BC92" i="6" s="1"/>
  <c r="AN92" i="6"/>
  <c r="AG92" i="6"/>
  <c r="AP92" i="6"/>
  <c r="BG92" i="6" a="1"/>
  <c r="BG92" i="6" s="1"/>
  <c r="AF92" i="6"/>
  <c r="AO92" i="6"/>
  <c r="AU92" i="6"/>
  <c r="AZ92" i="6" a="1"/>
  <c r="AZ92" i="6" s="1"/>
  <c r="AT92" i="6"/>
  <c r="AV92" i="6"/>
  <c r="BF92" i="6" a="1"/>
  <c r="BF92" i="6" s="1"/>
  <c r="BE92" i="6" a="1"/>
  <c r="BE92" i="6" s="1"/>
  <c r="BB92" i="6" a="1"/>
  <c r="BB92" i="6" s="1"/>
  <c r="AM92" i="6"/>
  <c r="AR92" i="6"/>
  <c r="AY92" i="6" a="1"/>
  <c r="AY92" i="6" s="1"/>
  <c r="AQ92" i="6"/>
  <c r="AD92" i="6"/>
  <c r="AJ92" i="6"/>
  <c r="AH92" i="6"/>
  <c r="AB92" i="6"/>
  <c r="AE92" i="6"/>
  <c r="AI92" i="6"/>
  <c r="AK92" i="6"/>
  <c r="K95" i="12" l="1"/>
  <c r="L96" i="12" a="1"/>
  <c r="L96" i="12" s="1"/>
  <c r="J96" i="12" a="1"/>
  <c r="J96" i="12" s="1"/>
  <c r="S96" i="5" a="1"/>
  <c r="S96" i="5" s="1"/>
  <c r="AG96" i="5" a="1"/>
  <c r="AG96" i="5" s="1"/>
  <c r="U96" i="5" s="1"/>
  <c r="AN95" i="5" a="1"/>
  <c r="AN95" i="5" s="1"/>
  <c r="W95" i="5" a="1"/>
  <c r="W95" i="5" s="1"/>
  <c r="H95" i="12" s="1" a="1"/>
  <c r="H95" i="12" s="1"/>
  <c r="G95" i="6"/>
  <c r="J97" i="5"/>
  <c r="G97" i="5"/>
  <c r="E97" i="5"/>
  <c r="K97" i="5"/>
  <c r="A97" i="12"/>
  <c r="H97" i="5"/>
  <c r="D97" i="5"/>
  <c r="B97" i="12" s="1"/>
  <c r="N97" i="5"/>
  <c r="D97" i="6" s="1"/>
  <c r="H97" i="6" s="1" a="1"/>
  <c r="H97" i="6" s="1"/>
  <c r="T97" i="5" s="1"/>
  <c r="G97" i="12" s="1" a="1"/>
  <c r="G97" i="12" s="1"/>
  <c r="C98" i="5"/>
  <c r="AF97" i="5" a="1"/>
  <c r="AF97" i="5" s="1"/>
  <c r="AD97" i="5"/>
  <c r="B97" i="5"/>
  <c r="B97" i="6"/>
  <c r="J97" i="6" s="1" a="1"/>
  <c r="J97" i="6" s="1"/>
  <c r="F97" i="5"/>
  <c r="AE97" i="5" a="1"/>
  <c r="AE97" i="5" s="1"/>
  <c r="F95" i="6"/>
  <c r="E95" i="12"/>
  <c r="R96" i="5" a="1"/>
  <c r="R96" i="5" s="1"/>
  <c r="X89" i="12" a="1"/>
  <c r="X89" i="12" s="1"/>
  <c r="V87" i="12" a="1"/>
  <c r="V87" i="12" s="1"/>
  <c r="T87" i="12"/>
  <c r="AB90" i="5" a="1"/>
  <c r="AB90" i="5" s="1"/>
  <c r="AA90" i="5" a="1"/>
  <c r="AA90" i="5" s="1"/>
  <c r="C90" i="6"/>
  <c r="O90" i="5"/>
  <c r="AC90" i="5" a="1"/>
  <c r="AC90" i="5" s="1"/>
  <c r="X88" i="12" a="1"/>
  <c r="X88" i="12" s="1"/>
  <c r="W88" i="12" a="1"/>
  <c r="W88" i="12" s="1"/>
  <c r="N94" i="6"/>
  <c r="M94" i="6"/>
  <c r="A95" i="6"/>
  <c r="V89" i="12" a="1"/>
  <c r="V89" i="12" s="1"/>
  <c r="U89" i="12"/>
  <c r="T89" i="12"/>
  <c r="C90" i="12"/>
  <c r="M90" i="12" a="1"/>
  <c r="M90" i="12" s="1"/>
  <c r="O90" i="12" a="1"/>
  <c r="O90" i="12" s="1"/>
  <c r="AO90" i="12" a="1"/>
  <c r="AO90" i="12" s="1"/>
  <c r="AV93" i="6"/>
  <c r="BG93" i="6" a="1"/>
  <c r="BG93" i="6" s="1"/>
  <c r="AZ93" i="6" a="1"/>
  <c r="AZ93" i="6" s="1"/>
  <c r="AQ93" i="6"/>
  <c r="AO93" i="6"/>
  <c r="AR93" i="6"/>
  <c r="AU93" i="6"/>
  <c r="BE93" i="6" a="1"/>
  <c r="BE93" i="6" s="1"/>
  <c r="BA93" i="6" a="1"/>
  <c r="BA93" i="6" s="1"/>
  <c r="AN93" i="6"/>
  <c r="AS93" i="6"/>
  <c r="BF93" i="6" a="1"/>
  <c r="BF93" i="6" s="1"/>
  <c r="BB93" i="6" a="1"/>
  <c r="BB93" i="6" s="1"/>
  <c r="BD93" i="6" a="1"/>
  <c r="BD93" i="6" s="1"/>
  <c r="AT93" i="6"/>
  <c r="BC93" i="6" a="1"/>
  <c r="BC93" i="6" s="1"/>
  <c r="AM93" i="6"/>
  <c r="AP93" i="6"/>
  <c r="AY93" i="6" a="1"/>
  <c r="AY93" i="6" s="1"/>
  <c r="AX93" i="6" a="1"/>
  <c r="AX93" i="6" s="1"/>
  <c r="AB93" i="6"/>
  <c r="AC93" i="6"/>
  <c r="AD93" i="6"/>
  <c r="AI93" i="6"/>
  <c r="AF93" i="6"/>
  <c r="AE93" i="6"/>
  <c r="AH93" i="6"/>
  <c r="AK93" i="6"/>
  <c r="AJ93" i="6"/>
  <c r="AG93" i="6"/>
  <c r="L104" i="6"/>
  <c r="X92" i="5" a="1"/>
  <c r="X92" i="5" s="1"/>
  <c r="I91" i="12"/>
  <c r="L91" i="5"/>
  <c r="AM91" i="5"/>
  <c r="Z91" i="5"/>
  <c r="J97" i="12" l="1" a="1"/>
  <c r="J97" i="12" s="1"/>
  <c r="L97" i="12" a="1"/>
  <c r="L97" i="12" s="1"/>
  <c r="AN96" i="5" a="1"/>
  <c r="AN96" i="5" s="1"/>
  <c r="W96" i="5" a="1"/>
  <c r="W96" i="5" s="1"/>
  <c r="H96" i="12" s="1" a="1"/>
  <c r="H96" i="12" s="1"/>
  <c r="N98" i="5"/>
  <c r="D98" i="6" s="1"/>
  <c r="H98" i="6" s="1" a="1"/>
  <c r="H98" i="6" s="1"/>
  <c r="T98" i="5" s="1"/>
  <c r="G98" i="12" s="1" a="1"/>
  <c r="G98" i="12" s="1"/>
  <c r="C99" i="5"/>
  <c r="B98" i="6"/>
  <c r="J98" i="6" s="1" a="1"/>
  <c r="J98" i="6" s="1"/>
  <c r="F98" i="5"/>
  <c r="K98" i="5"/>
  <c r="H98" i="5"/>
  <c r="D98" i="5"/>
  <c r="B98" i="12" s="1"/>
  <c r="AF98" i="5" a="1"/>
  <c r="AF98" i="5" s="1"/>
  <c r="R98" i="5" s="1" a="1"/>
  <c r="R98" i="5" s="1"/>
  <c r="AE98" i="5" a="1"/>
  <c r="AE98" i="5" s="1"/>
  <c r="AD98" i="5"/>
  <c r="J98" i="5"/>
  <c r="A98" i="12"/>
  <c r="G98" i="5"/>
  <c r="B98" i="5"/>
  <c r="E98" i="5"/>
  <c r="F96" i="12" a="1"/>
  <c r="F96" i="12" s="1"/>
  <c r="G96" i="6"/>
  <c r="E96" i="12"/>
  <c r="F96" i="6"/>
  <c r="R97" i="5" a="1"/>
  <c r="R97" i="5" s="1"/>
  <c r="S97" i="5" a="1"/>
  <c r="S97" i="5" s="1"/>
  <c r="F97" i="12" s="1" a="1"/>
  <c r="F97" i="12" s="1"/>
  <c r="AG97" i="5" a="1"/>
  <c r="AG97" i="5" s="1"/>
  <c r="U97" i="5" s="1"/>
  <c r="K96" i="12"/>
  <c r="N90" i="12"/>
  <c r="Y90" i="12"/>
  <c r="W90" i="12" s="1" a="1"/>
  <c r="W90" i="12" s="1"/>
  <c r="AB91" i="5" a="1"/>
  <c r="AB91" i="5" s="1"/>
  <c r="AA91" i="5" a="1"/>
  <c r="AA91" i="5" s="1"/>
  <c r="U88" i="12"/>
  <c r="V88" i="12" a="1"/>
  <c r="V88" i="12" s="1"/>
  <c r="T88" i="12"/>
  <c r="D90" i="12"/>
  <c r="E90" i="6"/>
  <c r="O91" i="5"/>
  <c r="C91" i="6"/>
  <c r="AC91" i="5" a="1"/>
  <c r="AC91" i="5" s="1"/>
  <c r="I92" i="12"/>
  <c r="L92" i="5"/>
  <c r="AM92" i="5"/>
  <c r="Z92" i="5"/>
  <c r="BD94" i="6" a="1"/>
  <c r="BD94" i="6" s="1"/>
  <c r="AQ94" i="6"/>
  <c r="AX94" i="6" a="1"/>
  <c r="AX94" i="6" s="1"/>
  <c r="BF94" i="6" a="1"/>
  <c r="BF94" i="6" s="1"/>
  <c r="AP94" i="6"/>
  <c r="AH94" i="6"/>
  <c r="AM94" i="6"/>
  <c r="BB94" i="6" a="1"/>
  <c r="BB94" i="6" s="1"/>
  <c r="AY94" i="6" a="1"/>
  <c r="AY94" i="6" s="1"/>
  <c r="BC94" i="6" a="1"/>
  <c r="BC94" i="6" s="1"/>
  <c r="AZ94" i="6" a="1"/>
  <c r="AZ94" i="6" s="1"/>
  <c r="AS94" i="6"/>
  <c r="BE94" i="6" a="1"/>
  <c r="BE94" i="6" s="1"/>
  <c r="BA94" i="6" a="1"/>
  <c r="BA94" i="6" s="1"/>
  <c r="AT94" i="6"/>
  <c r="AV94" i="6"/>
  <c r="AN94" i="6"/>
  <c r="AO94" i="6"/>
  <c r="AU94" i="6"/>
  <c r="AR94" i="6"/>
  <c r="BG94" i="6" a="1"/>
  <c r="BG94" i="6" s="1"/>
  <c r="AI94" i="6"/>
  <c r="AF94" i="6"/>
  <c r="AC94" i="6"/>
  <c r="AK94" i="6"/>
  <c r="AJ94" i="6"/>
  <c r="AG94" i="6"/>
  <c r="AE94" i="6"/>
  <c r="AD94" i="6"/>
  <c r="AB94" i="6"/>
  <c r="C91" i="12"/>
  <c r="AO91" i="12" a="1"/>
  <c r="AO91" i="12" s="1"/>
  <c r="M91" i="12" a="1"/>
  <c r="M91" i="12" s="1"/>
  <c r="O91" i="12" a="1"/>
  <c r="O91" i="12" s="1"/>
  <c r="L105" i="6"/>
  <c r="X93" i="5" a="1"/>
  <c r="X93" i="5" s="1"/>
  <c r="N95" i="6"/>
  <c r="M95" i="6"/>
  <c r="A96" i="6"/>
  <c r="K97" i="12" l="1"/>
  <c r="G97" i="6"/>
  <c r="E98" i="12"/>
  <c r="F98" i="6"/>
  <c r="J98" i="12" a="1"/>
  <c r="J98" i="12" s="1"/>
  <c r="L98" i="12" a="1"/>
  <c r="L98" i="12" s="1"/>
  <c r="AF99" i="5" a="1"/>
  <c r="AF99" i="5" s="1"/>
  <c r="G99" i="5"/>
  <c r="J99" i="5"/>
  <c r="N99" i="5"/>
  <c r="D99" i="6" s="1"/>
  <c r="H99" i="6" s="1" a="1"/>
  <c r="H99" i="6" s="1"/>
  <c r="T99" i="5" s="1"/>
  <c r="G99" i="12" s="1" a="1"/>
  <c r="G99" i="12" s="1"/>
  <c r="E99" i="5"/>
  <c r="H99" i="5"/>
  <c r="C100" i="5"/>
  <c r="B99" i="6"/>
  <c r="J99" i="6" s="1" a="1"/>
  <c r="J99" i="6" s="1"/>
  <c r="F99" i="5"/>
  <c r="A99" i="12"/>
  <c r="K99" i="5"/>
  <c r="AE99" i="5" a="1"/>
  <c r="AE99" i="5" s="1"/>
  <c r="B99" i="5"/>
  <c r="D99" i="5"/>
  <c r="B99" i="12" s="1"/>
  <c r="AD99" i="5"/>
  <c r="W97" i="5" a="1"/>
  <c r="W97" i="5" s="1"/>
  <c r="H97" i="12" s="1" a="1"/>
  <c r="H97" i="12" s="1"/>
  <c r="AN97" i="5" a="1"/>
  <c r="AN97" i="5" s="1"/>
  <c r="AG98" i="5" a="1"/>
  <c r="AG98" i="5" s="1"/>
  <c r="U98" i="5" s="1"/>
  <c r="S98" i="5" a="1"/>
  <c r="S98" i="5" s="1"/>
  <c r="E97" i="12"/>
  <c r="F97" i="6"/>
  <c r="X90" i="12" a="1"/>
  <c r="X90" i="12" s="1"/>
  <c r="N91" i="12"/>
  <c r="I93" i="12"/>
  <c r="L93" i="5"/>
  <c r="AM93" i="5"/>
  <c r="Z93" i="5"/>
  <c r="O92" i="5"/>
  <c r="C92" i="6"/>
  <c r="AC92" i="5" a="1"/>
  <c r="AC92" i="5" s="1"/>
  <c r="C92" i="12"/>
  <c r="O92" i="12" a="1"/>
  <c r="O92" i="12" s="1"/>
  <c r="AO92" i="12" a="1"/>
  <c r="AO92" i="12" s="1"/>
  <c r="M92" i="12" a="1"/>
  <c r="M92" i="12" s="1"/>
  <c r="D91" i="12"/>
  <c r="E91" i="6"/>
  <c r="Y91" i="12"/>
  <c r="X94" i="5" a="1"/>
  <c r="X94" i="5" s="1"/>
  <c r="T90" i="12"/>
  <c r="V90" i="12" a="1"/>
  <c r="V90" i="12" s="1"/>
  <c r="U90" i="12"/>
  <c r="M96" i="6"/>
  <c r="N96" i="6"/>
  <c r="A97" i="6"/>
  <c r="AQ95" i="6"/>
  <c r="AT95" i="6"/>
  <c r="AX95" i="6" a="1"/>
  <c r="AX95" i="6" s="1"/>
  <c r="AZ95" i="6" a="1"/>
  <c r="AZ95" i="6" s="1"/>
  <c r="BF95" i="6" a="1"/>
  <c r="BF95" i="6" s="1"/>
  <c r="BB95" i="6" a="1"/>
  <c r="BB95" i="6" s="1"/>
  <c r="BA95" i="6" a="1"/>
  <c r="BA95" i="6" s="1"/>
  <c r="AM95" i="6"/>
  <c r="AI95" i="6"/>
  <c r="AH95" i="6"/>
  <c r="AS95" i="6"/>
  <c r="AC95" i="6"/>
  <c r="BD95" i="6" a="1"/>
  <c r="BD95" i="6" s="1"/>
  <c r="BE95" i="6" a="1"/>
  <c r="BE95" i="6" s="1"/>
  <c r="AY95" i="6" a="1"/>
  <c r="AY95" i="6" s="1"/>
  <c r="AV95" i="6"/>
  <c r="AJ95" i="6"/>
  <c r="AO95" i="6"/>
  <c r="AK95" i="6"/>
  <c r="AR95" i="6"/>
  <c r="AB95" i="6"/>
  <c r="AU95" i="6"/>
  <c r="AP95" i="6"/>
  <c r="AG95" i="6"/>
  <c r="AN95" i="6"/>
  <c r="BG95" i="6" a="1"/>
  <c r="BG95" i="6" s="1"/>
  <c r="BC95" i="6" a="1"/>
  <c r="BC95" i="6" s="1"/>
  <c r="AF95" i="6"/>
  <c r="AD95" i="6"/>
  <c r="AE95" i="6"/>
  <c r="L106" i="6"/>
  <c r="AB92" i="5" a="1"/>
  <c r="AB92" i="5" s="1"/>
  <c r="AA92" i="5" a="1"/>
  <c r="AA92" i="5" s="1"/>
  <c r="K98" i="12" l="1"/>
  <c r="F98" i="12" a="1"/>
  <c r="F98" i="12" s="1"/>
  <c r="G98" i="6"/>
  <c r="AN98" i="5" a="1"/>
  <c r="AN98" i="5" s="1"/>
  <c r="W98" i="5" a="1"/>
  <c r="W98" i="5" s="1"/>
  <c r="H98" i="12" s="1" a="1"/>
  <c r="H98" i="12" s="1"/>
  <c r="L99" i="12" a="1"/>
  <c r="L99" i="12" s="1"/>
  <c r="J99" i="12" a="1"/>
  <c r="J99" i="12" s="1"/>
  <c r="AG99" i="5" a="1"/>
  <c r="AG99" i="5" s="1"/>
  <c r="U99" i="5" s="1"/>
  <c r="R99" i="5" a="1"/>
  <c r="R99" i="5" s="1"/>
  <c r="S99" i="5" a="1"/>
  <c r="S99" i="5" s="1"/>
  <c r="F99" i="12" s="1" a="1"/>
  <c r="F99" i="12" s="1"/>
  <c r="N100" i="5"/>
  <c r="D100" i="6" s="1"/>
  <c r="H100" i="6" s="1" a="1"/>
  <c r="H100" i="6" s="1"/>
  <c r="T100" i="5" s="1"/>
  <c r="G100" i="12" s="1" a="1"/>
  <c r="G100" i="12" s="1"/>
  <c r="B100" i="6"/>
  <c r="J100" i="6" s="1" a="1"/>
  <c r="J100" i="6" s="1"/>
  <c r="AE100" i="5" a="1"/>
  <c r="AE100" i="5" s="1"/>
  <c r="E100" i="5"/>
  <c r="H100" i="5"/>
  <c r="AF100" i="5" a="1"/>
  <c r="AF100" i="5" s="1"/>
  <c r="G100" i="5"/>
  <c r="A100" i="12"/>
  <c r="K100" i="5"/>
  <c r="F100" i="5"/>
  <c r="AD100" i="5"/>
  <c r="B100" i="5"/>
  <c r="D100" i="5"/>
  <c r="B100" i="12" s="1"/>
  <c r="C101" i="5"/>
  <c r="J100" i="5"/>
  <c r="Y92" i="12"/>
  <c r="X92" i="12" s="1" a="1"/>
  <c r="X92" i="12" s="1"/>
  <c r="I94" i="12"/>
  <c r="AM94" i="5"/>
  <c r="L94" i="5"/>
  <c r="Z94" i="5"/>
  <c r="D92" i="12"/>
  <c r="E92" i="6"/>
  <c r="X91" i="12" a="1"/>
  <c r="X91" i="12" s="1"/>
  <c r="W91" i="12" a="1"/>
  <c r="W91" i="12" s="1"/>
  <c r="C93" i="6"/>
  <c r="O93" i="5"/>
  <c r="AC93" i="5" a="1"/>
  <c r="AC93" i="5" s="1"/>
  <c r="AA93" i="5" a="1"/>
  <c r="AA93" i="5" s="1"/>
  <c r="AB93" i="5" a="1"/>
  <c r="AB93" i="5" s="1"/>
  <c r="C93" i="12"/>
  <c r="O93" i="12" a="1"/>
  <c r="O93" i="12" s="1"/>
  <c r="M93" i="12" a="1"/>
  <c r="M93" i="12" s="1"/>
  <c r="AO93" i="12" a="1"/>
  <c r="AO93" i="12" s="1"/>
  <c r="N97" i="6"/>
  <c r="M97" i="6"/>
  <c r="A98" i="6"/>
  <c r="AY96" i="6" a="1"/>
  <c r="AY96" i="6" s="1"/>
  <c r="AM96" i="6"/>
  <c r="AU96" i="6"/>
  <c r="BC96" i="6" a="1"/>
  <c r="BC96" i="6" s="1"/>
  <c r="AE96" i="6"/>
  <c r="BE96" i="6" a="1"/>
  <c r="BE96" i="6" s="1"/>
  <c r="BA96" i="6" a="1"/>
  <c r="BA96" i="6" s="1"/>
  <c r="AV96" i="6"/>
  <c r="AI96" i="6"/>
  <c r="AZ96" i="6" a="1"/>
  <c r="AZ96" i="6" s="1"/>
  <c r="AT96" i="6"/>
  <c r="AH96" i="6"/>
  <c r="BF96" i="6" a="1"/>
  <c r="BF96" i="6" s="1"/>
  <c r="AB96" i="6"/>
  <c r="AS96" i="6"/>
  <c r="AQ96" i="6"/>
  <c r="BB96" i="6" a="1"/>
  <c r="BB96" i="6" s="1"/>
  <c r="AO96" i="6"/>
  <c r="BD96" i="6" a="1"/>
  <c r="BD96" i="6" s="1"/>
  <c r="AR96" i="6"/>
  <c r="AN96" i="6"/>
  <c r="AX96" i="6" a="1"/>
  <c r="AX96" i="6" s="1"/>
  <c r="AD96" i="6"/>
  <c r="BG96" i="6" a="1"/>
  <c r="BG96" i="6" s="1"/>
  <c r="AP96" i="6"/>
  <c r="AC96" i="6"/>
  <c r="AK96" i="6"/>
  <c r="AF96" i="6"/>
  <c r="AG96" i="6"/>
  <c r="AJ96" i="6"/>
  <c r="N92" i="12"/>
  <c r="L107" i="6"/>
  <c r="X95" i="5" a="1"/>
  <c r="X95" i="5" s="1"/>
  <c r="G99" i="6" l="1"/>
  <c r="K99" i="12"/>
  <c r="L100" i="12" a="1"/>
  <c r="L100" i="12" s="1"/>
  <c r="J100" i="12" a="1"/>
  <c r="J100" i="12" s="1"/>
  <c r="E99" i="12"/>
  <c r="F99" i="6"/>
  <c r="K101" i="5"/>
  <c r="AF101" i="5" a="1"/>
  <c r="AF101" i="5" s="1"/>
  <c r="G101" i="5"/>
  <c r="E101" i="5"/>
  <c r="AE101" i="5" a="1"/>
  <c r="AE101" i="5" s="1"/>
  <c r="B101" i="6"/>
  <c r="J101" i="6" s="1" a="1"/>
  <c r="J101" i="6" s="1"/>
  <c r="F101" i="5"/>
  <c r="J101" i="5"/>
  <c r="H101" i="5"/>
  <c r="A101" i="12"/>
  <c r="N101" i="5"/>
  <c r="D101" i="6" s="1"/>
  <c r="H101" i="6" s="1" a="1"/>
  <c r="H101" i="6" s="1"/>
  <c r="T101" i="5" s="1"/>
  <c r="G101" i="12" s="1" a="1"/>
  <c r="G101" i="12" s="1"/>
  <c r="C102" i="5"/>
  <c r="B101" i="5"/>
  <c r="D101" i="5"/>
  <c r="B101" i="12" s="1"/>
  <c r="AD101" i="5"/>
  <c r="S100" i="5" a="1"/>
  <c r="S100" i="5" s="1"/>
  <c r="AG100" i="5" a="1"/>
  <c r="AG100" i="5" s="1"/>
  <c r="U100" i="5" s="1"/>
  <c r="AN99" i="5" a="1"/>
  <c r="AN99" i="5" s="1"/>
  <c r="W99" i="5" a="1"/>
  <c r="W99" i="5" s="1"/>
  <c r="H99" i="12" s="1" a="1"/>
  <c r="H99" i="12" s="1"/>
  <c r="R100" i="5" a="1"/>
  <c r="R100" i="5" s="1"/>
  <c r="W92" i="12" a="1"/>
  <c r="W92" i="12" s="1"/>
  <c r="V92" i="12" s="1" a="1"/>
  <c r="V92" i="12" s="1"/>
  <c r="Y93" i="12"/>
  <c r="X93" i="12" s="1" a="1"/>
  <c r="X93" i="12" s="1"/>
  <c r="L108" i="6"/>
  <c r="AB94" i="5" a="1"/>
  <c r="AB94" i="5" s="1"/>
  <c r="AA94" i="5" a="1"/>
  <c r="AA94" i="5" s="1"/>
  <c r="C94" i="6"/>
  <c r="O94" i="5"/>
  <c r="AC94" i="5" a="1"/>
  <c r="AC94" i="5" s="1"/>
  <c r="N98" i="6"/>
  <c r="M98" i="6"/>
  <c r="A99" i="6"/>
  <c r="AQ97" i="6"/>
  <c r="AX97" i="6" a="1"/>
  <c r="AX97" i="6" s="1"/>
  <c r="AN97" i="6"/>
  <c r="BF97" i="6" a="1"/>
  <c r="BF97" i="6" s="1"/>
  <c r="BD97" i="6" a="1"/>
  <c r="BD97" i="6" s="1"/>
  <c r="AJ97" i="6"/>
  <c r="AV97" i="6"/>
  <c r="AR97" i="6"/>
  <c r="BC97" i="6" a="1"/>
  <c r="BC97" i="6" s="1"/>
  <c r="AG97" i="6"/>
  <c r="AF97" i="6"/>
  <c r="AH97" i="6"/>
  <c r="BE97" i="6" a="1"/>
  <c r="BE97" i="6" s="1"/>
  <c r="AM97" i="6"/>
  <c r="AS97" i="6"/>
  <c r="AE97" i="6"/>
  <c r="AU97" i="6"/>
  <c r="AK97" i="6"/>
  <c r="BB97" i="6" a="1"/>
  <c r="BB97" i="6" s="1"/>
  <c r="AC97" i="6"/>
  <c r="AZ97" i="6" a="1"/>
  <c r="AZ97" i="6" s="1"/>
  <c r="BG97" i="6" a="1"/>
  <c r="BG97" i="6" s="1"/>
  <c r="AP97" i="6"/>
  <c r="AY97" i="6" a="1"/>
  <c r="AY97" i="6" s="1"/>
  <c r="BA97" i="6" a="1"/>
  <c r="BA97" i="6" s="1"/>
  <c r="AB97" i="6"/>
  <c r="AO97" i="6"/>
  <c r="AT97" i="6"/>
  <c r="AI97" i="6"/>
  <c r="AD97" i="6"/>
  <c r="C94" i="12"/>
  <c r="O94" i="12" a="1"/>
  <c r="O94" i="12" s="1"/>
  <c r="M94" i="12" a="1"/>
  <c r="M94" i="12" s="1"/>
  <c r="AO94" i="12" a="1"/>
  <c r="AO94" i="12" s="1"/>
  <c r="D93" i="12"/>
  <c r="E93" i="6"/>
  <c r="V91" i="12" a="1"/>
  <c r="V91" i="12" s="1"/>
  <c r="T91" i="12"/>
  <c r="U91" i="12"/>
  <c r="X96" i="5" a="1"/>
  <c r="X96" i="5" s="1"/>
  <c r="I95" i="12"/>
  <c r="AM95" i="5"/>
  <c r="L95" i="5"/>
  <c r="Z95" i="5"/>
  <c r="N93" i="12"/>
  <c r="K100" i="12" l="1"/>
  <c r="E102" i="5"/>
  <c r="B102" i="6"/>
  <c r="J102" i="6" s="1" a="1"/>
  <c r="J102" i="6" s="1"/>
  <c r="F102" i="5"/>
  <c r="K102" i="5"/>
  <c r="A102" i="12"/>
  <c r="D102" i="5"/>
  <c r="B102" i="12" s="1"/>
  <c r="AE102" i="5" a="1"/>
  <c r="AE102" i="5" s="1"/>
  <c r="J102" i="5"/>
  <c r="AD102" i="5"/>
  <c r="B102" i="5"/>
  <c r="AF102" i="5" a="1"/>
  <c r="AF102" i="5" s="1"/>
  <c r="R102" i="5" s="1" a="1"/>
  <c r="R102" i="5" s="1"/>
  <c r="F102" i="6" s="1"/>
  <c r="C103" i="5"/>
  <c r="H102" i="5"/>
  <c r="G102" i="5"/>
  <c r="N102" i="5"/>
  <c r="D102" i="6" s="1"/>
  <c r="H102" i="6" s="1" a="1"/>
  <c r="H102" i="6" s="1"/>
  <c r="T102" i="5" s="1"/>
  <c r="G102" i="12" s="1" a="1"/>
  <c r="G102" i="12" s="1"/>
  <c r="E100" i="12"/>
  <c r="F100" i="6"/>
  <c r="L101" i="12" a="1"/>
  <c r="L101" i="12" s="1"/>
  <c r="J101" i="12" a="1"/>
  <c r="J101" i="12" s="1"/>
  <c r="R101" i="5" a="1"/>
  <c r="R101" i="5" s="1"/>
  <c r="S101" i="5" a="1"/>
  <c r="S101" i="5" s="1"/>
  <c r="AG101" i="5" a="1"/>
  <c r="AG101" i="5" s="1"/>
  <c r="U101" i="5" s="1"/>
  <c r="AN100" i="5" a="1"/>
  <c r="AN100" i="5" s="1"/>
  <c r="W100" i="5" a="1"/>
  <c r="W100" i="5" s="1"/>
  <c r="H100" i="12" s="1" a="1"/>
  <c r="H100" i="12" s="1"/>
  <c r="F100" i="12" a="1"/>
  <c r="F100" i="12" s="1"/>
  <c r="G100" i="6"/>
  <c r="W93" i="12" a="1"/>
  <c r="W93" i="12" s="1"/>
  <c r="V93" i="12" s="1" a="1"/>
  <c r="V93" i="12" s="1"/>
  <c r="U92" i="12"/>
  <c r="T92" i="12"/>
  <c r="X97" i="5" a="1"/>
  <c r="X97" i="5" s="1"/>
  <c r="I97" i="12" s="1"/>
  <c r="M99" i="6"/>
  <c r="N99" i="6"/>
  <c r="A100" i="6"/>
  <c r="D94" i="12"/>
  <c r="E94" i="6"/>
  <c r="C95" i="12"/>
  <c r="O95" i="12" a="1"/>
  <c r="O95" i="12" s="1"/>
  <c r="AO95" i="12" a="1"/>
  <c r="AO95" i="12" s="1"/>
  <c r="M95" i="12" a="1"/>
  <c r="M95" i="12" s="1"/>
  <c r="AP98" i="6"/>
  <c r="AV98" i="6"/>
  <c r="AF98" i="6"/>
  <c r="BF98" i="6" a="1"/>
  <c r="BF98" i="6" s="1"/>
  <c r="AO98" i="6"/>
  <c r="BD98" i="6" a="1"/>
  <c r="BD98" i="6" s="1"/>
  <c r="AX98" i="6" a="1"/>
  <c r="AX98" i="6" s="1"/>
  <c r="AU98" i="6"/>
  <c r="BE98" i="6" a="1"/>
  <c r="BE98" i="6" s="1"/>
  <c r="AT98" i="6"/>
  <c r="AZ98" i="6" a="1"/>
  <c r="AZ98" i="6" s="1"/>
  <c r="BB98" i="6" a="1"/>
  <c r="BB98" i="6" s="1"/>
  <c r="AY98" i="6" a="1"/>
  <c r="AY98" i="6" s="1"/>
  <c r="AR98" i="6"/>
  <c r="AD98" i="6"/>
  <c r="AQ98" i="6"/>
  <c r="BC98" i="6" a="1"/>
  <c r="BC98" i="6" s="1"/>
  <c r="AM98" i="6"/>
  <c r="AS98" i="6"/>
  <c r="BG98" i="6" a="1"/>
  <c r="BG98" i="6" s="1"/>
  <c r="AN98" i="6"/>
  <c r="BA98" i="6" a="1"/>
  <c r="BA98" i="6" s="1"/>
  <c r="AI98" i="6"/>
  <c r="AK98" i="6"/>
  <c r="AE98" i="6"/>
  <c r="AB98" i="6"/>
  <c r="AH98" i="6"/>
  <c r="AG98" i="6"/>
  <c r="AJ98" i="6"/>
  <c r="AC98" i="6"/>
  <c r="L109" i="6"/>
  <c r="N94" i="12"/>
  <c r="I96" i="12"/>
  <c r="L96" i="5"/>
  <c r="AM96" i="5"/>
  <c r="Z96" i="5"/>
  <c r="AA95" i="5" a="1"/>
  <c r="AA95" i="5" s="1"/>
  <c r="AB95" i="5" a="1"/>
  <c r="AB95" i="5" s="1"/>
  <c r="O95" i="5"/>
  <c r="C95" i="6"/>
  <c r="AC95" i="5" a="1"/>
  <c r="AC95" i="5" s="1"/>
  <c r="Y94" i="12"/>
  <c r="K101" i="12" l="1"/>
  <c r="E102" i="12"/>
  <c r="AN101" i="5" a="1"/>
  <c r="AN101" i="5" s="1"/>
  <c r="W101" i="5" a="1"/>
  <c r="W101" i="5" s="1"/>
  <c r="H101" i="12" s="1" a="1"/>
  <c r="H101" i="12" s="1"/>
  <c r="F101" i="6"/>
  <c r="E101" i="12"/>
  <c r="L102" i="12" a="1"/>
  <c r="L102" i="12" s="1"/>
  <c r="J102" i="12" a="1"/>
  <c r="J102" i="12" s="1"/>
  <c r="C104" i="5"/>
  <c r="AD103" i="5"/>
  <c r="E103" i="5"/>
  <c r="A103" i="12"/>
  <c r="AE103" i="5" a="1"/>
  <c r="AE103" i="5" s="1"/>
  <c r="F103" i="5"/>
  <c r="D103" i="5"/>
  <c r="B103" i="12" s="1"/>
  <c r="K103" i="5"/>
  <c r="B103" i="6"/>
  <c r="J103" i="6" s="1" a="1"/>
  <c r="J103" i="6" s="1"/>
  <c r="B103" i="5"/>
  <c r="H103" i="5"/>
  <c r="J103" i="5"/>
  <c r="AF103" i="5" a="1"/>
  <c r="AF103" i="5" s="1"/>
  <c r="N103" i="5"/>
  <c r="D103" i="6" s="1"/>
  <c r="H103" i="6" s="1" a="1"/>
  <c r="H103" i="6" s="1"/>
  <c r="T103" i="5" s="1"/>
  <c r="G103" i="12" s="1" a="1"/>
  <c r="G103" i="12" s="1"/>
  <c r="G103" i="5"/>
  <c r="S102" i="5" a="1"/>
  <c r="S102" i="5" s="1"/>
  <c r="F102" i="12" s="1" a="1"/>
  <c r="F102" i="12" s="1"/>
  <c r="AG102" i="5" a="1"/>
  <c r="AG102" i="5" s="1"/>
  <c r="U102" i="5" s="1"/>
  <c r="F101" i="12" a="1"/>
  <c r="F101" i="12" s="1"/>
  <c r="G101" i="6"/>
  <c r="T93" i="12"/>
  <c r="U93" i="12"/>
  <c r="Z97" i="5"/>
  <c r="AB97" i="5" s="1" a="1"/>
  <c r="AB97" i="5" s="1"/>
  <c r="L97" i="5"/>
  <c r="O97" i="5" s="1"/>
  <c r="Y95" i="12"/>
  <c r="W95" i="12" s="1" a="1"/>
  <c r="W95" i="12" s="1"/>
  <c r="AM97" i="5"/>
  <c r="C96" i="12"/>
  <c r="O96" i="12" a="1"/>
  <c r="O96" i="12" s="1"/>
  <c r="M96" i="12" a="1"/>
  <c r="M96" i="12" s="1"/>
  <c r="AO96" i="12" a="1"/>
  <c r="AO96" i="12" s="1"/>
  <c r="AA96" i="5" a="1"/>
  <c r="AA96" i="5" s="1"/>
  <c r="AB96" i="5" a="1"/>
  <c r="AB96" i="5" s="1"/>
  <c r="X98" i="5" a="1"/>
  <c r="X98" i="5" s="1"/>
  <c r="L110" i="6"/>
  <c r="N100" i="6"/>
  <c r="M100" i="6"/>
  <c r="A101" i="6"/>
  <c r="N95" i="12"/>
  <c r="X94" i="12" a="1"/>
  <c r="X94" i="12" s="1"/>
  <c r="W94" i="12" a="1"/>
  <c r="W94" i="12" s="1"/>
  <c r="BG99" i="6" a="1"/>
  <c r="BG99" i="6" s="1"/>
  <c r="AV99" i="6"/>
  <c r="BA99" i="6" a="1"/>
  <c r="BA99" i="6" s="1"/>
  <c r="BC99" i="6" a="1"/>
  <c r="BC99" i="6" s="1"/>
  <c r="AQ99" i="6"/>
  <c r="AS99" i="6"/>
  <c r="AP99" i="6"/>
  <c r="AO99" i="6"/>
  <c r="AN99" i="6"/>
  <c r="BD99" i="6" a="1"/>
  <c r="BD99" i="6" s="1"/>
  <c r="BE99" i="6" a="1"/>
  <c r="BE99" i="6" s="1"/>
  <c r="AR99" i="6"/>
  <c r="AZ99" i="6" a="1"/>
  <c r="AZ99" i="6" s="1"/>
  <c r="AY99" i="6" a="1"/>
  <c r="AY99" i="6" s="1"/>
  <c r="AM99" i="6"/>
  <c r="BF99" i="6" a="1"/>
  <c r="BF99" i="6" s="1"/>
  <c r="AU99" i="6"/>
  <c r="AX99" i="6" a="1"/>
  <c r="AX99" i="6" s="1"/>
  <c r="BB99" i="6" a="1"/>
  <c r="BB99" i="6" s="1"/>
  <c r="AT99" i="6"/>
  <c r="AH99" i="6"/>
  <c r="AE99" i="6"/>
  <c r="AF99" i="6"/>
  <c r="AI99" i="6"/>
  <c r="AD99" i="6"/>
  <c r="AG99" i="6"/>
  <c r="AK99" i="6"/>
  <c r="AJ99" i="6"/>
  <c r="AC99" i="6"/>
  <c r="AB99" i="6"/>
  <c r="O96" i="5"/>
  <c r="C96" i="6"/>
  <c r="AC96" i="5" a="1"/>
  <c r="AC96" i="5" s="1"/>
  <c r="D95" i="12"/>
  <c r="E95" i="6"/>
  <c r="C97" i="12"/>
  <c r="O97" i="12" a="1"/>
  <c r="O97" i="12" s="1"/>
  <c r="AO97" i="12" a="1"/>
  <c r="AO97" i="12" s="1"/>
  <c r="M97" i="12" a="1"/>
  <c r="M97" i="12" s="1"/>
  <c r="W102" i="5" l="1" a="1"/>
  <c r="W102" i="5" s="1"/>
  <c r="H102" i="12" s="1" a="1"/>
  <c r="H102" i="12" s="1"/>
  <c r="AN102" i="5" a="1"/>
  <c r="AN102" i="5" s="1"/>
  <c r="K102" i="12"/>
  <c r="R103" i="5" a="1"/>
  <c r="R103" i="5" s="1"/>
  <c r="AG103" i="5" a="1"/>
  <c r="AG103" i="5" s="1"/>
  <c r="U103" i="5" s="1"/>
  <c r="S103" i="5" a="1"/>
  <c r="S103" i="5" s="1"/>
  <c r="F103" i="12" s="1" a="1"/>
  <c r="F103" i="12" s="1"/>
  <c r="H104" i="5"/>
  <c r="B104" i="5"/>
  <c r="F104" i="5"/>
  <c r="E104" i="5"/>
  <c r="K104" i="5"/>
  <c r="J104" i="5"/>
  <c r="AD104" i="5"/>
  <c r="C105" i="5"/>
  <c r="A104" i="12"/>
  <c r="N104" i="5"/>
  <c r="D104" i="6" s="1"/>
  <c r="H104" i="6" s="1" a="1"/>
  <c r="H104" i="6" s="1"/>
  <c r="T104" i="5" s="1"/>
  <c r="G104" i="12" s="1" a="1"/>
  <c r="G104" i="12" s="1"/>
  <c r="B104" i="6"/>
  <c r="J104" i="6" s="1" a="1"/>
  <c r="J104" i="6" s="1"/>
  <c r="AF104" i="5" a="1"/>
  <c r="AF104" i="5" s="1"/>
  <c r="D104" i="5"/>
  <c r="B104" i="12" s="1"/>
  <c r="AE104" i="5" a="1"/>
  <c r="AE104" i="5" s="1"/>
  <c r="G104" i="5"/>
  <c r="L103" i="12" a="1"/>
  <c r="L103" i="12" s="1"/>
  <c r="J103" i="12" a="1"/>
  <c r="J103" i="12" s="1"/>
  <c r="G102" i="6"/>
  <c r="AC97" i="5" a="1"/>
  <c r="AC97" i="5" s="1"/>
  <c r="C97" i="6"/>
  <c r="X95" i="12" a="1"/>
  <c r="X95" i="12" s="1"/>
  <c r="AA97" i="5" a="1"/>
  <c r="AA97" i="5" s="1"/>
  <c r="N96" i="12"/>
  <c r="X99" i="5" a="1"/>
  <c r="X99" i="5" s="1"/>
  <c r="AM99" i="5" s="1"/>
  <c r="N97" i="12"/>
  <c r="M101" i="6"/>
  <c r="N101" i="6"/>
  <c r="A102" i="6"/>
  <c r="AB100" i="6"/>
  <c r="AH100" i="6"/>
  <c r="BC100" i="6" a="1"/>
  <c r="BC100" i="6" s="1"/>
  <c r="BG100" i="6" a="1"/>
  <c r="BG100" i="6" s="1"/>
  <c r="BD100" i="6" a="1"/>
  <c r="BD100" i="6" s="1"/>
  <c r="BE100" i="6" a="1"/>
  <c r="BE100" i="6" s="1"/>
  <c r="AO100" i="6"/>
  <c r="AX100" i="6" a="1"/>
  <c r="AX100" i="6" s="1"/>
  <c r="AV100" i="6"/>
  <c r="AS100" i="6"/>
  <c r="AR100" i="6"/>
  <c r="AF100" i="6"/>
  <c r="AJ100" i="6"/>
  <c r="AG100" i="6"/>
  <c r="BA100" i="6" a="1"/>
  <c r="BA100" i="6" s="1"/>
  <c r="AE100" i="6"/>
  <c r="BB100" i="6" a="1"/>
  <c r="BB100" i="6" s="1"/>
  <c r="AU100" i="6"/>
  <c r="AT100" i="6"/>
  <c r="AD100" i="6"/>
  <c r="BF100" i="6" a="1"/>
  <c r="BF100" i="6" s="1"/>
  <c r="AZ100" i="6" a="1"/>
  <c r="AZ100" i="6" s="1"/>
  <c r="AC100" i="6"/>
  <c r="AY100" i="6" a="1"/>
  <c r="AY100" i="6" s="1"/>
  <c r="AM100" i="6"/>
  <c r="AQ100" i="6"/>
  <c r="AI100" i="6"/>
  <c r="AK100" i="6"/>
  <c r="AP100" i="6"/>
  <c r="AN100" i="6"/>
  <c r="I98" i="12"/>
  <c r="L98" i="5"/>
  <c r="AM98" i="5"/>
  <c r="Z98" i="5"/>
  <c r="V95" i="12" a="1"/>
  <c r="V95" i="12" s="1"/>
  <c r="U95" i="12"/>
  <c r="T95" i="12"/>
  <c r="U94" i="12"/>
  <c r="T94" i="12"/>
  <c r="V94" i="12" a="1"/>
  <c r="V94" i="12" s="1"/>
  <c r="Y96" i="12"/>
  <c r="L111" i="6"/>
  <c r="D97" i="12"/>
  <c r="E97" i="6"/>
  <c r="D96" i="12"/>
  <c r="E96" i="6"/>
  <c r="Y97" i="12"/>
  <c r="K103" i="12" l="1"/>
  <c r="B105" i="5"/>
  <c r="AF105" i="5" a="1"/>
  <c r="AF105" i="5" s="1"/>
  <c r="R105" i="5" s="1" a="1"/>
  <c r="R105" i="5" s="1"/>
  <c r="E105" i="12" s="1"/>
  <c r="H105" i="5"/>
  <c r="G105" i="5"/>
  <c r="B105" i="6"/>
  <c r="J105" i="6" s="1" a="1"/>
  <c r="J105" i="6" s="1"/>
  <c r="K105" i="5"/>
  <c r="J105" i="5"/>
  <c r="D105" i="5"/>
  <c r="B105" i="12" s="1"/>
  <c r="AD105" i="5"/>
  <c r="N105" i="5"/>
  <c r="D105" i="6" s="1"/>
  <c r="H105" i="6" s="1" a="1"/>
  <c r="H105" i="6" s="1"/>
  <c r="T105" i="5" s="1"/>
  <c r="G105" i="12" s="1" a="1"/>
  <c r="G105" i="12" s="1"/>
  <c r="C106" i="5"/>
  <c r="F105" i="5"/>
  <c r="A105" i="12"/>
  <c r="AE105" i="5" a="1"/>
  <c r="AE105" i="5" s="1"/>
  <c r="E105" i="5"/>
  <c r="AN103" i="5" a="1"/>
  <c r="AN103" i="5" s="1"/>
  <c r="W103" i="5" a="1"/>
  <c r="W103" i="5" s="1"/>
  <c r="H103" i="12" s="1" a="1"/>
  <c r="H103" i="12" s="1"/>
  <c r="AG104" i="5" a="1"/>
  <c r="AG104" i="5" s="1"/>
  <c r="U104" i="5" s="1"/>
  <c r="S104" i="5" a="1"/>
  <c r="S104" i="5" s="1"/>
  <c r="F104" i="12" s="1" a="1"/>
  <c r="F104" i="12" s="1"/>
  <c r="G103" i="6"/>
  <c r="E103" i="12"/>
  <c r="F103" i="6"/>
  <c r="L104" i="12" a="1"/>
  <c r="L104" i="12" s="1"/>
  <c r="J104" i="12" a="1"/>
  <c r="J104" i="12" s="1"/>
  <c r="R104" i="5" a="1"/>
  <c r="R104" i="5" s="1"/>
  <c r="L99" i="5"/>
  <c r="O99" i="5" s="1"/>
  <c r="I99" i="12"/>
  <c r="AO99" i="12" s="1" a="1"/>
  <c r="AO99" i="12" s="1"/>
  <c r="Z99" i="5"/>
  <c r="AB99" i="5" s="1" a="1"/>
  <c r="AB99" i="5" s="1"/>
  <c r="X96" i="12" a="1"/>
  <c r="X96" i="12" s="1"/>
  <c r="W96" i="12" a="1"/>
  <c r="W96" i="12" s="1"/>
  <c r="O98" i="5"/>
  <c r="C98" i="6"/>
  <c r="AC98" i="5" a="1"/>
  <c r="AC98" i="5" s="1"/>
  <c r="X100" i="5" a="1"/>
  <c r="X100" i="5" s="1"/>
  <c r="N102" i="6"/>
  <c r="M102" i="6"/>
  <c r="A103" i="6"/>
  <c r="C98" i="12"/>
  <c r="M98" i="12" a="1"/>
  <c r="M98" i="12" s="1"/>
  <c r="O98" i="12" a="1"/>
  <c r="O98" i="12" s="1"/>
  <c r="AO98" i="12" a="1"/>
  <c r="AO98" i="12" s="1"/>
  <c r="AS101" i="6"/>
  <c r="AC101" i="6"/>
  <c r="AP101" i="6"/>
  <c r="BG101" i="6" a="1"/>
  <c r="BG101" i="6" s="1"/>
  <c r="BF101" i="6" a="1"/>
  <c r="BF101" i="6" s="1"/>
  <c r="BB101" i="6" a="1"/>
  <c r="BB101" i="6" s="1"/>
  <c r="BA101" i="6" a="1"/>
  <c r="BA101" i="6" s="1"/>
  <c r="AM101" i="6"/>
  <c r="AV101" i="6"/>
  <c r="AQ101" i="6"/>
  <c r="AE101" i="6"/>
  <c r="AY101" i="6" a="1"/>
  <c r="AY101" i="6" s="1"/>
  <c r="AX101" i="6" a="1"/>
  <c r="AX101" i="6" s="1"/>
  <c r="AR101" i="6"/>
  <c r="BD101" i="6" a="1"/>
  <c r="BD101" i="6" s="1"/>
  <c r="BE101" i="6" a="1"/>
  <c r="BE101" i="6" s="1"/>
  <c r="AB101" i="6"/>
  <c r="AU101" i="6"/>
  <c r="AN101" i="6"/>
  <c r="AO101" i="6"/>
  <c r="BC101" i="6" a="1"/>
  <c r="BC101" i="6" s="1"/>
  <c r="AZ101" i="6" a="1"/>
  <c r="AZ101" i="6" s="1"/>
  <c r="AT101" i="6"/>
  <c r="AK101" i="6"/>
  <c r="AJ101" i="6"/>
  <c r="AG101" i="6"/>
  <c r="AH101" i="6"/>
  <c r="AD101" i="6"/>
  <c r="AF101" i="6"/>
  <c r="AI101" i="6"/>
  <c r="W97" i="12" a="1"/>
  <c r="W97" i="12" s="1"/>
  <c r="X97" i="12" a="1"/>
  <c r="X97" i="12" s="1"/>
  <c r="AB98" i="5" a="1"/>
  <c r="AB98" i="5" s="1"/>
  <c r="AA98" i="5" a="1"/>
  <c r="AA98" i="5" s="1"/>
  <c r="L112" i="6"/>
  <c r="F105" i="6" l="1"/>
  <c r="J105" i="12" a="1"/>
  <c r="J105" i="12" s="1"/>
  <c r="L105" i="12" a="1"/>
  <c r="L105" i="12" s="1"/>
  <c r="W104" i="5" a="1"/>
  <c r="W104" i="5" s="1"/>
  <c r="H104" i="12" s="1" a="1"/>
  <c r="H104" i="12" s="1"/>
  <c r="AN104" i="5" a="1"/>
  <c r="AN104" i="5" s="1"/>
  <c r="E104" i="12"/>
  <c r="F104" i="6"/>
  <c r="G104" i="6"/>
  <c r="E106" i="5"/>
  <c r="N106" i="5"/>
  <c r="D106" i="6" s="1"/>
  <c r="H106" i="6" s="1" a="1"/>
  <c r="H106" i="6" s="1"/>
  <c r="T106" i="5" s="1"/>
  <c r="G106" i="12" s="1" a="1"/>
  <c r="G106" i="12" s="1"/>
  <c r="D106" i="5"/>
  <c r="B106" i="12" s="1"/>
  <c r="B106" i="5"/>
  <c r="C107" i="5"/>
  <c r="AF106" i="5" a="1"/>
  <c r="AF106" i="5" s="1"/>
  <c r="AE106" i="5" a="1"/>
  <c r="AE106" i="5" s="1"/>
  <c r="G106" i="5"/>
  <c r="K106" i="5"/>
  <c r="B106" i="6"/>
  <c r="J106" i="6" s="1" a="1"/>
  <c r="J106" i="6" s="1"/>
  <c r="J106" i="5"/>
  <c r="AD106" i="5"/>
  <c r="F106" i="5"/>
  <c r="H106" i="5"/>
  <c r="A106" i="12"/>
  <c r="AG105" i="5" a="1"/>
  <c r="AG105" i="5" s="1"/>
  <c r="U105" i="5" s="1"/>
  <c r="S105" i="5" a="1"/>
  <c r="S105" i="5" s="1"/>
  <c r="K104" i="12"/>
  <c r="AC99" i="5" a="1"/>
  <c r="AC99" i="5" s="1"/>
  <c r="C99" i="6"/>
  <c r="M99" i="12" a="1"/>
  <c r="M99" i="12" s="1"/>
  <c r="O99" i="12" a="1"/>
  <c r="O99" i="12" s="1"/>
  <c r="C99" i="12"/>
  <c r="AA99" i="5" a="1"/>
  <c r="AA99" i="5" s="1"/>
  <c r="N98" i="12"/>
  <c r="V97" i="12" a="1"/>
  <c r="V97" i="12" s="1"/>
  <c r="U97" i="12"/>
  <c r="T97" i="12"/>
  <c r="AQ102" i="6"/>
  <c r="BC102" i="6" a="1"/>
  <c r="BC102" i="6" s="1"/>
  <c r="BG102" i="6" a="1"/>
  <c r="BG102" i="6" s="1"/>
  <c r="AR102" i="6"/>
  <c r="AC102" i="6"/>
  <c r="AZ102" i="6" a="1"/>
  <c r="AZ102" i="6" s="1"/>
  <c r="AE102" i="6"/>
  <c r="AP102" i="6"/>
  <c r="AK102" i="6"/>
  <c r="AS102" i="6"/>
  <c r="BF102" i="6" a="1"/>
  <c r="BF102" i="6" s="1"/>
  <c r="AI102" i="6"/>
  <c r="BE102" i="6" a="1"/>
  <c r="BE102" i="6" s="1"/>
  <c r="BA102" i="6" a="1"/>
  <c r="BA102" i="6" s="1"/>
  <c r="AT102" i="6"/>
  <c r="BD102" i="6" a="1"/>
  <c r="BD102" i="6" s="1"/>
  <c r="AO102" i="6"/>
  <c r="AF102" i="6"/>
  <c r="AX102" i="6" a="1"/>
  <c r="AX102" i="6" s="1"/>
  <c r="AY102" i="6" a="1"/>
  <c r="AY102" i="6" s="1"/>
  <c r="AH102" i="6"/>
  <c r="AJ102" i="6"/>
  <c r="AN102" i="6"/>
  <c r="AV102" i="6"/>
  <c r="BB102" i="6" a="1"/>
  <c r="BB102" i="6" s="1"/>
  <c r="AU102" i="6"/>
  <c r="AM102" i="6"/>
  <c r="AB102" i="6"/>
  <c r="AG102" i="6"/>
  <c r="AD102" i="6"/>
  <c r="X101" i="5" a="1"/>
  <c r="X101" i="5" s="1"/>
  <c r="I100" i="12"/>
  <c r="L100" i="5"/>
  <c r="AM100" i="5"/>
  <c r="Z100" i="5"/>
  <c r="U96" i="12"/>
  <c r="V96" i="12" a="1"/>
  <c r="V96" i="12" s="1"/>
  <c r="T96" i="12"/>
  <c r="D98" i="12"/>
  <c r="E98" i="6"/>
  <c r="A104" i="6"/>
  <c r="N103" i="6"/>
  <c r="M103" i="6"/>
  <c r="D99" i="12"/>
  <c r="E99" i="6"/>
  <c r="L113" i="6"/>
  <c r="Y98" i="12"/>
  <c r="K105" i="12" l="1"/>
  <c r="F105" i="12" a="1"/>
  <c r="F105" i="12" s="1"/>
  <c r="G105" i="6"/>
  <c r="AN105" i="5" a="1"/>
  <c r="AN105" i="5" s="1"/>
  <c r="W105" i="5" a="1"/>
  <c r="W105" i="5" s="1"/>
  <c r="H105" i="12" s="1" a="1"/>
  <c r="H105" i="12" s="1"/>
  <c r="J106" i="12" a="1"/>
  <c r="J106" i="12" s="1"/>
  <c r="L106" i="12" a="1"/>
  <c r="L106" i="12" s="1"/>
  <c r="R106" i="5" a="1"/>
  <c r="R106" i="5" s="1"/>
  <c r="AG106" i="5" a="1"/>
  <c r="AG106" i="5" s="1"/>
  <c r="U106" i="5" s="1"/>
  <c r="S106" i="5" a="1"/>
  <c r="S106" i="5" s="1"/>
  <c r="F106" i="12" s="1" a="1"/>
  <c r="F106" i="12" s="1"/>
  <c r="K107" i="5"/>
  <c r="A107" i="12"/>
  <c r="H107" i="5"/>
  <c r="AE107" i="5" a="1"/>
  <c r="AE107" i="5" s="1"/>
  <c r="E107" i="5"/>
  <c r="B107" i="5"/>
  <c r="J107" i="5"/>
  <c r="AD107" i="5"/>
  <c r="G107" i="5"/>
  <c r="N107" i="5"/>
  <c r="D107" i="6" s="1"/>
  <c r="H107" i="6" s="1" a="1"/>
  <c r="H107" i="6" s="1"/>
  <c r="T107" i="5" s="1"/>
  <c r="G107" i="12" s="1" a="1"/>
  <c r="G107" i="12" s="1"/>
  <c r="F107" i="5"/>
  <c r="C108" i="5"/>
  <c r="AF107" i="5" a="1"/>
  <c r="AF107" i="5" s="1"/>
  <c r="B107" i="6"/>
  <c r="J107" i="6" s="1" a="1"/>
  <c r="J107" i="6" s="1"/>
  <c r="D107" i="5"/>
  <c r="B107" i="12" s="1"/>
  <c r="N99" i="12"/>
  <c r="Y99" i="12"/>
  <c r="W99" i="12" s="1" a="1"/>
  <c r="W99" i="12" s="1"/>
  <c r="T99" i="12" s="1"/>
  <c r="C100" i="12"/>
  <c r="O100" i="12" a="1"/>
  <c r="O100" i="12" s="1"/>
  <c r="AO100" i="12" a="1"/>
  <c r="AO100" i="12" s="1"/>
  <c r="M100" i="12" a="1"/>
  <c r="M100" i="12" s="1"/>
  <c r="I101" i="12"/>
  <c r="L101" i="5"/>
  <c r="AM101" i="5"/>
  <c r="Z101" i="5"/>
  <c r="N104" i="6"/>
  <c r="M104" i="6"/>
  <c r="A105" i="6"/>
  <c r="X102" i="5" a="1"/>
  <c r="X102" i="5" s="1"/>
  <c r="X98" i="12" a="1"/>
  <c r="X98" i="12" s="1"/>
  <c r="W98" i="12" a="1"/>
  <c r="W98" i="12" s="1"/>
  <c r="AQ103" i="6"/>
  <c r="AS103" i="6"/>
  <c r="AN103" i="6"/>
  <c r="AR103" i="6"/>
  <c r="AX103" i="6" a="1"/>
  <c r="AX103" i="6" s="1"/>
  <c r="AG103" i="6"/>
  <c r="BE103" i="6" a="1"/>
  <c r="BE103" i="6" s="1"/>
  <c r="AY103" i="6" a="1"/>
  <c r="AY103" i="6" s="1"/>
  <c r="AH103" i="6"/>
  <c r="AM103" i="6"/>
  <c r="BF103" i="6" a="1"/>
  <c r="BF103" i="6" s="1"/>
  <c r="BB103" i="6" a="1"/>
  <c r="BB103" i="6" s="1"/>
  <c r="BA103" i="6" a="1"/>
  <c r="BA103" i="6" s="1"/>
  <c r="AP103" i="6"/>
  <c r="BD103" i="6" a="1"/>
  <c r="BD103" i="6" s="1"/>
  <c r="AO103" i="6"/>
  <c r="AU103" i="6"/>
  <c r="AZ103" i="6" a="1"/>
  <c r="AZ103" i="6" s="1"/>
  <c r="AF103" i="6"/>
  <c r="BC103" i="6" a="1"/>
  <c r="BC103" i="6" s="1"/>
  <c r="AT103" i="6"/>
  <c r="BG103" i="6" a="1"/>
  <c r="BG103" i="6" s="1"/>
  <c r="AE103" i="6"/>
  <c r="AV103" i="6"/>
  <c r="AI103" i="6"/>
  <c r="AK103" i="6"/>
  <c r="AB103" i="6"/>
  <c r="AJ103" i="6"/>
  <c r="AC103" i="6"/>
  <c r="AD103" i="6"/>
  <c r="AA100" i="5" a="1"/>
  <c r="AA100" i="5" s="1"/>
  <c r="AB100" i="5" a="1"/>
  <c r="AB100" i="5" s="1"/>
  <c r="L114" i="6"/>
  <c r="O100" i="5"/>
  <c r="C100" i="6"/>
  <c r="AC100" i="5" a="1"/>
  <c r="AC100" i="5" s="1"/>
  <c r="G106" i="6" l="1"/>
  <c r="K106" i="12"/>
  <c r="K108" i="5"/>
  <c r="F108" i="5"/>
  <c r="H108" i="5"/>
  <c r="AD108" i="5"/>
  <c r="J108" i="5"/>
  <c r="AF108" i="5" a="1"/>
  <c r="AF108" i="5" s="1"/>
  <c r="N108" i="5"/>
  <c r="D108" i="6" s="1"/>
  <c r="H108" i="6" s="1" a="1"/>
  <c r="H108" i="6" s="1"/>
  <c r="T108" i="5" s="1"/>
  <c r="G108" i="12" s="1" a="1"/>
  <c r="G108" i="12" s="1"/>
  <c r="G108" i="5"/>
  <c r="C109" i="5"/>
  <c r="B108" i="6"/>
  <c r="J108" i="6" s="1" a="1"/>
  <c r="J108" i="6" s="1"/>
  <c r="AE108" i="5" a="1"/>
  <c r="AE108" i="5" s="1"/>
  <c r="A108" i="12"/>
  <c r="B108" i="5"/>
  <c r="E108" i="5"/>
  <c r="D108" i="5"/>
  <c r="B108" i="12" s="1"/>
  <c r="E106" i="12"/>
  <c r="F106" i="6"/>
  <c r="L107" i="12" a="1"/>
  <c r="L107" i="12" s="1"/>
  <c r="J107" i="12" a="1"/>
  <c r="J107" i="12" s="1"/>
  <c r="R107" i="5" a="1"/>
  <c r="R107" i="5" s="1"/>
  <c r="S107" i="5" a="1"/>
  <c r="S107" i="5" s="1"/>
  <c r="F107" i="12" s="1" a="1"/>
  <c r="F107" i="12" s="1"/>
  <c r="AG107" i="5" a="1"/>
  <c r="AG107" i="5" s="1"/>
  <c r="U107" i="5" s="1"/>
  <c r="W106" i="5" a="1"/>
  <c r="W106" i="5" s="1"/>
  <c r="H106" i="12" s="1" a="1"/>
  <c r="H106" i="12" s="1"/>
  <c r="AN106" i="5" a="1"/>
  <c r="AN106" i="5" s="1"/>
  <c r="V99" i="12" a="1"/>
  <c r="V99" i="12" s="1"/>
  <c r="U99" i="12"/>
  <c r="X99" i="12" a="1"/>
  <c r="X99" i="12" s="1"/>
  <c r="X103" i="5" a="1"/>
  <c r="X103" i="5" s="1"/>
  <c r="I103" i="12" s="1"/>
  <c r="Y100" i="12"/>
  <c r="X100" i="12" s="1" a="1"/>
  <c r="X100" i="12" s="1"/>
  <c r="AB101" i="5" a="1"/>
  <c r="AB101" i="5" s="1"/>
  <c r="AA101" i="5" a="1"/>
  <c r="AA101" i="5" s="1"/>
  <c r="BB104" i="6" a="1"/>
  <c r="BB104" i="6" s="1"/>
  <c r="AU104" i="6"/>
  <c r="AO104" i="6"/>
  <c r="AT104" i="6"/>
  <c r="AS104" i="6"/>
  <c r="AN104" i="6"/>
  <c r="BC104" i="6" a="1"/>
  <c r="BC104" i="6" s="1"/>
  <c r="BA104" i="6" a="1"/>
  <c r="BA104" i="6" s="1"/>
  <c r="AP104" i="6"/>
  <c r="BG104" i="6" a="1"/>
  <c r="BG104" i="6" s="1"/>
  <c r="BF104" i="6" a="1"/>
  <c r="BF104" i="6" s="1"/>
  <c r="AZ104" i="6" a="1"/>
  <c r="AZ104" i="6" s="1"/>
  <c r="AY104" i="6" a="1"/>
  <c r="AY104" i="6" s="1"/>
  <c r="AM104" i="6"/>
  <c r="AH104" i="6"/>
  <c r="AG104" i="6"/>
  <c r="BD104" i="6" a="1"/>
  <c r="BD104" i="6" s="1"/>
  <c r="BE104" i="6" a="1"/>
  <c r="BE104" i="6" s="1"/>
  <c r="AR104" i="6"/>
  <c r="AJ104" i="6"/>
  <c r="AX104" i="6" a="1"/>
  <c r="AX104" i="6" s="1"/>
  <c r="AV104" i="6"/>
  <c r="AQ104" i="6"/>
  <c r="AK104" i="6"/>
  <c r="AE104" i="6"/>
  <c r="AC104" i="6"/>
  <c r="AI104" i="6"/>
  <c r="AD104" i="6"/>
  <c r="AF104" i="6"/>
  <c r="AB104" i="6"/>
  <c r="O101" i="5"/>
  <c r="C101" i="6"/>
  <c r="AC101" i="5" a="1"/>
  <c r="AC101" i="5" s="1"/>
  <c r="T98" i="12"/>
  <c r="V98" i="12" a="1"/>
  <c r="V98" i="12" s="1"/>
  <c r="U98" i="12"/>
  <c r="C101" i="12"/>
  <c r="AO101" i="12" a="1"/>
  <c r="AO101" i="12" s="1"/>
  <c r="M101" i="12" a="1"/>
  <c r="M101" i="12" s="1"/>
  <c r="O101" i="12" a="1"/>
  <c r="O101" i="12" s="1"/>
  <c r="N100" i="12"/>
  <c r="L115" i="6"/>
  <c r="A106" i="6"/>
  <c r="M105" i="6"/>
  <c r="N105" i="6"/>
  <c r="D100" i="12"/>
  <c r="E100" i="6"/>
  <c r="I102" i="12"/>
  <c r="AM102" i="5"/>
  <c r="L102" i="5"/>
  <c r="Z102" i="5"/>
  <c r="G107" i="6" l="1"/>
  <c r="K107" i="12"/>
  <c r="AN107" i="5" a="1"/>
  <c r="AN107" i="5" s="1"/>
  <c r="W107" i="5" a="1"/>
  <c r="W107" i="5" s="1"/>
  <c r="H107" i="12" s="1" a="1"/>
  <c r="H107" i="12" s="1"/>
  <c r="R108" i="5" a="1"/>
  <c r="R108" i="5" s="1"/>
  <c r="AG108" i="5" a="1"/>
  <c r="AG108" i="5" s="1"/>
  <c r="U108" i="5" s="1"/>
  <c r="S108" i="5" a="1"/>
  <c r="S108" i="5" s="1"/>
  <c r="F107" i="6"/>
  <c r="E107" i="12"/>
  <c r="L108" i="12" a="1"/>
  <c r="L108" i="12" s="1"/>
  <c r="J108" i="12" a="1"/>
  <c r="J108" i="12" s="1"/>
  <c r="G109" i="5"/>
  <c r="N109" i="5"/>
  <c r="D109" i="6" s="1"/>
  <c r="H109" i="6" s="1" a="1"/>
  <c r="H109" i="6" s="1"/>
  <c r="T109" i="5" s="1"/>
  <c r="G109" i="12" s="1" a="1"/>
  <c r="G109" i="12" s="1"/>
  <c r="E109" i="5"/>
  <c r="B109" i="5"/>
  <c r="H109" i="5"/>
  <c r="AF109" i="5" a="1"/>
  <c r="AF109" i="5" s="1"/>
  <c r="C110" i="5"/>
  <c r="AE109" i="5" a="1"/>
  <c r="AE109" i="5" s="1"/>
  <c r="D109" i="5"/>
  <c r="B109" i="12" s="1"/>
  <c r="F109" i="5"/>
  <c r="A109" i="12"/>
  <c r="B109" i="6"/>
  <c r="J109" i="6" s="1" a="1"/>
  <c r="J109" i="6" s="1"/>
  <c r="K109" i="5"/>
  <c r="AD109" i="5"/>
  <c r="J109" i="5"/>
  <c r="W100" i="12" a="1"/>
  <c r="W100" i="12" s="1"/>
  <c r="U100" i="12" s="1"/>
  <c r="Y101" i="12"/>
  <c r="X101" i="12" s="1" a="1"/>
  <c r="X101" i="12" s="1"/>
  <c r="Z103" i="5"/>
  <c r="AB103" i="5" s="1" a="1"/>
  <c r="AB103" i="5" s="1"/>
  <c r="AM103" i="5"/>
  <c r="L103" i="5"/>
  <c r="C103" i="6" s="1"/>
  <c r="N101" i="12"/>
  <c r="BA105" i="6" a="1"/>
  <c r="BA105" i="6" s="1"/>
  <c r="AQ105" i="6"/>
  <c r="AP105" i="6"/>
  <c r="AO105" i="6"/>
  <c r="AV105" i="6"/>
  <c r="AM105" i="6"/>
  <c r="AZ105" i="6" a="1"/>
  <c r="AZ105" i="6" s="1"/>
  <c r="AR105" i="6"/>
  <c r="BC105" i="6" a="1"/>
  <c r="BC105" i="6" s="1"/>
  <c r="AS105" i="6"/>
  <c r="AU105" i="6"/>
  <c r="AE105" i="6"/>
  <c r="BE105" i="6" a="1"/>
  <c r="BE105" i="6" s="1"/>
  <c r="AB105" i="6"/>
  <c r="AX105" i="6" a="1"/>
  <c r="AX105" i="6" s="1"/>
  <c r="AN105" i="6"/>
  <c r="AJ105" i="6"/>
  <c r="AY105" i="6" a="1"/>
  <c r="AY105" i="6" s="1"/>
  <c r="BB105" i="6" a="1"/>
  <c r="BB105" i="6" s="1"/>
  <c r="AT105" i="6"/>
  <c r="AH105" i="6"/>
  <c r="AG105" i="6"/>
  <c r="AK105" i="6"/>
  <c r="AF105" i="6"/>
  <c r="BG105" i="6" a="1"/>
  <c r="BG105" i="6" s="1"/>
  <c r="BF105" i="6" a="1"/>
  <c r="BF105" i="6" s="1"/>
  <c r="BD105" i="6" a="1"/>
  <c r="BD105" i="6" s="1"/>
  <c r="AC105" i="6"/>
  <c r="AI105" i="6"/>
  <c r="AD105" i="6"/>
  <c r="L116" i="6"/>
  <c r="C102" i="12"/>
  <c r="M102" i="12" a="1"/>
  <c r="M102" i="12" s="1"/>
  <c r="AO102" i="12" a="1"/>
  <c r="AO102" i="12" s="1"/>
  <c r="O102" i="12" a="1"/>
  <c r="O102" i="12" s="1"/>
  <c r="M106" i="6"/>
  <c r="N106" i="6"/>
  <c r="A107" i="6"/>
  <c r="O102" i="5"/>
  <c r="C102" i="6"/>
  <c r="AC102" i="5" a="1"/>
  <c r="AC102" i="5" s="1"/>
  <c r="AB102" i="5" a="1"/>
  <c r="AB102" i="5" s="1"/>
  <c r="AA102" i="5" a="1"/>
  <c r="AA102" i="5" s="1"/>
  <c r="D101" i="12"/>
  <c r="E101" i="6"/>
  <c r="X104" i="5" a="1"/>
  <c r="X104" i="5" s="1"/>
  <c r="C103" i="12"/>
  <c r="O103" i="12" a="1"/>
  <c r="O103" i="12" s="1"/>
  <c r="M103" i="12" a="1"/>
  <c r="M103" i="12" s="1"/>
  <c r="AO103" i="12" a="1"/>
  <c r="AO103" i="12" s="1"/>
  <c r="K108" i="12" l="1"/>
  <c r="S109" i="5" a="1"/>
  <c r="S109" i="5" s="1"/>
  <c r="AG109" i="5" a="1"/>
  <c r="AG109" i="5" s="1"/>
  <c r="U109" i="5" s="1"/>
  <c r="R109" i="5" a="1"/>
  <c r="R109" i="5" s="1"/>
  <c r="B110" i="5"/>
  <c r="E110" i="5"/>
  <c r="K110" i="5"/>
  <c r="AE110" i="5" a="1"/>
  <c r="AE110" i="5" s="1"/>
  <c r="N110" i="5"/>
  <c r="D110" i="6" s="1"/>
  <c r="H110" i="6" s="1" a="1"/>
  <c r="H110" i="6" s="1"/>
  <c r="T110" i="5" s="1"/>
  <c r="G110" i="12" s="1" a="1"/>
  <c r="G110" i="12" s="1"/>
  <c r="D110" i="5"/>
  <c r="B110" i="12" s="1"/>
  <c r="B110" i="6"/>
  <c r="J110" i="6" s="1" a="1"/>
  <c r="J110" i="6" s="1"/>
  <c r="C111" i="5"/>
  <c r="H110" i="5"/>
  <c r="J110" i="5"/>
  <c r="AF110" i="5" a="1"/>
  <c r="AF110" i="5" s="1"/>
  <c r="F110" i="5"/>
  <c r="AD110" i="5"/>
  <c r="G110" i="5"/>
  <c r="A110" i="12"/>
  <c r="F108" i="12" a="1"/>
  <c r="F108" i="12" s="1"/>
  <c r="G108" i="6"/>
  <c r="L109" i="12" a="1"/>
  <c r="L109" i="12" s="1"/>
  <c r="J109" i="12" a="1"/>
  <c r="J109" i="12" s="1"/>
  <c r="AN108" i="5" a="1"/>
  <c r="AN108" i="5" s="1"/>
  <c r="W108" i="5" a="1"/>
  <c r="W108" i="5" s="1"/>
  <c r="H108" i="12" s="1" a="1"/>
  <c r="H108" i="12" s="1"/>
  <c r="F108" i="6"/>
  <c r="E108" i="12"/>
  <c r="W101" i="12" a="1"/>
  <c r="W101" i="12" s="1"/>
  <c r="U101" i="12" s="1"/>
  <c r="AA103" i="5" a="1"/>
  <c r="AA103" i="5" s="1"/>
  <c r="V100" i="12" a="1"/>
  <c r="V100" i="12" s="1"/>
  <c r="T100" i="12"/>
  <c r="O103" i="5"/>
  <c r="D103" i="12" s="1"/>
  <c r="AC103" i="5" a="1"/>
  <c r="AC103" i="5" s="1"/>
  <c r="N103" i="12"/>
  <c r="N102" i="12"/>
  <c r="Y102" i="12"/>
  <c r="X102" i="12" s="1" a="1"/>
  <c r="X102" i="12" s="1"/>
  <c r="L117" i="6"/>
  <c r="X105" i="5" a="1"/>
  <c r="X105" i="5" s="1"/>
  <c r="I104" i="12"/>
  <c r="AM104" i="5"/>
  <c r="L104" i="5"/>
  <c r="Z104" i="5"/>
  <c r="D102" i="12"/>
  <c r="E102" i="6"/>
  <c r="M107" i="6"/>
  <c r="N107" i="6"/>
  <c r="A108" i="6"/>
  <c r="BD106" i="6" a="1"/>
  <c r="BD106" i="6" s="1"/>
  <c r="AO106" i="6"/>
  <c r="AM106" i="6"/>
  <c r="AQ106" i="6"/>
  <c r="BC106" i="6" a="1"/>
  <c r="BC106" i="6" s="1"/>
  <c r="AR106" i="6"/>
  <c r="AX106" i="6" a="1"/>
  <c r="AX106" i="6" s="1"/>
  <c r="AT106" i="6"/>
  <c r="AN106" i="6"/>
  <c r="BG106" i="6" a="1"/>
  <c r="BG106" i="6" s="1"/>
  <c r="BE106" i="6" a="1"/>
  <c r="BE106" i="6" s="1"/>
  <c r="BB106" i="6" a="1"/>
  <c r="BB106" i="6" s="1"/>
  <c r="AU106" i="6"/>
  <c r="AS106" i="6"/>
  <c r="AZ106" i="6" a="1"/>
  <c r="AZ106" i="6" s="1"/>
  <c r="AB106" i="6"/>
  <c r="BF106" i="6" a="1"/>
  <c r="BF106" i="6" s="1"/>
  <c r="AP106" i="6"/>
  <c r="AY106" i="6" a="1"/>
  <c r="AY106" i="6" s="1"/>
  <c r="BA106" i="6" a="1"/>
  <c r="BA106" i="6" s="1"/>
  <c r="AV106" i="6"/>
  <c r="AJ106" i="6"/>
  <c r="AD106" i="6"/>
  <c r="AH106" i="6"/>
  <c r="AE106" i="6"/>
  <c r="AK106" i="6"/>
  <c r="AI106" i="6"/>
  <c r="AG106" i="6"/>
  <c r="AF106" i="6"/>
  <c r="AC106" i="6"/>
  <c r="Y103" i="12"/>
  <c r="R110" i="5" l="1" a="1"/>
  <c r="R110" i="5" s="1"/>
  <c r="AG110" i="5" a="1"/>
  <c r="AG110" i="5" s="1"/>
  <c r="U110" i="5" s="1"/>
  <c r="S110" i="5" a="1"/>
  <c r="S110" i="5" s="1"/>
  <c r="K109" i="12"/>
  <c r="B111" i="6"/>
  <c r="J111" i="6" s="1" a="1"/>
  <c r="J111" i="6" s="1"/>
  <c r="AF111" i="5" a="1"/>
  <c r="AF111" i="5" s="1"/>
  <c r="G111" i="5"/>
  <c r="B111" i="5"/>
  <c r="AE111" i="5" a="1"/>
  <c r="AE111" i="5" s="1"/>
  <c r="H111" i="5"/>
  <c r="J111" i="5"/>
  <c r="F111" i="5"/>
  <c r="D111" i="5"/>
  <c r="B111" i="12" s="1"/>
  <c r="A111" i="12"/>
  <c r="N111" i="5"/>
  <c r="D111" i="6" s="1"/>
  <c r="H111" i="6" s="1" a="1"/>
  <c r="H111" i="6" s="1"/>
  <c r="T111" i="5" s="1"/>
  <c r="G111" i="12" s="1" a="1"/>
  <c r="G111" i="12" s="1"/>
  <c r="C112" i="5"/>
  <c r="E111" i="5"/>
  <c r="AD111" i="5"/>
  <c r="K111" i="5"/>
  <c r="E109" i="12"/>
  <c r="F109" i="6"/>
  <c r="J110" i="12" a="1"/>
  <c r="J110" i="12" s="1"/>
  <c r="L110" i="12" a="1"/>
  <c r="L110" i="12" s="1"/>
  <c r="AN109" i="5" a="1"/>
  <c r="AN109" i="5" s="1"/>
  <c r="W109" i="5" a="1"/>
  <c r="W109" i="5" s="1"/>
  <c r="H109" i="12" s="1" a="1"/>
  <c r="H109" i="12" s="1"/>
  <c r="F109" i="12" a="1"/>
  <c r="F109" i="12" s="1"/>
  <c r="G109" i="6"/>
  <c r="V101" i="12" a="1"/>
  <c r="V101" i="12" s="1"/>
  <c r="T101" i="12"/>
  <c r="E103" i="6"/>
  <c r="W102" i="12" a="1"/>
  <c r="W102" i="12" s="1"/>
  <c r="V102" i="12" s="1" a="1"/>
  <c r="V102" i="12" s="1"/>
  <c r="L118" i="6"/>
  <c r="BE107" i="6" a="1"/>
  <c r="BE107" i="6" s="1"/>
  <c r="AR107" i="6"/>
  <c r="AZ107" i="6" a="1"/>
  <c r="AZ107" i="6" s="1"/>
  <c r="AN107" i="6"/>
  <c r="AE107" i="6"/>
  <c r="AV107" i="6"/>
  <c r="AY107" i="6" a="1"/>
  <c r="AY107" i="6" s="1"/>
  <c r="AM107" i="6"/>
  <c r="BF107" i="6" a="1"/>
  <c r="BF107" i="6" s="1"/>
  <c r="BD107" i="6" a="1"/>
  <c r="BD107" i="6" s="1"/>
  <c r="AP107" i="6"/>
  <c r="AU107" i="6"/>
  <c r="AX107" i="6" a="1"/>
  <c r="AX107" i="6" s="1"/>
  <c r="AO107" i="6"/>
  <c r="AT107" i="6"/>
  <c r="BA107" i="6" a="1"/>
  <c r="BA107" i="6" s="1"/>
  <c r="BC107" i="6" a="1"/>
  <c r="BC107" i="6" s="1"/>
  <c r="BG107" i="6" a="1"/>
  <c r="BG107" i="6" s="1"/>
  <c r="AQ107" i="6"/>
  <c r="AS107" i="6"/>
  <c r="BB107" i="6" a="1"/>
  <c r="BB107" i="6" s="1"/>
  <c r="AH107" i="6"/>
  <c r="AB107" i="6"/>
  <c r="AF107" i="6"/>
  <c r="AK107" i="6"/>
  <c r="AJ107" i="6"/>
  <c r="AC107" i="6"/>
  <c r="AG107" i="6"/>
  <c r="AI107" i="6"/>
  <c r="AD107" i="6"/>
  <c r="AB104" i="5" a="1"/>
  <c r="AB104" i="5" s="1"/>
  <c r="AA104" i="5" a="1"/>
  <c r="AA104" i="5" s="1"/>
  <c r="C104" i="6"/>
  <c r="O104" i="5"/>
  <c r="AC104" i="5" a="1"/>
  <c r="AC104" i="5" s="1"/>
  <c r="M108" i="6"/>
  <c r="N108" i="6"/>
  <c r="A109" i="6"/>
  <c r="X106" i="5" a="1"/>
  <c r="X106" i="5" s="1"/>
  <c r="C104" i="12"/>
  <c r="AO104" i="12" a="1"/>
  <c r="AO104" i="12" s="1"/>
  <c r="M104" i="12" a="1"/>
  <c r="M104" i="12" s="1"/>
  <c r="O104" i="12" a="1"/>
  <c r="O104" i="12" s="1"/>
  <c r="I105" i="12"/>
  <c r="L105" i="5"/>
  <c r="AM105" i="5"/>
  <c r="Z105" i="5"/>
  <c r="X103" i="12" a="1"/>
  <c r="X103" i="12" s="1"/>
  <c r="W103" i="12" a="1"/>
  <c r="W103" i="12" s="1"/>
  <c r="K110" i="12" l="1"/>
  <c r="AD112" i="5"/>
  <c r="G112" i="5"/>
  <c r="AF112" i="5" a="1"/>
  <c r="AF112" i="5" s="1"/>
  <c r="R112" i="5" s="1" a="1"/>
  <c r="R112" i="5" s="1"/>
  <c r="E112" i="12" s="1"/>
  <c r="F112" i="5"/>
  <c r="N112" i="5"/>
  <c r="D112" i="6" s="1"/>
  <c r="H112" i="6" s="1" a="1"/>
  <c r="H112" i="6" s="1"/>
  <c r="T112" i="5" s="1"/>
  <c r="G112" i="12" s="1" a="1"/>
  <c r="G112" i="12" s="1"/>
  <c r="D112" i="5"/>
  <c r="B112" i="12" s="1"/>
  <c r="AE112" i="5" a="1"/>
  <c r="AE112" i="5" s="1"/>
  <c r="A112" i="12"/>
  <c r="K112" i="5"/>
  <c r="B112" i="5"/>
  <c r="H112" i="5"/>
  <c r="C113" i="5"/>
  <c r="J112" i="5"/>
  <c r="B112" i="6"/>
  <c r="J112" i="6" s="1" a="1"/>
  <c r="J112" i="6" s="1"/>
  <c r="E112" i="5"/>
  <c r="J111" i="12" a="1"/>
  <c r="J111" i="12" s="1"/>
  <c r="L111" i="12" a="1"/>
  <c r="L111" i="12" s="1"/>
  <c r="S111" i="5" a="1"/>
  <c r="S111" i="5" s="1"/>
  <c r="R111" i="5" a="1"/>
  <c r="R111" i="5" s="1"/>
  <c r="AG111" i="5" a="1"/>
  <c r="AG111" i="5" s="1"/>
  <c r="U111" i="5" s="1"/>
  <c r="F110" i="12" a="1"/>
  <c r="F110" i="12" s="1"/>
  <c r="G110" i="6"/>
  <c r="AN110" i="5" a="1"/>
  <c r="AN110" i="5" s="1"/>
  <c r="W110" i="5" a="1"/>
  <c r="W110" i="5" s="1"/>
  <c r="H110" i="12" s="1" a="1"/>
  <c r="H110" i="12" s="1"/>
  <c r="F110" i="6"/>
  <c r="E110" i="12"/>
  <c r="T102" i="12"/>
  <c r="U102" i="12"/>
  <c r="N104" i="12"/>
  <c r="D104" i="12"/>
  <c r="E104" i="6"/>
  <c r="Y104" i="12"/>
  <c r="X107" i="5" a="1"/>
  <c r="X107" i="5" s="1"/>
  <c r="L119" i="6"/>
  <c r="A110" i="6"/>
  <c r="M109" i="6"/>
  <c r="N109" i="6"/>
  <c r="V103" i="12" a="1"/>
  <c r="V103" i="12" s="1"/>
  <c r="U103" i="12"/>
  <c r="T103" i="12"/>
  <c r="C105" i="12"/>
  <c r="AO105" i="12" a="1"/>
  <c r="AO105" i="12" s="1"/>
  <c r="O105" i="12" a="1"/>
  <c r="O105" i="12" s="1"/>
  <c r="M105" i="12" a="1"/>
  <c r="M105" i="12" s="1"/>
  <c r="I106" i="12"/>
  <c r="AM106" i="5"/>
  <c r="L106" i="5"/>
  <c r="Z106" i="5"/>
  <c r="AB105" i="5" a="1"/>
  <c r="AB105" i="5" s="1"/>
  <c r="AA105" i="5" a="1"/>
  <c r="AA105" i="5" s="1"/>
  <c r="O105" i="5"/>
  <c r="C105" i="6"/>
  <c r="AC105" i="5" a="1"/>
  <c r="AC105" i="5" s="1"/>
  <c r="BC108" i="6" a="1"/>
  <c r="BC108" i="6" s="1"/>
  <c r="AH108" i="6"/>
  <c r="BD108" i="6" a="1"/>
  <c r="BD108" i="6" s="1"/>
  <c r="BE108" i="6" a="1"/>
  <c r="BE108" i="6" s="1"/>
  <c r="AP108" i="6"/>
  <c r="AR108" i="6"/>
  <c r="AQ108" i="6"/>
  <c r="AX108" i="6" a="1"/>
  <c r="AX108" i="6" s="1"/>
  <c r="AV108" i="6"/>
  <c r="AO108" i="6"/>
  <c r="AJ108" i="6"/>
  <c r="AG108" i="6"/>
  <c r="AD108" i="6"/>
  <c r="BF108" i="6" a="1"/>
  <c r="BF108" i="6" s="1"/>
  <c r="AY108" i="6" a="1"/>
  <c r="AY108" i="6" s="1"/>
  <c r="BB108" i="6" a="1"/>
  <c r="BB108" i="6" s="1"/>
  <c r="AU108" i="6"/>
  <c r="AC108" i="6"/>
  <c r="AS108" i="6"/>
  <c r="AE108" i="6"/>
  <c r="AB108" i="6"/>
  <c r="AF108" i="6"/>
  <c r="AN108" i="6"/>
  <c r="BA108" i="6" a="1"/>
  <c r="BA108" i="6" s="1"/>
  <c r="AT108" i="6"/>
  <c r="BG108" i="6" a="1"/>
  <c r="BG108" i="6" s="1"/>
  <c r="AZ108" i="6" a="1"/>
  <c r="AZ108" i="6" s="1"/>
  <c r="AM108" i="6"/>
  <c r="AK108" i="6"/>
  <c r="AI108" i="6"/>
  <c r="F112" i="6" l="1"/>
  <c r="L112" i="12" a="1"/>
  <c r="L112" i="12" s="1"/>
  <c r="J112" i="12" a="1"/>
  <c r="J112" i="12" s="1"/>
  <c r="W111" i="5" a="1"/>
  <c r="W111" i="5" s="1"/>
  <c r="H111" i="12" s="1" a="1"/>
  <c r="H111" i="12" s="1"/>
  <c r="AN111" i="5" a="1"/>
  <c r="AN111" i="5" s="1"/>
  <c r="C114" i="5"/>
  <c r="F113" i="5"/>
  <c r="D113" i="5"/>
  <c r="B113" i="12" s="1"/>
  <c r="H113" i="5"/>
  <c r="E113" i="5"/>
  <c r="AD113" i="5"/>
  <c r="N113" i="5"/>
  <c r="D113" i="6" s="1"/>
  <c r="H113" i="6" s="1" a="1"/>
  <c r="H113" i="6" s="1"/>
  <c r="T113" i="5" s="1"/>
  <c r="G113" i="12" s="1" a="1"/>
  <c r="G113" i="12" s="1"/>
  <c r="G113" i="5"/>
  <c r="AE113" i="5" a="1"/>
  <c r="AE113" i="5" s="1"/>
  <c r="B113" i="5"/>
  <c r="K113" i="5"/>
  <c r="AF113" i="5" a="1"/>
  <c r="AF113" i="5" s="1"/>
  <c r="W113" i="5" a="1"/>
  <c r="W113" i="5" s="1"/>
  <c r="H113" i="12" s="1" a="1"/>
  <c r="H113" i="12" s="1"/>
  <c r="B113" i="6"/>
  <c r="J113" i="6" s="1" a="1"/>
  <c r="J113" i="6" s="1"/>
  <c r="J113" i="5"/>
  <c r="A113" i="12"/>
  <c r="F111" i="6"/>
  <c r="E111" i="12"/>
  <c r="AG112" i="5" a="1"/>
  <c r="AG112" i="5" s="1"/>
  <c r="U112" i="5" s="1"/>
  <c r="S112" i="5" a="1"/>
  <c r="S112" i="5" s="1"/>
  <c r="F111" i="12" a="1"/>
  <c r="F111" i="12" s="1"/>
  <c r="G111" i="6"/>
  <c r="K111" i="12"/>
  <c r="N105" i="12"/>
  <c r="X104" i="12" a="1"/>
  <c r="X104" i="12" s="1"/>
  <c r="W104" i="12" a="1"/>
  <c r="W104" i="12" s="1"/>
  <c r="C106" i="6"/>
  <c r="O106" i="5"/>
  <c r="AC106" i="5" a="1"/>
  <c r="AC106" i="5" s="1"/>
  <c r="AN109" i="6"/>
  <c r="AO109" i="6"/>
  <c r="AS109" i="6"/>
  <c r="AZ109" i="6" a="1"/>
  <c r="AZ109" i="6" s="1"/>
  <c r="BD109" i="6" a="1"/>
  <c r="BD109" i="6" s="1"/>
  <c r="AH109" i="6"/>
  <c r="AU109" i="6"/>
  <c r="BE109" i="6" a="1"/>
  <c r="BE109" i="6" s="1"/>
  <c r="AK109" i="6"/>
  <c r="AC109" i="6"/>
  <c r="AD109" i="6"/>
  <c r="AJ109" i="6"/>
  <c r="BG109" i="6" a="1"/>
  <c r="BG109" i="6" s="1"/>
  <c r="BF109" i="6" a="1"/>
  <c r="BF109" i="6" s="1"/>
  <c r="BC109" i="6" a="1"/>
  <c r="BC109" i="6" s="1"/>
  <c r="AR109" i="6"/>
  <c r="BA109" i="6" a="1"/>
  <c r="BA109" i="6" s="1"/>
  <c r="AX109" i="6" a="1"/>
  <c r="AX109" i="6" s="1"/>
  <c r="AB109" i="6"/>
  <c r="AQ109" i="6"/>
  <c r="AV109" i="6"/>
  <c r="AT109" i="6"/>
  <c r="AY109" i="6" a="1"/>
  <c r="AY109" i="6" s="1"/>
  <c r="BB109" i="6" a="1"/>
  <c r="BB109" i="6" s="1"/>
  <c r="AG109" i="6"/>
  <c r="AM109" i="6"/>
  <c r="AP109" i="6"/>
  <c r="AF109" i="6"/>
  <c r="AE109" i="6"/>
  <c r="AI109" i="6"/>
  <c r="M110" i="6"/>
  <c r="N110" i="6"/>
  <c r="A111" i="6"/>
  <c r="X108" i="5" a="1"/>
  <c r="X108" i="5" s="1"/>
  <c r="Y105" i="12"/>
  <c r="D105" i="12"/>
  <c r="E105" i="6"/>
  <c r="AB106" i="5" a="1"/>
  <c r="AB106" i="5" s="1"/>
  <c r="AA106" i="5" a="1"/>
  <c r="AA106" i="5" s="1"/>
  <c r="L120" i="6"/>
  <c r="I107" i="12"/>
  <c r="AM107" i="5"/>
  <c r="L107" i="5"/>
  <c r="Z107" i="5"/>
  <c r="C106" i="12"/>
  <c r="M106" i="12" a="1"/>
  <c r="M106" i="12" s="1"/>
  <c r="AO106" i="12" a="1"/>
  <c r="AO106" i="12" s="1"/>
  <c r="O106" i="12" a="1"/>
  <c r="O106" i="12" s="1"/>
  <c r="F112" i="12" l="1" a="1"/>
  <c r="F112" i="12" s="1"/>
  <c r="G112" i="6"/>
  <c r="R113" i="5" a="1"/>
  <c r="R113" i="5" s="1"/>
  <c r="S113" i="5" a="1"/>
  <c r="S113" i="5" s="1"/>
  <c r="F113" i="12" s="1" a="1"/>
  <c r="F113" i="12" s="1"/>
  <c r="AG113" i="5" a="1"/>
  <c r="AG113" i="5" s="1"/>
  <c r="W112" i="5" a="1"/>
  <c r="W112" i="5" s="1"/>
  <c r="H112" i="12" s="1" a="1"/>
  <c r="H112" i="12" s="1"/>
  <c r="AN112" i="5" a="1"/>
  <c r="AN112" i="5" s="1"/>
  <c r="H114" i="5"/>
  <c r="E114" i="5"/>
  <c r="K114" i="5"/>
  <c r="F114" i="5"/>
  <c r="C115" i="5"/>
  <c r="A114" i="12"/>
  <c r="D114" i="5"/>
  <c r="B114" i="12" s="1"/>
  <c r="AD114" i="5"/>
  <c r="AF114" i="5" a="1"/>
  <c r="AF114" i="5" s="1"/>
  <c r="W114" i="5" a="1"/>
  <c r="W114" i="5" s="1"/>
  <c r="H114" i="12" s="1" a="1"/>
  <c r="H114" i="12" s="1"/>
  <c r="AE114" i="5" a="1"/>
  <c r="AE114" i="5" s="1"/>
  <c r="B114" i="5"/>
  <c r="B114" i="6"/>
  <c r="J114" i="6" s="1" a="1"/>
  <c r="J114" i="6" s="1"/>
  <c r="J114" i="5"/>
  <c r="G114" i="5"/>
  <c r="N114" i="5"/>
  <c r="D114" i="6" s="1"/>
  <c r="H114" i="6" s="1" a="1"/>
  <c r="H114" i="6" s="1"/>
  <c r="T114" i="5" s="1"/>
  <c r="G114" i="12" s="1" a="1"/>
  <c r="G114" i="12" s="1"/>
  <c r="L113" i="12" a="1"/>
  <c r="L113" i="12" s="1"/>
  <c r="J113" i="12" a="1"/>
  <c r="J113" i="12" s="1"/>
  <c r="K112" i="12"/>
  <c r="N106" i="12"/>
  <c r="U104" i="12"/>
  <c r="V104" i="12" a="1"/>
  <c r="V104" i="12" s="1"/>
  <c r="T104" i="12"/>
  <c r="AB107" i="5" a="1"/>
  <c r="AB107" i="5" s="1"/>
  <c r="AA107" i="5" a="1"/>
  <c r="AA107" i="5" s="1"/>
  <c r="X109" i="5" a="1"/>
  <c r="X109" i="5" s="1"/>
  <c r="W105" i="12" a="1"/>
  <c r="W105" i="12" s="1"/>
  <c r="X105" i="12" a="1"/>
  <c r="X105" i="12" s="1"/>
  <c r="BD110" i="6" a="1"/>
  <c r="BD110" i="6" s="1"/>
  <c r="AO110" i="6"/>
  <c r="BG110" i="6" a="1"/>
  <c r="BG110" i="6" s="1"/>
  <c r="AQ110" i="6"/>
  <c r="AB110" i="6"/>
  <c r="AR110" i="6"/>
  <c r="AZ110" i="6" a="1"/>
  <c r="AZ110" i="6" s="1"/>
  <c r="AX110" i="6" a="1"/>
  <c r="AX110" i="6" s="1"/>
  <c r="AN110" i="6"/>
  <c r="BB110" i="6" a="1"/>
  <c r="BB110" i="6" s="1"/>
  <c r="AU110" i="6"/>
  <c r="BF110" i="6" a="1"/>
  <c r="BF110" i="6" s="1"/>
  <c r="AS110" i="6"/>
  <c r="AT110" i="6"/>
  <c r="BE110" i="6" a="1"/>
  <c r="BE110" i="6" s="1"/>
  <c r="BC110" i="6" a="1"/>
  <c r="BC110" i="6" s="1"/>
  <c r="AY110" i="6" a="1"/>
  <c r="AY110" i="6" s="1"/>
  <c r="AV110" i="6"/>
  <c r="AP110" i="6"/>
  <c r="AM110" i="6"/>
  <c r="BA110" i="6" a="1"/>
  <c r="BA110" i="6" s="1"/>
  <c r="AK110" i="6"/>
  <c r="AC110" i="6"/>
  <c r="AF110" i="6"/>
  <c r="AD110" i="6"/>
  <c r="AG110" i="6"/>
  <c r="AH110" i="6"/>
  <c r="AE110" i="6"/>
  <c r="AJ110" i="6"/>
  <c r="AI110" i="6"/>
  <c r="C107" i="12"/>
  <c r="O107" i="12" a="1"/>
  <c r="O107" i="12" s="1"/>
  <c r="AO107" i="12" a="1"/>
  <c r="AO107" i="12" s="1"/>
  <c r="M107" i="12" a="1"/>
  <c r="M107" i="12" s="1"/>
  <c r="D106" i="12"/>
  <c r="E106" i="6"/>
  <c r="C107" i="6"/>
  <c r="O107" i="5"/>
  <c r="AC107" i="5" a="1"/>
  <c r="AC107" i="5" s="1"/>
  <c r="L121" i="6"/>
  <c r="Y106" i="12"/>
  <c r="I108" i="12"/>
  <c r="L108" i="5"/>
  <c r="AM108" i="5"/>
  <c r="Z108" i="5"/>
  <c r="N111" i="6"/>
  <c r="M111" i="6"/>
  <c r="A112" i="6"/>
  <c r="K113" i="12" l="1"/>
  <c r="G113" i="6"/>
  <c r="L114" i="12" a="1"/>
  <c r="L114" i="12" s="1"/>
  <c r="J114" i="12" a="1"/>
  <c r="J114" i="12" s="1"/>
  <c r="G115" i="5"/>
  <c r="C116" i="5"/>
  <c r="K115" i="5"/>
  <c r="AE115" i="5" a="1"/>
  <c r="AE115" i="5" s="1"/>
  <c r="AF115" i="5" a="1"/>
  <c r="AF115" i="5" s="1"/>
  <c r="B115" i="6"/>
  <c r="J115" i="6" s="1" a="1"/>
  <c r="J115" i="6" s="1"/>
  <c r="F115" i="5"/>
  <c r="H115" i="5"/>
  <c r="E115" i="5"/>
  <c r="AD115" i="5"/>
  <c r="J115" i="5"/>
  <c r="W115" i="5" a="1"/>
  <c r="W115" i="5" s="1"/>
  <c r="H115" i="12" s="1" a="1"/>
  <c r="H115" i="12" s="1"/>
  <c r="B115" i="5"/>
  <c r="D115" i="5"/>
  <c r="B115" i="12" s="1"/>
  <c r="A115" i="12"/>
  <c r="N115" i="5"/>
  <c r="D115" i="6" s="1"/>
  <c r="H115" i="6" s="1" a="1"/>
  <c r="H115" i="6" s="1"/>
  <c r="T115" i="5" s="1"/>
  <c r="G115" i="12" s="1" a="1"/>
  <c r="G115" i="12" s="1"/>
  <c r="E113" i="12"/>
  <c r="F113" i="6"/>
  <c r="S114" i="5" a="1"/>
  <c r="S114" i="5" s="1"/>
  <c r="F114" i="12" s="1" a="1"/>
  <c r="F114" i="12" s="1"/>
  <c r="AG114" i="5" a="1"/>
  <c r="AG114" i="5" s="1"/>
  <c r="R114" i="5" a="1"/>
  <c r="R114" i="5" s="1"/>
  <c r="N107" i="12"/>
  <c r="X110" i="5" a="1"/>
  <c r="X110" i="5" s="1"/>
  <c r="V105" i="12" a="1"/>
  <c r="V105" i="12" s="1"/>
  <c r="U105" i="12"/>
  <c r="T105" i="12"/>
  <c r="I109" i="12"/>
  <c r="AM109" i="5"/>
  <c r="L109" i="5"/>
  <c r="Z109" i="5"/>
  <c r="N112" i="6"/>
  <c r="M112" i="6"/>
  <c r="A113" i="6"/>
  <c r="W106" i="12" a="1"/>
  <c r="W106" i="12" s="1"/>
  <c r="X106" i="12" a="1"/>
  <c r="X106" i="12" s="1"/>
  <c r="O108" i="5"/>
  <c r="C108" i="6"/>
  <c r="AC108" i="5" a="1"/>
  <c r="AC108" i="5" s="1"/>
  <c r="C108" i="12"/>
  <c r="AO108" i="12" a="1"/>
  <c r="AO108" i="12" s="1"/>
  <c r="M108" i="12" a="1"/>
  <c r="M108" i="12" s="1"/>
  <c r="O108" i="12" a="1"/>
  <c r="O108" i="12" s="1"/>
  <c r="D107" i="12"/>
  <c r="E107" i="6"/>
  <c r="BE111" i="6" a="1"/>
  <c r="BE111" i="6" s="1"/>
  <c r="AR111" i="6"/>
  <c r="AO111" i="6"/>
  <c r="AY111" i="6" a="1"/>
  <c r="AY111" i="6" s="1"/>
  <c r="AN111" i="6"/>
  <c r="AM111" i="6"/>
  <c r="BF111" i="6" a="1"/>
  <c r="BF111" i="6" s="1"/>
  <c r="BB111" i="6" a="1"/>
  <c r="BB111" i="6" s="1"/>
  <c r="BD111" i="6" a="1"/>
  <c r="BD111" i="6" s="1"/>
  <c r="AE111" i="6"/>
  <c r="AK111" i="6"/>
  <c r="BG111" i="6" a="1"/>
  <c r="BG111" i="6" s="1"/>
  <c r="AU111" i="6"/>
  <c r="AX111" i="6" a="1"/>
  <c r="AX111" i="6" s="1"/>
  <c r="AT111" i="6"/>
  <c r="AV111" i="6"/>
  <c r="BA111" i="6" a="1"/>
  <c r="BA111" i="6" s="1"/>
  <c r="BC111" i="6" a="1"/>
  <c r="BC111" i="6" s="1"/>
  <c r="AQ111" i="6"/>
  <c r="AS111" i="6"/>
  <c r="AZ111" i="6" a="1"/>
  <c r="AZ111" i="6" s="1"/>
  <c r="AD111" i="6"/>
  <c r="AC111" i="6"/>
  <c r="AP111" i="6"/>
  <c r="AB111" i="6"/>
  <c r="AI111" i="6"/>
  <c r="AG111" i="6"/>
  <c r="AH111" i="6"/>
  <c r="AF111" i="6"/>
  <c r="AJ111" i="6"/>
  <c r="L122" i="6"/>
  <c r="AA108" i="5" a="1"/>
  <c r="AA108" i="5" s="1"/>
  <c r="AB108" i="5" a="1"/>
  <c r="AB108" i="5" s="1"/>
  <c r="Y107" i="12"/>
  <c r="F114" i="6" l="1"/>
  <c r="E114" i="12"/>
  <c r="R115" i="5" a="1"/>
  <c r="R115" i="5" s="1"/>
  <c r="AG115" i="5" a="1"/>
  <c r="AG115" i="5" s="1"/>
  <c r="S115" i="5" a="1"/>
  <c r="S115" i="5" s="1"/>
  <c r="F115" i="12" s="1" a="1"/>
  <c r="F115" i="12" s="1"/>
  <c r="AD116" i="5"/>
  <c r="J116" i="5"/>
  <c r="AE116" i="5" a="1"/>
  <c r="AE116" i="5" s="1"/>
  <c r="D116" i="5"/>
  <c r="B116" i="12" s="1"/>
  <c r="A116" i="12"/>
  <c r="G116" i="5"/>
  <c r="W116" i="5" a="1"/>
  <c r="W116" i="5" s="1"/>
  <c r="H116" i="12" s="1" a="1"/>
  <c r="H116" i="12" s="1"/>
  <c r="B116" i="5"/>
  <c r="C117" i="5"/>
  <c r="K116" i="5"/>
  <c r="F116" i="5"/>
  <c r="AF116" i="5" a="1"/>
  <c r="AF116" i="5" s="1"/>
  <c r="E116" i="5"/>
  <c r="N116" i="5"/>
  <c r="D116" i="6" s="1"/>
  <c r="H116" i="6" s="1" a="1"/>
  <c r="H116" i="6" s="1"/>
  <c r="T116" i="5" s="1"/>
  <c r="G116" i="12" s="1" a="1"/>
  <c r="G116" i="12" s="1"/>
  <c r="H116" i="5"/>
  <c r="B116" i="6"/>
  <c r="J116" i="6" s="1" a="1"/>
  <c r="J116" i="6" s="1"/>
  <c r="L115" i="12" a="1"/>
  <c r="L115" i="12" s="1"/>
  <c r="J115" i="12" a="1"/>
  <c r="J115" i="12" s="1"/>
  <c r="K114" i="12"/>
  <c r="G114" i="6"/>
  <c r="AM110" i="5"/>
  <c r="Z110" i="5"/>
  <c r="AB110" i="5" s="1" a="1"/>
  <c r="AB110" i="5" s="1"/>
  <c r="L110" i="5"/>
  <c r="AC110" i="5" s="1" a="1"/>
  <c r="AC110" i="5" s="1"/>
  <c r="I110" i="12"/>
  <c r="C110" i="12" s="1"/>
  <c r="Y108" i="12"/>
  <c r="W108" i="12" s="1" a="1"/>
  <c r="W108" i="12" s="1"/>
  <c r="D108" i="12"/>
  <c r="E108" i="6"/>
  <c r="W107" i="12" a="1"/>
  <c r="W107" i="12" s="1"/>
  <c r="X107" i="12" a="1"/>
  <c r="X107" i="12" s="1"/>
  <c r="C109" i="6"/>
  <c r="O109" i="5"/>
  <c r="AC109" i="5" a="1"/>
  <c r="AC109" i="5" s="1"/>
  <c r="AB109" i="5" a="1"/>
  <c r="AB109" i="5" s="1"/>
  <c r="AA109" i="5" a="1"/>
  <c r="AA109" i="5" s="1"/>
  <c r="V106" i="12" a="1"/>
  <c r="V106" i="12" s="1"/>
  <c r="U106" i="12"/>
  <c r="T106" i="12"/>
  <c r="X111" i="5" a="1"/>
  <c r="X111" i="5" s="1"/>
  <c r="C109" i="12"/>
  <c r="O109" i="12" a="1"/>
  <c r="O109" i="12" s="1"/>
  <c r="AO109" i="12" a="1"/>
  <c r="AO109" i="12" s="1"/>
  <c r="M109" i="12" a="1"/>
  <c r="M109" i="12" s="1"/>
  <c r="L123" i="6"/>
  <c r="N108" i="12"/>
  <c r="M113" i="6"/>
  <c r="N113" i="6"/>
  <c r="A114" i="6"/>
  <c r="BD112" i="6" a="1"/>
  <c r="BD112" i="6" s="1"/>
  <c r="BE112" i="6" a="1"/>
  <c r="BE112" i="6" s="1"/>
  <c r="AX112" i="6" a="1"/>
  <c r="AX112" i="6" s="1"/>
  <c r="BB112" i="6" a="1"/>
  <c r="BB112" i="6" s="1"/>
  <c r="AU112" i="6"/>
  <c r="AV112" i="6"/>
  <c r="BC112" i="6" a="1"/>
  <c r="BC112" i="6" s="1"/>
  <c r="AN112" i="6"/>
  <c r="AR112" i="6"/>
  <c r="AS112" i="6"/>
  <c r="AM112" i="6"/>
  <c r="AY112" i="6" a="1"/>
  <c r="AY112" i="6" s="1"/>
  <c r="BG112" i="6" a="1"/>
  <c r="BG112" i="6" s="1"/>
  <c r="AQ112" i="6"/>
  <c r="BF112" i="6" a="1"/>
  <c r="BF112" i="6" s="1"/>
  <c r="AZ112" i="6" a="1"/>
  <c r="AZ112" i="6" s="1"/>
  <c r="AP112" i="6"/>
  <c r="BA112" i="6" a="1"/>
  <c r="BA112" i="6" s="1"/>
  <c r="AO112" i="6"/>
  <c r="AT112" i="6"/>
  <c r="AE112" i="6"/>
  <c r="AD112" i="6"/>
  <c r="AJ112" i="6"/>
  <c r="AH112" i="6"/>
  <c r="AK112" i="6"/>
  <c r="AI112" i="6"/>
  <c r="AG112" i="6"/>
  <c r="AC112" i="6"/>
  <c r="AF112" i="6"/>
  <c r="AB112" i="6"/>
  <c r="G115" i="6" l="1"/>
  <c r="K115" i="12"/>
  <c r="AE117" i="5" a="1"/>
  <c r="AE117" i="5" s="1"/>
  <c r="J117" i="5"/>
  <c r="W117" i="5" a="1"/>
  <c r="W117" i="5" s="1"/>
  <c r="H117" i="12" s="1" a="1"/>
  <c r="H117" i="12" s="1"/>
  <c r="AF117" i="5" a="1"/>
  <c r="AF117" i="5" s="1"/>
  <c r="H117" i="5"/>
  <c r="K117" i="5"/>
  <c r="B117" i="6"/>
  <c r="J117" i="6" s="1" a="1"/>
  <c r="J117" i="6" s="1"/>
  <c r="G117" i="5"/>
  <c r="A117" i="12"/>
  <c r="F117" i="5"/>
  <c r="D117" i="5"/>
  <c r="B117" i="12" s="1"/>
  <c r="C118" i="5"/>
  <c r="N117" i="5"/>
  <c r="D117" i="6" s="1"/>
  <c r="H117" i="6" s="1" a="1"/>
  <c r="H117" i="6" s="1"/>
  <c r="T117" i="5" s="1"/>
  <c r="G117" i="12" s="1" a="1"/>
  <c r="G117" i="12" s="1"/>
  <c r="AD117" i="5"/>
  <c r="B117" i="5"/>
  <c r="E117" i="5"/>
  <c r="E115" i="12"/>
  <c r="F115" i="6"/>
  <c r="L116" i="12" a="1"/>
  <c r="L116" i="12" s="1"/>
  <c r="J116" i="12" a="1"/>
  <c r="J116" i="12" s="1"/>
  <c r="R116" i="5" a="1"/>
  <c r="R116" i="5" s="1"/>
  <c r="AG116" i="5" a="1"/>
  <c r="AG116" i="5" s="1"/>
  <c r="S116" i="5" a="1"/>
  <c r="S116" i="5" s="1"/>
  <c r="O110" i="12" a="1"/>
  <c r="O110" i="12" s="1"/>
  <c r="M110" i="12" a="1"/>
  <c r="M110" i="12" s="1"/>
  <c r="O110" i="5"/>
  <c r="E110" i="6" s="1"/>
  <c r="AO110" i="12" a="1"/>
  <c r="AO110" i="12" s="1"/>
  <c r="X108" i="12" a="1"/>
  <c r="X108" i="12" s="1"/>
  <c r="C110" i="6"/>
  <c r="AA110" i="5" a="1"/>
  <c r="AA110" i="5" s="1"/>
  <c r="Y109" i="12"/>
  <c r="W109" i="12" s="1" a="1"/>
  <c r="W109" i="12" s="1"/>
  <c r="N109" i="12"/>
  <c r="U108" i="12"/>
  <c r="T108" i="12"/>
  <c r="V108" i="12" a="1"/>
  <c r="V108" i="12" s="1"/>
  <c r="L124" i="6"/>
  <c r="D109" i="12"/>
  <c r="E109" i="6"/>
  <c r="I111" i="12"/>
  <c r="AM111" i="5"/>
  <c r="L111" i="5"/>
  <c r="Z111" i="5"/>
  <c r="BG113" i="6" a="1"/>
  <c r="BG113" i="6" s="1"/>
  <c r="BF113" i="6" a="1"/>
  <c r="BF113" i="6" s="1"/>
  <c r="AT113" i="6"/>
  <c r="AH113" i="6"/>
  <c r="BA113" i="6" a="1"/>
  <c r="BA113" i="6" s="1"/>
  <c r="AS113" i="6"/>
  <c r="AQ113" i="6"/>
  <c r="AR113" i="6"/>
  <c r="BE113" i="6" a="1"/>
  <c r="BE113" i="6" s="1"/>
  <c r="BD113" i="6" a="1"/>
  <c r="BD113" i="6" s="1"/>
  <c r="AY113" i="6" a="1"/>
  <c r="AY113" i="6" s="1"/>
  <c r="BB113" i="6" a="1"/>
  <c r="BB113" i="6" s="1"/>
  <c r="AM113" i="6"/>
  <c r="AP113" i="6"/>
  <c r="BC113" i="6" a="1"/>
  <c r="BC113" i="6" s="1"/>
  <c r="AN113" i="6"/>
  <c r="AO113" i="6"/>
  <c r="AF113" i="6"/>
  <c r="AZ113" i="6" a="1"/>
  <c r="AZ113" i="6" s="1"/>
  <c r="AX113" i="6" a="1"/>
  <c r="AX113" i="6" s="1"/>
  <c r="AE113" i="6"/>
  <c r="AK113" i="6"/>
  <c r="AV113" i="6"/>
  <c r="AU113" i="6"/>
  <c r="AB113" i="6"/>
  <c r="AC113" i="6"/>
  <c r="AG113" i="6"/>
  <c r="AD113" i="6"/>
  <c r="AJ113" i="6"/>
  <c r="AI113" i="6"/>
  <c r="V107" i="12" a="1"/>
  <c r="V107" i="12" s="1"/>
  <c r="T107" i="12"/>
  <c r="U107" i="12"/>
  <c r="N114" i="6"/>
  <c r="M114" i="6"/>
  <c r="A115" i="6"/>
  <c r="X112" i="5" a="1"/>
  <c r="X112" i="5" s="1"/>
  <c r="K116" i="12" l="1"/>
  <c r="F116" i="12" a="1"/>
  <c r="F116" i="12" s="1"/>
  <c r="G116" i="6"/>
  <c r="J118" i="5"/>
  <c r="A118" i="12"/>
  <c r="AE118" i="5" a="1"/>
  <c r="AE118" i="5" s="1"/>
  <c r="G118" i="5"/>
  <c r="E118" i="5"/>
  <c r="H118" i="5"/>
  <c r="C119" i="5"/>
  <c r="N118" i="5"/>
  <c r="D118" i="6" s="1"/>
  <c r="H118" i="6" s="1" a="1"/>
  <c r="H118" i="6" s="1"/>
  <c r="T118" i="5" s="1"/>
  <c r="G118" i="12" s="1" a="1"/>
  <c r="G118" i="12" s="1"/>
  <c r="D118" i="5"/>
  <c r="B118" i="12" s="1"/>
  <c r="B118" i="6"/>
  <c r="J118" i="6" s="1" a="1"/>
  <c r="J118" i="6" s="1"/>
  <c r="AD118" i="5"/>
  <c r="K118" i="5"/>
  <c r="AF118" i="5" a="1"/>
  <c r="AF118" i="5" s="1"/>
  <c r="B118" i="5"/>
  <c r="W118" i="5" a="1"/>
  <c r="W118" i="5" s="1"/>
  <c r="H118" i="12" s="1" a="1"/>
  <c r="H118" i="12" s="1"/>
  <c r="F118" i="5"/>
  <c r="AG117" i="5" a="1"/>
  <c r="AG117" i="5" s="1"/>
  <c r="S117" i="5" a="1"/>
  <c r="S117" i="5" s="1"/>
  <c r="F117" i="12" s="1" a="1"/>
  <c r="F117" i="12" s="1"/>
  <c r="L117" i="12" a="1"/>
  <c r="L117" i="12" s="1"/>
  <c r="J117" i="12" a="1"/>
  <c r="J117" i="12" s="1"/>
  <c r="F116" i="6"/>
  <c r="E116" i="12"/>
  <c r="R117" i="5" a="1"/>
  <c r="R117" i="5" s="1"/>
  <c r="D110" i="12"/>
  <c r="N110" i="12"/>
  <c r="Y110" i="12"/>
  <c r="X110" i="12" s="1" a="1"/>
  <c r="X110" i="12" s="1"/>
  <c r="X109" i="12" a="1"/>
  <c r="X109" i="12" s="1"/>
  <c r="C111" i="12"/>
  <c r="O111" i="12" a="1"/>
  <c r="O111" i="12" s="1"/>
  <c r="AO111" i="12" a="1"/>
  <c r="AO111" i="12" s="1"/>
  <c r="M111" i="12" a="1"/>
  <c r="M111" i="12" s="1"/>
  <c r="V109" i="12" a="1"/>
  <c r="V109" i="12" s="1"/>
  <c r="U109" i="12"/>
  <c r="T109" i="12"/>
  <c r="L125" i="6"/>
  <c r="I112" i="12"/>
  <c r="L112" i="5"/>
  <c r="AM112" i="5"/>
  <c r="Z112" i="5"/>
  <c r="AP114" i="6"/>
  <c r="AV114" i="6"/>
  <c r="BE114" i="6" a="1"/>
  <c r="BE114" i="6" s="1"/>
  <c r="AU114" i="6"/>
  <c r="BA114" i="6" a="1"/>
  <c r="BA114" i="6" s="1"/>
  <c r="BF114" i="6" a="1"/>
  <c r="BF114" i="6" s="1"/>
  <c r="AX114" i="6" a="1"/>
  <c r="AX114" i="6" s="1"/>
  <c r="AE114" i="6"/>
  <c r="AY114" i="6" a="1"/>
  <c r="AY114" i="6" s="1"/>
  <c r="AB114" i="6"/>
  <c r="BD114" i="6" a="1"/>
  <c r="BD114" i="6" s="1"/>
  <c r="AO114" i="6"/>
  <c r="BG114" i="6" a="1"/>
  <c r="BG114" i="6" s="1"/>
  <c r="AS114" i="6"/>
  <c r="AN114" i="6"/>
  <c r="AZ114" i="6" a="1"/>
  <c r="AZ114" i="6" s="1"/>
  <c r="BB114" i="6" a="1"/>
  <c r="BB114" i="6" s="1"/>
  <c r="AD114" i="6"/>
  <c r="BC114" i="6" a="1"/>
  <c r="BC114" i="6" s="1"/>
  <c r="AQ114" i="6"/>
  <c r="AI114" i="6"/>
  <c r="AT114" i="6"/>
  <c r="AM114" i="6"/>
  <c r="AK114" i="6"/>
  <c r="AR114" i="6"/>
  <c r="AF114" i="6"/>
  <c r="AJ114" i="6"/>
  <c r="AH114" i="6"/>
  <c r="AC114" i="6"/>
  <c r="AG114" i="6"/>
  <c r="X113" i="5" a="1"/>
  <c r="X113" i="5" s="1"/>
  <c r="N115" i="6"/>
  <c r="M115" i="6"/>
  <c r="A116" i="6"/>
  <c r="AB111" i="5" a="1"/>
  <c r="AB111" i="5" s="1"/>
  <c r="AA111" i="5" a="1"/>
  <c r="AA111" i="5" s="1"/>
  <c r="O111" i="5"/>
  <c r="C111" i="6"/>
  <c r="AC111" i="5" a="1"/>
  <c r="AC111" i="5" s="1"/>
  <c r="K117" i="12" l="1"/>
  <c r="G117" i="6"/>
  <c r="S118" i="5" a="1"/>
  <c r="S118" i="5" s="1"/>
  <c r="R118" i="5" a="1"/>
  <c r="R118" i="5" s="1"/>
  <c r="AG118" i="5" a="1"/>
  <c r="AG118" i="5" s="1"/>
  <c r="L118" i="12" a="1"/>
  <c r="L118" i="12" s="1"/>
  <c r="J118" i="12" a="1"/>
  <c r="J118" i="12" s="1"/>
  <c r="E117" i="12"/>
  <c r="F117" i="6"/>
  <c r="B119" i="6"/>
  <c r="J119" i="6" s="1" a="1"/>
  <c r="J119" i="6" s="1"/>
  <c r="G119" i="5"/>
  <c r="N119" i="5"/>
  <c r="D119" i="6" s="1"/>
  <c r="H119" i="6" s="1" a="1"/>
  <c r="H119" i="6" s="1"/>
  <c r="T119" i="5" s="1"/>
  <c r="G119" i="12" s="1" a="1"/>
  <c r="G119" i="12" s="1"/>
  <c r="D119" i="5"/>
  <c r="B119" i="12" s="1"/>
  <c r="E119" i="5"/>
  <c r="W119" i="5" a="1"/>
  <c r="W119" i="5" s="1"/>
  <c r="H119" i="12" s="1" a="1"/>
  <c r="H119" i="12" s="1"/>
  <c r="AF119" i="5" a="1"/>
  <c r="AF119" i="5" s="1"/>
  <c r="K119" i="5"/>
  <c r="AE119" i="5" a="1"/>
  <c r="AE119" i="5" s="1"/>
  <c r="J119" i="5"/>
  <c r="A119" i="12"/>
  <c r="C120" i="5"/>
  <c r="B119" i="5"/>
  <c r="H119" i="5"/>
  <c r="AD119" i="5"/>
  <c r="F119" i="5"/>
  <c r="W110" i="12" a="1"/>
  <c r="W110" i="12" s="1"/>
  <c r="U110" i="12" s="1"/>
  <c r="AA112" i="5" a="1"/>
  <c r="AA112" i="5" s="1"/>
  <c r="AB112" i="5" a="1"/>
  <c r="AB112" i="5" s="1"/>
  <c r="X114" i="5" a="1"/>
  <c r="X114" i="5" s="1"/>
  <c r="I113" i="12"/>
  <c r="L113" i="5"/>
  <c r="AM113" i="5"/>
  <c r="Z113" i="5"/>
  <c r="Y111" i="12"/>
  <c r="C112" i="12"/>
  <c r="AO112" i="12" a="1"/>
  <c r="AO112" i="12" s="1"/>
  <c r="O112" i="12" a="1"/>
  <c r="O112" i="12" s="1"/>
  <c r="M112" i="12" a="1"/>
  <c r="M112" i="12" s="1"/>
  <c r="N111" i="12"/>
  <c r="N116" i="6"/>
  <c r="A117" i="6"/>
  <c r="M116" i="6"/>
  <c r="D111" i="12"/>
  <c r="E111" i="6"/>
  <c r="C112" i="6"/>
  <c r="O112" i="5"/>
  <c r="AC112" i="5" a="1"/>
  <c r="AC112" i="5" s="1"/>
  <c r="BG115" i="6" a="1"/>
  <c r="BG115" i="6" s="1"/>
  <c r="AX115" i="6" a="1"/>
  <c r="AX115" i="6" s="1"/>
  <c r="BA115" i="6" a="1"/>
  <c r="BA115" i="6" s="1"/>
  <c r="AU115" i="6"/>
  <c r="AQ115" i="6"/>
  <c r="AR115" i="6"/>
  <c r="AT115" i="6"/>
  <c r="AP115" i="6"/>
  <c r="BF115" i="6" a="1"/>
  <c r="BF115" i="6" s="1"/>
  <c r="AO115" i="6"/>
  <c r="AZ115" i="6" a="1"/>
  <c r="AZ115" i="6" s="1"/>
  <c r="BD115" i="6" a="1"/>
  <c r="BD115" i="6" s="1"/>
  <c r="AN115" i="6"/>
  <c r="AS115" i="6"/>
  <c r="BE115" i="6" a="1"/>
  <c r="BE115" i="6" s="1"/>
  <c r="AY115" i="6" a="1"/>
  <c r="AY115" i="6" s="1"/>
  <c r="BC115" i="6" a="1"/>
  <c r="BC115" i="6" s="1"/>
  <c r="AM115" i="6"/>
  <c r="BB115" i="6" a="1"/>
  <c r="BB115" i="6" s="1"/>
  <c r="AV115" i="6"/>
  <c r="AB115" i="6"/>
  <c r="AG115" i="6"/>
  <c r="AF115" i="6"/>
  <c r="AJ115" i="6"/>
  <c r="AC115" i="6"/>
  <c r="AH115" i="6"/>
  <c r="AI115" i="6"/>
  <c r="AD115" i="6"/>
  <c r="AK115" i="6"/>
  <c r="AE115" i="6"/>
  <c r="L126" i="6"/>
  <c r="K118" i="12" l="1"/>
  <c r="R119" i="5" a="1"/>
  <c r="R119" i="5" s="1"/>
  <c r="AG119" i="5" a="1"/>
  <c r="AG119" i="5" s="1"/>
  <c r="S119" i="5" a="1"/>
  <c r="S119" i="5" s="1"/>
  <c r="W120" i="5" a="1"/>
  <c r="W120" i="5" s="1"/>
  <c r="H120" i="12" s="1" a="1"/>
  <c r="H120" i="12" s="1"/>
  <c r="F120" i="5"/>
  <c r="B120" i="5"/>
  <c r="J120" i="5"/>
  <c r="H120" i="5"/>
  <c r="E120" i="5"/>
  <c r="C121" i="5"/>
  <c r="D120" i="5"/>
  <c r="B120" i="12" s="1"/>
  <c r="N120" i="5"/>
  <c r="D120" i="6" s="1"/>
  <c r="H120" i="6" s="1" a="1"/>
  <c r="H120" i="6" s="1"/>
  <c r="T120" i="5" s="1"/>
  <c r="G120" i="12" s="1" a="1"/>
  <c r="G120" i="12" s="1"/>
  <c r="AD120" i="5"/>
  <c r="AE120" i="5" a="1"/>
  <c r="AE120" i="5" s="1"/>
  <c r="K120" i="5"/>
  <c r="G120" i="5"/>
  <c r="B120" i="6"/>
  <c r="J120" i="6" s="1" a="1"/>
  <c r="J120" i="6" s="1"/>
  <c r="A120" i="12"/>
  <c r="AF120" i="5" a="1"/>
  <c r="AF120" i="5" s="1"/>
  <c r="J119" i="12" a="1"/>
  <c r="J119" i="12" s="1"/>
  <c r="L119" i="12" a="1"/>
  <c r="L119" i="12" s="1"/>
  <c r="E118" i="12"/>
  <c r="F118" i="6"/>
  <c r="F118" i="12" a="1"/>
  <c r="F118" i="12" s="1"/>
  <c r="G118" i="6"/>
  <c r="V110" i="12" a="1"/>
  <c r="V110" i="12" s="1"/>
  <c r="T110" i="12"/>
  <c r="Y112" i="12"/>
  <c r="X112" i="12" s="1" a="1"/>
  <c r="X112" i="12" s="1"/>
  <c r="M117" i="6"/>
  <c r="A118" i="6"/>
  <c r="N117" i="6"/>
  <c r="AA113" i="5" a="1"/>
  <c r="AA113" i="5" s="1"/>
  <c r="AB113" i="5" a="1"/>
  <c r="AB113" i="5" s="1"/>
  <c r="O113" i="5"/>
  <c r="C113" i="6"/>
  <c r="AC113" i="5" a="1"/>
  <c r="AC113" i="5" s="1"/>
  <c r="N112" i="12"/>
  <c r="D112" i="12"/>
  <c r="E112" i="6"/>
  <c r="I114" i="12"/>
  <c r="AM114" i="5"/>
  <c r="L114" i="5"/>
  <c r="Z114" i="5"/>
  <c r="C113" i="12"/>
  <c r="M113" i="12" a="1"/>
  <c r="M113" i="12" s="1"/>
  <c r="O113" i="12" a="1"/>
  <c r="O113" i="12" s="1"/>
  <c r="AO113" i="12" a="1"/>
  <c r="AO113" i="12" s="1"/>
  <c r="X115" i="5" a="1"/>
  <c r="X115" i="5" s="1"/>
  <c r="L127" i="6"/>
  <c r="X111" i="12" a="1"/>
  <c r="X111" i="12" s="1"/>
  <c r="W111" i="12" a="1"/>
  <c r="W111" i="12" s="1"/>
  <c r="BD116" i="6" a="1"/>
  <c r="BD116" i="6" s="1"/>
  <c r="AX116" i="6" a="1"/>
  <c r="AX116" i="6" s="1"/>
  <c r="BG116" i="6" a="1"/>
  <c r="BG116" i="6" s="1"/>
  <c r="BF116" i="6" a="1"/>
  <c r="BF116" i="6" s="1"/>
  <c r="AY116" i="6" a="1"/>
  <c r="AY116" i="6" s="1"/>
  <c r="AQ116" i="6"/>
  <c r="AI116" i="6"/>
  <c r="BC116" i="6" a="1"/>
  <c r="BC116" i="6" s="1"/>
  <c r="AV116" i="6"/>
  <c r="AU116" i="6"/>
  <c r="AN116" i="6"/>
  <c r="AR116" i="6"/>
  <c r="AM116" i="6"/>
  <c r="AZ116" i="6" a="1"/>
  <c r="AZ116" i="6" s="1"/>
  <c r="AT116" i="6"/>
  <c r="AO116" i="6"/>
  <c r="BE116" i="6" a="1"/>
  <c r="BE116" i="6" s="1"/>
  <c r="AP116" i="6"/>
  <c r="AF116" i="6"/>
  <c r="BB116" i="6" a="1"/>
  <c r="BB116" i="6" s="1"/>
  <c r="BA116" i="6" a="1"/>
  <c r="BA116" i="6" s="1"/>
  <c r="AS116" i="6"/>
  <c r="AH116" i="6"/>
  <c r="AK116" i="6"/>
  <c r="AB116" i="6"/>
  <c r="AD116" i="6"/>
  <c r="AJ116" i="6"/>
  <c r="AE116" i="6"/>
  <c r="AC116" i="6"/>
  <c r="AG116" i="6"/>
  <c r="K119" i="12" l="1"/>
  <c r="AG120" i="5" a="1"/>
  <c r="AG120" i="5" s="1"/>
  <c r="R120" i="5" a="1"/>
  <c r="R120" i="5" s="1"/>
  <c r="S120" i="5" a="1"/>
  <c r="S120" i="5" s="1"/>
  <c r="F120" i="12" s="1" a="1"/>
  <c r="F120" i="12" s="1"/>
  <c r="F119" i="12" a="1"/>
  <c r="F119" i="12" s="1"/>
  <c r="G119" i="6"/>
  <c r="L120" i="12" a="1"/>
  <c r="L120" i="12" s="1"/>
  <c r="J120" i="12" a="1"/>
  <c r="J120" i="12" s="1"/>
  <c r="E121" i="5"/>
  <c r="K121" i="5"/>
  <c r="C122" i="5"/>
  <c r="AD121" i="5"/>
  <c r="J121" i="5"/>
  <c r="B121" i="6"/>
  <c r="J121" i="6" s="1" a="1"/>
  <c r="J121" i="6" s="1"/>
  <c r="AE121" i="5" a="1"/>
  <c r="AE121" i="5" s="1"/>
  <c r="F121" i="5"/>
  <c r="W121" i="5" a="1"/>
  <c r="W121" i="5" s="1"/>
  <c r="H121" i="12" s="1" a="1"/>
  <c r="H121" i="12" s="1"/>
  <c r="G121" i="5"/>
  <c r="AF121" i="5" a="1"/>
  <c r="AF121" i="5" s="1"/>
  <c r="D121" i="5"/>
  <c r="B121" i="12" s="1"/>
  <c r="A121" i="12"/>
  <c r="B121" i="5"/>
  <c r="H121" i="5"/>
  <c r="N121" i="5"/>
  <c r="D121" i="6" s="1"/>
  <c r="H121" i="6" s="1" a="1"/>
  <c r="H121" i="6" s="1"/>
  <c r="T121" i="5" s="1"/>
  <c r="G121" i="12" s="1" a="1"/>
  <c r="G121" i="12" s="1"/>
  <c r="E119" i="12"/>
  <c r="F119" i="6"/>
  <c r="W112" i="12" a="1"/>
  <c r="W112" i="12" s="1"/>
  <c r="V112" i="12" s="1" a="1"/>
  <c r="V112" i="12" s="1"/>
  <c r="N113" i="12"/>
  <c r="Y113" i="12"/>
  <c r="W113" i="12" s="1" a="1"/>
  <c r="W113" i="12" s="1"/>
  <c r="V111" i="12" a="1"/>
  <c r="V111" i="12" s="1"/>
  <c r="U111" i="12"/>
  <c r="T111" i="12"/>
  <c r="C114" i="12"/>
  <c r="AO114" i="12" a="1"/>
  <c r="AO114" i="12" s="1"/>
  <c r="M114" i="12" a="1"/>
  <c r="M114" i="12" s="1"/>
  <c r="O114" i="12" a="1"/>
  <c r="O114" i="12" s="1"/>
  <c r="I115" i="12"/>
  <c r="L115" i="5"/>
  <c r="AM115" i="5"/>
  <c r="Z115" i="5"/>
  <c r="L128" i="6"/>
  <c r="D113" i="12"/>
  <c r="E113" i="6"/>
  <c r="AB114" i="5" a="1"/>
  <c r="AB114" i="5" s="1"/>
  <c r="AA114" i="5" a="1"/>
  <c r="AA114" i="5" s="1"/>
  <c r="M118" i="6"/>
  <c r="N118" i="6"/>
  <c r="A119" i="6"/>
  <c r="X116" i="5" a="1"/>
  <c r="X116" i="5" s="1"/>
  <c r="C114" i="6"/>
  <c r="O114" i="5"/>
  <c r="AC114" i="5" a="1"/>
  <c r="AC114" i="5" s="1"/>
  <c r="BE117" i="6" a="1"/>
  <c r="BE117" i="6" s="1"/>
  <c r="AX117" i="6" a="1"/>
  <c r="AX117" i="6" s="1"/>
  <c r="AY117" i="6" a="1"/>
  <c r="AY117" i="6" s="1"/>
  <c r="BG117" i="6" a="1"/>
  <c r="BG117" i="6" s="1"/>
  <c r="AM117" i="6"/>
  <c r="BD117" i="6" a="1"/>
  <c r="BD117" i="6" s="1"/>
  <c r="AZ117" i="6" a="1"/>
  <c r="AZ117" i="6" s="1"/>
  <c r="AK117" i="6"/>
  <c r="AO117" i="6"/>
  <c r="AJ117" i="6"/>
  <c r="AH117" i="6"/>
  <c r="BA117" i="6" a="1"/>
  <c r="BA117" i="6" s="1"/>
  <c r="AQ117" i="6"/>
  <c r="AV117" i="6"/>
  <c r="AD117" i="6"/>
  <c r="AE117" i="6"/>
  <c r="BC117" i="6" a="1"/>
  <c r="BC117" i="6" s="1"/>
  <c r="AC117" i="6"/>
  <c r="AT117" i="6"/>
  <c r="BF117" i="6" a="1"/>
  <c r="BF117" i="6" s="1"/>
  <c r="AU117" i="6"/>
  <c r="BB117" i="6" a="1"/>
  <c r="BB117" i="6" s="1"/>
  <c r="AN117" i="6"/>
  <c r="AR117" i="6"/>
  <c r="AB117" i="6"/>
  <c r="AS117" i="6"/>
  <c r="AI117" i="6"/>
  <c r="AG117" i="6"/>
  <c r="AP117" i="6"/>
  <c r="AF117" i="6"/>
  <c r="K120" i="12" l="1"/>
  <c r="L121" i="12" a="1"/>
  <c r="L121" i="12" s="1"/>
  <c r="J121" i="12" a="1"/>
  <c r="J121" i="12" s="1"/>
  <c r="S121" i="5" a="1"/>
  <c r="S121" i="5" s="1"/>
  <c r="R121" i="5" a="1"/>
  <c r="R121" i="5" s="1"/>
  <c r="AG121" i="5" a="1"/>
  <c r="AG121" i="5" s="1"/>
  <c r="K122" i="5"/>
  <c r="D122" i="5"/>
  <c r="B122" i="12" s="1"/>
  <c r="H122" i="5"/>
  <c r="B122" i="5"/>
  <c r="AF122" i="5" a="1"/>
  <c r="AF122" i="5" s="1"/>
  <c r="J122" i="5"/>
  <c r="N122" i="5"/>
  <c r="D122" i="6" s="1"/>
  <c r="H122" i="6" s="1" a="1"/>
  <c r="H122" i="6" s="1"/>
  <c r="T122" i="5" s="1"/>
  <c r="G122" i="12" s="1" a="1"/>
  <c r="G122" i="12" s="1"/>
  <c r="A122" i="12"/>
  <c r="AD122" i="5"/>
  <c r="W122" i="5" a="1"/>
  <c r="W122" i="5" s="1"/>
  <c r="H122" i="12" s="1" a="1"/>
  <c r="H122" i="12" s="1"/>
  <c r="B122" i="6"/>
  <c r="J122" i="6" s="1" a="1"/>
  <c r="J122" i="6" s="1"/>
  <c r="F122" i="5"/>
  <c r="AE122" i="5" a="1"/>
  <c r="AE122" i="5" s="1"/>
  <c r="C123" i="5"/>
  <c r="G122" i="5"/>
  <c r="E122" i="5"/>
  <c r="F120" i="6"/>
  <c r="E120" i="12"/>
  <c r="G120" i="6"/>
  <c r="T112" i="12"/>
  <c r="X113" i="12" a="1"/>
  <c r="X113" i="12" s="1"/>
  <c r="U112" i="12"/>
  <c r="Y114" i="12"/>
  <c r="X114" i="12" s="1" a="1"/>
  <c r="X114" i="12" s="1"/>
  <c r="D114" i="12"/>
  <c r="E114" i="6"/>
  <c r="AB115" i="5" a="1"/>
  <c r="AB115" i="5" s="1"/>
  <c r="AA115" i="5" a="1"/>
  <c r="AA115" i="5" s="1"/>
  <c r="BD118" i="6" a="1"/>
  <c r="BD118" i="6" s="1"/>
  <c r="AS118" i="6"/>
  <c r="BG118" i="6" a="1"/>
  <c r="BG118" i="6" s="1"/>
  <c r="AM118" i="6"/>
  <c r="AX118" i="6" a="1"/>
  <c r="AX118" i="6" s="1"/>
  <c r="AQ118" i="6"/>
  <c r="AT118" i="6"/>
  <c r="AP118" i="6"/>
  <c r="AV118" i="6"/>
  <c r="AN118" i="6"/>
  <c r="BA118" i="6" a="1"/>
  <c r="BA118" i="6" s="1"/>
  <c r="BC118" i="6" a="1"/>
  <c r="BC118" i="6" s="1"/>
  <c r="BF118" i="6" a="1"/>
  <c r="BF118" i="6" s="1"/>
  <c r="AZ118" i="6" a="1"/>
  <c r="AZ118" i="6" s="1"/>
  <c r="AB118" i="6"/>
  <c r="AU118" i="6"/>
  <c r="AO118" i="6"/>
  <c r="AH118" i="6"/>
  <c r="BE118" i="6" a="1"/>
  <c r="BE118" i="6" s="1"/>
  <c r="AC118" i="6"/>
  <c r="AY118" i="6" a="1"/>
  <c r="AY118" i="6" s="1"/>
  <c r="AE118" i="6"/>
  <c r="BB118" i="6" a="1"/>
  <c r="BB118" i="6" s="1"/>
  <c r="AR118" i="6"/>
  <c r="AJ118" i="6"/>
  <c r="AF118" i="6"/>
  <c r="AK118" i="6"/>
  <c r="AG118" i="6"/>
  <c r="AI118" i="6"/>
  <c r="AD118" i="6"/>
  <c r="C115" i="12"/>
  <c r="O115" i="12" a="1"/>
  <c r="O115" i="12" s="1"/>
  <c r="M115" i="12" a="1"/>
  <c r="M115" i="12" s="1"/>
  <c r="AO115" i="12" a="1"/>
  <c r="AO115" i="12" s="1"/>
  <c r="N114" i="12"/>
  <c r="C115" i="6"/>
  <c r="O115" i="5"/>
  <c r="AC115" i="5" a="1"/>
  <c r="AC115" i="5" s="1"/>
  <c r="V113" i="12" a="1"/>
  <c r="V113" i="12" s="1"/>
  <c r="U113" i="12"/>
  <c r="T113" i="12"/>
  <c r="L129" i="6"/>
  <c r="N119" i="6"/>
  <c r="M119" i="6"/>
  <c r="A120" i="6"/>
  <c r="I116" i="12"/>
  <c r="AM116" i="5"/>
  <c r="L116" i="5"/>
  <c r="Z116" i="5"/>
  <c r="X117" i="5" a="1"/>
  <c r="X117" i="5" s="1"/>
  <c r="L122" i="12" l="1" a="1"/>
  <c r="L122" i="12" s="1"/>
  <c r="J122" i="12" a="1"/>
  <c r="J122" i="12" s="1"/>
  <c r="E121" i="12"/>
  <c r="F121" i="6"/>
  <c r="F123" i="5"/>
  <c r="J123" i="5"/>
  <c r="H123" i="5"/>
  <c r="B123" i="6"/>
  <c r="J123" i="6" s="1" a="1"/>
  <c r="J123" i="6" s="1"/>
  <c r="E123" i="5"/>
  <c r="A123" i="12"/>
  <c r="N123" i="5"/>
  <c r="D123" i="6" s="1"/>
  <c r="H123" i="6" s="1" a="1"/>
  <c r="H123" i="6" s="1"/>
  <c r="T123" i="5" s="1"/>
  <c r="G123" i="12" s="1" a="1"/>
  <c r="G123" i="12" s="1"/>
  <c r="C124" i="5"/>
  <c r="G123" i="5"/>
  <c r="AF123" i="5" a="1"/>
  <c r="AF123" i="5" s="1"/>
  <c r="AD123" i="5"/>
  <c r="D123" i="5"/>
  <c r="B123" i="12" s="1"/>
  <c r="W123" i="5" a="1"/>
  <c r="W123" i="5" s="1"/>
  <c r="H123" i="12" s="1" a="1"/>
  <c r="H123" i="12" s="1"/>
  <c r="AE123" i="5" a="1"/>
  <c r="AE123" i="5" s="1"/>
  <c r="K123" i="5"/>
  <c r="B123" i="5"/>
  <c r="F121" i="12" a="1"/>
  <c r="F121" i="12" s="1"/>
  <c r="G121" i="6"/>
  <c r="R122" i="5" a="1"/>
  <c r="R122" i="5" s="1"/>
  <c r="AG122" i="5" a="1"/>
  <c r="AG122" i="5" s="1"/>
  <c r="S122" i="5" a="1"/>
  <c r="S122" i="5" s="1"/>
  <c r="F122" i="12" s="1" a="1"/>
  <c r="F122" i="12" s="1"/>
  <c r="K121" i="12"/>
  <c r="W114" i="12" a="1"/>
  <c r="W114" i="12" s="1"/>
  <c r="T114" i="12" s="1"/>
  <c r="Y115" i="12"/>
  <c r="W115" i="12" s="1" a="1"/>
  <c r="W115" i="12" s="1"/>
  <c r="BF119" i="6" a="1"/>
  <c r="BF119" i="6" s="1"/>
  <c r="AS119" i="6"/>
  <c r="AZ119" i="6" a="1"/>
  <c r="AZ119" i="6" s="1"/>
  <c r="BC119" i="6" a="1"/>
  <c r="BC119" i="6" s="1"/>
  <c r="AR119" i="6"/>
  <c r="AO119" i="6"/>
  <c r="AH119" i="6"/>
  <c r="AV119" i="6"/>
  <c r="AB119" i="6"/>
  <c r="BB119" i="6" a="1"/>
  <c r="BB119" i="6" s="1"/>
  <c r="AU119" i="6"/>
  <c r="BE119" i="6" a="1"/>
  <c r="BE119" i="6" s="1"/>
  <c r="AQ119" i="6"/>
  <c r="AN119" i="6"/>
  <c r="AF119" i="6"/>
  <c r="AE119" i="6"/>
  <c r="BA119" i="6" a="1"/>
  <c r="BA119" i="6" s="1"/>
  <c r="AK119" i="6"/>
  <c r="BD119" i="6" a="1"/>
  <c r="BD119" i="6" s="1"/>
  <c r="AY119" i="6" a="1"/>
  <c r="AY119" i="6" s="1"/>
  <c r="BG119" i="6" a="1"/>
  <c r="BG119" i="6" s="1"/>
  <c r="AJ119" i="6"/>
  <c r="AT119" i="6"/>
  <c r="AD119" i="6"/>
  <c r="AI119" i="6"/>
  <c r="AP119" i="6"/>
  <c r="AC119" i="6"/>
  <c r="AG119" i="6"/>
  <c r="AX119" i="6" a="1"/>
  <c r="AX119" i="6" s="1"/>
  <c r="AM119" i="6"/>
  <c r="X118" i="5" a="1"/>
  <c r="X118" i="5" s="1"/>
  <c r="D115" i="12"/>
  <c r="E115" i="6"/>
  <c r="I117" i="12"/>
  <c r="L117" i="5"/>
  <c r="AM117" i="5"/>
  <c r="Z117" i="5"/>
  <c r="N115" i="12"/>
  <c r="N120" i="6"/>
  <c r="M120" i="6"/>
  <c r="A121" i="6"/>
  <c r="AA116" i="5" a="1"/>
  <c r="AA116" i="5" s="1"/>
  <c r="AB116" i="5" a="1"/>
  <c r="AB116" i="5" s="1"/>
  <c r="C116" i="6"/>
  <c r="O116" i="5"/>
  <c r="AC116" i="5" a="1"/>
  <c r="AC116" i="5" s="1"/>
  <c r="C116" i="12"/>
  <c r="AO116" i="12" a="1"/>
  <c r="AO116" i="12" s="1"/>
  <c r="O116" i="12" a="1"/>
  <c r="O116" i="12" s="1"/>
  <c r="M116" i="12" a="1"/>
  <c r="M116" i="12" s="1"/>
  <c r="L130" i="6"/>
  <c r="K122" i="12" l="1"/>
  <c r="E122" i="12"/>
  <c r="F122" i="6"/>
  <c r="AG123" i="5" a="1"/>
  <c r="AG123" i="5" s="1"/>
  <c r="R123" i="5" a="1"/>
  <c r="R123" i="5" s="1"/>
  <c r="S123" i="5" a="1"/>
  <c r="S123" i="5" s="1"/>
  <c r="F124" i="5"/>
  <c r="J124" i="5"/>
  <c r="B124" i="6"/>
  <c r="J124" i="6" s="1" a="1"/>
  <c r="J124" i="6" s="1"/>
  <c r="AD124" i="5"/>
  <c r="B124" i="5"/>
  <c r="E124" i="5"/>
  <c r="C125" i="5"/>
  <c r="W124" i="5" a="1"/>
  <c r="W124" i="5" s="1"/>
  <c r="H124" i="12" s="1" a="1"/>
  <c r="H124" i="12" s="1"/>
  <c r="D124" i="5"/>
  <c r="B124" i="12" s="1"/>
  <c r="N124" i="5"/>
  <c r="D124" i="6" s="1"/>
  <c r="H124" i="6" s="1" a="1"/>
  <c r="H124" i="6" s="1"/>
  <c r="T124" i="5" s="1"/>
  <c r="G124" i="12" s="1" a="1"/>
  <c r="G124" i="12" s="1"/>
  <c r="AF124" i="5" a="1"/>
  <c r="AF124" i="5" s="1"/>
  <c r="AE124" i="5" a="1"/>
  <c r="AE124" i="5" s="1"/>
  <c r="G124" i="5"/>
  <c r="K124" i="5"/>
  <c r="A124" i="12"/>
  <c r="H124" i="5"/>
  <c r="G122" i="6"/>
  <c r="J123" i="12" a="1"/>
  <c r="J123" i="12" s="1"/>
  <c r="L123" i="12" a="1"/>
  <c r="L123" i="12" s="1"/>
  <c r="V114" i="12" a="1"/>
  <c r="V114" i="12" s="1"/>
  <c r="U114" i="12"/>
  <c r="X115" i="12" a="1"/>
  <c r="X115" i="12" s="1"/>
  <c r="X119" i="5" a="1"/>
  <c r="X119" i="5" s="1"/>
  <c r="L119" i="5" s="1"/>
  <c r="Y116" i="12"/>
  <c r="W116" i="12" s="1" a="1"/>
  <c r="W116" i="12" s="1"/>
  <c r="I118" i="12"/>
  <c r="AM118" i="5"/>
  <c r="L118" i="5"/>
  <c r="Z118" i="5"/>
  <c r="V115" i="12" a="1"/>
  <c r="V115" i="12" s="1"/>
  <c r="U115" i="12"/>
  <c r="T115" i="12"/>
  <c r="AB117" i="5" a="1"/>
  <c r="AB117" i="5" s="1"/>
  <c r="AA117" i="5" a="1"/>
  <c r="AA117" i="5" s="1"/>
  <c r="D116" i="12"/>
  <c r="E116" i="6"/>
  <c r="N116" i="12"/>
  <c r="C117" i="12"/>
  <c r="M117" i="12" a="1"/>
  <c r="M117" i="12" s="1"/>
  <c r="AO117" i="12" a="1"/>
  <c r="AO117" i="12" s="1"/>
  <c r="O117" i="12" a="1"/>
  <c r="O117" i="12" s="1"/>
  <c r="N121" i="6"/>
  <c r="M121" i="6"/>
  <c r="A122" i="6"/>
  <c r="C117" i="6"/>
  <c r="O117" i="5"/>
  <c r="AC117" i="5" a="1"/>
  <c r="AC117" i="5" s="1"/>
  <c r="L131" i="6"/>
  <c r="BB120" i="6" a="1"/>
  <c r="BB120" i="6" s="1"/>
  <c r="AX120" i="6" a="1"/>
  <c r="AX120" i="6" s="1"/>
  <c r="AS120" i="6"/>
  <c r="BA120" i="6" a="1"/>
  <c r="BA120" i="6" s="1"/>
  <c r="BC120" i="6" a="1"/>
  <c r="BC120" i="6" s="1"/>
  <c r="BD120" i="6" a="1"/>
  <c r="BD120" i="6" s="1"/>
  <c r="AP120" i="6"/>
  <c r="AR120" i="6"/>
  <c r="AV120" i="6"/>
  <c r="BF120" i="6" a="1"/>
  <c r="BF120" i="6" s="1"/>
  <c r="AN120" i="6"/>
  <c r="BG120" i="6" a="1"/>
  <c r="BG120" i="6" s="1"/>
  <c r="AU120" i="6"/>
  <c r="AZ120" i="6" a="1"/>
  <c r="AZ120" i="6" s="1"/>
  <c r="AO120" i="6"/>
  <c r="BE120" i="6" a="1"/>
  <c r="BE120" i="6" s="1"/>
  <c r="AM120" i="6"/>
  <c r="AY120" i="6" a="1"/>
  <c r="AY120" i="6" s="1"/>
  <c r="AQ120" i="6"/>
  <c r="AT120" i="6"/>
  <c r="AE120" i="6"/>
  <c r="AC120" i="6"/>
  <c r="AK120" i="6"/>
  <c r="AJ120" i="6"/>
  <c r="AB120" i="6"/>
  <c r="AF120" i="6"/>
  <c r="AD120" i="6"/>
  <c r="AG120" i="6"/>
  <c r="AH120" i="6"/>
  <c r="AI120" i="6"/>
  <c r="K123" i="12" l="1"/>
  <c r="F123" i="12" a="1"/>
  <c r="F123" i="12" s="1"/>
  <c r="G123" i="6"/>
  <c r="L124" i="12" a="1"/>
  <c r="L124" i="12" s="1"/>
  <c r="J124" i="12" a="1"/>
  <c r="J124" i="12" s="1"/>
  <c r="B125" i="6"/>
  <c r="J125" i="6" s="1" a="1"/>
  <c r="J125" i="6" s="1"/>
  <c r="B125" i="5"/>
  <c r="AE125" i="5" a="1"/>
  <c r="AE125" i="5" s="1"/>
  <c r="G125" i="5"/>
  <c r="K125" i="5"/>
  <c r="AF125" i="5" a="1"/>
  <c r="AF125" i="5" s="1"/>
  <c r="R125" i="5" s="1" a="1"/>
  <c r="R125" i="5" s="1"/>
  <c r="E125" i="12" s="1"/>
  <c r="W125" i="5" a="1"/>
  <c r="W125" i="5" s="1"/>
  <c r="H125" i="12" s="1" a="1"/>
  <c r="H125" i="12" s="1"/>
  <c r="F125" i="5"/>
  <c r="AD125" i="5"/>
  <c r="J125" i="5"/>
  <c r="A125" i="12"/>
  <c r="H125" i="5"/>
  <c r="E125" i="5"/>
  <c r="C126" i="5"/>
  <c r="N125" i="5"/>
  <c r="D125" i="6" s="1"/>
  <c r="H125" i="6" s="1" a="1"/>
  <c r="H125" i="6" s="1"/>
  <c r="T125" i="5" s="1"/>
  <c r="G125" i="12" s="1" a="1"/>
  <c r="G125" i="12" s="1"/>
  <c r="D125" i="5"/>
  <c r="B125" i="12" s="1"/>
  <c r="F123" i="6"/>
  <c r="E123" i="12"/>
  <c r="R124" i="5" a="1"/>
  <c r="R124" i="5" s="1"/>
  <c r="S124" i="5" a="1"/>
  <c r="S124" i="5" s="1"/>
  <c r="F124" i="12" s="1" a="1"/>
  <c r="F124" i="12" s="1"/>
  <c r="AG124" i="5" a="1"/>
  <c r="AG124" i="5" s="1"/>
  <c r="AM119" i="5"/>
  <c r="I119" i="12"/>
  <c r="C119" i="12" s="1"/>
  <c r="Z119" i="5"/>
  <c r="AB119" i="5" s="1" a="1"/>
  <c r="AB119" i="5" s="1"/>
  <c r="X116" i="12" a="1"/>
  <c r="X116" i="12" s="1"/>
  <c r="N117" i="12"/>
  <c r="Y117" i="12"/>
  <c r="X117" i="12" s="1" a="1"/>
  <c r="X117" i="12" s="1"/>
  <c r="C118" i="12"/>
  <c r="M118" i="12" a="1"/>
  <c r="M118" i="12" s="1"/>
  <c r="O118" i="12" a="1"/>
  <c r="O118" i="12" s="1"/>
  <c r="AO118" i="12" a="1"/>
  <c r="AO118" i="12" s="1"/>
  <c r="D117" i="12"/>
  <c r="E117" i="6"/>
  <c r="AB118" i="5" a="1"/>
  <c r="AB118" i="5" s="1"/>
  <c r="AA118" i="5" a="1"/>
  <c r="AA118" i="5" s="1"/>
  <c r="X120" i="5" a="1"/>
  <c r="X120" i="5" s="1"/>
  <c r="V116" i="12" a="1"/>
  <c r="V116" i="12" s="1"/>
  <c r="U116" i="12"/>
  <c r="T116" i="12"/>
  <c r="C119" i="6"/>
  <c r="O119" i="5"/>
  <c r="AC119" i="5" a="1"/>
  <c r="AC119" i="5" s="1"/>
  <c r="N122" i="6"/>
  <c r="M122" i="6"/>
  <c r="A123" i="6"/>
  <c r="L132" i="6"/>
  <c r="AU121" i="6"/>
  <c r="BE121" i="6" a="1"/>
  <c r="BE121" i="6" s="1"/>
  <c r="AY121" i="6" a="1"/>
  <c r="AY121" i="6" s="1"/>
  <c r="BB121" i="6" a="1"/>
  <c r="BB121" i="6" s="1"/>
  <c r="AR121" i="6"/>
  <c r="AQ121" i="6"/>
  <c r="BC121" i="6" a="1"/>
  <c r="BC121" i="6" s="1"/>
  <c r="BG121" i="6" a="1"/>
  <c r="BG121" i="6" s="1"/>
  <c r="BD121" i="6" a="1"/>
  <c r="BD121" i="6" s="1"/>
  <c r="AN121" i="6"/>
  <c r="AO121" i="6"/>
  <c r="AT121" i="6"/>
  <c r="AX121" i="6" a="1"/>
  <c r="AX121" i="6" s="1"/>
  <c r="AS121" i="6"/>
  <c r="AM121" i="6"/>
  <c r="AE121" i="6"/>
  <c r="AV121" i="6"/>
  <c r="BA121" i="6" a="1"/>
  <c r="BA121" i="6" s="1"/>
  <c r="AD121" i="6"/>
  <c r="BF121" i="6" a="1"/>
  <c r="BF121" i="6" s="1"/>
  <c r="AZ121" i="6" a="1"/>
  <c r="AZ121" i="6" s="1"/>
  <c r="AP121" i="6"/>
  <c r="AC121" i="6"/>
  <c r="AK121" i="6"/>
  <c r="AB121" i="6"/>
  <c r="AF121" i="6"/>
  <c r="AI121" i="6"/>
  <c r="AG121" i="6"/>
  <c r="AH121" i="6"/>
  <c r="AJ121" i="6"/>
  <c r="C118" i="6"/>
  <c r="O118" i="5"/>
  <c r="AC118" i="5" a="1"/>
  <c r="AC118" i="5" s="1"/>
  <c r="G124" i="6" l="1"/>
  <c r="K124" i="12"/>
  <c r="F125" i="6"/>
  <c r="E124" i="12"/>
  <c r="F124" i="6"/>
  <c r="L125" i="12" a="1"/>
  <c r="L125" i="12" s="1"/>
  <c r="J125" i="12" a="1"/>
  <c r="J125" i="12" s="1"/>
  <c r="H126" i="5"/>
  <c r="F126" i="5"/>
  <c r="K126" i="5"/>
  <c r="A126" i="12"/>
  <c r="C127" i="5"/>
  <c r="E126" i="5"/>
  <c r="B126" i="6"/>
  <c r="J126" i="6" s="1" a="1"/>
  <c r="J126" i="6" s="1"/>
  <c r="D126" i="5"/>
  <c r="B126" i="12" s="1"/>
  <c r="AD126" i="5"/>
  <c r="W126" i="5" a="1"/>
  <c r="W126" i="5" s="1"/>
  <c r="H126" i="12" s="1" a="1"/>
  <c r="H126" i="12" s="1"/>
  <c r="AF126" i="5" a="1"/>
  <c r="AF126" i="5" s="1"/>
  <c r="B126" i="5"/>
  <c r="AE126" i="5" a="1"/>
  <c r="AE126" i="5" s="1"/>
  <c r="N126" i="5"/>
  <c r="D126" i="6" s="1"/>
  <c r="H126" i="6" s="1" a="1"/>
  <c r="H126" i="6" s="1"/>
  <c r="T126" i="5" s="1"/>
  <c r="G126" i="12" s="1" a="1"/>
  <c r="G126" i="12" s="1"/>
  <c r="J126" i="5"/>
  <c r="G126" i="5"/>
  <c r="AG125" i="5" a="1"/>
  <c r="AG125" i="5" s="1"/>
  <c r="S125" i="5" a="1"/>
  <c r="S125" i="5" s="1"/>
  <c r="F125" i="12" s="1" a="1"/>
  <c r="F125" i="12" s="1"/>
  <c r="W117" i="12" a="1"/>
  <c r="W117" i="12" s="1"/>
  <c r="U117" i="12" s="1"/>
  <c r="AO119" i="12" a="1"/>
  <c r="AO119" i="12" s="1"/>
  <c r="M119" i="12" a="1"/>
  <c r="M119" i="12" s="1"/>
  <c r="O119" i="12" a="1"/>
  <c r="O119" i="12" s="1"/>
  <c r="AA119" i="5" a="1"/>
  <c r="AA119" i="5" s="1"/>
  <c r="D119" i="12"/>
  <c r="E119" i="6"/>
  <c r="Y118" i="12"/>
  <c r="N118" i="12"/>
  <c r="D118" i="12"/>
  <c r="E118" i="6"/>
  <c r="L133" i="6"/>
  <c r="AQ122" i="6"/>
  <c r="BB122" i="6" a="1"/>
  <c r="BB122" i="6" s="1"/>
  <c r="BE122" i="6" a="1"/>
  <c r="BE122" i="6" s="1"/>
  <c r="BD122" i="6" a="1"/>
  <c r="BD122" i="6" s="1"/>
  <c r="AV122" i="6"/>
  <c r="AS122" i="6"/>
  <c r="AM122" i="6"/>
  <c r="AG122" i="6"/>
  <c r="AO122" i="6"/>
  <c r="BC122" i="6" a="1"/>
  <c r="BC122" i="6" s="1"/>
  <c r="AR122" i="6"/>
  <c r="BA122" i="6" a="1"/>
  <c r="BA122" i="6" s="1"/>
  <c r="AZ122" i="6" a="1"/>
  <c r="AZ122" i="6" s="1"/>
  <c r="AN122" i="6"/>
  <c r="AU122" i="6"/>
  <c r="BG122" i="6" a="1"/>
  <c r="BG122" i="6" s="1"/>
  <c r="AP122" i="6"/>
  <c r="AX122" i="6" a="1"/>
  <c r="AX122" i="6" s="1"/>
  <c r="AK122" i="6"/>
  <c r="AY122" i="6" a="1"/>
  <c r="AY122" i="6" s="1"/>
  <c r="AT122" i="6"/>
  <c r="BF122" i="6" a="1"/>
  <c r="BF122" i="6" s="1"/>
  <c r="AE122" i="6"/>
  <c r="AH122" i="6"/>
  <c r="AC122" i="6"/>
  <c r="AJ122" i="6"/>
  <c r="AB122" i="6"/>
  <c r="AF122" i="6"/>
  <c r="AD122" i="6"/>
  <c r="AI122" i="6"/>
  <c r="I120" i="12"/>
  <c r="L120" i="5"/>
  <c r="AM120" i="5"/>
  <c r="Z120" i="5"/>
  <c r="M123" i="6"/>
  <c r="N123" i="6"/>
  <c r="A124" i="6"/>
  <c r="X121" i="5" a="1"/>
  <c r="X121" i="5" s="1"/>
  <c r="G125" i="6" l="1"/>
  <c r="K125" i="12"/>
  <c r="E127" i="5"/>
  <c r="G127" i="5"/>
  <c r="K127" i="5"/>
  <c r="W127" i="5" a="1"/>
  <c r="W127" i="5" s="1"/>
  <c r="H127" i="12" s="1" a="1"/>
  <c r="H127" i="12" s="1"/>
  <c r="D127" i="5"/>
  <c r="B127" i="12" s="1"/>
  <c r="J127" i="5"/>
  <c r="H127" i="5"/>
  <c r="B127" i="5"/>
  <c r="AF127" i="5" a="1"/>
  <c r="AF127" i="5" s="1"/>
  <c r="C128" i="5"/>
  <c r="B127" i="6"/>
  <c r="J127" i="6" s="1" a="1"/>
  <c r="J127" i="6" s="1"/>
  <c r="F127" i="5"/>
  <c r="N127" i="5"/>
  <c r="D127" i="6" s="1"/>
  <c r="H127" i="6" s="1" a="1"/>
  <c r="H127" i="6" s="1"/>
  <c r="T127" i="5" s="1"/>
  <c r="G127" i="12" s="1" a="1"/>
  <c r="G127" i="12" s="1"/>
  <c r="AD127" i="5"/>
  <c r="AE127" i="5" a="1"/>
  <c r="AE127" i="5" s="1"/>
  <c r="A127" i="12"/>
  <c r="L126" i="12" a="1"/>
  <c r="L126" i="12" s="1"/>
  <c r="J126" i="12" a="1"/>
  <c r="J126" i="12" s="1"/>
  <c r="AG126" i="5" a="1"/>
  <c r="AG126" i="5" s="1"/>
  <c r="S126" i="5" a="1"/>
  <c r="S126" i="5" s="1"/>
  <c r="F126" i="12" s="1" a="1"/>
  <c r="F126" i="12" s="1"/>
  <c r="R126" i="5" a="1"/>
  <c r="R126" i="5" s="1"/>
  <c r="N119" i="12"/>
  <c r="V117" i="12" a="1"/>
  <c r="V117" i="12" s="1"/>
  <c r="T117" i="12"/>
  <c r="Y119" i="12"/>
  <c r="W119" i="12" s="1" a="1"/>
  <c r="W119" i="12" s="1"/>
  <c r="T119" i="12" s="1"/>
  <c r="AT123" i="6"/>
  <c r="BB123" i="6" a="1"/>
  <c r="BB123" i="6" s="1"/>
  <c r="AS123" i="6"/>
  <c r="BG123" i="6" a="1"/>
  <c r="BG123" i="6" s="1"/>
  <c r="AR123" i="6"/>
  <c r="AY123" i="6" a="1"/>
  <c r="AY123" i="6" s="1"/>
  <c r="AN123" i="6"/>
  <c r="BE123" i="6" a="1"/>
  <c r="BE123" i="6" s="1"/>
  <c r="AF123" i="6"/>
  <c r="BF123" i="6" a="1"/>
  <c r="BF123" i="6" s="1"/>
  <c r="AC123" i="6"/>
  <c r="AH123" i="6"/>
  <c r="AQ123" i="6"/>
  <c r="AJ123" i="6"/>
  <c r="AM123" i="6"/>
  <c r="BA123" i="6" a="1"/>
  <c r="BA123" i="6" s="1"/>
  <c r="AU123" i="6"/>
  <c r="AP123" i="6"/>
  <c r="AE123" i="6"/>
  <c r="BD123" i="6" a="1"/>
  <c r="BD123" i="6" s="1"/>
  <c r="AX123" i="6" a="1"/>
  <c r="AX123" i="6" s="1"/>
  <c r="AZ123" i="6" a="1"/>
  <c r="AZ123" i="6" s="1"/>
  <c r="BC123" i="6" a="1"/>
  <c r="BC123" i="6" s="1"/>
  <c r="AO123" i="6"/>
  <c r="AV123" i="6"/>
  <c r="AB123" i="6"/>
  <c r="AI123" i="6"/>
  <c r="AK123" i="6"/>
  <c r="AD123" i="6"/>
  <c r="AG123" i="6"/>
  <c r="L134" i="6"/>
  <c r="X122" i="5" a="1"/>
  <c r="X122" i="5" s="1"/>
  <c r="X118" i="12" a="1"/>
  <c r="X118" i="12" s="1"/>
  <c r="W118" i="12" a="1"/>
  <c r="W118" i="12" s="1"/>
  <c r="AA120" i="5" a="1"/>
  <c r="AA120" i="5" s="1"/>
  <c r="AB120" i="5" a="1"/>
  <c r="AB120" i="5" s="1"/>
  <c r="I121" i="12"/>
  <c r="AM121" i="5"/>
  <c r="L121" i="5"/>
  <c r="Z121" i="5"/>
  <c r="O120" i="5"/>
  <c r="C120" i="6"/>
  <c r="AC120" i="5" a="1"/>
  <c r="AC120" i="5" s="1"/>
  <c r="C120" i="12"/>
  <c r="M120" i="12" a="1"/>
  <c r="M120" i="12" s="1"/>
  <c r="O120" i="12" a="1"/>
  <c r="O120" i="12" s="1"/>
  <c r="AO120" i="12" a="1"/>
  <c r="AO120" i="12" s="1"/>
  <c r="N124" i="6"/>
  <c r="M124" i="6"/>
  <c r="A125" i="6"/>
  <c r="K126" i="12" l="1"/>
  <c r="E126" i="12"/>
  <c r="F126" i="6"/>
  <c r="G126" i="6"/>
  <c r="J128" i="5"/>
  <c r="H128" i="5"/>
  <c r="G128" i="5"/>
  <c r="C129" i="5"/>
  <c r="E128" i="5"/>
  <c r="AF128" i="5" a="1"/>
  <c r="AF128" i="5" s="1"/>
  <c r="AD128" i="5"/>
  <c r="B128" i="6"/>
  <c r="J128" i="6" s="1" a="1"/>
  <c r="J128" i="6" s="1"/>
  <c r="W128" i="5" a="1"/>
  <c r="W128" i="5" s="1"/>
  <c r="H128" i="12" s="1" a="1"/>
  <c r="H128" i="12" s="1"/>
  <c r="D128" i="5"/>
  <c r="B128" i="12" s="1"/>
  <c r="AE128" i="5" a="1"/>
  <c r="AE128" i="5" s="1"/>
  <c r="B128" i="5"/>
  <c r="A128" i="12"/>
  <c r="K128" i="5"/>
  <c r="N128" i="5"/>
  <c r="D128" i="6" s="1"/>
  <c r="H128" i="6" s="1" a="1"/>
  <c r="H128" i="6" s="1"/>
  <c r="T128" i="5" s="1"/>
  <c r="G128" i="12" s="1" a="1"/>
  <c r="G128" i="12" s="1"/>
  <c r="F128" i="5"/>
  <c r="R127" i="5" a="1"/>
  <c r="R127" i="5" s="1"/>
  <c r="S127" i="5" a="1"/>
  <c r="S127" i="5" s="1"/>
  <c r="F127" i="12" s="1" a="1"/>
  <c r="F127" i="12" s="1"/>
  <c r="AG127" i="5" a="1"/>
  <c r="AG127" i="5" s="1"/>
  <c r="J127" i="12" a="1"/>
  <c r="J127" i="12" s="1"/>
  <c r="L127" i="12" a="1"/>
  <c r="L127" i="12" s="1"/>
  <c r="V119" i="12" a="1"/>
  <c r="V119" i="12" s="1"/>
  <c r="U119" i="12"/>
  <c r="X119" i="12" a="1"/>
  <c r="X119" i="12" s="1"/>
  <c r="N120" i="12"/>
  <c r="X123" i="5" a="1"/>
  <c r="X123" i="5" s="1"/>
  <c r="I123" i="12" s="1"/>
  <c r="Y120" i="12"/>
  <c r="W120" i="12" s="1" a="1"/>
  <c r="W120" i="12" s="1"/>
  <c r="L135" i="6"/>
  <c r="T118" i="12"/>
  <c r="V118" i="12" a="1"/>
  <c r="V118" i="12" s="1"/>
  <c r="U118" i="12"/>
  <c r="D120" i="12"/>
  <c r="E120" i="6"/>
  <c r="AV124" i="6"/>
  <c r="AZ124" i="6" a="1"/>
  <c r="AZ124" i="6" s="1"/>
  <c r="AC124" i="6"/>
  <c r="AM124" i="6"/>
  <c r="BF124" i="6" a="1"/>
  <c r="BF124" i="6" s="1"/>
  <c r="BA124" i="6" a="1"/>
  <c r="BA124" i="6" s="1"/>
  <c r="BC124" i="6" a="1"/>
  <c r="BC124" i="6" s="1"/>
  <c r="AE124" i="6"/>
  <c r="AU124" i="6"/>
  <c r="AG124" i="6"/>
  <c r="AH124" i="6"/>
  <c r="BD124" i="6" a="1"/>
  <c r="BD124" i="6" s="1"/>
  <c r="BE124" i="6" a="1"/>
  <c r="BE124" i="6" s="1"/>
  <c r="AP124" i="6"/>
  <c r="AS124" i="6"/>
  <c r="AF124" i="6"/>
  <c r="AT124" i="6"/>
  <c r="AR124" i="6"/>
  <c r="AX124" i="6" a="1"/>
  <c r="AX124" i="6" s="1"/>
  <c r="BB124" i="6" a="1"/>
  <c r="BB124" i="6" s="1"/>
  <c r="AQ124" i="6"/>
  <c r="AN124" i="6"/>
  <c r="AB124" i="6"/>
  <c r="BG124" i="6" a="1"/>
  <c r="BG124" i="6" s="1"/>
  <c r="AY124" i="6" a="1"/>
  <c r="AY124" i="6" s="1"/>
  <c r="AO124" i="6"/>
  <c r="AD124" i="6"/>
  <c r="AJ124" i="6"/>
  <c r="AK124" i="6"/>
  <c r="AI124" i="6"/>
  <c r="C121" i="6"/>
  <c r="O121" i="5"/>
  <c r="AC121" i="5" a="1"/>
  <c r="AC121" i="5" s="1"/>
  <c r="I122" i="12"/>
  <c r="L122" i="5"/>
  <c r="AM122" i="5"/>
  <c r="Z122" i="5"/>
  <c r="AB121" i="5" a="1"/>
  <c r="AB121" i="5" s="1"/>
  <c r="AA121" i="5" a="1"/>
  <c r="AA121" i="5" s="1"/>
  <c r="N125" i="6"/>
  <c r="M125" i="6"/>
  <c r="A126" i="6"/>
  <c r="C121" i="12"/>
  <c r="O121" i="12" a="1"/>
  <c r="O121" i="12" s="1"/>
  <c r="AO121" i="12" a="1"/>
  <c r="AO121" i="12" s="1"/>
  <c r="M121" i="12" a="1"/>
  <c r="M121" i="12" s="1"/>
  <c r="G127" i="6" l="1"/>
  <c r="L128" i="12" a="1"/>
  <c r="L128" i="12" s="1"/>
  <c r="J128" i="12" a="1"/>
  <c r="J128" i="12" s="1"/>
  <c r="B129" i="6"/>
  <c r="J129" i="6" s="1" a="1"/>
  <c r="J129" i="6" s="1"/>
  <c r="AE129" i="5" a="1"/>
  <c r="AE129" i="5" s="1"/>
  <c r="W129" i="5" a="1"/>
  <c r="W129" i="5" s="1"/>
  <c r="H129" i="12" s="1" a="1"/>
  <c r="H129" i="12" s="1"/>
  <c r="K129" i="5"/>
  <c r="AF129" i="5" a="1"/>
  <c r="AF129" i="5" s="1"/>
  <c r="G129" i="5"/>
  <c r="H129" i="5"/>
  <c r="J129" i="5"/>
  <c r="A129" i="12"/>
  <c r="F129" i="5"/>
  <c r="D129" i="5"/>
  <c r="B129" i="12" s="1"/>
  <c r="AD129" i="5"/>
  <c r="N129" i="5"/>
  <c r="D129" i="6" s="1"/>
  <c r="H129" i="6" s="1" a="1"/>
  <c r="H129" i="6" s="1"/>
  <c r="T129" i="5" s="1"/>
  <c r="G129" i="12" s="1" a="1"/>
  <c r="G129" i="12" s="1"/>
  <c r="C130" i="5"/>
  <c r="B129" i="5"/>
  <c r="E129" i="5"/>
  <c r="E127" i="12"/>
  <c r="F127" i="6"/>
  <c r="K127" i="12"/>
  <c r="R128" i="5" a="1"/>
  <c r="R128" i="5" s="1"/>
  <c r="AG128" i="5" a="1"/>
  <c r="AG128" i="5" s="1"/>
  <c r="S128" i="5" a="1"/>
  <c r="S128" i="5" s="1"/>
  <c r="X120" i="12" a="1"/>
  <c r="X120" i="12" s="1"/>
  <c r="Z123" i="5"/>
  <c r="AA123" i="5" s="1" a="1"/>
  <c r="AA123" i="5" s="1"/>
  <c r="L123" i="5"/>
  <c r="C123" i="6" s="1"/>
  <c r="AM123" i="5"/>
  <c r="Y121" i="12"/>
  <c r="W121" i="12" s="1" a="1"/>
  <c r="W121" i="12" s="1"/>
  <c r="AA122" i="5" a="1"/>
  <c r="AA122" i="5" s="1"/>
  <c r="AB122" i="5" a="1"/>
  <c r="AB122" i="5" s="1"/>
  <c r="D121" i="12"/>
  <c r="E121" i="6"/>
  <c r="L136" i="6"/>
  <c r="V120" i="12" a="1"/>
  <c r="V120" i="12" s="1"/>
  <c r="U120" i="12"/>
  <c r="T120" i="12"/>
  <c r="O122" i="5"/>
  <c r="C122" i="6"/>
  <c r="AC122" i="5" a="1"/>
  <c r="AC122" i="5" s="1"/>
  <c r="C122" i="12"/>
  <c r="O122" i="12" a="1"/>
  <c r="O122" i="12" s="1"/>
  <c r="AO122" i="12" a="1"/>
  <c r="AO122" i="12" s="1"/>
  <c r="M122" i="12" a="1"/>
  <c r="M122" i="12" s="1"/>
  <c r="N126" i="6"/>
  <c r="M126" i="6"/>
  <c r="A127" i="6"/>
  <c r="AR125" i="6"/>
  <c r="AP125" i="6"/>
  <c r="BG125" i="6" a="1"/>
  <c r="BG125" i="6" s="1"/>
  <c r="AH125" i="6"/>
  <c r="BB125" i="6" a="1"/>
  <c r="BB125" i="6" s="1"/>
  <c r="AE125" i="6"/>
  <c r="BF125" i="6" a="1"/>
  <c r="BF125" i="6" s="1"/>
  <c r="AQ125" i="6"/>
  <c r="AZ125" i="6" a="1"/>
  <c r="AZ125" i="6" s="1"/>
  <c r="AM125" i="6"/>
  <c r="AO125" i="6"/>
  <c r="AN125" i="6"/>
  <c r="BE125" i="6" a="1"/>
  <c r="BE125" i="6" s="1"/>
  <c r="BA125" i="6" a="1"/>
  <c r="BA125" i="6" s="1"/>
  <c r="AT125" i="6"/>
  <c r="AX125" i="6" a="1"/>
  <c r="AX125" i="6" s="1"/>
  <c r="BC125" i="6" a="1"/>
  <c r="BC125" i="6" s="1"/>
  <c r="AV125" i="6"/>
  <c r="AS125" i="6"/>
  <c r="BD125" i="6" a="1"/>
  <c r="BD125" i="6" s="1"/>
  <c r="AY125" i="6" a="1"/>
  <c r="AY125" i="6" s="1"/>
  <c r="AU125" i="6"/>
  <c r="AK125" i="6"/>
  <c r="AG125" i="6"/>
  <c r="AI125" i="6"/>
  <c r="AC125" i="6"/>
  <c r="AJ125" i="6"/>
  <c r="AB125" i="6"/>
  <c r="AD125" i="6"/>
  <c r="AF125" i="6"/>
  <c r="X124" i="5" a="1"/>
  <c r="X124" i="5" s="1"/>
  <c r="N121" i="12"/>
  <c r="C123" i="12"/>
  <c r="M123" i="12" a="1"/>
  <c r="M123" i="12" s="1"/>
  <c r="AO123" i="12" a="1"/>
  <c r="AO123" i="12" s="1"/>
  <c r="O123" i="12" a="1"/>
  <c r="O123" i="12" s="1"/>
  <c r="F128" i="12" l="1" a="1"/>
  <c r="F128" i="12" s="1"/>
  <c r="G128" i="6"/>
  <c r="H130" i="5"/>
  <c r="AE130" i="5" a="1"/>
  <c r="AE130" i="5" s="1"/>
  <c r="N130" i="5"/>
  <c r="D130" i="6" s="1"/>
  <c r="H130" i="6" s="1" a="1"/>
  <c r="H130" i="6" s="1"/>
  <c r="T130" i="5" s="1"/>
  <c r="G130" i="12" s="1" a="1"/>
  <c r="G130" i="12" s="1"/>
  <c r="K130" i="5"/>
  <c r="W130" i="5" a="1"/>
  <c r="W130" i="5" s="1"/>
  <c r="H130" i="12" s="1" a="1"/>
  <c r="H130" i="12" s="1"/>
  <c r="G130" i="5"/>
  <c r="J130" i="5"/>
  <c r="B130" i="6"/>
  <c r="J130" i="6" s="1" a="1"/>
  <c r="J130" i="6" s="1"/>
  <c r="AD130" i="5"/>
  <c r="F130" i="5"/>
  <c r="B130" i="5"/>
  <c r="A130" i="12"/>
  <c r="AF130" i="5" a="1"/>
  <c r="AF130" i="5" s="1"/>
  <c r="E130" i="5"/>
  <c r="D130" i="5"/>
  <c r="B130" i="12" s="1"/>
  <c r="C131" i="5"/>
  <c r="S129" i="5" a="1"/>
  <c r="S129" i="5" s="1"/>
  <c r="F129" i="12" s="1" a="1"/>
  <c r="F129" i="12" s="1"/>
  <c r="R129" i="5" a="1"/>
  <c r="R129" i="5" s="1"/>
  <c r="AG129" i="5" a="1"/>
  <c r="AG129" i="5" s="1"/>
  <c r="F128" i="6"/>
  <c r="E128" i="12"/>
  <c r="L129" i="12" a="1"/>
  <c r="L129" i="12" s="1"/>
  <c r="J129" i="12" a="1"/>
  <c r="J129" i="12" s="1"/>
  <c r="K128" i="12"/>
  <c r="O123" i="5"/>
  <c r="D123" i="12" s="1"/>
  <c r="AC123" i="5" a="1"/>
  <c r="AC123" i="5" s="1"/>
  <c r="X121" i="12" a="1"/>
  <c r="X121" i="12" s="1"/>
  <c r="AB123" i="5" a="1"/>
  <c r="AB123" i="5" s="1"/>
  <c r="Y122" i="12"/>
  <c r="W122" i="12" s="1" a="1"/>
  <c r="W122" i="12" s="1"/>
  <c r="N123" i="12"/>
  <c r="N122" i="12"/>
  <c r="I124" i="12"/>
  <c r="L124" i="5"/>
  <c r="AM124" i="5"/>
  <c r="Z124" i="5"/>
  <c r="U121" i="12"/>
  <c r="T121" i="12"/>
  <c r="V121" i="12" a="1"/>
  <c r="V121" i="12" s="1"/>
  <c r="M127" i="6"/>
  <c r="N127" i="6"/>
  <c r="A128" i="6"/>
  <c r="AU126" i="6"/>
  <c r="BG126" i="6" a="1"/>
  <c r="BG126" i="6" s="1"/>
  <c r="BA126" i="6" a="1"/>
  <c r="BA126" i="6" s="1"/>
  <c r="AG126" i="6"/>
  <c r="AN126" i="6"/>
  <c r="BF126" i="6" a="1"/>
  <c r="BF126" i="6" s="1"/>
  <c r="AH126" i="6"/>
  <c r="AQ126" i="6"/>
  <c r="AZ126" i="6" a="1"/>
  <c r="AZ126" i="6" s="1"/>
  <c r="AE126" i="6"/>
  <c r="BE126" i="6" a="1"/>
  <c r="BE126" i="6" s="1"/>
  <c r="AM126" i="6"/>
  <c r="AK126" i="6"/>
  <c r="AX126" i="6" a="1"/>
  <c r="AX126" i="6" s="1"/>
  <c r="AB126" i="6"/>
  <c r="AF126" i="6"/>
  <c r="AY126" i="6" a="1"/>
  <c r="AY126" i="6" s="1"/>
  <c r="BD126" i="6" a="1"/>
  <c r="BD126" i="6" s="1"/>
  <c r="AT126" i="6"/>
  <c r="AJ126" i="6"/>
  <c r="AV126" i="6"/>
  <c r="AS126" i="6"/>
  <c r="AP126" i="6"/>
  <c r="AI126" i="6"/>
  <c r="AD126" i="6"/>
  <c r="AO126" i="6"/>
  <c r="BC126" i="6" a="1"/>
  <c r="BC126" i="6" s="1"/>
  <c r="AR126" i="6"/>
  <c r="BB126" i="6" a="1"/>
  <c r="BB126" i="6" s="1"/>
  <c r="AC126" i="6"/>
  <c r="D122" i="12"/>
  <c r="E122" i="6"/>
  <c r="L137" i="6"/>
  <c r="X125" i="5" a="1"/>
  <c r="X125" i="5" s="1"/>
  <c r="Y123" i="12"/>
  <c r="G129" i="6" l="1"/>
  <c r="K129" i="12"/>
  <c r="R130" i="5" a="1"/>
  <c r="R130" i="5" s="1"/>
  <c r="AG130" i="5" a="1"/>
  <c r="AG130" i="5" s="1"/>
  <c r="S130" i="5" a="1"/>
  <c r="S130" i="5" s="1"/>
  <c r="E129" i="12"/>
  <c r="F129" i="6"/>
  <c r="J130" i="12" a="1"/>
  <c r="J130" i="12" s="1"/>
  <c r="L130" i="12" a="1"/>
  <c r="L130" i="12" s="1"/>
  <c r="AF131" i="5" a="1"/>
  <c r="AF131" i="5" s="1"/>
  <c r="W131" i="5" a="1"/>
  <c r="W131" i="5" s="1"/>
  <c r="H131" i="12" s="1" a="1"/>
  <c r="H131" i="12" s="1"/>
  <c r="AD131" i="5"/>
  <c r="K131" i="5"/>
  <c r="D131" i="5"/>
  <c r="B131" i="12" s="1"/>
  <c r="C132" i="5"/>
  <c r="J131" i="5"/>
  <c r="B131" i="6"/>
  <c r="J131" i="6" s="1" a="1"/>
  <c r="J131" i="6" s="1"/>
  <c r="H131" i="5"/>
  <c r="A131" i="12"/>
  <c r="F131" i="5"/>
  <c r="AE131" i="5" a="1"/>
  <c r="AE131" i="5" s="1"/>
  <c r="G131" i="5"/>
  <c r="B131" i="5"/>
  <c r="E131" i="5"/>
  <c r="N131" i="5"/>
  <c r="D131" i="6" s="1"/>
  <c r="H131" i="6" s="1" a="1"/>
  <c r="H131" i="6" s="1"/>
  <c r="T131" i="5" s="1"/>
  <c r="G131" i="12" s="1" a="1"/>
  <c r="G131" i="12" s="1"/>
  <c r="E123" i="6"/>
  <c r="X122" i="12" a="1"/>
  <c r="X122" i="12" s="1"/>
  <c r="X126" i="5" a="1"/>
  <c r="X126" i="5" s="1"/>
  <c r="I125" i="12"/>
  <c r="L125" i="5"/>
  <c r="AM125" i="5"/>
  <c r="Z125" i="5"/>
  <c r="V122" i="12" a="1"/>
  <c r="V122" i="12" s="1"/>
  <c r="U122" i="12"/>
  <c r="T122" i="12"/>
  <c r="AA124" i="5" a="1"/>
  <c r="AA124" i="5" s="1"/>
  <c r="AB124" i="5" a="1"/>
  <c r="AB124" i="5" s="1"/>
  <c r="L138" i="6"/>
  <c r="O124" i="5"/>
  <c r="C124" i="6"/>
  <c r="AC124" i="5" a="1"/>
  <c r="AC124" i="5" s="1"/>
  <c r="N128" i="6"/>
  <c r="A129" i="6"/>
  <c r="M128" i="6"/>
  <c r="C124" i="12"/>
  <c r="M124" i="12" a="1"/>
  <c r="M124" i="12" s="1"/>
  <c r="AO124" i="12" a="1"/>
  <c r="AO124" i="12" s="1"/>
  <c r="O124" i="12" a="1"/>
  <c r="O124" i="12" s="1"/>
  <c r="BB127" i="6" a="1"/>
  <c r="BB127" i="6" s="1"/>
  <c r="AS127" i="6"/>
  <c r="BG127" i="6" a="1"/>
  <c r="BG127" i="6" s="1"/>
  <c r="AQ127" i="6"/>
  <c r="BD127" i="6" a="1"/>
  <c r="BD127" i="6" s="1"/>
  <c r="AY127" i="6" a="1"/>
  <c r="AY127" i="6" s="1"/>
  <c r="BC127" i="6" a="1"/>
  <c r="BC127" i="6" s="1"/>
  <c r="AX127" i="6" a="1"/>
  <c r="AX127" i="6" s="1"/>
  <c r="AT127" i="6"/>
  <c r="BA127" i="6" a="1"/>
  <c r="BA127" i="6" s="1"/>
  <c r="AN127" i="6"/>
  <c r="AM127" i="6"/>
  <c r="AR127" i="6"/>
  <c r="AD127" i="6"/>
  <c r="BF127" i="6" a="1"/>
  <c r="BF127" i="6" s="1"/>
  <c r="AE127" i="6"/>
  <c r="AZ127" i="6" a="1"/>
  <c r="AZ127" i="6" s="1"/>
  <c r="AB127" i="6"/>
  <c r="AP127" i="6"/>
  <c r="BE127" i="6" a="1"/>
  <c r="BE127" i="6" s="1"/>
  <c r="AF127" i="6"/>
  <c r="AH127" i="6"/>
  <c r="AC127" i="6"/>
  <c r="AG127" i="6"/>
  <c r="AO127" i="6"/>
  <c r="AV127" i="6"/>
  <c r="AU127" i="6"/>
  <c r="AI127" i="6"/>
  <c r="AK127" i="6"/>
  <c r="AJ127" i="6"/>
  <c r="W123" i="12" a="1"/>
  <c r="W123" i="12" s="1"/>
  <c r="X123" i="12" a="1"/>
  <c r="X123" i="12" s="1"/>
  <c r="AG131" i="5" l="1" a="1"/>
  <c r="AG131" i="5" s="1"/>
  <c r="S131" i="5" a="1"/>
  <c r="S131" i="5" s="1"/>
  <c r="F131" i="12" s="1" a="1"/>
  <c r="F131" i="12" s="1"/>
  <c r="R131" i="5" a="1"/>
  <c r="R131" i="5" s="1"/>
  <c r="K130" i="12"/>
  <c r="E132" i="5"/>
  <c r="B132" i="5"/>
  <c r="AE132" i="5" a="1"/>
  <c r="AE132" i="5" s="1"/>
  <c r="B132" i="6"/>
  <c r="J132" i="6" s="1" a="1"/>
  <c r="J132" i="6" s="1"/>
  <c r="H132" i="5"/>
  <c r="C133" i="5"/>
  <c r="D132" i="5"/>
  <c r="B132" i="12" s="1"/>
  <c r="N132" i="5"/>
  <c r="D132" i="6" s="1"/>
  <c r="H132" i="6" s="1" a="1"/>
  <c r="H132" i="6" s="1"/>
  <c r="T132" i="5" s="1"/>
  <c r="G132" i="12" s="1" a="1"/>
  <c r="G132" i="12" s="1"/>
  <c r="AF132" i="5" a="1"/>
  <c r="AF132" i="5" s="1"/>
  <c r="A132" i="12"/>
  <c r="AD132" i="5"/>
  <c r="G132" i="5"/>
  <c r="K132" i="5"/>
  <c r="F132" i="5"/>
  <c r="J132" i="5"/>
  <c r="W132" i="5" a="1"/>
  <c r="W132" i="5" s="1"/>
  <c r="H132" i="12" s="1" a="1"/>
  <c r="H132" i="12" s="1"/>
  <c r="F130" i="12" a="1"/>
  <c r="F130" i="12" s="1"/>
  <c r="G130" i="6"/>
  <c r="J131" i="12" a="1"/>
  <c r="J131" i="12" s="1"/>
  <c r="L131" i="12" a="1"/>
  <c r="L131" i="12" s="1"/>
  <c r="E130" i="12"/>
  <c r="F130" i="6"/>
  <c r="N124" i="12"/>
  <c r="AA125" i="5" a="1"/>
  <c r="AA125" i="5" s="1"/>
  <c r="AB125" i="5" a="1"/>
  <c r="AB125" i="5" s="1"/>
  <c r="D124" i="12"/>
  <c r="E124" i="6"/>
  <c r="Y124" i="12"/>
  <c r="C125" i="6"/>
  <c r="O125" i="5"/>
  <c r="AC125" i="5" a="1"/>
  <c r="AC125" i="5" s="1"/>
  <c r="X127" i="5" a="1"/>
  <c r="X127" i="5" s="1"/>
  <c r="C125" i="12"/>
  <c r="O125" i="12" a="1"/>
  <c r="O125" i="12" s="1"/>
  <c r="M125" i="12" a="1"/>
  <c r="M125" i="12" s="1"/>
  <c r="AO125" i="12" a="1"/>
  <c r="AO125" i="12" s="1"/>
  <c r="L139" i="6"/>
  <c r="AP128" i="6"/>
  <c r="AS128" i="6"/>
  <c r="AR128" i="6"/>
  <c r="AZ128" i="6" a="1"/>
  <c r="AZ128" i="6" s="1"/>
  <c r="AM128" i="6"/>
  <c r="AV128" i="6"/>
  <c r="BA128" i="6" a="1"/>
  <c r="BA128" i="6" s="1"/>
  <c r="AX128" i="6" a="1"/>
  <c r="AX128" i="6" s="1"/>
  <c r="AO128" i="6"/>
  <c r="AC128" i="6"/>
  <c r="AT128" i="6"/>
  <c r="BF128" i="6" a="1"/>
  <c r="BF128" i="6" s="1"/>
  <c r="BB128" i="6" a="1"/>
  <c r="BB128" i="6" s="1"/>
  <c r="AY128" i="6" a="1"/>
  <c r="AY128" i="6" s="1"/>
  <c r="AI128" i="6"/>
  <c r="AN128" i="6"/>
  <c r="AQ128" i="6"/>
  <c r="BG128" i="6" a="1"/>
  <c r="BG128" i="6" s="1"/>
  <c r="AB128" i="6"/>
  <c r="AE128" i="6"/>
  <c r="BC128" i="6" a="1"/>
  <c r="BC128" i="6" s="1"/>
  <c r="AK128" i="6"/>
  <c r="AU128" i="6"/>
  <c r="BE128" i="6" a="1"/>
  <c r="BE128" i="6" s="1"/>
  <c r="AH128" i="6"/>
  <c r="BD128" i="6" a="1"/>
  <c r="BD128" i="6" s="1"/>
  <c r="AJ128" i="6"/>
  <c r="AF128" i="6"/>
  <c r="AD128" i="6"/>
  <c r="AG128" i="6"/>
  <c r="I126" i="12"/>
  <c r="AM126" i="5"/>
  <c r="L126" i="5"/>
  <c r="Z126" i="5"/>
  <c r="V123" i="12" a="1"/>
  <c r="V123" i="12" s="1"/>
  <c r="U123" i="12"/>
  <c r="T123" i="12"/>
  <c r="N129" i="6"/>
  <c r="M129" i="6"/>
  <c r="A130" i="6"/>
  <c r="L132" i="12" l="1" a="1"/>
  <c r="L132" i="12" s="1"/>
  <c r="J132" i="12" a="1"/>
  <c r="J132" i="12" s="1"/>
  <c r="E131" i="12"/>
  <c r="F131" i="6"/>
  <c r="B133" i="6"/>
  <c r="J133" i="6" s="1" a="1"/>
  <c r="J133" i="6" s="1"/>
  <c r="D133" i="5"/>
  <c r="B133" i="12" s="1"/>
  <c r="AE133" i="5" a="1"/>
  <c r="AE133" i="5" s="1"/>
  <c r="G133" i="5"/>
  <c r="K133" i="5"/>
  <c r="AF133" i="5" a="1"/>
  <c r="AF133" i="5" s="1"/>
  <c r="B133" i="5"/>
  <c r="W133" i="5" a="1"/>
  <c r="W133" i="5" s="1"/>
  <c r="H133" i="12" s="1" a="1"/>
  <c r="H133" i="12" s="1"/>
  <c r="F133" i="5"/>
  <c r="N133" i="5"/>
  <c r="D133" i="6" s="1"/>
  <c r="H133" i="6" s="1" a="1"/>
  <c r="H133" i="6" s="1"/>
  <c r="T133" i="5" s="1"/>
  <c r="G133" i="12" s="1" a="1"/>
  <c r="G133" i="12" s="1"/>
  <c r="A133" i="12"/>
  <c r="H133" i="5"/>
  <c r="C134" i="5"/>
  <c r="E133" i="5"/>
  <c r="J133" i="5"/>
  <c r="AD133" i="5"/>
  <c r="S132" i="5" a="1"/>
  <c r="S132" i="5" s="1"/>
  <c r="AG132" i="5" a="1"/>
  <c r="AG132" i="5" s="1"/>
  <c r="R132" i="5" a="1"/>
  <c r="R132" i="5" s="1"/>
  <c r="K131" i="12"/>
  <c r="G131" i="6"/>
  <c r="X128" i="5" a="1"/>
  <c r="X128" i="5" s="1"/>
  <c r="I128" i="12" s="1"/>
  <c r="N125" i="12"/>
  <c r="C126" i="6"/>
  <c r="O126" i="5"/>
  <c r="AC126" i="5" a="1"/>
  <c r="AC126" i="5" s="1"/>
  <c r="L140" i="6"/>
  <c r="D125" i="12"/>
  <c r="E125" i="6"/>
  <c r="AB126" i="5" a="1"/>
  <c r="AB126" i="5" s="1"/>
  <c r="AA126" i="5" a="1"/>
  <c r="AA126" i="5" s="1"/>
  <c r="C126" i="12"/>
  <c r="O126" i="12" a="1"/>
  <c r="O126" i="12" s="1"/>
  <c r="AO126" i="12" a="1"/>
  <c r="AO126" i="12" s="1"/>
  <c r="M126" i="12" a="1"/>
  <c r="M126" i="12" s="1"/>
  <c r="N130" i="6"/>
  <c r="M130" i="6"/>
  <c r="A131" i="6"/>
  <c r="W124" i="12" a="1"/>
  <c r="W124" i="12" s="1"/>
  <c r="X124" i="12" a="1"/>
  <c r="X124" i="12" s="1"/>
  <c r="I127" i="12"/>
  <c r="L127" i="5"/>
  <c r="AM127" i="5"/>
  <c r="Z127" i="5"/>
  <c r="AP129" i="6"/>
  <c r="AU129" i="6"/>
  <c r="BB129" i="6" a="1"/>
  <c r="BB129" i="6" s="1"/>
  <c r="AE129" i="6"/>
  <c r="BF129" i="6" a="1"/>
  <c r="BF129" i="6" s="1"/>
  <c r="AQ129" i="6"/>
  <c r="AZ129" i="6" a="1"/>
  <c r="AZ129" i="6" s="1"/>
  <c r="BA129" i="6" a="1"/>
  <c r="BA129" i="6" s="1"/>
  <c r="AI129" i="6"/>
  <c r="AK129" i="6"/>
  <c r="AO129" i="6"/>
  <c r="AN129" i="6"/>
  <c r="AY129" i="6" a="1"/>
  <c r="AY129" i="6" s="1"/>
  <c r="AH129" i="6"/>
  <c r="BE129" i="6" a="1"/>
  <c r="BE129" i="6" s="1"/>
  <c r="BG129" i="6" a="1"/>
  <c r="BG129" i="6" s="1"/>
  <c r="AT129" i="6"/>
  <c r="AX129" i="6" a="1"/>
  <c r="AX129" i="6" s="1"/>
  <c r="AM129" i="6"/>
  <c r="BC129" i="6" a="1"/>
  <c r="BC129" i="6" s="1"/>
  <c r="AS129" i="6"/>
  <c r="AV129" i="6"/>
  <c r="AJ129" i="6"/>
  <c r="AR129" i="6"/>
  <c r="BD129" i="6" a="1"/>
  <c r="BD129" i="6" s="1"/>
  <c r="AD129" i="6"/>
  <c r="AB129" i="6"/>
  <c r="AF129" i="6"/>
  <c r="AG129" i="6"/>
  <c r="AC129" i="6"/>
  <c r="Y125" i="12"/>
  <c r="K132" i="12" l="1"/>
  <c r="F132" i="6"/>
  <c r="E132" i="12"/>
  <c r="L133" i="12" a="1"/>
  <c r="L133" i="12" s="1"/>
  <c r="J133" i="12" a="1"/>
  <c r="J133" i="12" s="1"/>
  <c r="F132" i="12" a="1"/>
  <c r="F132" i="12" s="1"/>
  <c r="G132" i="6"/>
  <c r="R133" i="5" a="1"/>
  <c r="R133" i="5" s="1"/>
  <c r="S133" i="5" a="1"/>
  <c r="S133" i="5" s="1"/>
  <c r="AG133" i="5" a="1"/>
  <c r="AG133" i="5" s="1"/>
  <c r="K134" i="5"/>
  <c r="W134" i="5" a="1"/>
  <c r="W134" i="5" s="1"/>
  <c r="H134" i="12" s="1" a="1"/>
  <c r="H134" i="12" s="1"/>
  <c r="B134" i="6"/>
  <c r="J134" i="6" s="1" a="1"/>
  <c r="J134" i="6" s="1"/>
  <c r="B134" i="5"/>
  <c r="D134" i="5"/>
  <c r="B134" i="12" s="1"/>
  <c r="J134" i="5"/>
  <c r="H134" i="5"/>
  <c r="F134" i="5"/>
  <c r="N134" i="5"/>
  <c r="D134" i="6" s="1"/>
  <c r="H134" i="6" s="1" a="1"/>
  <c r="H134" i="6" s="1"/>
  <c r="T134" i="5" s="1"/>
  <c r="G134" i="12" s="1" a="1"/>
  <c r="G134" i="12" s="1"/>
  <c r="AF134" i="5" a="1"/>
  <c r="AF134" i="5" s="1"/>
  <c r="C135" i="5"/>
  <c r="AD134" i="5"/>
  <c r="AE134" i="5" a="1"/>
  <c r="AE134" i="5" s="1"/>
  <c r="A134" i="12"/>
  <c r="E134" i="5"/>
  <c r="G134" i="5"/>
  <c r="L128" i="5"/>
  <c r="O128" i="5" s="1"/>
  <c r="Z128" i="5"/>
  <c r="AA128" i="5" s="1" a="1"/>
  <c r="AA128" i="5" s="1"/>
  <c r="AM128" i="5"/>
  <c r="BD130" i="6" a="1"/>
  <c r="BD130" i="6" s="1"/>
  <c r="AV130" i="6"/>
  <c r="AS130" i="6"/>
  <c r="AQ130" i="6"/>
  <c r="AX130" i="6" a="1"/>
  <c r="AX130" i="6" s="1"/>
  <c r="BC130" i="6" a="1"/>
  <c r="BC130" i="6" s="1"/>
  <c r="AR130" i="6"/>
  <c r="AP130" i="6"/>
  <c r="AU130" i="6"/>
  <c r="AO130" i="6"/>
  <c r="AK130" i="6"/>
  <c r="BG130" i="6" a="1"/>
  <c r="BG130" i="6" s="1"/>
  <c r="BB130" i="6" a="1"/>
  <c r="BB130" i="6" s="1"/>
  <c r="AB130" i="6"/>
  <c r="AZ130" i="6" a="1"/>
  <c r="AZ130" i="6" s="1"/>
  <c r="BA130" i="6" a="1"/>
  <c r="BA130" i="6" s="1"/>
  <c r="BE130" i="6" a="1"/>
  <c r="BE130" i="6" s="1"/>
  <c r="AM130" i="6"/>
  <c r="AN130" i="6"/>
  <c r="AT130" i="6"/>
  <c r="BF130" i="6" a="1"/>
  <c r="BF130" i="6" s="1"/>
  <c r="AY130" i="6" a="1"/>
  <c r="AY130" i="6" s="1"/>
  <c r="AE130" i="6"/>
  <c r="AH130" i="6"/>
  <c r="AJ130" i="6"/>
  <c r="AF130" i="6"/>
  <c r="AD130" i="6"/>
  <c r="AC130" i="6"/>
  <c r="AI130" i="6"/>
  <c r="AG130" i="6"/>
  <c r="C127" i="12"/>
  <c r="O127" i="12" a="1"/>
  <c r="O127" i="12" s="1"/>
  <c r="AO127" i="12" a="1"/>
  <c r="AO127" i="12" s="1"/>
  <c r="M127" i="12" a="1"/>
  <c r="M127" i="12" s="1"/>
  <c r="Y126" i="12"/>
  <c r="N126" i="12"/>
  <c r="M131" i="6"/>
  <c r="A132" i="6"/>
  <c r="N131" i="6"/>
  <c r="O127" i="5"/>
  <c r="C127" i="6"/>
  <c r="AC127" i="5" a="1"/>
  <c r="AC127" i="5" s="1"/>
  <c r="L141" i="6"/>
  <c r="X125" i="12" a="1"/>
  <c r="X125" i="12" s="1"/>
  <c r="W125" i="12" a="1"/>
  <c r="W125" i="12" s="1"/>
  <c r="X129" i="5" a="1"/>
  <c r="X129" i="5" s="1"/>
  <c r="C128" i="12"/>
  <c r="M128" i="12" a="1"/>
  <c r="M128" i="12" s="1"/>
  <c r="AO128" i="12" a="1"/>
  <c r="AO128" i="12" s="1"/>
  <c r="O128" i="12" a="1"/>
  <c r="O128" i="12" s="1"/>
  <c r="V124" i="12" a="1"/>
  <c r="V124" i="12" s="1"/>
  <c r="U124" i="12"/>
  <c r="T124" i="12"/>
  <c r="AB127" i="5" a="1"/>
  <c r="AB127" i="5" s="1"/>
  <c r="AA127" i="5" a="1"/>
  <c r="AA127" i="5" s="1"/>
  <c r="D126" i="12"/>
  <c r="E126" i="6"/>
  <c r="K133" i="12" l="1"/>
  <c r="F133" i="12" a="1"/>
  <c r="F133" i="12" s="1"/>
  <c r="G133" i="6"/>
  <c r="L134" i="12" a="1"/>
  <c r="L134" i="12" s="1"/>
  <c r="J134" i="12" a="1"/>
  <c r="J134" i="12" s="1"/>
  <c r="F133" i="6"/>
  <c r="E133" i="12"/>
  <c r="J135" i="5"/>
  <c r="H135" i="5"/>
  <c r="E135" i="5"/>
  <c r="A135" i="12"/>
  <c r="N135" i="5"/>
  <c r="D135" i="6" s="1"/>
  <c r="H135" i="6" s="1" a="1"/>
  <c r="H135" i="6" s="1"/>
  <c r="T135" i="5" s="1"/>
  <c r="G135" i="12" s="1" a="1"/>
  <c r="G135" i="12" s="1"/>
  <c r="C136" i="5"/>
  <c r="AF135" i="5" a="1"/>
  <c r="AF135" i="5" s="1"/>
  <c r="B135" i="6"/>
  <c r="J135" i="6" s="1" a="1"/>
  <c r="J135" i="6" s="1"/>
  <c r="AD135" i="5"/>
  <c r="F135" i="5"/>
  <c r="D135" i="5"/>
  <c r="B135" i="12" s="1"/>
  <c r="AE135" i="5" a="1"/>
  <c r="AE135" i="5" s="1"/>
  <c r="K135" i="5"/>
  <c r="G135" i="5"/>
  <c r="B135" i="5"/>
  <c r="W135" i="5" a="1"/>
  <c r="W135" i="5" s="1"/>
  <c r="H135" i="12" s="1" a="1"/>
  <c r="H135" i="12" s="1"/>
  <c r="R134" i="5" a="1"/>
  <c r="R134" i="5" s="1"/>
  <c r="AG134" i="5" a="1"/>
  <c r="AG134" i="5" s="1"/>
  <c r="S134" i="5" a="1"/>
  <c r="S134" i="5" s="1"/>
  <c r="C128" i="6"/>
  <c r="AC128" i="5" a="1"/>
  <c r="AC128" i="5" s="1"/>
  <c r="AB128" i="5" a="1"/>
  <c r="AB128" i="5" s="1"/>
  <c r="Y127" i="12"/>
  <c r="X127" i="12" s="1" a="1"/>
  <c r="X127" i="12" s="1"/>
  <c r="N128" i="12"/>
  <c r="Y128" i="12"/>
  <c r="D128" i="12"/>
  <c r="E128" i="6"/>
  <c r="AX131" i="6" a="1"/>
  <c r="AX131" i="6" s="1"/>
  <c r="BF131" i="6" a="1"/>
  <c r="BF131" i="6" s="1"/>
  <c r="AZ131" i="6" a="1"/>
  <c r="AZ131" i="6" s="1"/>
  <c r="AN131" i="6"/>
  <c r="AM131" i="6"/>
  <c r="AO131" i="6"/>
  <c r="AV131" i="6"/>
  <c r="AU131" i="6"/>
  <c r="AT131" i="6"/>
  <c r="BB131" i="6" a="1"/>
  <c r="BB131" i="6" s="1"/>
  <c r="AS131" i="6"/>
  <c r="BA131" i="6" a="1"/>
  <c r="BA131" i="6" s="1"/>
  <c r="BG131" i="6" a="1"/>
  <c r="BG131" i="6" s="1"/>
  <c r="AQ131" i="6"/>
  <c r="BD131" i="6" a="1"/>
  <c r="BD131" i="6" s="1"/>
  <c r="AY131" i="6" a="1"/>
  <c r="AY131" i="6" s="1"/>
  <c r="BC131" i="6" a="1"/>
  <c r="BC131" i="6" s="1"/>
  <c r="AP131" i="6"/>
  <c r="BE131" i="6" a="1"/>
  <c r="BE131" i="6" s="1"/>
  <c r="AR131" i="6"/>
  <c r="AK131" i="6"/>
  <c r="AG131" i="6"/>
  <c r="AB131" i="6"/>
  <c r="AJ131" i="6"/>
  <c r="AE131" i="6"/>
  <c r="AH131" i="6"/>
  <c r="AD131" i="6"/>
  <c r="AI131" i="6"/>
  <c r="AC131" i="6"/>
  <c r="AF131" i="6"/>
  <c r="V125" i="12" a="1"/>
  <c r="V125" i="12" s="1"/>
  <c r="U125" i="12"/>
  <c r="T125" i="12"/>
  <c r="D127" i="12"/>
  <c r="E127" i="6"/>
  <c r="X130" i="5" a="1"/>
  <c r="X130" i="5" s="1"/>
  <c r="X126" i="12" a="1"/>
  <c r="X126" i="12" s="1"/>
  <c r="W126" i="12" a="1"/>
  <c r="W126" i="12" s="1"/>
  <c r="L142" i="6"/>
  <c r="N132" i="6"/>
  <c r="M132" i="6"/>
  <c r="A133" i="6"/>
  <c r="I129" i="12"/>
  <c r="L129" i="5"/>
  <c r="AM129" i="5"/>
  <c r="Z129" i="5"/>
  <c r="N127" i="12"/>
  <c r="K134" i="12" l="1"/>
  <c r="E134" i="12"/>
  <c r="F134" i="6"/>
  <c r="R135" i="5" a="1"/>
  <c r="R135" i="5" s="1"/>
  <c r="S135" i="5" a="1"/>
  <c r="S135" i="5" s="1"/>
  <c r="F135" i="12" s="1" a="1"/>
  <c r="F135" i="12" s="1"/>
  <c r="AG135" i="5" a="1"/>
  <c r="AG135" i="5" s="1"/>
  <c r="K136" i="5"/>
  <c r="D136" i="5"/>
  <c r="B136" i="12" s="1"/>
  <c r="H136" i="5"/>
  <c r="A136" i="12"/>
  <c r="B136" i="6"/>
  <c r="J136" i="6" s="1" a="1"/>
  <c r="J136" i="6" s="1"/>
  <c r="F136" i="5"/>
  <c r="J136" i="5"/>
  <c r="B136" i="5"/>
  <c r="AD136" i="5"/>
  <c r="E136" i="5"/>
  <c r="C137" i="5"/>
  <c r="AF136" i="5" a="1"/>
  <c r="AF136" i="5" s="1"/>
  <c r="N136" i="5"/>
  <c r="D136" i="6" s="1"/>
  <c r="H136" i="6" s="1" a="1"/>
  <c r="H136" i="6" s="1"/>
  <c r="T136" i="5" s="1"/>
  <c r="G136" i="12" s="1" a="1"/>
  <c r="G136" i="12" s="1"/>
  <c r="W136" i="5" a="1"/>
  <c r="W136" i="5" s="1"/>
  <c r="H136" i="12" s="1" a="1"/>
  <c r="H136" i="12" s="1"/>
  <c r="G136" i="5"/>
  <c r="AE136" i="5" a="1"/>
  <c r="AE136" i="5" s="1"/>
  <c r="J135" i="12" a="1"/>
  <c r="J135" i="12" s="1"/>
  <c r="L135" i="12" a="1"/>
  <c r="L135" i="12" s="1"/>
  <c r="F134" i="12" a="1"/>
  <c r="F134" i="12" s="1"/>
  <c r="G134" i="6"/>
  <c r="W127" i="12" a="1"/>
  <c r="W127" i="12" s="1"/>
  <c r="V127" i="12" s="1" a="1"/>
  <c r="V127" i="12" s="1"/>
  <c r="I130" i="12"/>
  <c r="AM130" i="5"/>
  <c r="L130" i="5"/>
  <c r="Z130" i="5"/>
  <c r="X131" i="5" a="1"/>
  <c r="X131" i="5" s="1"/>
  <c r="C129" i="12"/>
  <c r="M129" i="12" a="1"/>
  <c r="M129" i="12" s="1"/>
  <c r="O129" i="12" a="1"/>
  <c r="O129" i="12" s="1"/>
  <c r="AO129" i="12" a="1"/>
  <c r="AO129" i="12" s="1"/>
  <c r="BA132" i="6" a="1"/>
  <c r="BA132" i="6" s="1"/>
  <c r="AR132" i="6"/>
  <c r="AX132" i="6" a="1"/>
  <c r="AX132" i="6" s="1"/>
  <c r="BB132" i="6" a="1"/>
  <c r="BB132" i="6" s="1"/>
  <c r="AN132" i="6"/>
  <c r="AQ132" i="6"/>
  <c r="AU132" i="6"/>
  <c r="BE132" i="6" a="1"/>
  <c r="BE132" i="6" s="1"/>
  <c r="AT132" i="6"/>
  <c r="AY132" i="6" a="1"/>
  <c r="AY132" i="6" s="1"/>
  <c r="AO132" i="6"/>
  <c r="BC132" i="6" a="1"/>
  <c r="BC132" i="6" s="1"/>
  <c r="AS132" i="6"/>
  <c r="AP132" i="6"/>
  <c r="AZ132" i="6" a="1"/>
  <c r="AZ132" i="6" s="1"/>
  <c r="BG132" i="6" a="1"/>
  <c r="BG132" i="6" s="1"/>
  <c r="AV132" i="6"/>
  <c r="AH132" i="6"/>
  <c r="AJ132" i="6"/>
  <c r="AM132" i="6"/>
  <c r="BF132" i="6" a="1"/>
  <c r="BF132" i="6" s="1"/>
  <c r="AG132" i="6"/>
  <c r="BD132" i="6" a="1"/>
  <c r="BD132" i="6" s="1"/>
  <c r="AB132" i="6"/>
  <c r="AF132" i="6"/>
  <c r="AI132" i="6"/>
  <c r="AD132" i="6"/>
  <c r="AE132" i="6"/>
  <c r="AC132" i="6"/>
  <c r="AK132" i="6"/>
  <c r="W128" i="12" a="1"/>
  <c r="W128" i="12" s="1"/>
  <c r="X128" i="12" a="1"/>
  <c r="X128" i="12" s="1"/>
  <c r="M133" i="6"/>
  <c r="A134" i="6"/>
  <c r="N133" i="6"/>
  <c r="AA129" i="5" a="1"/>
  <c r="AA129" i="5" s="1"/>
  <c r="AB129" i="5" a="1"/>
  <c r="AB129" i="5" s="1"/>
  <c r="L143" i="6"/>
  <c r="C129" i="6"/>
  <c r="O129" i="5"/>
  <c r="AC129" i="5" a="1"/>
  <c r="AC129" i="5" s="1"/>
  <c r="V126" i="12" a="1"/>
  <c r="V126" i="12" s="1"/>
  <c r="U126" i="12"/>
  <c r="T126" i="12"/>
  <c r="G135" i="6" l="1"/>
  <c r="K135" i="12"/>
  <c r="D137" i="5"/>
  <c r="B137" i="12" s="1"/>
  <c r="B137" i="5"/>
  <c r="K137" i="5"/>
  <c r="AE137" i="5" a="1"/>
  <c r="AE137" i="5" s="1"/>
  <c r="G137" i="5"/>
  <c r="AF137" i="5" a="1"/>
  <c r="AF137" i="5" s="1"/>
  <c r="W137" i="5" a="1"/>
  <c r="W137" i="5" s="1"/>
  <c r="H137" i="12" s="1" a="1"/>
  <c r="H137" i="12" s="1"/>
  <c r="F137" i="5"/>
  <c r="A137" i="12"/>
  <c r="J137" i="5"/>
  <c r="E137" i="5"/>
  <c r="H137" i="5"/>
  <c r="B137" i="6"/>
  <c r="J137" i="6" s="1" a="1"/>
  <c r="J137" i="6" s="1"/>
  <c r="N137" i="5"/>
  <c r="D137" i="6" s="1"/>
  <c r="H137" i="6" s="1" a="1"/>
  <c r="H137" i="6" s="1"/>
  <c r="T137" i="5" s="1"/>
  <c r="G137" i="12" s="1" a="1"/>
  <c r="G137" i="12" s="1"/>
  <c r="C138" i="5"/>
  <c r="AD137" i="5"/>
  <c r="E135" i="12"/>
  <c r="F135" i="6"/>
  <c r="R136" i="5" a="1"/>
  <c r="R136" i="5" s="1"/>
  <c r="AG136" i="5" a="1"/>
  <c r="AG136" i="5" s="1"/>
  <c r="S136" i="5" a="1"/>
  <c r="S136" i="5" s="1"/>
  <c r="J136" i="12" a="1"/>
  <c r="J136" i="12" s="1"/>
  <c r="L136" i="12" a="1"/>
  <c r="L136" i="12" s="1"/>
  <c r="U127" i="12"/>
  <c r="T127" i="12"/>
  <c r="X132" i="5" a="1"/>
  <c r="X132" i="5" s="1"/>
  <c r="L132" i="5" s="1"/>
  <c r="Y129" i="12"/>
  <c r="X129" i="12" s="1" a="1"/>
  <c r="X129" i="12" s="1"/>
  <c r="N134" i="6"/>
  <c r="M134" i="6"/>
  <c r="A135" i="6"/>
  <c r="AZ133" i="6" a="1"/>
  <c r="AZ133" i="6" s="1"/>
  <c r="BA133" i="6" a="1"/>
  <c r="BA133" i="6" s="1"/>
  <c r="AO133" i="6"/>
  <c r="AN133" i="6"/>
  <c r="AY133" i="6" a="1"/>
  <c r="AY133" i="6" s="1"/>
  <c r="BE133" i="6" a="1"/>
  <c r="BE133" i="6" s="1"/>
  <c r="BG133" i="6" a="1"/>
  <c r="BG133" i="6" s="1"/>
  <c r="AT133" i="6"/>
  <c r="AX133" i="6" a="1"/>
  <c r="AX133" i="6" s="1"/>
  <c r="AM133" i="6"/>
  <c r="AV133" i="6"/>
  <c r="BC133" i="6" a="1"/>
  <c r="BC133" i="6" s="1"/>
  <c r="AS133" i="6"/>
  <c r="AR133" i="6"/>
  <c r="AP133" i="6"/>
  <c r="AU133" i="6"/>
  <c r="BB133" i="6" a="1"/>
  <c r="BB133" i="6" s="1"/>
  <c r="BF133" i="6" a="1"/>
  <c r="BF133" i="6" s="1"/>
  <c r="AQ133" i="6"/>
  <c r="BD133" i="6" a="1"/>
  <c r="BD133" i="6" s="1"/>
  <c r="AI133" i="6"/>
  <c r="AF133" i="6"/>
  <c r="AB133" i="6"/>
  <c r="AK133" i="6"/>
  <c r="AH133" i="6"/>
  <c r="AC133" i="6"/>
  <c r="AG133" i="6"/>
  <c r="AJ133" i="6"/>
  <c r="AE133" i="6"/>
  <c r="AD133" i="6"/>
  <c r="I131" i="12"/>
  <c r="AM131" i="5"/>
  <c r="L131" i="5"/>
  <c r="Z131" i="5"/>
  <c r="D129" i="12"/>
  <c r="E129" i="6"/>
  <c r="AA130" i="5" a="1"/>
  <c r="AA130" i="5" s="1"/>
  <c r="AB130" i="5" a="1"/>
  <c r="AB130" i="5" s="1"/>
  <c r="O130" i="5"/>
  <c r="C130" i="6"/>
  <c r="AC130" i="5" a="1"/>
  <c r="AC130" i="5" s="1"/>
  <c r="N129" i="12"/>
  <c r="C130" i="12"/>
  <c r="M130" i="12" a="1"/>
  <c r="M130" i="12" s="1"/>
  <c r="O130" i="12" a="1"/>
  <c r="O130" i="12" s="1"/>
  <c r="AO130" i="12" a="1"/>
  <c r="AO130" i="12" s="1"/>
  <c r="L144" i="6"/>
  <c r="V128" i="12" a="1"/>
  <c r="V128" i="12" s="1"/>
  <c r="U128" i="12"/>
  <c r="T128" i="12"/>
  <c r="K136" i="12" l="1"/>
  <c r="AF138" i="5" a="1"/>
  <c r="AF138" i="5" s="1"/>
  <c r="J138" i="5"/>
  <c r="F138" i="5"/>
  <c r="N138" i="5"/>
  <c r="D138" i="6" s="1"/>
  <c r="H138" i="6" s="1" a="1"/>
  <c r="H138" i="6" s="1"/>
  <c r="T138" i="5" s="1"/>
  <c r="G138" i="12" s="1" a="1"/>
  <c r="G138" i="12" s="1"/>
  <c r="A138" i="12"/>
  <c r="K138" i="5"/>
  <c r="B138" i="6"/>
  <c r="J138" i="6" s="1" a="1"/>
  <c r="J138" i="6" s="1"/>
  <c r="E138" i="5"/>
  <c r="C139" i="5"/>
  <c r="AE138" i="5" a="1"/>
  <c r="AE138" i="5" s="1"/>
  <c r="D138" i="5"/>
  <c r="B138" i="12" s="1"/>
  <c r="AD138" i="5"/>
  <c r="H138" i="5"/>
  <c r="G138" i="5"/>
  <c r="B138" i="5"/>
  <c r="W138" i="5" a="1"/>
  <c r="W138" i="5" s="1"/>
  <c r="H138" i="12" s="1" a="1"/>
  <c r="H138" i="12" s="1"/>
  <c r="S137" i="5" a="1"/>
  <c r="S137" i="5" s="1"/>
  <c r="F137" i="12" s="1" a="1"/>
  <c r="F137" i="12" s="1"/>
  <c r="AG137" i="5" a="1"/>
  <c r="AG137" i="5" s="1"/>
  <c r="R137" i="5" a="1"/>
  <c r="R137" i="5" s="1"/>
  <c r="F136" i="12" a="1"/>
  <c r="F136" i="12" s="1"/>
  <c r="G136" i="6"/>
  <c r="E136" i="12"/>
  <c r="F136" i="6"/>
  <c r="L137" i="12" a="1"/>
  <c r="L137" i="12" s="1"/>
  <c r="J137" i="12" a="1"/>
  <c r="J137" i="12" s="1"/>
  <c r="W129" i="12" a="1"/>
  <c r="W129" i="12" s="1"/>
  <c r="T129" i="12" s="1"/>
  <c r="I132" i="12"/>
  <c r="C132" i="12" s="1"/>
  <c r="Z132" i="5"/>
  <c r="AB132" i="5" s="1" a="1"/>
  <c r="AB132" i="5" s="1"/>
  <c r="AM132" i="5"/>
  <c r="Y130" i="12"/>
  <c r="X130" i="12" s="1" a="1"/>
  <c r="X130" i="12" s="1"/>
  <c r="N130" i="12"/>
  <c r="D130" i="12"/>
  <c r="E130" i="6"/>
  <c r="X133" i="5" a="1"/>
  <c r="X133" i="5" s="1"/>
  <c r="AB131" i="5" a="1"/>
  <c r="AB131" i="5" s="1"/>
  <c r="AA131" i="5" a="1"/>
  <c r="AA131" i="5" s="1"/>
  <c r="M135" i="6"/>
  <c r="N135" i="6"/>
  <c r="A136" i="6"/>
  <c r="O132" i="5"/>
  <c r="C132" i="6"/>
  <c r="AC132" i="5" a="1"/>
  <c r="AC132" i="5" s="1"/>
  <c r="C131" i="6"/>
  <c r="O131" i="5"/>
  <c r="AC131" i="5" a="1"/>
  <c r="AC131" i="5" s="1"/>
  <c r="AX134" i="6" a="1"/>
  <c r="AX134" i="6" s="1"/>
  <c r="AT134" i="6"/>
  <c r="BF134" i="6" a="1"/>
  <c r="BF134" i="6" s="1"/>
  <c r="AN134" i="6"/>
  <c r="AI134" i="6"/>
  <c r="AR134" i="6"/>
  <c r="AE134" i="6"/>
  <c r="AY134" i="6" a="1"/>
  <c r="AY134" i="6" s="1"/>
  <c r="BC134" i="6" a="1"/>
  <c r="BC134" i="6" s="1"/>
  <c r="AP134" i="6"/>
  <c r="AO134" i="6"/>
  <c r="BD134" i="6" a="1"/>
  <c r="BD134" i="6" s="1"/>
  <c r="AJ134" i="6"/>
  <c r="AD134" i="6"/>
  <c r="AQ134" i="6"/>
  <c r="AU134" i="6"/>
  <c r="AV134" i="6"/>
  <c r="AS134" i="6"/>
  <c r="AC134" i="6"/>
  <c r="AH134" i="6"/>
  <c r="BG134" i="6" a="1"/>
  <c r="BG134" i="6" s="1"/>
  <c r="BB134" i="6" a="1"/>
  <c r="BB134" i="6" s="1"/>
  <c r="AG134" i="6"/>
  <c r="AZ134" i="6" a="1"/>
  <c r="AZ134" i="6" s="1"/>
  <c r="BA134" i="6" a="1"/>
  <c r="BA134" i="6" s="1"/>
  <c r="BE134" i="6" a="1"/>
  <c r="BE134" i="6" s="1"/>
  <c r="AM134" i="6"/>
  <c r="AB134" i="6"/>
  <c r="AF134" i="6"/>
  <c r="AK134" i="6"/>
  <c r="C131" i="12"/>
  <c r="O131" i="12" a="1"/>
  <c r="O131" i="12" s="1"/>
  <c r="M131" i="12" a="1"/>
  <c r="M131" i="12" s="1"/>
  <c r="AO131" i="12" a="1"/>
  <c r="AO131" i="12" s="1"/>
  <c r="L145" i="6"/>
  <c r="L138" i="12" l="1" a="1"/>
  <c r="L138" i="12" s="1"/>
  <c r="J138" i="12" a="1"/>
  <c r="J138" i="12" s="1"/>
  <c r="E137" i="12"/>
  <c r="F137" i="6"/>
  <c r="E139" i="5"/>
  <c r="J139" i="5"/>
  <c r="K139" i="5"/>
  <c r="B139" i="6"/>
  <c r="J139" i="6" s="1" a="1"/>
  <c r="J139" i="6" s="1"/>
  <c r="B139" i="5"/>
  <c r="A139" i="12"/>
  <c r="C140" i="5"/>
  <c r="G139" i="5"/>
  <c r="N139" i="5"/>
  <c r="D139" i="6" s="1"/>
  <c r="H139" i="6" s="1" a="1"/>
  <c r="H139" i="6" s="1"/>
  <c r="T139" i="5" s="1"/>
  <c r="G139" i="12" s="1" a="1"/>
  <c r="G139" i="12" s="1"/>
  <c r="W139" i="5" a="1"/>
  <c r="W139" i="5" s="1"/>
  <c r="H139" i="12" s="1" a="1"/>
  <c r="H139" i="12" s="1"/>
  <c r="AF139" i="5" a="1"/>
  <c r="AF139" i="5" s="1"/>
  <c r="H139" i="5"/>
  <c r="F139" i="5"/>
  <c r="D139" i="5"/>
  <c r="B139" i="12" s="1"/>
  <c r="AD139" i="5"/>
  <c r="AE139" i="5" a="1"/>
  <c r="AE139" i="5" s="1"/>
  <c r="R138" i="5" a="1"/>
  <c r="R138" i="5" s="1"/>
  <c r="AG138" i="5" a="1"/>
  <c r="AG138" i="5" s="1"/>
  <c r="S138" i="5" a="1"/>
  <c r="S138" i="5" s="1"/>
  <c r="F138" i="12" s="1" a="1"/>
  <c r="F138" i="12" s="1"/>
  <c r="K137" i="12"/>
  <c r="G137" i="6"/>
  <c r="M132" i="12" a="1"/>
  <c r="M132" i="12" s="1"/>
  <c r="U129" i="12"/>
  <c r="V129" i="12" a="1"/>
  <c r="V129" i="12" s="1"/>
  <c r="AA132" i="5" a="1"/>
  <c r="AA132" i="5" s="1"/>
  <c r="O132" i="12" a="1"/>
  <c r="O132" i="12" s="1"/>
  <c r="AO132" i="12" a="1"/>
  <c r="AO132" i="12" s="1"/>
  <c r="W130" i="12" a="1"/>
  <c r="W130" i="12" s="1"/>
  <c r="V130" i="12" s="1" a="1"/>
  <c r="V130" i="12" s="1"/>
  <c r="X134" i="5" a="1"/>
  <c r="X134" i="5" s="1"/>
  <c r="I134" i="12" s="1"/>
  <c r="N131" i="12"/>
  <c r="D132" i="12"/>
  <c r="E132" i="6"/>
  <c r="M136" i="6"/>
  <c r="N136" i="6"/>
  <c r="A137" i="6"/>
  <c r="AP135" i="6"/>
  <c r="BE135" i="6" a="1"/>
  <c r="BE135" i="6" s="1"/>
  <c r="AR135" i="6"/>
  <c r="AX135" i="6" a="1"/>
  <c r="AX135" i="6" s="1"/>
  <c r="BC135" i="6" a="1"/>
  <c r="BC135" i="6" s="1"/>
  <c r="BG135" i="6" a="1"/>
  <c r="BG135" i="6" s="1"/>
  <c r="BF135" i="6" a="1"/>
  <c r="BF135" i="6" s="1"/>
  <c r="AZ135" i="6" a="1"/>
  <c r="AZ135" i="6" s="1"/>
  <c r="BD135" i="6" a="1"/>
  <c r="BD135" i="6" s="1"/>
  <c r="AO135" i="6"/>
  <c r="AV135" i="6"/>
  <c r="AU135" i="6"/>
  <c r="AY135" i="6" a="1"/>
  <c r="AY135" i="6" s="1"/>
  <c r="AT135" i="6"/>
  <c r="AK135" i="6"/>
  <c r="BB135" i="6" a="1"/>
  <c r="BB135" i="6" s="1"/>
  <c r="AS135" i="6"/>
  <c r="AQ135" i="6"/>
  <c r="AN135" i="6"/>
  <c r="BA135" i="6" a="1"/>
  <c r="BA135" i="6" s="1"/>
  <c r="AM135" i="6"/>
  <c r="AI135" i="6"/>
  <c r="AF135" i="6"/>
  <c r="AC135" i="6"/>
  <c r="AD135" i="6"/>
  <c r="AJ135" i="6"/>
  <c r="AE135" i="6"/>
  <c r="AH135" i="6"/>
  <c r="AB135" i="6"/>
  <c r="AG135" i="6"/>
  <c r="D131" i="12"/>
  <c r="E131" i="6"/>
  <c r="L146" i="6"/>
  <c r="Y131" i="12"/>
  <c r="I133" i="12"/>
  <c r="AM133" i="5"/>
  <c r="L133" i="5"/>
  <c r="Z133" i="5"/>
  <c r="K138" i="12" l="1"/>
  <c r="E138" i="12"/>
  <c r="F138" i="6"/>
  <c r="G138" i="6"/>
  <c r="N140" i="5"/>
  <c r="D140" i="6" s="1"/>
  <c r="H140" i="6" s="1" a="1"/>
  <c r="H140" i="6" s="1"/>
  <c r="T140" i="5" s="1"/>
  <c r="G140" i="12" s="1" a="1"/>
  <c r="G140" i="12" s="1"/>
  <c r="B140" i="5"/>
  <c r="G140" i="5"/>
  <c r="J140" i="5"/>
  <c r="K140" i="5"/>
  <c r="AF140" i="5" a="1"/>
  <c r="AF140" i="5" s="1"/>
  <c r="A140" i="12"/>
  <c r="B140" i="6"/>
  <c r="J140" i="6" s="1" a="1"/>
  <c r="J140" i="6" s="1"/>
  <c r="D140" i="5"/>
  <c r="B140" i="12" s="1"/>
  <c r="F140" i="5"/>
  <c r="C141" i="5"/>
  <c r="H140" i="5"/>
  <c r="W140" i="5" a="1"/>
  <c r="W140" i="5" s="1"/>
  <c r="H140" i="12" s="1" a="1"/>
  <c r="H140" i="12" s="1"/>
  <c r="E140" i="5"/>
  <c r="AE140" i="5" a="1"/>
  <c r="AE140" i="5" s="1"/>
  <c r="AD140" i="5"/>
  <c r="J139" i="12" a="1"/>
  <c r="J139" i="12" s="1"/>
  <c r="L139" i="12" a="1"/>
  <c r="L139" i="12" s="1"/>
  <c r="R139" i="5" a="1"/>
  <c r="R139" i="5" s="1"/>
  <c r="AG139" i="5" a="1"/>
  <c r="AG139" i="5" s="1"/>
  <c r="S139" i="5" a="1"/>
  <c r="S139" i="5" s="1"/>
  <c r="F139" i="12" s="1" a="1"/>
  <c r="F139" i="12" s="1"/>
  <c r="N132" i="12"/>
  <c r="Y132" i="12"/>
  <c r="W132" i="12" s="1" a="1"/>
  <c r="W132" i="12" s="1"/>
  <c r="V132" i="12" s="1" a="1"/>
  <c r="V132" i="12" s="1"/>
  <c r="T130" i="12"/>
  <c r="U130" i="12"/>
  <c r="L134" i="5"/>
  <c r="C134" i="6" s="1"/>
  <c r="Z134" i="5"/>
  <c r="AA134" i="5" s="1" a="1"/>
  <c r="AA134" i="5" s="1"/>
  <c r="AM134" i="5"/>
  <c r="O133" i="5"/>
  <c r="C133" i="6"/>
  <c r="AC133" i="5" a="1"/>
  <c r="AC133" i="5" s="1"/>
  <c r="BA136" i="6" a="1"/>
  <c r="BA136" i="6" s="1"/>
  <c r="AQ136" i="6"/>
  <c r="AV136" i="6"/>
  <c r="AN136" i="6"/>
  <c r="BF136" i="6" a="1"/>
  <c r="BF136" i="6" s="1"/>
  <c r="AM136" i="6"/>
  <c r="BC136" i="6" a="1"/>
  <c r="BC136" i="6" s="1"/>
  <c r="AZ136" i="6" a="1"/>
  <c r="AZ136" i="6" s="1"/>
  <c r="BG136" i="6" a="1"/>
  <c r="BG136" i="6" s="1"/>
  <c r="AU136" i="6"/>
  <c r="AT136" i="6"/>
  <c r="BE136" i="6" a="1"/>
  <c r="BE136" i="6" s="1"/>
  <c r="AJ136" i="6"/>
  <c r="BB136" i="6" a="1"/>
  <c r="BB136" i="6" s="1"/>
  <c r="AS136" i="6"/>
  <c r="AP136" i="6"/>
  <c r="AD136" i="6"/>
  <c r="AF136" i="6"/>
  <c r="BD136" i="6" a="1"/>
  <c r="BD136" i="6" s="1"/>
  <c r="AX136" i="6" a="1"/>
  <c r="AX136" i="6" s="1"/>
  <c r="AC136" i="6"/>
  <c r="AO136" i="6"/>
  <c r="AR136" i="6"/>
  <c r="AY136" i="6" a="1"/>
  <c r="AY136" i="6" s="1"/>
  <c r="AI136" i="6"/>
  <c r="AE136" i="6"/>
  <c r="AB136" i="6"/>
  <c r="AG136" i="6"/>
  <c r="AK136" i="6"/>
  <c r="AH136" i="6"/>
  <c r="C133" i="12"/>
  <c r="O133" i="12" a="1"/>
  <c r="O133" i="12" s="1"/>
  <c r="AO133" i="12" a="1"/>
  <c r="AO133" i="12" s="1"/>
  <c r="M133" i="12" a="1"/>
  <c r="M133" i="12" s="1"/>
  <c r="C134" i="12"/>
  <c r="M134" i="12" a="1"/>
  <c r="M134" i="12" s="1"/>
  <c r="O134" i="12" a="1"/>
  <c r="O134" i="12" s="1"/>
  <c r="AO134" i="12" a="1"/>
  <c r="AO134" i="12" s="1"/>
  <c r="X135" i="5" a="1"/>
  <c r="X135" i="5" s="1"/>
  <c r="L147" i="6"/>
  <c r="AB133" i="5" a="1"/>
  <c r="AB133" i="5" s="1"/>
  <c r="AA133" i="5" a="1"/>
  <c r="AA133" i="5" s="1"/>
  <c r="N137" i="6"/>
  <c r="M137" i="6"/>
  <c r="A138" i="6"/>
  <c r="W131" i="12" a="1"/>
  <c r="W131" i="12" s="1"/>
  <c r="X131" i="12" a="1"/>
  <c r="X131" i="12" s="1"/>
  <c r="G139" i="6" l="1"/>
  <c r="K139" i="12"/>
  <c r="E139" i="12"/>
  <c r="F139" i="6"/>
  <c r="N141" i="5"/>
  <c r="D141" i="6" s="1"/>
  <c r="H141" i="6" s="1" a="1"/>
  <c r="H141" i="6" s="1"/>
  <c r="T141" i="5" s="1"/>
  <c r="G141" i="12" s="1" a="1"/>
  <c r="G141" i="12" s="1"/>
  <c r="F141" i="5"/>
  <c r="A141" i="12"/>
  <c r="C142" i="5"/>
  <c r="D141" i="5"/>
  <c r="B141" i="12" s="1"/>
  <c r="AD141" i="5"/>
  <c r="B141" i="6"/>
  <c r="J141" i="6" s="1" a="1"/>
  <c r="J141" i="6" s="1"/>
  <c r="AE141" i="5" a="1"/>
  <c r="AE141" i="5" s="1"/>
  <c r="G141" i="5"/>
  <c r="H141" i="5"/>
  <c r="J141" i="5"/>
  <c r="B141" i="5"/>
  <c r="E141" i="5"/>
  <c r="AF141" i="5" a="1"/>
  <c r="AF141" i="5" s="1"/>
  <c r="W141" i="5" a="1"/>
  <c r="W141" i="5" s="1"/>
  <c r="H141" i="12" s="1" a="1"/>
  <c r="H141" i="12" s="1"/>
  <c r="K141" i="5"/>
  <c r="L140" i="12" a="1"/>
  <c r="L140" i="12" s="1"/>
  <c r="J140" i="12" a="1"/>
  <c r="J140" i="12" s="1"/>
  <c r="R140" i="5" a="1"/>
  <c r="R140" i="5" s="1"/>
  <c r="S140" i="5" a="1"/>
  <c r="S140" i="5" s="1"/>
  <c r="AG140" i="5" a="1"/>
  <c r="AG140" i="5" s="1"/>
  <c r="T132" i="12"/>
  <c r="U132" i="12"/>
  <c r="X132" i="12" a="1"/>
  <c r="X132" i="12" s="1"/>
  <c r="AC134" i="5" a="1"/>
  <c r="AC134" i="5" s="1"/>
  <c r="O134" i="5"/>
  <c r="E134" i="6" s="1"/>
  <c r="AB134" i="5" a="1"/>
  <c r="AB134" i="5" s="1"/>
  <c r="X136" i="5" a="1"/>
  <c r="X136" i="5" s="1"/>
  <c r="Z136" i="5" s="1"/>
  <c r="N133" i="12"/>
  <c r="N134" i="12"/>
  <c r="I135" i="12"/>
  <c r="AM135" i="5"/>
  <c r="L135" i="5"/>
  <c r="Z135" i="5"/>
  <c r="BG137" i="6" a="1"/>
  <c r="BG137" i="6" s="1"/>
  <c r="BA137" i="6" a="1"/>
  <c r="BA137" i="6" s="1"/>
  <c r="AX137" i="6" a="1"/>
  <c r="AX137" i="6" s="1"/>
  <c r="AR137" i="6"/>
  <c r="AP137" i="6"/>
  <c r="BE137" i="6" a="1"/>
  <c r="BE137" i="6" s="1"/>
  <c r="BF137" i="6" a="1"/>
  <c r="BF137" i="6" s="1"/>
  <c r="AV137" i="6"/>
  <c r="BC137" i="6" a="1"/>
  <c r="BC137" i="6" s="1"/>
  <c r="AZ137" i="6" a="1"/>
  <c r="AZ137" i="6" s="1"/>
  <c r="AO137" i="6"/>
  <c r="AU137" i="6"/>
  <c r="AN137" i="6"/>
  <c r="BB137" i="6" a="1"/>
  <c r="BB137" i="6" s="1"/>
  <c r="BD137" i="6" a="1"/>
  <c r="BD137" i="6" s="1"/>
  <c r="AS137" i="6"/>
  <c r="AH137" i="6"/>
  <c r="AT137" i="6"/>
  <c r="AY137" i="6" a="1"/>
  <c r="AY137" i="6" s="1"/>
  <c r="AQ137" i="6"/>
  <c r="AM137" i="6"/>
  <c r="AC137" i="6"/>
  <c r="AK137" i="6"/>
  <c r="AJ137" i="6"/>
  <c r="AE137" i="6"/>
  <c r="AI137" i="6"/>
  <c r="AG137" i="6"/>
  <c r="AD137" i="6"/>
  <c r="AF137" i="6"/>
  <c r="AB137" i="6"/>
  <c r="Y134" i="12"/>
  <c r="Y133" i="12"/>
  <c r="V131" i="12" a="1"/>
  <c r="V131" i="12" s="1"/>
  <c r="U131" i="12"/>
  <c r="T131" i="12"/>
  <c r="L148" i="6"/>
  <c r="M138" i="6"/>
  <c r="N138" i="6"/>
  <c r="A139" i="6"/>
  <c r="D133" i="12"/>
  <c r="E133" i="6"/>
  <c r="K140" i="12" l="1"/>
  <c r="S141" i="5" a="1"/>
  <c r="S141" i="5" s="1"/>
  <c r="AG141" i="5" a="1"/>
  <c r="AG141" i="5" s="1"/>
  <c r="R141" i="5" a="1"/>
  <c r="R141" i="5" s="1"/>
  <c r="F140" i="12" a="1"/>
  <c r="F140" i="12" s="1"/>
  <c r="G140" i="6"/>
  <c r="W142" i="5" a="1"/>
  <c r="W142" i="5" s="1"/>
  <c r="H142" i="12" s="1" a="1"/>
  <c r="H142" i="12" s="1"/>
  <c r="G142" i="5"/>
  <c r="J142" i="5"/>
  <c r="A142" i="12"/>
  <c r="H142" i="5"/>
  <c r="E142" i="5"/>
  <c r="AE142" i="5" a="1"/>
  <c r="AE142" i="5" s="1"/>
  <c r="B142" i="5"/>
  <c r="F142" i="5"/>
  <c r="K142" i="5"/>
  <c r="AF142" i="5" a="1"/>
  <c r="AF142" i="5" s="1"/>
  <c r="D142" i="5"/>
  <c r="B142" i="12" s="1"/>
  <c r="N142" i="5"/>
  <c r="D142" i="6" s="1"/>
  <c r="H142" i="6" s="1" a="1"/>
  <c r="H142" i="6" s="1"/>
  <c r="T142" i="5" s="1"/>
  <c r="G142" i="12" s="1" a="1"/>
  <c r="G142" i="12" s="1"/>
  <c r="C143" i="5"/>
  <c r="AD142" i="5"/>
  <c r="B142" i="6"/>
  <c r="J142" i="6" s="1" a="1"/>
  <c r="J142" i="6" s="1"/>
  <c r="E140" i="12"/>
  <c r="F140" i="6"/>
  <c r="L141" i="12" a="1"/>
  <c r="L141" i="12" s="1"/>
  <c r="J141" i="12" a="1"/>
  <c r="J141" i="12" s="1"/>
  <c r="D134" i="12"/>
  <c r="AM136" i="5"/>
  <c r="I136" i="12"/>
  <c r="AO136" i="12" s="1" a="1"/>
  <c r="AO136" i="12" s="1"/>
  <c r="L136" i="5"/>
  <c r="C136" i="6" s="1"/>
  <c r="L149" i="6"/>
  <c r="AB135" i="5" a="1"/>
  <c r="AB135" i="5" s="1"/>
  <c r="AA135" i="5" a="1"/>
  <c r="AA135" i="5" s="1"/>
  <c r="X133" i="12" a="1"/>
  <c r="X133" i="12" s="1"/>
  <c r="W133" i="12" a="1"/>
  <c r="W133" i="12" s="1"/>
  <c r="C135" i="6"/>
  <c r="O135" i="5"/>
  <c r="AC135" i="5" a="1"/>
  <c r="AC135" i="5" s="1"/>
  <c r="W134" i="12" a="1"/>
  <c r="W134" i="12" s="1"/>
  <c r="X134" i="12" a="1"/>
  <c r="X134" i="12" s="1"/>
  <c r="N139" i="6"/>
  <c r="M139" i="6"/>
  <c r="A140" i="6"/>
  <c r="AB136" i="5" a="1"/>
  <c r="AB136" i="5" s="1"/>
  <c r="AA136" i="5" a="1"/>
  <c r="AA136" i="5" s="1"/>
  <c r="C135" i="12"/>
  <c r="O135" i="12" a="1"/>
  <c r="O135" i="12" s="1"/>
  <c r="M135" i="12" a="1"/>
  <c r="M135" i="12" s="1"/>
  <c r="AO135" i="12" a="1"/>
  <c r="AO135" i="12" s="1"/>
  <c r="AV138" i="6"/>
  <c r="AP138" i="6"/>
  <c r="BF138" i="6" a="1"/>
  <c r="BF138" i="6" s="1"/>
  <c r="BC138" i="6" a="1"/>
  <c r="BC138" i="6" s="1"/>
  <c r="AO138" i="6"/>
  <c r="AZ138" i="6" a="1"/>
  <c r="AZ138" i="6" s="1"/>
  <c r="AU138" i="6"/>
  <c r="BA138" i="6" a="1"/>
  <c r="BA138" i="6" s="1"/>
  <c r="AY138" i="6" a="1"/>
  <c r="AY138" i="6" s="1"/>
  <c r="AM138" i="6"/>
  <c r="AN138" i="6"/>
  <c r="BG138" i="6" a="1"/>
  <c r="BG138" i="6" s="1"/>
  <c r="BD138" i="6" a="1"/>
  <c r="BD138" i="6" s="1"/>
  <c r="AX138" i="6" a="1"/>
  <c r="AX138" i="6" s="1"/>
  <c r="AR138" i="6"/>
  <c r="AS138" i="6"/>
  <c r="AB138" i="6"/>
  <c r="BE138" i="6" a="1"/>
  <c r="BE138" i="6" s="1"/>
  <c r="AF138" i="6"/>
  <c r="BB138" i="6" a="1"/>
  <c r="BB138" i="6" s="1"/>
  <c r="AQ138" i="6"/>
  <c r="AT138" i="6"/>
  <c r="AK138" i="6"/>
  <c r="AD138" i="6"/>
  <c r="AC138" i="6"/>
  <c r="AJ138" i="6"/>
  <c r="AI138" i="6"/>
  <c r="AE138" i="6"/>
  <c r="AG138" i="6"/>
  <c r="AH138" i="6"/>
  <c r="X137" i="5" a="1"/>
  <c r="X137" i="5" s="1"/>
  <c r="K141" i="12" l="1"/>
  <c r="AG142" i="5" a="1"/>
  <c r="AG142" i="5" s="1"/>
  <c r="S142" i="5" a="1"/>
  <c r="S142" i="5" s="1"/>
  <c r="R142" i="5" a="1"/>
  <c r="R142" i="5" s="1"/>
  <c r="D143" i="5"/>
  <c r="B143" i="12" s="1"/>
  <c r="B143" i="5"/>
  <c r="AD143" i="5"/>
  <c r="J143" i="5"/>
  <c r="B143" i="6"/>
  <c r="J143" i="6" s="1" a="1"/>
  <c r="J143" i="6" s="1"/>
  <c r="N143" i="5"/>
  <c r="D143" i="6" s="1"/>
  <c r="H143" i="6" s="1" a="1"/>
  <c r="H143" i="6" s="1"/>
  <c r="T143" i="5" s="1"/>
  <c r="G143" i="12" s="1" a="1"/>
  <c r="G143" i="12" s="1"/>
  <c r="AF143" i="5" a="1"/>
  <c r="AF143" i="5" s="1"/>
  <c r="C144" i="5"/>
  <c r="AE143" i="5" a="1"/>
  <c r="AE143" i="5" s="1"/>
  <c r="K143" i="5"/>
  <c r="F143" i="5"/>
  <c r="W143" i="5" a="1"/>
  <c r="W143" i="5" s="1"/>
  <c r="H143" i="12" s="1" a="1"/>
  <c r="H143" i="12" s="1"/>
  <c r="E143" i="5"/>
  <c r="A143" i="12"/>
  <c r="G143" i="5"/>
  <c r="H143" i="5"/>
  <c r="E141" i="12"/>
  <c r="F141" i="6"/>
  <c r="J142" i="12" a="1"/>
  <c r="J142" i="12" s="1"/>
  <c r="L142" i="12" a="1"/>
  <c r="L142" i="12" s="1"/>
  <c r="F141" i="12" a="1"/>
  <c r="F141" i="12" s="1"/>
  <c r="G141" i="6"/>
  <c r="C136" i="12"/>
  <c r="M136" i="12" a="1"/>
  <c r="M136" i="12" s="1"/>
  <c r="O136" i="12" a="1"/>
  <c r="O136" i="12" s="1"/>
  <c r="Y136" i="12" s="1"/>
  <c r="AC136" i="5" a="1"/>
  <c r="AC136" i="5" s="1"/>
  <c r="O136" i="5"/>
  <c r="E136" i="6" s="1"/>
  <c r="Y135" i="12"/>
  <c r="W135" i="12" s="1" a="1"/>
  <c r="W135" i="12" s="1"/>
  <c r="U133" i="12"/>
  <c r="T133" i="12"/>
  <c r="V133" i="12" a="1"/>
  <c r="V133" i="12" s="1"/>
  <c r="X138" i="5" a="1"/>
  <c r="X138" i="5" s="1"/>
  <c r="N140" i="6"/>
  <c r="A141" i="6"/>
  <c r="M140" i="6"/>
  <c r="BF139" i="6" a="1"/>
  <c r="BF139" i="6" s="1"/>
  <c r="AU139" i="6"/>
  <c r="AX139" i="6" a="1"/>
  <c r="AX139" i="6" s="1"/>
  <c r="AT139" i="6"/>
  <c r="AN139" i="6"/>
  <c r="AZ139" i="6" a="1"/>
  <c r="AZ139" i="6" s="1"/>
  <c r="BG139" i="6" a="1"/>
  <c r="BG139" i="6" s="1"/>
  <c r="AO139" i="6"/>
  <c r="AS139" i="6"/>
  <c r="AC139" i="6"/>
  <c r="BE139" i="6" a="1"/>
  <c r="BE139" i="6" s="1"/>
  <c r="BD139" i="6" a="1"/>
  <c r="BD139" i="6" s="1"/>
  <c r="AR139" i="6"/>
  <c r="AV139" i="6"/>
  <c r="AQ139" i="6"/>
  <c r="BB139" i="6" a="1"/>
  <c r="BB139" i="6" s="1"/>
  <c r="AY139" i="6" a="1"/>
  <c r="AY139" i="6" s="1"/>
  <c r="AM139" i="6"/>
  <c r="BA139" i="6" a="1"/>
  <c r="BA139" i="6" s="1"/>
  <c r="BC139" i="6" a="1"/>
  <c r="BC139" i="6" s="1"/>
  <c r="AP139" i="6"/>
  <c r="AB139" i="6"/>
  <c r="AD139" i="6"/>
  <c r="AH139" i="6"/>
  <c r="AK139" i="6"/>
  <c r="AG139" i="6"/>
  <c r="AF139" i="6"/>
  <c r="AI139" i="6"/>
  <c r="AE139" i="6"/>
  <c r="AJ139" i="6"/>
  <c r="V134" i="12" a="1"/>
  <c r="V134" i="12" s="1"/>
  <c r="U134" i="12"/>
  <c r="T134" i="12"/>
  <c r="I137" i="12"/>
  <c r="L137" i="5"/>
  <c r="AM137" i="5"/>
  <c r="Z137" i="5"/>
  <c r="N135" i="12"/>
  <c r="D135" i="12"/>
  <c r="E135" i="6"/>
  <c r="L150" i="6"/>
  <c r="K142" i="12" l="1"/>
  <c r="C145" i="5"/>
  <c r="D144" i="5"/>
  <c r="B144" i="12" s="1"/>
  <c r="N144" i="5"/>
  <c r="D144" i="6" s="1"/>
  <c r="H144" i="6" s="1" a="1"/>
  <c r="H144" i="6" s="1"/>
  <c r="T144" i="5" s="1"/>
  <c r="G144" i="12" s="1" a="1"/>
  <c r="G144" i="12" s="1"/>
  <c r="AD144" i="5"/>
  <c r="B144" i="6"/>
  <c r="J144" i="6" s="1" a="1"/>
  <c r="J144" i="6" s="1"/>
  <c r="AF144" i="5" a="1"/>
  <c r="AF144" i="5" s="1"/>
  <c r="AE144" i="5" a="1"/>
  <c r="AE144" i="5" s="1"/>
  <c r="G144" i="5"/>
  <c r="K144" i="5"/>
  <c r="A144" i="12"/>
  <c r="W144" i="5" a="1"/>
  <c r="W144" i="5" s="1"/>
  <c r="H144" i="12" s="1" a="1"/>
  <c r="H144" i="12" s="1"/>
  <c r="F144" i="5"/>
  <c r="B144" i="5"/>
  <c r="J144" i="5"/>
  <c r="H144" i="5"/>
  <c r="E144" i="5"/>
  <c r="E142" i="12"/>
  <c r="F142" i="6"/>
  <c r="R143" i="5" a="1"/>
  <c r="R143" i="5" s="1"/>
  <c r="AG143" i="5" a="1"/>
  <c r="AG143" i="5" s="1"/>
  <c r="S143" i="5" a="1"/>
  <c r="S143" i="5" s="1"/>
  <c r="F142" i="12" a="1"/>
  <c r="F142" i="12" s="1"/>
  <c r="G142" i="6"/>
  <c r="J143" i="12" a="1"/>
  <c r="J143" i="12" s="1"/>
  <c r="L143" i="12" a="1"/>
  <c r="L143" i="12" s="1"/>
  <c r="N136" i="12"/>
  <c r="X135" i="12" a="1"/>
  <c r="X135" i="12" s="1"/>
  <c r="D136" i="12"/>
  <c r="AA137" i="5" a="1"/>
  <c r="AA137" i="5" s="1"/>
  <c r="AB137" i="5" a="1"/>
  <c r="AB137" i="5" s="1"/>
  <c r="AQ140" i="6"/>
  <c r="AN140" i="6"/>
  <c r="BC140" i="6" a="1"/>
  <c r="BC140" i="6" s="1"/>
  <c r="AM140" i="6"/>
  <c r="AU140" i="6"/>
  <c r="BB140" i="6" a="1"/>
  <c r="BB140" i="6" s="1"/>
  <c r="AX140" i="6" a="1"/>
  <c r="AX140" i="6" s="1"/>
  <c r="AD140" i="6"/>
  <c r="AP140" i="6"/>
  <c r="BA140" i="6" a="1"/>
  <c r="BA140" i="6" s="1"/>
  <c r="AZ140" i="6" a="1"/>
  <c r="AZ140" i="6" s="1"/>
  <c r="AY140" i="6" a="1"/>
  <c r="AY140" i="6" s="1"/>
  <c r="AR140" i="6"/>
  <c r="AT140" i="6"/>
  <c r="AV140" i="6"/>
  <c r="AO140" i="6"/>
  <c r="BE140" i="6" a="1"/>
  <c r="BE140" i="6" s="1"/>
  <c r="AS140" i="6"/>
  <c r="BF140" i="6" a="1"/>
  <c r="BF140" i="6" s="1"/>
  <c r="BG140" i="6" a="1"/>
  <c r="BG140" i="6" s="1"/>
  <c r="BD140" i="6" a="1"/>
  <c r="BD140" i="6" s="1"/>
  <c r="AI140" i="6"/>
  <c r="AB140" i="6"/>
  <c r="AF140" i="6"/>
  <c r="AH140" i="6"/>
  <c r="AC140" i="6"/>
  <c r="AE140" i="6"/>
  <c r="AG140" i="6"/>
  <c r="AK140" i="6"/>
  <c r="AJ140" i="6"/>
  <c r="A142" i="6"/>
  <c r="M141" i="6"/>
  <c r="N141" i="6"/>
  <c r="X139" i="5" a="1"/>
  <c r="X139" i="5" s="1"/>
  <c r="L151" i="6"/>
  <c r="C137" i="6"/>
  <c r="O137" i="5"/>
  <c r="AC137" i="5" a="1"/>
  <c r="AC137" i="5" s="1"/>
  <c r="I138" i="12"/>
  <c r="AM138" i="5"/>
  <c r="L138" i="5"/>
  <c r="Z138" i="5"/>
  <c r="C137" i="12"/>
  <c r="AO137" i="12" a="1"/>
  <c r="AO137" i="12" s="1"/>
  <c r="M137" i="12" a="1"/>
  <c r="M137" i="12" s="1"/>
  <c r="O137" i="12" a="1"/>
  <c r="O137" i="12" s="1"/>
  <c r="W136" i="12" a="1"/>
  <c r="W136" i="12" s="1"/>
  <c r="X136" i="12" a="1"/>
  <c r="X136" i="12" s="1"/>
  <c r="V135" i="12" a="1"/>
  <c r="V135" i="12" s="1"/>
  <c r="U135" i="12"/>
  <c r="T135" i="12"/>
  <c r="F143" i="12" l="1" a="1"/>
  <c r="F143" i="12" s="1"/>
  <c r="G143" i="6"/>
  <c r="R144" i="5" a="1"/>
  <c r="R144" i="5" s="1"/>
  <c r="S144" i="5" a="1"/>
  <c r="S144" i="5" s="1"/>
  <c r="AG144" i="5" a="1"/>
  <c r="AG144" i="5" s="1"/>
  <c r="E143" i="12"/>
  <c r="F143" i="6"/>
  <c r="L144" i="12" a="1"/>
  <c r="L144" i="12" s="1"/>
  <c r="J144" i="12" a="1"/>
  <c r="J144" i="12" s="1"/>
  <c r="K143" i="12"/>
  <c r="A145" i="12"/>
  <c r="AE145" i="5" a="1"/>
  <c r="AE145" i="5" s="1"/>
  <c r="E145" i="5"/>
  <c r="D145" i="5"/>
  <c r="B145" i="12" s="1"/>
  <c r="AD145" i="5"/>
  <c r="K145" i="5"/>
  <c r="B145" i="6"/>
  <c r="J145" i="6" s="1" a="1"/>
  <c r="J145" i="6" s="1"/>
  <c r="AF145" i="5" a="1"/>
  <c r="AF145" i="5" s="1"/>
  <c r="G145" i="5"/>
  <c r="H145" i="5"/>
  <c r="B145" i="5"/>
  <c r="W145" i="5" a="1"/>
  <c r="W145" i="5" s="1"/>
  <c r="H145" i="12" s="1" a="1"/>
  <c r="H145" i="12" s="1"/>
  <c r="F145" i="5"/>
  <c r="C146" i="5"/>
  <c r="N145" i="5"/>
  <c r="D145" i="6" s="1"/>
  <c r="H145" i="6" s="1" a="1"/>
  <c r="H145" i="6" s="1"/>
  <c r="T145" i="5" s="1"/>
  <c r="G145" i="12" s="1" a="1"/>
  <c r="G145" i="12" s="1"/>
  <c r="J145" i="5"/>
  <c r="N137" i="12"/>
  <c r="Y137" i="12"/>
  <c r="W137" i="12" s="1" a="1"/>
  <c r="W137" i="12" s="1"/>
  <c r="D137" i="12"/>
  <c r="E137" i="6"/>
  <c r="A143" i="6"/>
  <c r="N142" i="6"/>
  <c r="M142" i="6"/>
  <c r="V136" i="12" a="1"/>
  <c r="V136" i="12" s="1"/>
  <c r="U136" i="12"/>
  <c r="T136" i="12"/>
  <c r="L152" i="6"/>
  <c r="AA138" i="5" a="1"/>
  <c r="AA138" i="5" s="1"/>
  <c r="AB138" i="5" a="1"/>
  <c r="AB138" i="5" s="1"/>
  <c r="C138" i="6"/>
  <c r="O138" i="5"/>
  <c r="AC138" i="5" a="1"/>
  <c r="AC138" i="5" s="1"/>
  <c r="I139" i="12"/>
  <c r="L139" i="5"/>
  <c r="AM139" i="5"/>
  <c r="Z139" i="5"/>
  <c r="X140" i="5" a="1"/>
  <c r="X140" i="5" s="1"/>
  <c r="C138" i="12"/>
  <c r="O138" i="12" a="1"/>
  <c r="O138" i="12" s="1"/>
  <c r="AO138" i="12" a="1"/>
  <c r="AO138" i="12" s="1"/>
  <c r="M138" i="12" a="1"/>
  <c r="M138" i="12" s="1"/>
  <c r="AP141" i="6"/>
  <c r="AS141" i="6"/>
  <c r="AF141" i="6"/>
  <c r="AC141" i="6"/>
  <c r="AY141" i="6" a="1"/>
  <c r="AY141" i="6" s="1"/>
  <c r="AV141" i="6"/>
  <c r="AB141" i="6"/>
  <c r="AG141" i="6"/>
  <c r="BC141" i="6" a="1"/>
  <c r="BC141" i="6" s="1"/>
  <c r="BF141" i="6" a="1"/>
  <c r="BF141" i="6" s="1"/>
  <c r="AZ141" i="6" a="1"/>
  <c r="AZ141" i="6" s="1"/>
  <c r="BG141" i="6" a="1"/>
  <c r="BG141" i="6" s="1"/>
  <c r="AD141" i="6"/>
  <c r="AO141" i="6"/>
  <c r="AX141" i="6" a="1"/>
  <c r="AX141" i="6" s="1"/>
  <c r="AU141" i="6"/>
  <c r="AI141" i="6"/>
  <c r="AT141" i="6"/>
  <c r="AR141" i="6"/>
  <c r="BE141" i="6" a="1"/>
  <c r="BE141" i="6" s="1"/>
  <c r="AQ141" i="6"/>
  <c r="AN141" i="6"/>
  <c r="AM141" i="6"/>
  <c r="BD141" i="6" a="1"/>
  <c r="BD141" i="6" s="1"/>
  <c r="BA141" i="6" a="1"/>
  <c r="BA141" i="6" s="1"/>
  <c r="AK141" i="6"/>
  <c r="BB141" i="6" a="1"/>
  <c r="BB141" i="6" s="1"/>
  <c r="AJ141" i="6"/>
  <c r="AE141" i="6"/>
  <c r="AH141" i="6"/>
  <c r="K144" i="12" l="1"/>
  <c r="C147" i="5"/>
  <c r="G146" i="5"/>
  <c r="AE146" i="5" a="1"/>
  <c r="AE146" i="5" s="1"/>
  <c r="K146" i="5"/>
  <c r="E146" i="5"/>
  <c r="AF146" i="5" a="1"/>
  <c r="AF146" i="5" s="1"/>
  <c r="B146" i="5"/>
  <c r="B146" i="6"/>
  <c r="J146" i="6" s="1" a="1"/>
  <c r="J146" i="6" s="1"/>
  <c r="W146" i="5" a="1"/>
  <c r="W146" i="5" s="1"/>
  <c r="H146" i="12" s="1" a="1"/>
  <c r="H146" i="12" s="1"/>
  <c r="J146" i="5"/>
  <c r="H146" i="5"/>
  <c r="N146" i="5"/>
  <c r="D146" i="6" s="1"/>
  <c r="H146" i="6" s="1" a="1"/>
  <c r="H146" i="6" s="1"/>
  <c r="T146" i="5" s="1"/>
  <c r="G146" i="12" s="1" a="1"/>
  <c r="G146" i="12" s="1"/>
  <c r="A146" i="12"/>
  <c r="F146" i="5"/>
  <c r="AD146" i="5"/>
  <c r="D146" i="5"/>
  <c r="B146" i="12" s="1"/>
  <c r="F144" i="12" a="1"/>
  <c r="F144" i="12" s="1"/>
  <c r="G144" i="6"/>
  <c r="J145" i="12" a="1"/>
  <c r="J145" i="12" s="1"/>
  <c r="L145" i="12" a="1"/>
  <c r="L145" i="12" s="1"/>
  <c r="E144" i="12"/>
  <c r="F144" i="6"/>
  <c r="R145" i="5" a="1"/>
  <c r="R145" i="5" s="1"/>
  <c r="AG145" i="5" a="1"/>
  <c r="AG145" i="5" s="1"/>
  <c r="S145" i="5" a="1"/>
  <c r="S145" i="5" s="1"/>
  <c r="F145" i="12" s="1" a="1"/>
  <c r="F145" i="12" s="1"/>
  <c r="X137" i="12" a="1"/>
  <c r="X137" i="12" s="1"/>
  <c r="Y138" i="12"/>
  <c r="X138" i="12" s="1" a="1"/>
  <c r="X138" i="12" s="1"/>
  <c r="C139" i="12"/>
  <c r="O139" i="12" a="1"/>
  <c r="O139" i="12" s="1"/>
  <c r="AO139" i="12" a="1"/>
  <c r="AO139" i="12" s="1"/>
  <c r="M139" i="12" a="1"/>
  <c r="M139" i="12" s="1"/>
  <c r="D138" i="12"/>
  <c r="E138" i="6"/>
  <c r="N138" i="12"/>
  <c r="I140" i="12"/>
  <c r="AM140" i="5"/>
  <c r="L140" i="5"/>
  <c r="Z140" i="5"/>
  <c r="AX142" i="6" a="1"/>
  <c r="AX142" i="6" s="1"/>
  <c r="BG142" i="6" a="1"/>
  <c r="BG142" i="6" s="1"/>
  <c r="BA142" i="6" a="1"/>
  <c r="BA142" i="6" s="1"/>
  <c r="BE142" i="6" a="1"/>
  <c r="BE142" i="6" s="1"/>
  <c r="AQ142" i="6"/>
  <c r="AZ142" i="6" a="1"/>
  <c r="AZ142" i="6" s="1"/>
  <c r="AY142" i="6" a="1"/>
  <c r="AY142" i="6" s="1"/>
  <c r="AT142" i="6"/>
  <c r="BB142" i="6" a="1"/>
  <c r="BB142" i="6" s="1"/>
  <c r="AC142" i="6"/>
  <c r="AK142" i="6"/>
  <c r="AG142" i="6"/>
  <c r="AD142" i="6"/>
  <c r="BF142" i="6" a="1"/>
  <c r="BF142" i="6" s="1"/>
  <c r="AS142" i="6"/>
  <c r="AF142" i="6"/>
  <c r="AH142" i="6"/>
  <c r="AV142" i="6"/>
  <c r="AO142" i="6"/>
  <c r="AM142" i="6"/>
  <c r="BD142" i="6" a="1"/>
  <c r="BD142" i="6" s="1"/>
  <c r="BC142" i="6" a="1"/>
  <c r="BC142" i="6" s="1"/>
  <c r="AR142" i="6"/>
  <c r="AB142" i="6"/>
  <c r="AP142" i="6"/>
  <c r="AU142" i="6"/>
  <c r="AN142" i="6"/>
  <c r="AI142" i="6"/>
  <c r="AJ142" i="6"/>
  <c r="AE142" i="6"/>
  <c r="X141" i="5" a="1"/>
  <c r="X141" i="5" s="1"/>
  <c r="AA139" i="5" a="1"/>
  <c r="AA139" i="5" s="1"/>
  <c r="AB139" i="5" a="1"/>
  <c r="AB139" i="5" s="1"/>
  <c r="M143" i="6"/>
  <c r="N143" i="6"/>
  <c r="A144" i="6"/>
  <c r="V137" i="12" a="1"/>
  <c r="V137" i="12" s="1"/>
  <c r="U137" i="12"/>
  <c r="T137" i="12"/>
  <c r="O139" i="5"/>
  <c r="C139" i="6"/>
  <c r="AC139" i="5" a="1"/>
  <c r="AC139" i="5" s="1"/>
  <c r="L153" i="6"/>
  <c r="E145" i="12" l="1"/>
  <c r="F145" i="6"/>
  <c r="R146" i="5" a="1"/>
  <c r="R146" i="5" s="1"/>
  <c r="AG146" i="5" a="1"/>
  <c r="AG146" i="5" s="1"/>
  <c r="S146" i="5" a="1"/>
  <c r="S146" i="5" s="1"/>
  <c r="K145" i="12"/>
  <c r="J146" i="12" a="1"/>
  <c r="J146" i="12" s="1"/>
  <c r="L146" i="12" a="1"/>
  <c r="L146" i="12" s="1"/>
  <c r="G145" i="6"/>
  <c r="AF147" i="5" a="1"/>
  <c r="AF147" i="5" s="1"/>
  <c r="B147" i="6"/>
  <c r="J147" i="6" s="1" a="1"/>
  <c r="J147" i="6" s="1"/>
  <c r="W147" i="5" a="1"/>
  <c r="W147" i="5" s="1"/>
  <c r="H147" i="12" s="1" a="1"/>
  <c r="H147" i="12" s="1"/>
  <c r="F147" i="5"/>
  <c r="J147" i="5"/>
  <c r="H147" i="5"/>
  <c r="A147" i="12"/>
  <c r="E147" i="5"/>
  <c r="C148" i="5"/>
  <c r="N147" i="5"/>
  <c r="D147" i="6" s="1"/>
  <c r="H147" i="6" s="1" a="1"/>
  <c r="H147" i="6" s="1"/>
  <c r="T147" i="5" s="1"/>
  <c r="G147" i="12" s="1" a="1"/>
  <c r="G147" i="12" s="1"/>
  <c r="D147" i="5"/>
  <c r="B147" i="12" s="1"/>
  <c r="G147" i="5"/>
  <c r="K147" i="5"/>
  <c r="AD147" i="5"/>
  <c r="B147" i="5"/>
  <c r="AE147" i="5" a="1"/>
  <c r="AE147" i="5" s="1"/>
  <c r="W138" i="12" a="1"/>
  <c r="W138" i="12" s="1"/>
  <c r="U138" i="12" s="1"/>
  <c r="Y139" i="12"/>
  <c r="W139" i="12" s="1" a="1"/>
  <c r="W139" i="12" s="1"/>
  <c r="X142" i="5" a="1"/>
  <c r="X142" i="5" s="1"/>
  <c r="AB140" i="5" a="1"/>
  <c r="AB140" i="5" s="1"/>
  <c r="AA140" i="5" a="1"/>
  <c r="AA140" i="5" s="1"/>
  <c r="I141" i="12"/>
  <c r="L141" i="5"/>
  <c r="AM141" i="5"/>
  <c r="Z141" i="5"/>
  <c r="C140" i="6"/>
  <c r="O140" i="5"/>
  <c r="AC140" i="5" a="1"/>
  <c r="AC140" i="5" s="1"/>
  <c r="N139" i="12"/>
  <c r="D139" i="12"/>
  <c r="E139" i="6"/>
  <c r="C140" i="12"/>
  <c r="M140" i="12" a="1"/>
  <c r="M140" i="12" s="1"/>
  <c r="AO140" i="12" a="1"/>
  <c r="AO140" i="12" s="1"/>
  <c r="O140" i="12" a="1"/>
  <c r="O140" i="12" s="1"/>
  <c r="L154" i="6"/>
  <c r="AP143" i="6"/>
  <c r="AQ143" i="6"/>
  <c r="BF143" i="6" a="1"/>
  <c r="BF143" i="6" s="1"/>
  <c r="BE143" i="6" a="1"/>
  <c r="BE143" i="6" s="1"/>
  <c r="AY143" i="6" a="1"/>
  <c r="AY143" i="6" s="1"/>
  <c r="BC143" i="6" a="1"/>
  <c r="BC143" i="6" s="1"/>
  <c r="BG143" i="6" a="1"/>
  <c r="BG143" i="6" s="1"/>
  <c r="AZ143" i="6" a="1"/>
  <c r="AZ143" i="6" s="1"/>
  <c r="AB143" i="6"/>
  <c r="AG143" i="6"/>
  <c r="BA143" i="6" a="1"/>
  <c r="BA143" i="6" s="1"/>
  <c r="AO143" i="6"/>
  <c r="AI143" i="6"/>
  <c r="AH143" i="6"/>
  <c r="AR143" i="6"/>
  <c r="BD143" i="6" a="1"/>
  <c r="BD143" i="6" s="1"/>
  <c r="AF143" i="6"/>
  <c r="AT143" i="6"/>
  <c r="AX143" i="6" a="1"/>
  <c r="AX143" i="6" s="1"/>
  <c r="BB143" i="6" a="1"/>
  <c r="BB143" i="6" s="1"/>
  <c r="AS143" i="6"/>
  <c r="AU143" i="6"/>
  <c r="AV143" i="6"/>
  <c r="AM143" i="6"/>
  <c r="AN143" i="6"/>
  <c r="AE143" i="6"/>
  <c r="AK143" i="6"/>
  <c r="AD143" i="6"/>
  <c r="AJ143" i="6"/>
  <c r="AC143" i="6"/>
  <c r="N144" i="6"/>
  <c r="M144" i="6"/>
  <c r="A145" i="6"/>
  <c r="K146" i="12" l="1"/>
  <c r="F146" i="12" a="1"/>
  <c r="F146" i="12" s="1"/>
  <c r="G146" i="6"/>
  <c r="E146" i="12"/>
  <c r="F146" i="6"/>
  <c r="L147" i="12" a="1"/>
  <c r="L147" i="12" s="1"/>
  <c r="J147" i="12" a="1"/>
  <c r="J147" i="12" s="1"/>
  <c r="AF148" i="5" a="1"/>
  <c r="AF148" i="5" s="1"/>
  <c r="N148" i="5"/>
  <c r="D148" i="6" s="1"/>
  <c r="H148" i="6" s="1" a="1"/>
  <c r="H148" i="6" s="1"/>
  <c r="T148" i="5" s="1"/>
  <c r="G148" i="12" s="1" a="1"/>
  <c r="G148" i="12" s="1"/>
  <c r="G148" i="5"/>
  <c r="J148" i="5"/>
  <c r="K148" i="5"/>
  <c r="B148" i="6"/>
  <c r="J148" i="6" s="1" a="1"/>
  <c r="J148" i="6" s="1"/>
  <c r="A148" i="12"/>
  <c r="F148" i="5"/>
  <c r="H148" i="5"/>
  <c r="AD148" i="5"/>
  <c r="B148" i="5"/>
  <c r="E148" i="5"/>
  <c r="AE148" i="5" a="1"/>
  <c r="AE148" i="5" s="1"/>
  <c r="C149" i="5"/>
  <c r="W148" i="5" a="1"/>
  <c r="W148" i="5" s="1"/>
  <c r="H148" i="12" s="1" a="1"/>
  <c r="H148" i="12" s="1"/>
  <c r="D148" i="5"/>
  <c r="B148" i="12" s="1"/>
  <c r="S147" i="5" a="1"/>
  <c r="S147" i="5" s="1"/>
  <c r="AG147" i="5" a="1"/>
  <c r="AG147" i="5" s="1"/>
  <c r="R147" i="5" a="1"/>
  <c r="R147" i="5" s="1"/>
  <c r="X139" i="12" a="1"/>
  <c r="X139" i="12" s="1"/>
  <c r="T138" i="12"/>
  <c r="V138" i="12" a="1"/>
  <c r="V138" i="12" s="1"/>
  <c r="Y140" i="12"/>
  <c r="W140" i="12" s="1" a="1"/>
  <c r="W140" i="12" s="1"/>
  <c r="C141" i="6"/>
  <c r="O141" i="5"/>
  <c r="AC141" i="5" a="1"/>
  <c r="AC141" i="5" s="1"/>
  <c r="C141" i="12"/>
  <c r="M141" i="12" a="1"/>
  <c r="M141" i="12" s="1"/>
  <c r="O141" i="12" a="1"/>
  <c r="O141" i="12" s="1"/>
  <c r="AO141" i="12" a="1"/>
  <c r="AO141" i="12" s="1"/>
  <c r="N145" i="6"/>
  <c r="M145" i="6"/>
  <c r="A146" i="6"/>
  <c r="BC144" i="6" a="1"/>
  <c r="BC144" i="6" s="1"/>
  <c r="AS144" i="6"/>
  <c r="BB144" i="6" a="1"/>
  <c r="BB144" i="6" s="1"/>
  <c r="AU144" i="6"/>
  <c r="BD144" i="6" a="1"/>
  <c r="BD144" i="6" s="1"/>
  <c r="AM144" i="6"/>
  <c r="AO144" i="6"/>
  <c r="AN144" i="6"/>
  <c r="BG144" i="6" a="1"/>
  <c r="BG144" i="6" s="1"/>
  <c r="AY144" i="6" a="1"/>
  <c r="AY144" i="6" s="1"/>
  <c r="AV144" i="6"/>
  <c r="AT144" i="6"/>
  <c r="AR144" i="6"/>
  <c r="AQ144" i="6"/>
  <c r="AP144" i="6"/>
  <c r="BF144" i="6" a="1"/>
  <c r="BF144" i="6" s="1"/>
  <c r="AZ144" i="6" a="1"/>
  <c r="AZ144" i="6" s="1"/>
  <c r="BA144" i="6" a="1"/>
  <c r="BA144" i="6" s="1"/>
  <c r="AX144" i="6" a="1"/>
  <c r="AX144" i="6" s="1"/>
  <c r="AD144" i="6"/>
  <c r="AI144" i="6"/>
  <c r="AJ144" i="6"/>
  <c r="BE144" i="6" a="1"/>
  <c r="BE144" i="6" s="1"/>
  <c r="AK144" i="6"/>
  <c r="AH144" i="6"/>
  <c r="AF144" i="6"/>
  <c r="AG144" i="6"/>
  <c r="AC144" i="6"/>
  <c r="AB144" i="6"/>
  <c r="AE144" i="6"/>
  <c r="X143" i="5" a="1"/>
  <c r="X143" i="5" s="1"/>
  <c r="V139" i="12" a="1"/>
  <c r="V139" i="12" s="1"/>
  <c r="U139" i="12"/>
  <c r="T139" i="12"/>
  <c r="L155" i="6"/>
  <c r="D140" i="12"/>
  <c r="E140" i="6"/>
  <c r="I142" i="12"/>
  <c r="AM142" i="5"/>
  <c r="L142" i="5"/>
  <c r="Z142" i="5"/>
  <c r="AA141" i="5" a="1"/>
  <c r="AA141" i="5" s="1"/>
  <c r="AB141" i="5" a="1"/>
  <c r="AB141" i="5" s="1"/>
  <c r="N140" i="12"/>
  <c r="K147" i="12" l="1"/>
  <c r="F147" i="12" a="1"/>
  <c r="F147" i="12" s="1"/>
  <c r="G147" i="6"/>
  <c r="AG148" i="5" a="1"/>
  <c r="AG148" i="5" s="1"/>
  <c r="S148" i="5" a="1"/>
  <c r="S148" i="5" s="1"/>
  <c r="J148" i="12" a="1"/>
  <c r="J148" i="12" s="1"/>
  <c r="L148" i="12" a="1"/>
  <c r="L148" i="12" s="1"/>
  <c r="E149" i="5"/>
  <c r="B149" i="6"/>
  <c r="J149" i="6" s="1" a="1"/>
  <c r="J149" i="6" s="1"/>
  <c r="A149" i="12"/>
  <c r="D149" i="5"/>
  <c r="B149" i="12" s="1"/>
  <c r="AF149" i="5" a="1"/>
  <c r="AF149" i="5" s="1"/>
  <c r="R149" i="5" s="1" a="1"/>
  <c r="R149" i="5" s="1"/>
  <c r="G149" i="5"/>
  <c r="J149" i="5"/>
  <c r="C150" i="5"/>
  <c r="H149" i="5"/>
  <c r="W149" i="5" a="1"/>
  <c r="W149" i="5" s="1"/>
  <c r="H149" i="12" s="1" a="1"/>
  <c r="H149" i="12" s="1"/>
  <c r="AD149" i="5"/>
  <c r="K149" i="5"/>
  <c r="N149" i="5"/>
  <c r="D149" i="6" s="1"/>
  <c r="H149" i="6" s="1" a="1"/>
  <c r="H149" i="6" s="1"/>
  <c r="T149" i="5" s="1"/>
  <c r="G149" i="12" s="1" a="1"/>
  <c r="G149" i="12" s="1"/>
  <c r="B149" i="5"/>
  <c r="AE149" i="5" a="1"/>
  <c r="AE149" i="5" s="1"/>
  <c r="F149" i="5"/>
  <c r="F147" i="6"/>
  <c r="E147" i="12"/>
  <c r="R148" i="5" a="1"/>
  <c r="R148" i="5" s="1"/>
  <c r="X140" i="12" a="1"/>
  <c r="X140" i="12" s="1"/>
  <c r="Y141" i="12"/>
  <c r="W141" i="12" s="1" a="1"/>
  <c r="W141" i="12" s="1"/>
  <c r="L156" i="6"/>
  <c r="N141" i="12"/>
  <c r="AF145" i="6"/>
  <c r="AR145" i="6"/>
  <c r="AD145" i="6"/>
  <c r="AJ145" i="6"/>
  <c r="AS145" i="6"/>
  <c r="AQ145" i="6"/>
  <c r="AM145" i="6"/>
  <c r="BD145" i="6" a="1"/>
  <c r="BD145" i="6" s="1"/>
  <c r="AX145" i="6" a="1"/>
  <c r="AX145" i="6" s="1"/>
  <c r="BC145" i="6" a="1"/>
  <c r="BC145" i="6" s="1"/>
  <c r="AT145" i="6"/>
  <c r="AH145" i="6"/>
  <c r="AC145" i="6"/>
  <c r="AY145" i="6" a="1"/>
  <c r="AY145" i="6" s="1"/>
  <c r="BG145" i="6" a="1"/>
  <c r="BG145" i="6" s="1"/>
  <c r="BF145" i="6" a="1"/>
  <c r="BF145" i="6" s="1"/>
  <c r="AP145" i="6"/>
  <c r="BB145" i="6" a="1"/>
  <c r="BB145" i="6" s="1"/>
  <c r="BE145" i="6" a="1"/>
  <c r="BE145" i="6" s="1"/>
  <c r="AN145" i="6"/>
  <c r="AZ145" i="6" a="1"/>
  <c r="AZ145" i="6" s="1"/>
  <c r="BA145" i="6" a="1"/>
  <c r="BA145" i="6" s="1"/>
  <c r="AO145" i="6"/>
  <c r="AK145" i="6"/>
  <c r="AB145" i="6"/>
  <c r="AU145" i="6"/>
  <c r="AV145" i="6"/>
  <c r="AE145" i="6"/>
  <c r="AI145" i="6"/>
  <c r="AG145" i="6"/>
  <c r="AA142" i="5" a="1"/>
  <c r="AA142" i="5" s="1"/>
  <c r="AB142" i="5" a="1"/>
  <c r="AB142" i="5" s="1"/>
  <c r="M146" i="6"/>
  <c r="A147" i="6"/>
  <c r="N146" i="6"/>
  <c r="O142" i="5"/>
  <c r="C142" i="6"/>
  <c r="AC142" i="5" a="1"/>
  <c r="AC142" i="5" s="1"/>
  <c r="D141" i="12"/>
  <c r="E141" i="6"/>
  <c r="I143" i="12"/>
  <c r="AM143" i="5"/>
  <c r="L143" i="5"/>
  <c r="Z143" i="5"/>
  <c r="C142" i="12"/>
  <c r="O142" i="12" a="1"/>
  <c r="O142" i="12" s="1"/>
  <c r="AO142" i="12" a="1"/>
  <c r="AO142" i="12" s="1"/>
  <c r="M142" i="12" a="1"/>
  <c r="M142" i="12" s="1"/>
  <c r="V140" i="12" a="1"/>
  <c r="V140" i="12" s="1"/>
  <c r="U140" i="12"/>
  <c r="T140" i="12"/>
  <c r="X144" i="5" a="1"/>
  <c r="X144" i="5" s="1"/>
  <c r="K148" i="12" l="1"/>
  <c r="E149" i="12"/>
  <c r="F149" i="6"/>
  <c r="AF150" i="5" a="1"/>
  <c r="AF150" i="5" s="1"/>
  <c r="N150" i="5"/>
  <c r="D150" i="6" s="1"/>
  <c r="H150" i="6" s="1" a="1"/>
  <c r="H150" i="6" s="1"/>
  <c r="T150" i="5" s="1"/>
  <c r="G150" i="12" s="1" a="1"/>
  <c r="G150" i="12" s="1"/>
  <c r="F150" i="5"/>
  <c r="H150" i="5"/>
  <c r="K150" i="5"/>
  <c r="A150" i="12"/>
  <c r="C151" i="5"/>
  <c r="E150" i="5"/>
  <c r="AD150" i="5"/>
  <c r="D150" i="5"/>
  <c r="B150" i="12" s="1"/>
  <c r="AE150" i="5" a="1"/>
  <c r="AE150" i="5" s="1"/>
  <c r="W150" i="5" a="1"/>
  <c r="W150" i="5" s="1"/>
  <c r="H150" i="12" s="1" a="1"/>
  <c r="H150" i="12" s="1"/>
  <c r="B150" i="6"/>
  <c r="J150" i="6" s="1" a="1"/>
  <c r="J150" i="6" s="1"/>
  <c r="B150" i="5"/>
  <c r="G150" i="5"/>
  <c r="J150" i="5"/>
  <c r="F148" i="12" a="1"/>
  <c r="F148" i="12" s="1"/>
  <c r="G148" i="6"/>
  <c r="AG149" i="5" a="1"/>
  <c r="AG149" i="5" s="1"/>
  <c r="S149" i="5" a="1"/>
  <c r="S149" i="5" s="1"/>
  <c r="F149" i="12" s="1" a="1"/>
  <c r="F149" i="12" s="1"/>
  <c r="E148" i="12"/>
  <c r="F148" i="6"/>
  <c r="L149" i="12" a="1"/>
  <c r="L149" i="12" s="1"/>
  <c r="J149" i="12" a="1"/>
  <c r="J149" i="12" s="1"/>
  <c r="X141" i="12" a="1"/>
  <c r="X141" i="12" s="1"/>
  <c r="Y142" i="12"/>
  <c r="X142" i="12" s="1" a="1"/>
  <c r="X142" i="12" s="1"/>
  <c r="C143" i="6"/>
  <c r="O143" i="5"/>
  <c r="AC143" i="5" a="1"/>
  <c r="AC143" i="5" s="1"/>
  <c r="L157" i="6"/>
  <c r="I144" i="12"/>
  <c r="L144" i="5"/>
  <c r="AM144" i="5"/>
  <c r="Z144" i="5"/>
  <c r="D142" i="12"/>
  <c r="E142" i="6"/>
  <c r="N142" i="12"/>
  <c r="A148" i="6"/>
  <c r="N147" i="6"/>
  <c r="M147" i="6"/>
  <c r="X145" i="5" a="1"/>
  <c r="X145" i="5" s="1"/>
  <c r="BG146" i="6" a="1"/>
  <c r="BG146" i="6" s="1"/>
  <c r="BA146" i="6" a="1"/>
  <c r="BA146" i="6" s="1"/>
  <c r="AM146" i="6"/>
  <c r="AR146" i="6"/>
  <c r="AY146" i="6" a="1"/>
  <c r="AY146" i="6" s="1"/>
  <c r="AV146" i="6"/>
  <c r="AE146" i="6"/>
  <c r="AS146" i="6"/>
  <c r="AZ146" i="6" a="1"/>
  <c r="AZ146" i="6" s="1"/>
  <c r="BB146" i="6" a="1"/>
  <c r="BB146" i="6" s="1"/>
  <c r="AI146" i="6"/>
  <c r="BE146" i="6" a="1"/>
  <c r="BE146" i="6" s="1"/>
  <c r="BF146" i="6" a="1"/>
  <c r="BF146" i="6" s="1"/>
  <c r="AX146" i="6" a="1"/>
  <c r="AX146" i="6" s="1"/>
  <c r="AU146" i="6"/>
  <c r="AT146" i="6"/>
  <c r="AQ146" i="6"/>
  <c r="BD146" i="6" a="1"/>
  <c r="BD146" i="6" s="1"/>
  <c r="AN146" i="6"/>
  <c r="AO146" i="6"/>
  <c r="AP146" i="6"/>
  <c r="BC146" i="6" a="1"/>
  <c r="BC146" i="6" s="1"/>
  <c r="AB146" i="6"/>
  <c r="AJ146" i="6"/>
  <c r="AC146" i="6"/>
  <c r="AD146" i="6"/>
  <c r="AH146" i="6"/>
  <c r="AF146" i="6"/>
  <c r="AK146" i="6"/>
  <c r="AG146" i="6"/>
  <c r="C143" i="12"/>
  <c r="O143" i="12" a="1"/>
  <c r="O143" i="12" s="1"/>
  <c r="M143" i="12" a="1"/>
  <c r="M143" i="12" s="1"/>
  <c r="AO143" i="12" a="1"/>
  <c r="AO143" i="12" s="1"/>
  <c r="AB143" i="5" a="1"/>
  <c r="AB143" i="5" s="1"/>
  <c r="AA143" i="5" a="1"/>
  <c r="AA143" i="5" s="1"/>
  <c r="T141" i="12"/>
  <c r="U141" i="12"/>
  <c r="V141" i="12" a="1"/>
  <c r="V141" i="12" s="1"/>
  <c r="J151" i="5" l="1"/>
  <c r="W151" i="5" a="1"/>
  <c r="W151" i="5" s="1"/>
  <c r="H151" i="12" s="1" a="1"/>
  <c r="H151" i="12" s="1"/>
  <c r="B151" i="5"/>
  <c r="D151" i="5"/>
  <c r="B151" i="12" s="1"/>
  <c r="B151" i="6"/>
  <c r="J151" i="6" s="1" a="1"/>
  <c r="J151" i="6" s="1"/>
  <c r="H151" i="5"/>
  <c r="C152" i="5"/>
  <c r="AD151" i="5"/>
  <c r="N151" i="5"/>
  <c r="D151" i="6" s="1"/>
  <c r="H151" i="6" s="1" a="1"/>
  <c r="H151" i="6" s="1"/>
  <c r="T151" i="5" s="1"/>
  <c r="G151" i="12" s="1" a="1"/>
  <c r="G151" i="12" s="1"/>
  <c r="A151" i="12"/>
  <c r="AE151" i="5" a="1"/>
  <c r="AE151" i="5" s="1"/>
  <c r="G151" i="5"/>
  <c r="E151" i="5"/>
  <c r="K151" i="5"/>
  <c r="AF151" i="5" a="1"/>
  <c r="AF151" i="5" s="1"/>
  <c r="F151" i="5"/>
  <c r="L150" i="12" a="1"/>
  <c r="L150" i="12" s="1"/>
  <c r="J150" i="12" a="1"/>
  <c r="J150" i="12" s="1"/>
  <c r="G149" i="6"/>
  <c r="R150" i="5" a="1"/>
  <c r="R150" i="5" s="1"/>
  <c r="S150" i="5" a="1"/>
  <c r="S150" i="5" s="1"/>
  <c r="AG150" i="5" a="1"/>
  <c r="AG150" i="5" s="1"/>
  <c r="K149" i="12"/>
  <c r="W142" i="12" a="1"/>
  <c r="W142" i="12" s="1"/>
  <c r="V142" i="12" s="1" a="1"/>
  <c r="V142" i="12" s="1"/>
  <c r="X146" i="5" a="1"/>
  <c r="X146" i="5" s="1"/>
  <c r="I146" i="12" s="1"/>
  <c r="D143" i="12"/>
  <c r="E143" i="6"/>
  <c r="M148" i="6"/>
  <c r="N148" i="6"/>
  <c r="A149" i="6"/>
  <c r="AM147" i="6"/>
  <c r="AY147" i="6" a="1"/>
  <c r="AY147" i="6" s="1"/>
  <c r="AR147" i="6"/>
  <c r="AX147" i="6" a="1"/>
  <c r="AX147" i="6" s="1"/>
  <c r="AG147" i="6"/>
  <c r="AI147" i="6"/>
  <c r="BD147" i="6" a="1"/>
  <c r="BD147" i="6" s="1"/>
  <c r="BE147" i="6" a="1"/>
  <c r="BE147" i="6" s="1"/>
  <c r="BG147" i="6" a="1"/>
  <c r="BG147" i="6" s="1"/>
  <c r="AV147" i="6"/>
  <c r="AH147" i="6"/>
  <c r="AT147" i="6"/>
  <c r="AD147" i="6"/>
  <c r="AF147" i="6"/>
  <c r="AS147" i="6"/>
  <c r="AU147" i="6"/>
  <c r="BA147" i="6" a="1"/>
  <c r="BA147" i="6" s="1"/>
  <c r="AP147" i="6"/>
  <c r="AE147" i="6"/>
  <c r="AC147" i="6"/>
  <c r="BC147" i="6" a="1"/>
  <c r="BC147" i="6" s="1"/>
  <c r="AK147" i="6"/>
  <c r="BF147" i="6" a="1"/>
  <c r="BF147" i="6" s="1"/>
  <c r="AQ147" i="6"/>
  <c r="AJ147" i="6"/>
  <c r="BB147" i="6" a="1"/>
  <c r="BB147" i="6" s="1"/>
  <c r="AZ147" i="6" a="1"/>
  <c r="AZ147" i="6" s="1"/>
  <c r="AO147" i="6"/>
  <c r="AN147" i="6"/>
  <c r="AB147" i="6"/>
  <c r="AB144" i="5" a="1"/>
  <c r="AB144" i="5" s="1"/>
  <c r="AA144" i="5" a="1"/>
  <c r="AA144" i="5" s="1"/>
  <c r="C144" i="6"/>
  <c r="O144" i="5"/>
  <c r="AC144" i="5" a="1"/>
  <c r="AC144" i="5" s="1"/>
  <c r="C144" i="12"/>
  <c r="M144" i="12" a="1"/>
  <c r="M144" i="12" s="1"/>
  <c r="O144" i="12" a="1"/>
  <c r="O144" i="12" s="1"/>
  <c r="AO144" i="12" a="1"/>
  <c r="AO144" i="12" s="1"/>
  <c r="L158" i="6"/>
  <c r="N143" i="12"/>
  <c r="Y143" i="12"/>
  <c r="I145" i="12"/>
  <c r="AM145" i="5"/>
  <c r="L145" i="5"/>
  <c r="Z145" i="5"/>
  <c r="K150" i="12" l="1"/>
  <c r="R151" i="5" a="1"/>
  <c r="R151" i="5" s="1"/>
  <c r="AG151" i="5" a="1"/>
  <c r="AG151" i="5" s="1"/>
  <c r="S151" i="5" a="1"/>
  <c r="S151" i="5" s="1"/>
  <c r="B152" i="5"/>
  <c r="A152" i="12"/>
  <c r="E152" i="5"/>
  <c r="K152" i="5"/>
  <c r="W152" i="5" a="1"/>
  <c r="W152" i="5" s="1"/>
  <c r="H152" i="12" s="1" a="1"/>
  <c r="H152" i="12" s="1"/>
  <c r="AF152" i="5" a="1"/>
  <c r="AF152" i="5" s="1"/>
  <c r="F152" i="5"/>
  <c r="N152" i="5"/>
  <c r="D152" i="6" s="1"/>
  <c r="H152" i="6" s="1" a="1"/>
  <c r="H152" i="6" s="1"/>
  <c r="T152" i="5" s="1"/>
  <c r="G152" i="12" s="1" a="1"/>
  <c r="G152" i="12" s="1"/>
  <c r="B152" i="6"/>
  <c r="J152" i="6" s="1" a="1"/>
  <c r="J152" i="6" s="1"/>
  <c r="J152" i="5"/>
  <c r="D152" i="5"/>
  <c r="B152" i="12" s="1"/>
  <c r="C153" i="5"/>
  <c r="AE152" i="5" a="1"/>
  <c r="AE152" i="5" s="1"/>
  <c r="G152" i="5"/>
  <c r="H152" i="5"/>
  <c r="AD152" i="5"/>
  <c r="F150" i="12" a="1"/>
  <c r="F150" i="12" s="1"/>
  <c r="G150" i="6"/>
  <c r="F150" i="6"/>
  <c r="E150" i="12"/>
  <c r="L151" i="12" a="1"/>
  <c r="L151" i="12" s="1"/>
  <c r="J151" i="12" a="1"/>
  <c r="J151" i="12" s="1"/>
  <c r="T142" i="12"/>
  <c r="U142" i="12"/>
  <c r="Z146" i="5"/>
  <c r="AB146" i="5" s="1" a="1"/>
  <c r="AB146" i="5" s="1"/>
  <c r="AM146" i="5"/>
  <c r="L146" i="5"/>
  <c r="O146" i="5" s="1"/>
  <c r="Y144" i="12"/>
  <c r="X144" i="12" s="1" a="1"/>
  <c r="X144" i="12" s="1"/>
  <c r="C146" i="12"/>
  <c r="AO146" i="12" a="1"/>
  <c r="AO146" i="12" s="1"/>
  <c r="M146" i="12" a="1"/>
  <c r="M146" i="12" s="1"/>
  <c r="O146" i="12" a="1"/>
  <c r="O146" i="12" s="1"/>
  <c r="D144" i="12"/>
  <c r="E144" i="6"/>
  <c r="M149" i="6"/>
  <c r="N149" i="6"/>
  <c r="A150" i="6"/>
  <c r="C145" i="6"/>
  <c r="O145" i="5"/>
  <c r="AC145" i="5" a="1"/>
  <c r="AC145" i="5" s="1"/>
  <c r="C145" i="12"/>
  <c r="M145" i="12" a="1"/>
  <c r="M145" i="12" s="1"/>
  <c r="O145" i="12" a="1"/>
  <c r="O145" i="12" s="1"/>
  <c r="AO145" i="12" a="1"/>
  <c r="AO145" i="12" s="1"/>
  <c r="AV148" i="6"/>
  <c r="BG148" i="6" a="1"/>
  <c r="BG148" i="6" s="1"/>
  <c r="AQ148" i="6"/>
  <c r="BC148" i="6" a="1"/>
  <c r="BC148" i="6" s="1"/>
  <c r="AY148" i="6" a="1"/>
  <c r="AY148" i="6" s="1"/>
  <c r="AU148" i="6"/>
  <c r="BF148" i="6" a="1"/>
  <c r="BF148" i="6" s="1"/>
  <c r="AX148" i="6" a="1"/>
  <c r="AX148" i="6" s="1"/>
  <c r="AT148" i="6"/>
  <c r="AS148" i="6"/>
  <c r="BB148" i="6" a="1"/>
  <c r="BB148" i="6" s="1"/>
  <c r="AR148" i="6"/>
  <c r="AM148" i="6"/>
  <c r="AP148" i="6"/>
  <c r="BE148" i="6" a="1"/>
  <c r="BE148" i="6" s="1"/>
  <c r="BD148" i="6" a="1"/>
  <c r="BD148" i="6" s="1"/>
  <c r="AZ148" i="6" a="1"/>
  <c r="AZ148" i="6" s="1"/>
  <c r="AO148" i="6"/>
  <c r="AK148" i="6"/>
  <c r="BA148" i="6" a="1"/>
  <c r="BA148" i="6" s="1"/>
  <c r="AN148" i="6"/>
  <c r="AC148" i="6"/>
  <c r="AD148" i="6"/>
  <c r="AH148" i="6"/>
  <c r="AJ148" i="6"/>
  <c r="AI148" i="6"/>
  <c r="AF148" i="6"/>
  <c r="AB148" i="6"/>
  <c r="AE148" i="6"/>
  <c r="AG148" i="6"/>
  <c r="W143" i="12" a="1"/>
  <c r="W143" i="12" s="1"/>
  <c r="X143" i="12" a="1"/>
  <c r="X143" i="12" s="1"/>
  <c r="N144" i="12"/>
  <c r="X147" i="5" a="1"/>
  <c r="X147" i="5" s="1"/>
  <c r="AB145" i="5" a="1"/>
  <c r="AB145" i="5" s="1"/>
  <c r="AA145" i="5" a="1"/>
  <c r="AA145" i="5" s="1"/>
  <c r="L159" i="6"/>
  <c r="K151" i="12" l="1"/>
  <c r="K153" i="5"/>
  <c r="B153" i="6"/>
  <c r="J153" i="6" s="1" a="1"/>
  <c r="J153" i="6" s="1"/>
  <c r="G153" i="5"/>
  <c r="W153" i="5" a="1"/>
  <c r="W153" i="5" s="1"/>
  <c r="H153" i="12" s="1" a="1"/>
  <c r="H153" i="12" s="1"/>
  <c r="J153" i="5"/>
  <c r="AF153" i="5" a="1"/>
  <c r="AF153" i="5" s="1"/>
  <c r="F153" i="5"/>
  <c r="H153" i="5"/>
  <c r="E153" i="5"/>
  <c r="A153" i="12"/>
  <c r="C154" i="5"/>
  <c r="D153" i="5"/>
  <c r="B153" i="12" s="1"/>
  <c r="AD153" i="5"/>
  <c r="B153" i="5"/>
  <c r="N153" i="5"/>
  <c r="D153" i="6" s="1"/>
  <c r="H153" i="6" s="1" a="1"/>
  <c r="H153" i="6" s="1"/>
  <c r="T153" i="5" s="1"/>
  <c r="G153" i="12" s="1" a="1"/>
  <c r="G153" i="12" s="1"/>
  <c r="AE153" i="5" a="1"/>
  <c r="AE153" i="5" s="1"/>
  <c r="J152" i="12" a="1"/>
  <c r="J152" i="12" s="1"/>
  <c r="L152" i="12" a="1"/>
  <c r="L152" i="12" s="1"/>
  <c r="F151" i="12" a="1"/>
  <c r="F151" i="12" s="1"/>
  <c r="G151" i="6"/>
  <c r="R152" i="5" a="1"/>
  <c r="R152" i="5" s="1"/>
  <c r="S152" i="5" a="1"/>
  <c r="S152" i="5" s="1"/>
  <c r="AG152" i="5" a="1"/>
  <c r="AG152" i="5" s="1"/>
  <c r="F151" i="6"/>
  <c r="E151" i="12"/>
  <c r="AC146" i="5" a="1"/>
  <c r="AC146" i="5" s="1"/>
  <c r="AA146" i="5" a="1"/>
  <c r="AA146" i="5" s="1"/>
  <c r="C146" i="6"/>
  <c r="N145" i="12"/>
  <c r="W144" i="12" a="1"/>
  <c r="W144" i="12" s="1"/>
  <c r="T144" i="12" s="1"/>
  <c r="Y146" i="12"/>
  <c r="W146" i="12" s="1" a="1"/>
  <c r="W146" i="12" s="1"/>
  <c r="X148" i="5" a="1"/>
  <c r="X148" i="5" s="1"/>
  <c r="Z148" i="5" s="1"/>
  <c r="I147" i="12"/>
  <c r="AM147" i="5"/>
  <c r="L147" i="5"/>
  <c r="Z147" i="5"/>
  <c r="AO149" i="6"/>
  <c r="AR149" i="6"/>
  <c r="AN149" i="6"/>
  <c r="AB149" i="6"/>
  <c r="AM149" i="6"/>
  <c r="AI149" i="6"/>
  <c r="AQ149" i="6"/>
  <c r="AK149" i="6"/>
  <c r="AY149" i="6" a="1"/>
  <c r="AY149" i="6" s="1"/>
  <c r="BB149" i="6" a="1"/>
  <c r="BB149" i="6" s="1"/>
  <c r="AU149" i="6"/>
  <c r="BG149" i="6" a="1"/>
  <c r="BG149" i="6" s="1"/>
  <c r="BA149" i="6" a="1"/>
  <c r="BA149" i="6" s="1"/>
  <c r="BD149" i="6" a="1"/>
  <c r="BD149" i="6" s="1"/>
  <c r="AX149" i="6" a="1"/>
  <c r="AX149" i="6" s="1"/>
  <c r="AT149" i="6"/>
  <c r="AP149" i="6"/>
  <c r="AD149" i="6"/>
  <c r="BE149" i="6" a="1"/>
  <c r="BE149" i="6" s="1"/>
  <c r="AC149" i="6"/>
  <c r="AS149" i="6"/>
  <c r="AV149" i="6"/>
  <c r="BF149" i="6" a="1"/>
  <c r="BF149" i="6" s="1"/>
  <c r="AZ149" i="6" a="1"/>
  <c r="AZ149" i="6" s="1"/>
  <c r="BC149" i="6" a="1"/>
  <c r="BC149" i="6" s="1"/>
  <c r="AJ149" i="6"/>
  <c r="AE149" i="6"/>
  <c r="AF149" i="6"/>
  <c r="AG149" i="6"/>
  <c r="AH149" i="6"/>
  <c r="Y145" i="12"/>
  <c r="D145" i="12"/>
  <c r="E145" i="6"/>
  <c r="V143" i="12" a="1"/>
  <c r="V143" i="12" s="1"/>
  <c r="U143" i="12"/>
  <c r="T143" i="12"/>
  <c r="D146" i="12"/>
  <c r="E146" i="6"/>
  <c r="L160" i="6"/>
  <c r="N146" i="12"/>
  <c r="M150" i="6"/>
  <c r="N150" i="6"/>
  <c r="A151" i="6"/>
  <c r="K152" i="12" l="1"/>
  <c r="F152" i="12" a="1"/>
  <c r="F152" i="12" s="1"/>
  <c r="G152" i="6"/>
  <c r="AG153" i="5" a="1"/>
  <c r="AG153" i="5" s="1"/>
  <c r="S153" i="5" a="1"/>
  <c r="S153" i="5" s="1"/>
  <c r="R153" i="5" a="1"/>
  <c r="R153" i="5" s="1"/>
  <c r="E152" i="12"/>
  <c r="F152" i="6"/>
  <c r="K154" i="5"/>
  <c r="AF154" i="5" a="1"/>
  <c r="AF154" i="5" s="1"/>
  <c r="AE154" i="5" a="1"/>
  <c r="AE154" i="5" s="1"/>
  <c r="G154" i="5"/>
  <c r="F154" i="5"/>
  <c r="B154" i="6"/>
  <c r="J154" i="6" s="1" a="1"/>
  <c r="J154" i="6" s="1"/>
  <c r="A154" i="12"/>
  <c r="H154" i="5"/>
  <c r="E154" i="5"/>
  <c r="N154" i="5"/>
  <c r="D154" i="6" s="1"/>
  <c r="H154" i="6" s="1" a="1"/>
  <c r="H154" i="6" s="1"/>
  <c r="T154" i="5" s="1"/>
  <c r="G154" i="12" s="1" a="1"/>
  <c r="G154" i="12" s="1"/>
  <c r="D154" i="5"/>
  <c r="B154" i="12" s="1"/>
  <c r="J154" i="5"/>
  <c r="AD154" i="5"/>
  <c r="C155" i="5"/>
  <c r="B154" i="5"/>
  <c r="W154" i="5" a="1"/>
  <c r="W154" i="5" s="1"/>
  <c r="H154" i="12" s="1" a="1"/>
  <c r="H154" i="12" s="1"/>
  <c r="J153" i="12" a="1"/>
  <c r="J153" i="12" s="1"/>
  <c r="L153" i="12" a="1"/>
  <c r="L153" i="12" s="1"/>
  <c r="V144" i="12" a="1"/>
  <c r="V144" i="12" s="1"/>
  <c r="U144" i="12"/>
  <c r="AM148" i="5"/>
  <c r="X146" i="12" a="1"/>
  <c r="X146" i="12" s="1"/>
  <c r="L148" i="5"/>
  <c r="C148" i="6" s="1"/>
  <c r="I148" i="12"/>
  <c r="O148" i="12" s="1" a="1"/>
  <c r="O148" i="12" s="1"/>
  <c r="AB148" i="5" a="1"/>
  <c r="AB148" i="5" s="1"/>
  <c r="AA148" i="5" a="1"/>
  <c r="AA148" i="5" s="1"/>
  <c r="L161" i="6"/>
  <c r="V146" i="12" a="1"/>
  <c r="V146" i="12" s="1"/>
  <c r="U146" i="12"/>
  <c r="T146" i="12"/>
  <c r="AA147" i="5" a="1"/>
  <c r="AA147" i="5" s="1"/>
  <c r="AB147" i="5" a="1"/>
  <c r="AB147" i="5" s="1"/>
  <c r="N151" i="6"/>
  <c r="M151" i="6"/>
  <c r="A152" i="6"/>
  <c r="X145" i="12" a="1"/>
  <c r="X145" i="12" s="1"/>
  <c r="W145" i="12" a="1"/>
  <c r="W145" i="12" s="1"/>
  <c r="O147" i="5"/>
  <c r="C147" i="6"/>
  <c r="AC147" i="5" a="1"/>
  <c r="AC147" i="5" s="1"/>
  <c r="AV150" i="6"/>
  <c r="BG150" i="6" a="1"/>
  <c r="BG150" i="6" s="1"/>
  <c r="BC150" i="6" a="1"/>
  <c r="BC150" i="6" s="1"/>
  <c r="BF150" i="6" a="1"/>
  <c r="BF150" i="6" s="1"/>
  <c r="AU150" i="6"/>
  <c r="AY150" i="6" a="1"/>
  <c r="AY150" i="6" s="1"/>
  <c r="BE150" i="6" a="1"/>
  <c r="BE150" i="6" s="1"/>
  <c r="AN150" i="6"/>
  <c r="BD150" i="6" a="1"/>
  <c r="BD150" i="6" s="1"/>
  <c r="AO150" i="6"/>
  <c r="AR150" i="6"/>
  <c r="BA150" i="6" a="1"/>
  <c r="BA150" i="6" s="1"/>
  <c r="AX150" i="6" a="1"/>
  <c r="AX150" i="6" s="1"/>
  <c r="AM150" i="6"/>
  <c r="AQ150" i="6"/>
  <c r="AT150" i="6"/>
  <c r="AS150" i="6"/>
  <c r="AZ150" i="6" a="1"/>
  <c r="AZ150" i="6" s="1"/>
  <c r="BB150" i="6" a="1"/>
  <c r="BB150" i="6" s="1"/>
  <c r="AK150" i="6"/>
  <c r="AP150" i="6"/>
  <c r="AJ150" i="6"/>
  <c r="AH150" i="6"/>
  <c r="AG150" i="6"/>
  <c r="AD150" i="6"/>
  <c r="AC150" i="6"/>
  <c r="AF150" i="6"/>
  <c r="AE150" i="6"/>
  <c r="AI150" i="6"/>
  <c r="AB150" i="6"/>
  <c r="C147" i="12"/>
  <c r="O147" i="12" a="1"/>
  <c r="O147" i="12" s="1"/>
  <c r="M147" i="12" a="1"/>
  <c r="M147" i="12" s="1"/>
  <c r="AO147" i="12" a="1"/>
  <c r="AO147" i="12" s="1"/>
  <c r="X149" i="5" a="1"/>
  <c r="X149" i="5" s="1"/>
  <c r="J154" i="12" l="1" a="1"/>
  <c r="J154" i="12" s="1"/>
  <c r="L154" i="12" a="1"/>
  <c r="L154" i="12" s="1"/>
  <c r="B155" i="6"/>
  <c r="J155" i="6" s="1" a="1"/>
  <c r="J155" i="6" s="1"/>
  <c r="F155" i="5"/>
  <c r="N155" i="5"/>
  <c r="D155" i="6" s="1"/>
  <c r="H155" i="6" s="1" a="1"/>
  <c r="H155" i="6" s="1"/>
  <c r="T155" i="5" s="1"/>
  <c r="G155" i="12" s="1" a="1"/>
  <c r="G155" i="12" s="1"/>
  <c r="AF155" i="5" a="1"/>
  <c r="AF155" i="5" s="1"/>
  <c r="R155" i="5" s="1" a="1"/>
  <c r="R155" i="5" s="1"/>
  <c r="W155" i="5" a="1"/>
  <c r="W155" i="5" s="1"/>
  <c r="H155" i="12" s="1" a="1"/>
  <c r="H155" i="12" s="1"/>
  <c r="E155" i="5"/>
  <c r="K155" i="5"/>
  <c r="D155" i="5"/>
  <c r="B155" i="12" s="1"/>
  <c r="AD155" i="5"/>
  <c r="C156" i="5"/>
  <c r="A155" i="12"/>
  <c r="G155" i="5"/>
  <c r="AE155" i="5" a="1"/>
  <c r="AE155" i="5" s="1"/>
  <c r="B155" i="5"/>
  <c r="H155" i="5"/>
  <c r="J155" i="5"/>
  <c r="F153" i="6"/>
  <c r="E153" i="12"/>
  <c r="F153" i="12" a="1"/>
  <c r="F153" i="12" s="1"/>
  <c r="G153" i="6"/>
  <c r="K153" i="12"/>
  <c r="R154" i="5" a="1"/>
  <c r="R154" i="5" s="1"/>
  <c r="S154" i="5" a="1"/>
  <c r="S154" i="5" s="1"/>
  <c r="F154" i="12" s="1" a="1"/>
  <c r="F154" i="12" s="1"/>
  <c r="AG154" i="5" a="1"/>
  <c r="AG154" i="5" s="1"/>
  <c r="M148" i="12" a="1"/>
  <c r="M148" i="12" s="1"/>
  <c r="N148" i="12" s="1"/>
  <c r="AC148" i="5" a="1"/>
  <c r="AC148" i="5" s="1"/>
  <c r="O148" i="5"/>
  <c r="D148" i="12" s="1"/>
  <c r="AO148" i="12" a="1"/>
  <c r="AO148" i="12" s="1"/>
  <c r="Y148" i="12" s="1"/>
  <c r="C148" i="12"/>
  <c r="Y147" i="12"/>
  <c r="X147" i="12" s="1" a="1"/>
  <c r="X147" i="12" s="1"/>
  <c r="X150" i="5" a="1"/>
  <c r="X150" i="5" s="1"/>
  <c r="Z150" i="5" s="1"/>
  <c r="A153" i="6"/>
  <c r="N152" i="6"/>
  <c r="M152" i="6"/>
  <c r="L162" i="6"/>
  <c r="I149" i="12"/>
  <c r="L149" i="5"/>
  <c r="AM149" i="5"/>
  <c r="Z149" i="5"/>
  <c r="AZ151" i="6" a="1"/>
  <c r="AZ151" i="6" s="1"/>
  <c r="BD151" i="6" a="1"/>
  <c r="BD151" i="6" s="1"/>
  <c r="BC151" i="6" a="1"/>
  <c r="BC151" i="6" s="1"/>
  <c r="AO151" i="6"/>
  <c r="AT151" i="6"/>
  <c r="BB151" i="6" a="1"/>
  <c r="BB151" i="6" s="1"/>
  <c r="AN151" i="6"/>
  <c r="AQ151" i="6"/>
  <c r="AR151" i="6"/>
  <c r="AS151" i="6"/>
  <c r="AM151" i="6"/>
  <c r="AX151" i="6" a="1"/>
  <c r="AX151" i="6" s="1"/>
  <c r="BA151" i="6" a="1"/>
  <c r="BA151" i="6" s="1"/>
  <c r="BE151" i="6" a="1"/>
  <c r="BE151" i="6" s="1"/>
  <c r="AY151" i="6" a="1"/>
  <c r="AY151" i="6" s="1"/>
  <c r="AV151" i="6"/>
  <c r="AP151" i="6"/>
  <c r="AU151" i="6"/>
  <c r="BG151" i="6" a="1"/>
  <c r="BG151" i="6" s="1"/>
  <c r="BF151" i="6" a="1"/>
  <c r="BF151" i="6" s="1"/>
  <c r="AH151" i="6"/>
  <c r="AE151" i="6"/>
  <c r="AD151" i="6"/>
  <c r="AK151" i="6"/>
  <c r="AC151" i="6"/>
  <c r="AI151" i="6"/>
  <c r="AJ151" i="6"/>
  <c r="AF151" i="6"/>
  <c r="AG151" i="6"/>
  <c r="AB151" i="6"/>
  <c r="N147" i="12"/>
  <c r="D147" i="12"/>
  <c r="E147" i="6"/>
  <c r="U145" i="12"/>
  <c r="T145" i="12"/>
  <c r="V145" i="12" a="1"/>
  <c r="V145" i="12" s="1"/>
  <c r="G154" i="6" l="1"/>
  <c r="K154" i="12"/>
  <c r="F155" i="6"/>
  <c r="E155" i="12"/>
  <c r="J155" i="12" a="1"/>
  <c r="J155" i="12" s="1"/>
  <c r="L155" i="12" a="1"/>
  <c r="L155" i="12" s="1"/>
  <c r="F156" i="5"/>
  <c r="B156" i="5"/>
  <c r="AD156" i="5"/>
  <c r="G156" i="5"/>
  <c r="N156" i="5"/>
  <c r="D156" i="6" s="1"/>
  <c r="H156" i="6" s="1" a="1"/>
  <c r="H156" i="6" s="1"/>
  <c r="T156" i="5" s="1"/>
  <c r="G156" i="12" s="1" a="1"/>
  <c r="G156" i="12" s="1"/>
  <c r="D156" i="5"/>
  <c r="B156" i="12" s="1"/>
  <c r="K156" i="5"/>
  <c r="AF156" i="5" a="1"/>
  <c r="AF156" i="5" s="1"/>
  <c r="E156" i="5"/>
  <c r="C157" i="5"/>
  <c r="AE156" i="5" a="1"/>
  <c r="AE156" i="5" s="1"/>
  <c r="J156" i="5"/>
  <c r="W156" i="5" a="1"/>
  <c r="W156" i="5" s="1"/>
  <c r="H156" i="12" s="1" a="1"/>
  <c r="H156" i="12" s="1"/>
  <c r="A156" i="12"/>
  <c r="H156" i="5"/>
  <c r="B156" i="6"/>
  <c r="J156" i="6" s="1" a="1"/>
  <c r="J156" i="6" s="1"/>
  <c r="E154" i="12"/>
  <c r="F154" i="6"/>
  <c r="AG155" i="5" a="1"/>
  <c r="AG155" i="5" s="1"/>
  <c r="S155" i="5" a="1"/>
  <c r="S155" i="5" s="1"/>
  <c r="E148" i="6"/>
  <c r="W147" i="12" a="1"/>
  <c r="W147" i="12" s="1"/>
  <c r="V147" i="12" s="1" a="1"/>
  <c r="V147" i="12" s="1"/>
  <c r="L150" i="5"/>
  <c r="O150" i="5" s="1"/>
  <c r="AM150" i="5"/>
  <c r="I150" i="12"/>
  <c r="C150" i="12" s="1"/>
  <c r="K27" i="5"/>
  <c r="K35" i="5"/>
  <c r="K46" i="5"/>
  <c r="K51" i="5"/>
  <c r="K64" i="5"/>
  <c r="K21" i="5"/>
  <c r="J21" i="5"/>
  <c r="J28" i="5"/>
  <c r="K28" i="5"/>
  <c r="J39" i="5"/>
  <c r="K39" i="5"/>
  <c r="K47" i="5"/>
  <c r="J47" i="5"/>
  <c r="K52" i="5"/>
  <c r="J52" i="5"/>
  <c r="K54" i="5"/>
  <c r="J54" i="5"/>
  <c r="J58" i="5"/>
  <c r="J65" i="5"/>
  <c r="K65" i="5"/>
  <c r="AA149" i="5" a="1"/>
  <c r="AA149" i="5" s="1"/>
  <c r="AB149" i="5" a="1"/>
  <c r="AB149" i="5" s="1"/>
  <c r="O149" i="5"/>
  <c r="C149" i="6"/>
  <c r="AC149" i="5" a="1"/>
  <c r="AC149" i="5" s="1"/>
  <c r="X151" i="5" a="1"/>
  <c r="X151" i="5" s="1"/>
  <c r="AT152" i="6"/>
  <c r="AX152" i="6" a="1"/>
  <c r="AX152" i="6" s="1"/>
  <c r="BE152" i="6" a="1"/>
  <c r="BE152" i="6" s="1"/>
  <c r="AR152" i="6"/>
  <c r="BC152" i="6" a="1"/>
  <c r="BC152" i="6" s="1"/>
  <c r="AO152" i="6"/>
  <c r="BB152" i="6" a="1"/>
  <c r="BB152" i="6" s="1"/>
  <c r="AS152" i="6"/>
  <c r="BD152" i="6" a="1"/>
  <c r="BD152" i="6" s="1"/>
  <c r="AP152" i="6"/>
  <c r="AV152" i="6"/>
  <c r="AM152" i="6"/>
  <c r="AY152" i="6" a="1"/>
  <c r="AY152" i="6" s="1"/>
  <c r="AQ152" i="6"/>
  <c r="BA152" i="6" a="1"/>
  <c r="BA152" i="6" s="1"/>
  <c r="AN152" i="6"/>
  <c r="AU152" i="6"/>
  <c r="AZ152" i="6" a="1"/>
  <c r="AZ152" i="6" s="1"/>
  <c r="BG152" i="6" a="1"/>
  <c r="BG152" i="6" s="1"/>
  <c r="BF152" i="6" a="1"/>
  <c r="BF152" i="6" s="1"/>
  <c r="AD152" i="6"/>
  <c r="AF152" i="6"/>
  <c r="AH152" i="6"/>
  <c r="AJ152" i="6"/>
  <c r="AI152" i="6"/>
  <c r="AG152" i="6"/>
  <c r="AC152" i="6"/>
  <c r="AK152" i="6"/>
  <c r="AB152" i="6"/>
  <c r="AE152" i="6"/>
  <c r="N153" i="6"/>
  <c r="M153" i="6"/>
  <c r="A154" i="6"/>
  <c r="J17" i="5"/>
  <c r="K17" i="5"/>
  <c r="C149" i="12"/>
  <c r="M149" i="12" a="1"/>
  <c r="M149" i="12" s="1"/>
  <c r="AO149" i="12" a="1"/>
  <c r="AO149" i="12" s="1"/>
  <c r="O149" i="12" a="1"/>
  <c r="O149" i="12" s="1"/>
  <c r="X148" i="12" a="1"/>
  <c r="X148" i="12" s="1"/>
  <c r="W148" i="12" a="1"/>
  <c r="W148" i="12" s="1"/>
  <c r="AA150" i="5" a="1"/>
  <c r="AA150" i="5" s="1"/>
  <c r="AB150" i="5" a="1"/>
  <c r="AB150" i="5" s="1"/>
  <c r="B16" i="11"/>
  <c r="A20" i="13"/>
  <c r="A18" i="13"/>
  <c r="A15" i="13"/>
  <c r="A16" i="13"/>
  <c r="A19" i="13"/>
  <c r="A17" i="13"/>
  <c r="B19" i="11"/>
  <c r="B17" i="11"/>
  <c r="B20" i="11"/>
  <c r="B18" i="11"/>
  <c r="B15" i="11"/>
  <c r="K16" i="5"/>
  <c r="K155" i="12" l="1"/>
  <c r="F155" i="12" a="1"/>
  <c r="F155" i="12" s="1"/>
  <c r="G155" i="6"/>
  <c r="R156" i="5" a="1"/>
  <c r="R156" i="5" s="1"/>
  <c r="AG156" i="5" a="1"/>
  <c r="AG156" i="5" s="1"/>
  <c r="S156" i="5" a="1"/>
  <c r="S156" i="5" s="1"/>
  <c r="J156" i="12" a="1"/>
  <c r="J156" i="12" s="1"/>
  <c r="L156" i="12" a="1"/>
  <c r="L156" i="12" s="1"/>
  <c r="AD157" i="5"/>
  <c r="J157" i="5"/>
  <c r="K157" i="5"/>
  <c r="A157" i="12"/>
  <c r="C158" i="5"/>
  <c r="N157" i="5"/>
  <c r="D157" i="6" s="1"/>
  <c r="H157" i="6" s="1" a="1"/>
  <c r="H157" i="6" s="1"/>
  <c r="T157" i="5" s="1"/>
  <c r="G157" i="12" s="1" a="1"/>
  <c r="G157" i="12" s="1"/>
  <c r="W157" i="5" a="1"/>
  <c r="W157" i="5" s="1"/>
  <c r="H157" i="12" s="1" a="1"/>
  <c r="H157" i="12" s="1"/>
  <c r="G157" i="5"/>
  <c r="H157" i="5"/>
  <c r="F157" i="5"/>
  <c r="E157" i="5"/>
  <c r="AF157" i="5" a="1"/>
  <c r="AF157" i="5" s="1"/>
  <c r="AE157" i="5" a="1"/>
  <c r="AE157" i="5" s="1"/>
  <c r="B157" i="5"/>
  <c r="B157" i="6"/>
  <c r="J157" i="6" s="1" a="1"/>
  <c r="J157" i="6" s="1"/>
  <c r="D157" i="5"/>
  <c r="B157" i="12" s="1"/>
  <c r="C150" i="6"/>
  <c r="T147" i="12"/>
  <c r="M150" i="12" a="1"/>
  <c r="M150" i="12" s="1"/>
  <c r="AO150" i="12" a="1"/>
  <c r="AO150" i="12" s="1"/>
  <c r="O150" i="12" a="1"/>
  <c r="O150" i="12" s="1"/>
  <c r="AC150" i="5" a="1"/>
  <c r="AC150" i="5" s="1"/>
  <c r="U147" i="12"/>
  <c r="D39" i="5"/>
  <c r="D21" i="5"/>
  <c r="D65" i="5"/>
  <c r="D28" i="5"/>
  <c r="B28" i="12" s="1"/>
  <c r="D54" i="5"/>
  <c r="D47" i="5"/>
  <c r="D52" i="5"/>
  <c r="N149" i="12"/>
  <c r="Y149" i="12"/>
  <c r="W149" i="12" s="1" a="1"/>
  <c r="W149" i="12" s="1"/>
  <c r="X152" i="5" a="1"/>
  <c r="X152" i="5" s="1"/>
  <c r="Z152" i="5" s="1"/>
  <c r="K16" i="11" a="1"/>
  <c r="K16" i="11" s="1"/>
  <c r="J16" i="13" s="1"/>
  <c r="G16" i="11"/>
  <c r="F16" i="13" s="1"/>
  <c r="C16" i="13"/>
  <c r="C17" i="13"/>
  <c r="K17" i="11" a="1"/>
  <c r="K17" i="11" s="1"/>
  <c r="J17" i="13" s="1"/>
  <c r="G17" i="11"/>
  <c r="F17" i="13" s="1"/>
  <c r="C18" i="13"/>
  <c r="G18" i="11"/>
  <c r="F18" i="13" s="1"/>
  <c r="K18" i="11" a="1"/>
  <c r="K18" i="11" s="1"/>
  <c r="J18" i="13" s="1"/>
  <c r="A155" i="6"/>
  <c r="N154" i="6"/>
  <c r="M154" i="6"/>
  <c r="C19" i="13"/>
  <c r="G19" i="11"/>
  <c r="F19" i="13" s="1"/>
  <c r="K19" i="11" a="1"/>
  <c r="K19" i="11" s="1"/>
  <c r="J19" i="13" s="1"/>
  <c r="D150" i="12"/>
  <c r="E150" i="6"/>
  <c r="BG153" i="6" a="1"/>
  <c r="BG153" i="6" s="1"/>
  <c r="BA153" i="6" a="1"/>
  <c r="BA153" i="6" s="1"/>
  <c r="AS153" i="6"/>
  <c r="AI153" i="6"/>
  <c r="AX153" i="6" a="1"/>
  <c r="AX153" i="6" s="1"/>
  <c r="AP153" i="6"/>
  <c r="AB153" i="6"/>
  <c r="BE153" i="6" a="1"/>
  <c r="BE153" i="6" s="1"/>
  <c r="AZ153" i="6" a="1"/>
  <c r="AZ153" i="6" s="1"/>
  <c r="BC153" i="6" a="1"/>
  <c r="BC153" i="6" s="1"/>
  <c r="AN153" i="6"/>
  <c r="BF153" i="6" a="1"/>
  <c r="BF153" i="6" s="1"/>
  <c r="AV153" i="6"/>
  <c r="BB153" i="6" a="1"/>
  <c r="BB153" i="6" s="1"/>
  <c r="BD153" i="6" a="1"/>
  <c r="BD153" i="6" s="1"/>
  <c r="AT153" i="6"/>
  <c r="AO153" i="6"/>
  <c r="AU153" i="6"/>
  <c r="AR153" i="6"/>
  <c r="AQ153" i="6"/>
  <c r="AY153" i="6" a="1"/>
  <c r="AY153" i="6" s="1"/>
  <c r="AH153" i="6"/>
  <c r="AM153" i="6"/>
  <c r="AK153" i="6"/>
  <c r="AC153" i="6"/>
  <c r="AE153" i="6"/>
  <c r="AF153" i="6"/>
  <c r="AJ153" i="6"/>
  <c r="AG153" i="6"/>
  <c r="AD153" i="6"/>
  <c r="C20" i="13"/>
  <c r="K20" i="11" a="1"/>
  <c r="K20" i="11" s="1"/>
  <c r="J20" i="13" s="1"/>
  <c r="G20" i="11"/>
  <c r="F20" i="13" s="1"/>
  <c r="V148" i="12" a="1"/>
  <c r="V148" i="12" s="1"/>
  <c r="U148" i="12"/>
  <c r="T148" i="12"/>
  <c r="D149" i="12"/>
  <c r="E149" i="6"/>
  <c r="I151" i="12"/>
  <c r="L151" i="5"/>
  <c r="AM151" i="5"/>
  <c r="Z151" i="5"/>
  <c r="G15" i="11"/>
  <c r="F15" i="13" s="1"/>
  <c r="C15" i="13"/>
  <c r="K15" i="11" a="1"/>
  <c r="K15" i="11" s="1"/>
  <c r="J15" i="13" s="1"/>
  <c r="D17" i="5"/>
  <c r="K156" i="12" l="1"/>
  <c r="F156" i="12" a="1"/>
  <c r="F156" i="12" s="1"/>
  <c r="G156" i="6"/>
  <c r="J158" i="5"/>
  <c r="D158" i="5"/>
  <c r="B158" i="12" s="1"/>
  <c r="E158" i="5"/>
  <c r="AD158" i="5"/>
  <c r="B158" i="6"/>
  <c r="J158" i="6" s="1" a="1"/>
  <c r="J158" i="6" s="1"/>
  <c r="B158" i="5"/>
  <c r="A158" i="12"/>
  <c r="H158" i="5"/>
  <c r="C159" i="5"/>
  <c r="G158" i="5"/>
  <c r="W158" i="5" a="1"/>
  <c r="W158" i="5" s="1"/>
  <c r="H158" i="12" s="1" a="1"/>
  <c r="H158" i="12" s="1"/>
  <c r="N158" i="5"/>
  <c r="D158" i="6" s="1"/>
  <c r="H158" i="6" s="1" a="1"/>
  <c r="H158" i="6" s="1"/>
  <c r="T158" i="5" s="1"/>
  <c r="G158" i="12" s="1" a="1"/>
  <c r="G158" i="12" s="1"/>
  <c r="AE158" i="5" a="1"/>
  <c r="AE158" i="5" s="1"/>
  <c r="F158" i="5"/>
  <c r="AF158" i="5" a="1"/>
  <c r="AF158" i="5" s="1"/>
  <c r="K158" i="5"/>
  <c r="AG157" i="5" a="1"/>
  <c r="AG157" i="5" s="1"/>
  <c r="S157" i="5" a="1"/>
  <c r="S157" i="5" s="1"/>
  <c r="F157" i="12" s="1" a="1"/>
  <c r="F157" i="12" s="1"/>
  <c r="L157" i="12" a="1"/>
  <c r="L157" i="12" s="1"/>
  <c r="J157" i="12" a="1"/>
  <c r="J157" i="12" s="1"/>
  <c r="F156" i="6"/>
  <c r="E156" i="12"/>
  <c r="R157" i="5" a="1"/>
  <c r="R157" i="5" s="1"/>
  <c r="Y150" i="12"/>
  <c r="W150" i="12" s="1" a="1"/>
  <c r="W150" i="12" s="1"/>
  <c r="N150" i="12"/>
  <c r="B39" i="12"/>
  <c r="B21" i="12"/>
  <c r="B65" i="12"/>
  <c r="X149" i="12" a="1"/>
  <c r="X149" i="12" s="1"/>
  <c r="AC16" i="13" a="1"/>
  <c r="AC16" i="13" s="1"/>
  <c r="B52" i="12"/>
  <c r="B47" i="12"/>
  <c r="B54" i="12"/>
  <c r="AH12" i="13"/>
  <c r="AH18" i="13"/>
  <c r="I152" i="12"/>
  <c r="M152" i="12" s="1" a="1"/>
  <c r="M152" i="12" s="1"/>
  <c r="AH20" i="13"/>
  <c r="AD15" i="13" a="1"/>
  <c r="AD15" i="13" s="1"/>
  <c r="AH23" i="13"/>
  <c r="L152" i="5"/>
  <c r="C152" i="6" s="1"/>
  <c r="AC23" i="13" a="1"/>
  <c r="AC23" i="13" s="1"/>
  <c r="AM152" i="5"/>
  <c r="AE18" i="13"/>
  <c r="AH15" i="13"/>
  <c r="AE15" i="13"/>
  <c r="AH17" i="13"/>
  <c r="AC20" i="13" a="1"/>
  <c r="AC20" i="13" s="1"/>
  <c r="AE17" i="13"/>
  <c r="AG16" i="13" a="1"/>
  <c r="AG16" i="13" s="1"/>
  <c r="AG15" i="13" a="1"/>
  <c r="AG15" i="13" s="1"/>
  <c r="AF15" i="13" a="1"/>
  <c r="AF15" i="13" s="1"/>
  <c r="AD23" i="13" a="1"/>
  <c r="AD23" i="13" s="1"/>
  <c r="AG23" i="13" a="1"/>
  <c r="AG23" i="13" s="1"/>
  <c r="AH19" i="13"/>
  <c r="AF23" i="13" a="1"/>
  <c r="AF23" i="13" s="1"/>
  <c r="AE19" i="13"/>
  <c r="AD21" i="13" a="1"/>
  <c r="AD21" i="13" s="1"/>
  <c r="AE16" i="13"/>
  <c r="AE21" i="13"/>
  <c r="AD12" i="13" a="1"/>
  <c r="AD12" i="13" s="1"/>
  <c r="K16" i="13" a="1"/>
  <c r="K16" i="13" s="1"/>
  <c r="AH16" i="13"/>
  <c r="AH21" i="13"/>
  <c r="AG12" i="13" a="1"/>
  <c r="AG12" i="13" s="1"/>
  <c r="AF16" i="13" a="1"/>
  <c r="AF16" i="13" s="1"/>
  <c r="AC12" i="13" a="1"/>
  <c r="AC12" i="13" s="1"/>
  <c r="AA151" i="5" a="1"/>
  <c r="AA151" i="5" s="1"/>
  <c r="AB151" i="5" a="1"/>
  <c r="AB151" i="5" s="1"/>
  <c r="AD19" i="13" a="1"/>
  <c r="AD19" i="13" s="1"/>
  <c r="K19" i="13" a="1"/>
  <c r="K19" i="13" s="1"/>
  <c r="AB152" i="5" a="1"/>
  <c r="AB152" i="5" s="1"/>
  <c r="AA152" i="5" a="1"/>
  <c r="AA152" i="5" s="1"/>
  <c r="C151" i="6"/>
  <c r="O151" i="5"/>
  <c r="AC151" i="5" a="1"/>
  <c r="AC151" i="5" s="1"/>
  <c r="AG21" i="13" a="1"/>
  <c r="AG21" i="13" s="1"/>
  <c r="K20" i="13" a="1"/>
  <c r="K20" i="13" s="1"/>
  <c r="X153" i="5" a="1"/>
  <c r="X153" i="5" s="1"/>
  <c r="BC154" i="6" a="1"/>
  <c r="BC154" i="6" s="1"/>
  <c r="AO154" i="6"/>
  <c r="AU154" i="6"/>
  <c r="BA154" i="6" a="1"/>
  <c r="BA154" i="6" s="1"/>
  <c r="AG154" i="6"/>
  <c r="AM154" i="6"/>
  <c r="AZ154" i="6" a="1"/>
  <c r="AZ154" i="6" s="1"/>
  <c r="AN154" i="6"/>
  <c r="AY154" i="6" a="1"/>
  <c r="AY154" i="6" s="1"/>
  <c r="BD154" i="6" a="1"/>
  <c r="BD154" i="6" s="1"/>
  <c r="AX154" i="6" a="1"/>
  <c r="AX154" i="6" s="1"/>
  <c r="BG154" i="6" a="1"/>
  <c r="BG154" i="6" s="1"/>
  <c r="AR154" i="6"/>
  <c r="BF154" i="6" a="1"/>
  <c r="BF154" i="6" s="1"/>
  <c r="AB154" i="6"/>
  <c r="BE154" i="6" a="1"/>
  <c r="BE154" i="6" s="1"/>
  <c r="AF154" i="6"/>
  <c r="AQ154" i="6"/>
  <c r="AT154" i="6"/>
  <c r="AD154" i="6"/>
  <c r="BB154" i="6" a="1"/>
  <c r="BB154" i="6" s="1"/>
  <c r="AS154" i="6"/>
  <c r="AV154" i="6"/>
  <c r="AP154" i="6"/>
  <c r="AC154" i="6"/>
  <c r="AI154" i="6"/>
  <c r="AK154" i="6"/>
  <c r="AH154" i="6"/>
  <c r="AJ154" i="6"/>
  <c r="AE154" i="6"/>
  <c r="C151" i="12"/>
  <c r="M151" i="12" a="1"/>
  <c r="M151" i="12" s="1"/>
  <c r="AO151" i="12" a="1"/>
  <c r="AO151" i="12" s="1"/>
  <c r="O151" i="12" a="1"/>
  <c r="O151" i="12" s="1"/>
  <c r="AF21" i="13" a="1"/>
  <c r="AF21" i="13" s="1"/>
  <c r="AF12" i="13" a="1"/>
  <c r="AF12" i="13" s="1"/>
  <c r="K18" i="13" a="1"/>
  <c r="K18" i="13" s="1"/>
  <c r="K17" i="13" a="1"/>
  <c r="K17" i="13" s="1"/>
  <c r="U149" i="12"/>
  <c r="T149" i="12"/>
  <c r="V149" i="12" a="1"/>
  <c r="V149" i="12" s="1"/>
  <c r="B17" i="12"/>
  <c r="AD16" i="13" a="1"/>
  <c r="AD16" i="13" s="1"/>
  <c r="K15" i="13" a="1"/>
  <c r="K15" i="13" s="1"/>
  <c r="AE12" i="13"/>
  <c r="M155" i="6"/>
  <c r="N155" i="6"/>
  <c r="A156" i="6"/>
  <c r="G157" i="6" l="1"/>
  <c r="K157" i="12"/>
  <c r="A159" i="12"/>
  <c r="B159" i="5"/>
  <c r="F159" i="5"/>
  <c r="J159" i="5"/>
  <c r="N159" i="5"/>
  <c r="D159" i="6" s="1"/>
  <c r="H159" i="6" s="1" a="1"/>
  <c r="H159" i="6" s="1"/>
  <c r="T159" i="5" s="1"/>
  <c r="G159" i="12" s="1" a="1"/>
  <c r="G159" i="12" s="1"/>
  <c r="D159" i="5"/>
  <c r="B159" i="12" s="1"/>
  <c r="G159" i="5"/>
  <c r="E159" i="5"/>
  <c r="AE159" i="5" a="1"/>
  <c r="AE159" i="5" s="1"/>
  <c r="AF159" i="5" a="1"/>
  <c r="AF159" i="5" s="1"/>
  <c r="AD159" i="5"/>
  <c r="W159" i="5" a="1"/>
  <c r="W159" i="5" s="1"/>
  <c r="H159" i="12" s="1" a="1"/>
  <c r="H159" i="12" s="1"/>
  <c r="B159" i="6"/>
  <c r="J159" i="6" s="1" a="1"/>
  <c r="J159" i="6" s="1"/>
  <c r="K159" i="5"/>
  <c r="C160" i="5"/>
  <c r="H159" i="5"/>
  <c r="E157" i="12"/>
  <c r="F157" i="6"/>
  <c r="R158" i="5" a="1"/>
  <c r="R158" i="5" s="1"/>
  <c r="S158" i="5" a="1"/>
  <c r="S158" i="5" s="1"/>
  <c r="F158" i="12" s="1" a="1"/>
  <c r="F158" i="12" s="1"/>
  <c r="AG158" i="5" a="1"/>
  <c r="AG158" i="5" s="1"/>
  <c r="L158" i="12" a="1"/>
  <c r="L158" i="12" s="1"/>
  <c r="J158" i="12" a="1"/>
  <c r="J158" i="12" s="1"/>
  <c r="X150" i="12" a="1"/>
  <c r="X150" i="12" s="1"/>
  <c r="O152" i="12" a="1"/>
  <c r="O152" i="12" s="1"/>
  <c r="N152" i="12" s="1"/>
  <c r="AO152" i="12" a="1"/>
  <c r="AO152" i="12" s="1"/>
  <c r="C152" i="12"/>
  <c r="AF17" i="13" a="1"/>
  <c r="AF17" i="13" s="1"/>
  <c r="AD18" i="13" a="1"/>
  <c r="AD18" i="13" s="1"/>
  <c r="AG17" i="13" a="1"/>
  <c r="AG17" i="13" s="1"/>
  <c r="AC15" i="13" a="1"/>
  <c r="AC15" i="13" s="1"/>
  <c r="AD17" i="13" a="1"/>
  <c r="AD17" i="13" s="1"/>
  <c r="AF20" i="13" a="1"/>
  <c r="AF20" i="13" s="1"/>
  <c r="AG20" i="13" a="1"/>
  <c r="AG20" i="13" s="1"/>
  <c r="AF19" i="13" a="1"/>
  <c r="AF19" i="13" s="1"/>
  <c r="AC18" i="13" a="1"/>
  <c r="AC18" i="13" s="1"/>
  <c r="AG18" i="13" a="1"/>
  <c r="AG18" i="13" s="1"/>
  <c r="AG19" i="13" a="1"/>
  <c r="AG19" i="13" s="1"/>
  <c r="AC19" i="13" a="1"/>
  <c r="AC19" i="13" s="1"/>
  <c r="AF18" i="13" a="1"/>
  <c r="AF18" i="13" s="1"/>
  <c r="AC152" i="5" a="1"/>
  <c r="AC152" i="5" s="1"/>
  <c r="O152" i="5"/>
  <c r="E152" i="6" s="1"/>
  <c r="V150" i="12" a="1"/>
  <c r="V150" i="12" s="1"/>
  <c r="U150" i="12"/>
  <c r="T150" i="12"/>
  <c r="X154" i="5" a="1"/>
  <c r="X154" i="5" s="1"/>
  <c r="N151" i="12"/>
  <c r="Y151" i="12"/>
  <c r="I153" i="12"/>
  <c r="L153" i="5"/>
  <c r="AM153" i="5"/>
  <c r="Z153" i="5"/>
  <c r="N156" i="6"/>
  <c r="M156" i="6"/>
  <c r="A157" i="6"/>
  <c r="AP155" i="6"/>
  <c r="AY155" i="6" a="1"/>
  <c r="AY155" i="6" s="1"/>
  <c r="AQ155" i="6"/>
  <c r="BF155" i="6" a="1"/>
  <c r="BF155" i="6" s="1"/>
  <c r="AZ155" i="6" a="1"/>
  <c r="AZ155" i="6" s="1"/>
  <c r="AX155" i="6" a="1"/>
  <c r="AX155" i="6" s="1"/>
  <c r="AO155" i="6"/>
  <c r="BG155" i="6" a="1"/>
  <c r="BG155" i="6" s="1"/>
  <c r="AU155" i="6"/>
  <c r="AR155" i="6"/>
  <c r="AV155" i="6"/>
  <c r="AT155" i="6"/>
  <c r="AS155" i="6"/>
  <c r="BA155" i="6" a="1"/>
  <c r="BA155" i="6" s="1"/>
  <c r="BC155" i="6" a="1"/>
  <c r="BC155" i="6" s="1"/>
  <c r="BD155" i="6" a="1"/>
  <c r="BD155" i="6" s="1"/>
  <c r="AN155" i="6"/>
  <c r="BE155" i="6" a="1"/>
  <c r="BE155" i="6" s="1"/>
  <c r="BB155" i="6" a="1"/>
  <c r="BB155" i="6" s="1"/>
  <c r="AI155" i="6"/>
  <c r="AM155" i="6"/>
  <c r="AC155" i="6"/>
  <c r="AK155" i="6"/>
  <c r="AE155" i="6"/>
  <c r="AG155" i="6"/>
  <c r="AJ155" i="6"/>
  <c r="AH155" i="6"/>
  <c r="AF155" i="6"/>
  <c r="AD155" i="6"/>
  <c r="AB155" i="6"/>
  <c r="D151" i="12"/>
  <c r="E151" i="6"/>
  <c r="K158" i="12" l="1"/>
  <c r="E158" i="12"/>
  <c r="F158" i="6"/>
  <c r="R159" i="5" a="1"/>
  <c r="R159" i="5" s="1"/>
  <c r="AG159" i="5" a="1"/>
  <c r="AG159" i="5" s="1"/>
  <c r="S159" i="5" a="1"/>
  <c r="S159" i="5" s="1"/>
  <c r="F159" i="12" s="1" a="1"/>
  <c r="F159" i="12" s="1"/>
  <c r="L159" i="12" a="1"/>
  <c r="L159" i="12" s="1"/>
  <c r="J159" i="12" a="1"/>
  <c r="J159" i="12" s="1"/>
  <c r="G158" i="6"/>
  <c r="K160" i="5"/>
  <c r="B160" i="6"/>
  <c r="J160" i="6" s="1" a="1"/>
  <c r="J160" i="6" s="1"/>
  <c r="G160" i="5"/>
  <c r="B160" i="5"/>
  <c r="E160" i="5"/>
  <c r="AF160" i="5" a="1"/>
  <c r="AF160" i="5" s="1"/>
  <c r="W160" i="5" a="1"/>
  <c r="W160" i="5" s="1"/>
  <c r="H160" i="12" s="1" a="1"/>
  <c r="H160" i="12" s="1"/>
  <c r="C161" i="5"/>
  <c r="A160" i="12"/>
  <c r="F160" i="5"/>
  <c r="N160" i="5"/>
  <c r="D160" i="6" s="1"/>
  <c r="H160" i="6" s="1" a="1"/>
  <c r="H160" i="6" s="1"/>
  <c r="T160" i="5" s="1"/>
  <c r="G160" i="12" s="1" a="1"/>
  <c r="G160" i="12" s="1"/>
  <c r="AE160" i="5" a="1"/>
  <c r="AE160" i="5" s="1"/>
  <c r="D160" i="5"/>
  <c r="B160" i="12" s="1"/>
  <c r="AD160" i="5"/>
  <c r="H160" i="5"/>
  <c r="J160" i="5"/>
  <c r="Y152" i="12"/>
  <c r="W152" i="12" s="1" a="1"/>
  <c r="W152" i="12" s="1"/>
  <c r="D152" i="12"/>
  <c r="X155" i="5" a="1"/>
  <c r="X155" i="5" s="1"/>
  <c r="X151" i="12" a="1"/>
  <c r="X151" i="12" s="1"/>
  <c r="W151" i="12" a="1"/>
  <c r="W151" i="12" s="1"/>
  <c r="C153" i="6"/>
  <c r="O153" i="5"/>
  <c r="AC153" i="5" a="1"/>
  <c r="AC153" i="5" s="1"/>
  <c r="M157" i="6"/>
  <c r="N157" i="6"/>
  <c r="A158" i="6"/>
  <c r="AV156" i="6"/>
  <c r="BA156" i="6" a="1"/>
  <c r="BA156" i="6" s="1"/>
  <c r="BB156" i="6" a="1"/>
  <c r="BB156" i="6" s="1"/>
  <c r="AM156" i="6"/>
  <c r="BC156" i="6" a="1"/>
  <c r="BC156" i="6" s="1"/>
  <c r="AZ156" i="6" a="1"/>
  <c r="AZ156" i="6" s="1"/>
  <c r="AQ156" i="6"/>
  <c r="AU156" i="6"/>
  <c r="AP156" i="6"/>
  <c r="AT156" i="6"/>
  <c r="BG156" i="6" a="1"/>
  <c r="BG156" i="6" s="1"/>
  <c r="BE156" i="6" a="1"/>
  <c r="BE156" i="6" s="1"/>
  <c r="AY156" i="6" a="1"/>
  <c r="AY156" i="6" s="1"/>
  <c r="AX156" i="6" a="1"/>
  <c r="AX156" i="6" s="1"/>
  <c r="AS156" i="6"/>
  <c r="AF156" i="6"/>
  <c r="BD156" i="6" a="1"/>
  <c r="BD156" i="6" s="1"/>
  <c r="AR156" i="6"/>
  <c r="BF156" i="6" a="1"/>
  <c r="BF156" i="6" s="1"/>
  <c r="AN156" i="6"/>
  <c r="AO156" i="6"/>
  <c r="AJ156" i="6"/>
  <c r="AI156" i="6"/>
  <c r="AC156" i="6"/>
  <c r="AH156" i="6"/>
  <c r="AB156" i="6"/>
  <c r="AK156" i="6"/>
  <c r="AE156" i="6"/>
  <c r="AG156" i="6"/>
  <c r="AD156" i="6"/>
  <c r="I154" i="12"/>
  <c r="AM154" i="5"/>
  <c r="L154" i="5"/>
  <c r="Z154" i="5"/>
  <c r="C153" i="12"/>
  <c r="M153" i="12" a="1"/>
  <c r="M153" i="12" s="1"/>
  <c r="O153" i="12" a="1"/>
  <c r="O153" i="12" s="1"/>
  <c r="AO153" i="12" a="1"/>
  <c r="AO153" i="12" s="1"/>
  <c r="AA153" i="5" a="1"/>
  <c r="AA153" i="5" s="1"/>
  <c r="AB153" i="5" a="1"/>
  <c r="AB153" i="5" s="1"/>
  <c r="K159" i="12" l="1"/>
  <c r="G159" i="6"/>
  <c r="R160" i="5" a="1"/>
  <c r="R160" i="5" s="1"/>
  <c r="AG160" i="5" a="1"/>
  <c r="AG160" i="5" s="1"/>
  <c r="S160" i="5" a="1"/>
  <c r="S160" i="5" s="1"/>
  <c r="E159" i="12"/>
  <c r="F159" i="6"/>
  <c r="J160" i="12" a="1"/>
  <c r="J160" i="12" s="1"/>
  <c r="L160" i="12" a="1"/>
  <c r="L160" i="12" s="1"/>
  <c r="H161" i="5"/>
  <c r="A5" i="5"/>
  <c r="A161" i="12"/>
  <c r="F161" i="5"/>
  <c r="J36" i="5" s="1"/>
  <c r="D36" i="5" s="1"/>
  <c r="AD161" i="5"/>
  <c r="J161" i="5"/>
  <c r="K161" i="5"/>
  <c r="AE161" i="5" a="1"/>
  <c r="AE161" i="5" s="1"/>
  <c r="AF161" i="5" a="1"/>
  <c r="AF161" i="5" s="1"/>
  <c r="B161" i="6"/>
  <c r="J161" i="6" s="1" a="1"/>
  <c r="J161" i="6" s="1"/>
  <c r="E161" i="5"/>
  <c r="B21" i="11" s="1"/>
  <c r="D161" i="5"/>
  <c r="B161" i="12" s="1"/>
  <c r="W161" i="5" a="1"/>
  <c r="W161" i="5" s="1"/>
  <c r="H161" i="12" s="1" a="1"/>
  <c r="H161" i="12" s="1"/>
  <c r="G161" i="5"/>
  <c r="B161" i="5"/>
  <c r="N161" i="5"/>
  <c r="D161" i="6" s="1"/>
  <c r="H161" i="6" s="1" a="1"/>
  <c r="H161" i="6" s="1"/>
  <c r="T161" i="5" s="1"/>
  <c r="G161" i="12" s="1" a="1"/>
  <c r="G161" i="12" s="1"/>
  <c r="X152" i="12" a="1"/>
  <c r="X152" i="12" s="1"/>
  <c r="Y153" i="12"/>
  <c r="N153" i="12"/>
  <c r="X156" i="5" a="1"/>
  <c r="X156" i="5" s="1"/>
  <c r="V152" i="12" a="1"/>
  <c r="V152" i="12" s="1"/>
  <c r="U152" i="12"/>
  <c r="T152" i="12"/>
  <c r="N158" i="6"/>
  <c r="M158" i="6"/>
  <c r="A159" i="6"/>
  <c r="D153" i="12"/>
  <c r="E153" i="6"/>
  <c r="AB154" i="5" a="1"/>
  <c r="AB154" i="5" s="1"/>
  <c r="AA154" i="5" a="1"/>
  <c r="AA154" i="5" s="1"/>
  <c r="U151" i="12"/>
  <c r="T151" i="12"/>
  <c r="V151" i="12" a="1"/>
  <c r="V151" i="12" s="1"/>
  <c r="C154" i="6"/>
  <c r="O154" i="5"/>
  <c r="AC154" i="5" a="1"/>
  <c r="AC154" i="5" s="1"/>
  <c r="AO157" i="6"/>
  <c r="AM157" i="6"/>
  <c r="BB157" i="6" a="1"/>
  <c r="BB157" i="6" s="1"/>
  <c r="BG157" i="6" a="1"/>
  <c r="BG157" i="6" s="1"/>
  <c r="AV157" i="6"/>
  <c r="BA157" i="6" a="1"/>
  <c r="BA157" i="6" s="1"/>
  <c r="AY157" i="6" a="1"/>
  <c r="AY157" i="6" s="1"/>
  <c r="AX157" i="6" a="1"/>
  <c r="AX157" i="6" s="1"/>
  <c r="BE157" i="6" a="1"/>
  <c r="BE157" i="6" s="1"/>
  <c r="AR157" i="6"/>
  <c r="AT157" i="6"/>
  <c r="AP157" i="6"/>
  <c r="AS157" i="6"/>
  <c r="AN157" i="6"/>
  <c r="BD157" i="6" a="1"/>
  <c r="BD157" i="6" s="1"/>
  <c r="BF157" i="6" a="1"/>
  <c r="BF157" i="6" s="1"/>
  <c r="AQ157" i="6"/>
  <c r="AZ157" i="6" a="1"/>
  <c r="AZ157" i="6" s="1"/>
  <c r="BC157" i="6" a="1"/>
  <c r="BC157" i="6" s="1"/>
  <c r="AU157" i="6"/>
  <c r="AE157" i="6"/>
  <c r="AI157" i="6"/>
  <c r="AC157" i="6"/>
  <c r="AJ157" i="6"/>
  <c r="AB157" i="6"/>
  <c r="AG157" i="6"/>
  <c r="AD157" i="6"/>
  <c r="AH157" i="6"/>
  <c r="AK157" i="6"/>
  <c r="AF157" i="6"/>
  <c r="C154" i="12"/>
  <c r="AO154" i="12" a="1"/>
  <c r="AO154" i="12" s="1"/>
  <c r="M154" i="12" a="1"/>
  <c r="M154" i="12" s="1"/>
  <c r="O154" i="12" a="1"/>
  <c r="O154" i="12" s="1"/>
  <c r="I155" i="12"/>
  <c r="AM155" i="5"/>
  <c r="L155" i="5"/>
  <c r="Z155" i="5"/>
  <c r="G21" i="11" l="1"/>
  <c r="F21" i="13" s="1"/>
  <c r="C21" i="13"/>
  <c r="K21" i="13" s="1" a="1"/>
  <c r="K21" i="13" s="1"/>
  <c r="K21" i="11" a="1"/>
  <c r="K21" i="11" s="1"/>
  <c r="J21" i="13" s="1"/>
  <c r="A21" i="13"/>
  <c r="B36" i="12"/>
  <c r="K74" i="5"/>
  <c r="K160" i="12"/>
  <c r="S161" i="5" a="1"/>
  <c r="S161" i="5" s="1"/>
  <c r="F161" i="12" s="1" a="1"/>
  <c r="F161" i="12" s="1"/>
  <c r="AG161" i="5" a="1"/>
  <c r="AG161" i="5" s="1"/>
  <c r="R161" i="5" a="1"/>
  <c r="R161" i="5" s="1"/>
  <c r="F47" i="8" a="1"/>
  <c r="F47" i="8" s="1"/>
  <c r="F68" i="8" a="1"/>
  <c r="F68" i="8" s="1"/>
  <c r="F62" i="8" a="1"/>
  <c r="F62" i="8" s="1"/>
  <c r="F17" i="8" a="1"/>
  <c r="F17" i="8" s="1"/>
  <c r="F18" i="8" s="1"/>
  <c r="F44" i="8" a="1"/>
  <c r="F44" i="8" s="1"/>
  <c r="F26" i="8" a="1"/>
  <c r="F26" i="8" s="1"/>
  <c r="F27" i="8" s="1"/>
  <c r="F1" i="8" a="1"/>
  <c r="F1" i="8" s="1"/>
  <c r="F2" i="8" s="1"/>
  <c r="F20" i="8" a="1"/>
  <c r="F20" i="8" s="1"/>
  <c r="F21" i="8" s="1"/>
  <c r="F41" i="8" a="1"/>
  <c r="F41" i="8" s="1"/>
  <c r="F50" i="8" a="1"/>
  <c r="F50" i="8" s="1"/>
  <c r="F65" i="8" a="1"/>
  <c r="F65" i="8" s="1"/>
  <c r="F32" i="8" a="1"/>
  <c r="F32" i="8" s="1"/>
  <c r="F14" i="8" a="1"/>
  <c r="F14" i="8" s="1"/>
  <c r="F15" i="8" s="1"/>
  <c r="F35" i="8" a="1"/>
  <c r="F35" i="8" s="1"/>
  <c r="F23" i="8" a="1"/>
  <c r="F23" i="8" s="1"/>
  <c r="F24" i="8" s="1"/>
  <c r="F59" i="8" a="1"/>
  <c r="F59" i="8" s="1"/>
  <c r="F56" i="8" a="1"/>
  <c r="F56" i="8" s="1"/>
  <c r="F29" i="8" a="1"/>
  <c r="F29" i="8" s="1"/>
  <c r="F38" i="8" a="1"/>
  <c r="F38" i="8" s="1"/>
  <c r="F53" i="8" a="1"/>
  <c r="F53" i="8" s="1"/>
  <c r="K68" i="5"/>
  <c r="D68" i="5" s="1"/>
  <c r="B68" i="12" s="1"/>
  <c r="J74" i="5"/>
  <c r="K58" i="5"/>
  <c r="D58" i="5" s="1"/>
  <c r="B58" i="12" s="1"/>
  <c r="F160" i="12" a="1"/>
  <c r="F160" i="12" s="1"/>
  <c r="G160" i="6"/>
  <c r="B22" i="11"/>
  <c r="A23" i="13"/>
  <c r="J73" i="5"/>
  <c r="J27" i="5"/>
  <c r="D27" i="5" s="1"/>
  <c r="J35" i="5"/>
  <c r="D35" i="5" s="1"/>
  <c r="K73" i="5"/>
  <c r="B23" i="11"/>
  <c r="B12" i="11"/>
  <c r="A22" i="13"/>
  <c r="J16" i="5"/>
  <c r="D16" i="5" s="1"/>
  <c r="J51" i="5"/>
  <c r="D51" i="5" s="1"/>
  <c r="J46" i="5"/>
  <c r="D46" i="5" s="1"/>
  <c r="A12" i="13"/>
  <c r="J64" i="5"/>
  <c r="D64" i="5" s="1"/>
  <c r="J161" i="12" a="1"/>
  <c r="J161" i="12" s="1"/>
  <c r="L161" i="12" a="1"/>
  <c r="L161" i="12" s="1"/>
  <c r="F160" i="6"/>
  <c r="E160" i="12"/>
  <c r="Y154" i="12"/>
  <c r="X154" i="12" s="1" a="1"/>
  <c r="X154" i="12" s="1"/>
  <c r="C155" i="6"/>
  <c r="O155" i="5"/>
  <c r="AC155" i="5" a="1"/>
  <c r="AC155" i="5" s="1"/>
  <c r="I156" i="12"/>
  <c r="AM156" i="5"/>
  <c r="L156" i="5"/>
  <c r="Z156" i="5"/>
  <c r="AA155" i="5" a="1"/>
  <c r="AA155" i="5" s="1"/>
  <c r="AB155" i="5" a="1"/>
  <c r="AB155" i="5" s="1"/>
  <c r="X157" i="5" a="1"/>
  <c r="X157" i="5" s="1"/>
  <c r="C155" i="12"/>
  <c r="M155" i="12" a="1"/>
  <c r="M155" i="12" s="1"/>
  <c r="O155" i="12" a="1"/>
  <c r="O155" i="12" s="1"/>
  <c r="AO155" i="12" a="1"/>
  <c r="AO155" i="12" s="1"/>
  <c r="D154" i="12"/>
  <c r="E154" i="6"/>
  <c r="N154" i="12"/>
  <c r="M159" i="6"/>
  <c r="A160" i="6"/>
  <c r="N159" i="6"/>
  <c r="AN158" i="6"/>
  <c r="AZ158" i="6" a="1"/>
  <c r="AZ158" i="6" s="1"/>
  <c r="AT158" i="6"/>
  <c r="BG158" i="6" a="1"/>
  <c r="BG158" i="6" s="1"/>
  <c r="AI158" i="6"/>
  <c r="AQ158" i="6"/>
  <c r="AR158" i="6"/>
  <c r="AX158" i="6" a="1"/>
  <c r="AX158" i="6" s="1"/>
  <c r="BF158" i="6" a="1"/>
  <c r="BF158" i="6" s="1"/>
  <c r="AV158" i="6"/>
  <c r="BE158" i="6" a="1"/>
  <c r="BE158" i="6" s="1"/>
  <c r="AP158" i="6"/>
  <c r="BC158" i="6" a="1"/>
  <c r="BC158" i="6" s="1"/>
  <c r="AS158" i="6"/>
  <c r="AH158" i="6"/>
  <c r="AU158" i="6"/>
  <c r="BD158" i="6" a="1"/>
  <c r="BD158" i="6" s="1"/>
  <c r="BA158" i="6" a="1"/>
  <c r="BA158" i="6" s="1"/>
  <c r="AJ158" i="6"/>
  <c r="AO158" i="6"/>
  <c r="AM158" i="6"/>
  <c r="AG158" i="6"/>
  <c r="BB158" i="6" a="1"/>
  <c r="BB158" i="6" s="1"/>
  <c r="AF158" i="6"/>
  <c r="AY158" i="6" a="1"/>
  <c r="AY158" i="6" s="1"/>
  <c r="AB158" i="6"/>
  <c r="AE158" i="6"/>
  <c r="AD158" i="6"/>
  <c r="AC158" i="6"/>
  <c r="AK158" i="6"/>
  <c r="X153" i="12" a="1"/>
  <c r="X153" i="12" s="1"/>
  <c r="W153" i="12" a="1"/>
  <c r="W153" i="12" s="1"/>
  <c r="D74" i="5" l="1"/>
  <c r="B74" i="12" s="1"/>
  <c r="G161" i="6"/>
  <c r="D73" i="5"/>
  <c r="K161" i="12"/>
  <c r="B15" i="13"/>
  <c r="B27" i="12"/>
  <c r="B51" i="12"/>
  <c r="B18" i="13"/>
  <c r="M17" i="8"/>
  <c r="J17" i="8"/>
  <c r="B16" i="12"/>
  <c r="B14" i="13"/>
  <c r="M23" i="8"/>
  <c r="J23" i="8"/>
  <c r="AL23" i="13"/>
  <c r="AO23" i="13"/>
  <c r="B23" i="13"/>
  <c r="AA12" i="11" a="1"/>
  <c r="AA12" i="11" s="1"/>
  <c r="O12" i="11" a="1"/>
  <c r="O12" i="11" s="1"/>
  <c r="AB12" i="11" a="1"/>
  <c r="AB12" i="11" s="1"/>
  <c r="N12" i="11" s="1"/>
  <c r="K12" i="11" a="1"/>
  <c r="K12" i="11" s="1"/>
  <c r="J12" i="13" s="1"/>
  <c r="G12" i="11"/>
  <c r="F12" i="13" s="1"/>
  <c r="C12" i="13"/>
  <c r="K22" i="11" a="1"/>
  <c r="K22" i="11" s="1"/>
  <c r="J22" i="13" s="1"/>
  <c r="G22" i="11"/>
  <c r="F22" i="13" s="1"/>
  <c r="C22" i="13"/>
  <c r="K22" i="13" s="1" a="1"/>
  <c r="K22" i="13" s="1"/>
  <c r="F10" i="8" a="1"/>
  <c r="F10" i="8" s="1"/>
  <c r="B46" i="12"/>
  <c r="B17" i="13"/>
  <c r="K23" i="11" a="1"/>
  <c r="K23" i="11" s="1"/>
  <c r="J23" i="13" s="1"/>
  <c r="G23" i="11"/>
  <c r="F23" i="13" s="1"/>
  <c r="AB23" i="11" a="1"/>
  <c r="AB23" i="11" s="1"/>
  <c r="N23" i="11" s="1"/>
  <c r="AA23" i="11" a="1"/>
  <c r="AA23" i="11" s="1"/>
  <c r="C23" i="13"/>
  <c r="O23" i="11" a="1"/>
  <c r="O23" i="11" s="1"/>
  <c r="M20" i="8"/>
  <c r="J20" i="8"/>
  <c r="B19" i="13"/>
  <c r="B64" i="12"/>
  <c r="J14" i="8"/>
  <c r="M14" i="8"/>
  <c r="O1" i="8"/>
  <c r="I1" i="8"/>
  <c r="M1" i="8"/>
  <c r="Q1" i="8"/>
  <c r="J1" i="8"/>
  <c r="S1" i="8"/>
  <c r="P1" i="8"/>
  <c r="N1" i="8"/>
  <c r="F161" i="6"/>
  <c r="E161" i="12"/>
  <c r="AL12" i="13"/>
  <c r="B12" i="13"/>
  <c r="AO12" i="13"/>
  <c r="B16" i="13"/>
  <c r="B35" i="12"/>
  <c r="W154" i="12" a="1"/>
  <c r="W154" i="12" s="1"/>
  <c r="U154" i="12" s="1"/>
  <c r="N155" i="12"/>
  <c r="AB156" i="5" a="1"/>
  <c r="AB156" i="5" s="1"/>
  <c r="AA156" i="5" a="1"/>
  <c r="AA156" i="5" s="1"/>
  <c r="N160" i="6"/>
  <c r="M160" i="6"/>
  <c r="A161" i="6"/>
  <c r="O156" i="5"/>
  <c r="C156" i="6"/>
  <c r="AC156" i="5" a="1"/>
  <c r="AC156" i="5" s="1"/>
  <c r="BF159" i="6" a="1"/>
  <c r="BF159" i="6" s="1"/>
  <c r="AZ159" i="6" a="1"/>
  <c r="AZ159" i="6" s="1"/>
  <c r="BG159" i="6" a="1"/>
  <c r="BG159" i="6" s="1"/>
  <c r="BA159" i="6" a="1"/>
  <c r="BA159" i="6" s="1"/>
  <c r="AU159" i="6"/>
  <c r="BC159" i="6" a="1"/>
  <c r="BC159" i="6" s="1"/>
  <c r="AT159" i="6"/>
  <c r="AM159" i="6"/>
  <c r="AR159" i="6"/>
  <c r="AN159" i="6"/>
  <c r="AO159" i="6"/>
  <c r="AS159" i="6"/>
  <c r="AQ159" i="6"/>
  <c r="BE159" i="6" a="1"/>
  <c r="BE159" i="6" s="1"/>
  <c r="BB159" i="6" a="1"/>
  <c r="BB159" i="6" s="1"/>
  <c r="AX159" i="6" a="1"/>
  <c r="AX159" i="6" s="1"/>
  <c r="AY159" i="6" a="1"/>
  <c r="AY159" i="6" s="1"/>
  <c r="BD159" i="6" a="1"/>
  <c r="BD159" i="6" s="1"/>
  <c r="AC159" i="6"/>
  <c r="AP159" i="6"/>
  <c r="AV159" i="6"/>
  <c r="AI159" i="6"/>
  <c r="AK159" i="6"/>
  <c r="AB159" i="6"/>
  <c r="AF159" i="6"/>
  <c r="AD159" i="6"/>
  <c r="AE159" i="6"/>
  <c r="AG159" i="6"/>
  <c r="AH159" i="6"/>
  <c r="AJ159" i="6"/>
  <c r="U153" i="12"/>
  <c r="V153" i="12" a="1"/>
  <c r="V153" i="12" s="1"/>
  <c r="T153" i="12"/>
  <c r="C156" i="12"/>
  <c r="O156" i="12" a="1"/>
  <c r="O156" i="12" s="1"/>
  <c r="AO156" i="12" a="1"/>
  <c r="AO156" i="12" s="1"/>
  <c r="M156" i="12" a="1"/>
  <c r="M156" i="12" s="1"/>
  <c r="M26" i="8"/>
  <c r="J26" i="8"/>
  <c r="I157" i="12"/>
  <c r="L157" i="5"/>
  <c r="AM157" i="5"/>
  <c r="Z157" i="5"/>
  <c r="D155" i="12"/>
  <c r="E155" i="6"/>
  <c r="X158" i="5" a="1"/>
  <c r="X158" i="5" s="1"/>
  <c r="Y155" i="12"/>
  <c r="B21" i="13" l="1"/>
  <c r="AC21" i="13" s="1" a="1"/>
  <c r="AC21" i="13" s="1"/>
  <c r="B20" i="13"/>
  <c r="AE20" i="13" s="1"/>
  <c r="B22" i="13"/>
  <c r="D15" i="5"/>
  <c r="B73" i="12"/>
  <c r="S3" i="8"/>
  <c r="A1" i="8"/>
  <c r="R1" i="8"/>
  <c r="O23" i="8"/>
  <c r="P23" i="8"/>
  <c r="A23" i="8"/>
  <c r="Q23" i="8"/>
  <c r="S25" i="8"/>
  <c r="N20" i="8"/>
  <c r="Q20" i="8"/>
  <c r="P20" i="8"/>
  <c r="S22" i="8"/>
  <c r="P12" i="11"/>
  <c r="Z12" i="11"/>
  <c r="C12" i="11"/>
  <c r="L12" i="13"/>
  <c r="Q17" i="8"/>
  <c r="N17" i="8"/>
  <c r="P17" i="8"/>
  <c r="S19" i="8"/>
  <c r="C23" i="11"/>
  <c r="Z23" i="11"/>
  <c r="L23" i="13"/>
  <c r="D23" i="13" s="1"/>
  <c r="P23" i="11"/>
  <c r="AE23" i="13"/>
  <c r="AK23" i="13" a="1"/>
  <c r="AK23" i="13" s="1"/>
  <c r="AJ23" i="13" a="1"/>
  <c r="AJ23" i="13" s="1"/>
  <c r="AN23" i="13" a="1"/>
  <c r="AN23" i="13" s="1"/>
  <c r="AM23" i="13" a="1"/>
  <c r="AM23" i="13" s="1"/>
  <c r="T23" i="13"/>
  <c r="R23" i="13"/>
  <c r="O23" i="13"/>
  <c r="U23" i="13"/>
  <c r="S23" i="13"/>
  <c r="K23" i="13" a="1"/>
  <c r="K23" i="13" s="1"/>
  <c r="M23" i="13"/>
  <c r="O20" i="8"/>
  <c r="H1" i="8" a="1"/>
  <c r="H1" i="8" s="1"/>
  <c r="J2" i="8" s="1"/>
  <c r="H2" i="8" a="1"/>
  <c r="H2" i="8" s="1"/>
  <c r="G1" i="8"/>
  <c r="G2" i="8" s="1" a="1"/>
  <c r="G2" i="8" s="1"/>
  <c r="P14" i="8"/>
  <c r="Q14" i="8"/>
  <c r="S16" i="8"/>
  <c r="O14" i="8"/>
  <c r="A14" i="8"/>
  <c r="N14" i="8"/>
  <c r="R14" i="8" s="1"/>
  <c r="AM12" i="13" a="1"/>
  <c r="AM12" i="13" s="1"/>
  <c r="AJ12" i="13" a="1"/>
  <c r="AJ12" i="13" s="1"/>
  <c r="AN12" i="13" a="1"/>
  <c r="AN12" i="13" s="1"/>
  <c r="AK12" i="13" a="1"/>
  <c r="AK12" i="13" s="1"/>
  <c r="S12" i="13"/>
  <c r="M12" i="13"/>
  <c r="R12" i="13"/>
  <c r="U12" i="13"/>
  <c r="T12" i="13"/>
  <c r="O12" i="13"/>
  <c r="K12" i="13" a="1"/>
  <c r="K12" i="13" s="1"/>
  <c r="V154" i="12" a="1"/>
  <c r="V154" i="12" s="1"/>
  <c r="T154" i="12"/>
  <c r="X159" i="5" a="1"/>
  <c r="X159" i="5" s="1"/>
  <c r="Z159" i="5" s="1"/>
  <c r="N161" i="6"/>
  <c r="M161" i="6"/>
  <c r="S28" i="8"/>
  <c r="F30" i="8"/>
  <c r="AB157" i="5" a="1"/>
  <c r="AB157" i="5" s="1"/>
  <c r="AA157" i="5" a="1"/>
  <c r="AA157" i="5" s="1"/>
  <c r="Q26" i="8"/>
  <c r="BD160" i="6" a="1"/>
  <c r="BD160" i="6" s="1"/>
  <c r="BA160" i="6" a="1"/>
  <c r="BA160" i="6" s="1"/>
  <c r="AN160" i="6"/>
  <c r="AX160" i="6" a="1"/>
  <c r="AX160" i="6" s="1"/>
  <c r="AV160" i="6"/>
  <c r="AZ160" i="6" a="1"/>
  <c r="AZ160" i="6" s="1"/>
  <c r="AY160" i="6" a="1"/>
  <c r="AY160" i="6" s="1"/>
  <c r="BF160" i="6" a="1"/>
  <c r="BF160" i="6" s="1"/>
  <c r="BC160" i="6" a="1"/>
  <c r="BC160" i="6" s="1"/>
  <c r="BB160" i="6" a="1"/>
  <c r="BB160" i="6" s="1"/>
  <c r="AU160" i="6"/>
  <c r="AQ160" i="6"/>
  <c r="BG160" i="6" a="1"/>
  <c r="BG160" i="6" s="1"/>
  <c r="AP160" i="6"/>
  <c r="BE160" i="6" a="1"/>
  <c r="BE160" i="6" s="1"/>
  <c r="AS160" i="6"/>
  <c r="AO160" i="6"/>
  <c r="AR160" i="6"/>
  <c r="AT160" i="6"/>
  <c r="AE160" i="6"/>
  <c r="AK160" i="6"/>
  <c r="AM160" i="6"/>
  <c r="AB160" i="6"/>
  <c r="AC160" i="6"/>
  <c r="AH160" i="6"/>
  <c r="AJ160" i="6"/>
  <c r="AF160" i="6"/>
  <c r="AD160" i="6"/>
  <c r="AG160" i="6"/>
  <c r="AI160" i="6"/>
  <c r="C157" i="6"/>
  <c r="O157" i="5"/>
  <c r="AC157" i="5" a="1"/>
  <c r="AC157" i="5" s="1"/>
  <c r="C157" i="12"/>
  <c r="AO157" i="12" a="1"/>
  <c r="AO157" i="12" s="1"/>
  <c r="M157" i="12" a="1"/>
  <c r="M157" i="12" s="1"/>
  <c r="O157" i="12" a="1"/>
  <c r="O157" i="12" s="1"/>
  <c r="P26" i="8"/>
  <c r="I158" i="12"/>
  <c r="L158" i="5"/>
  <c r="AM158" i="5"/>
  <c r="Z158" i="5"/>
  <c r="Y156" i="12"/>
  <c r="X155" i="12" a="1"/>
  <c r="X155" i="12" s="1"/>
  <c r="W155" i="12" a="1"/>
  <c r="W155" i="12" s="1"/>
  <c r="N156" i="12"/>
  <c r="D156" i="12"/>
  <c r="E156" i="6"/>
  <c r="R20" i="8" l="1"/>
  <c r="F22" i="8" s="1"/>
  <c r="D14" i="8"/>
  <c r="F16" i="8"/>
  <c r="C14" i="8"/>
  <c r="P12" i="13"/>
  <c r="N12" i="13"/>
  <c r="P23" i="13"/>
  <c r="N23" i="13"/>
  <c r="AE3" i="8" a="1"/>
  <c r="AE3" i="8" s="1"/>
  <c r="AB1" i="8" a="1"/>
  <c r="AB1" i="8" s="1"/>
  <c r="C1" i="8"/>
  <c r="W3" i="8" a="1"/>
  <c r="W3" i="8" s="1"/>
  <c r="X1" i="8" a="1"/>
  <c r="X1" i="8" s="1"/>
  <c r="AA3" i="8" a="1"/>
  <c r="AA3" i="8" s="1"/>
  <c r="AD1" i="8" a="1"/>
  <c r="AD1" i="8" s="1"/>
  <c r="E3" i="8" a="1"/>
  <c r="E3" i="8" s="1"/>
  <c r="Z3" i="8" a="1"/>
  <c r="Z3" i="8" s="1"/>
  <c r="V3" i="8" a="1"/>
  <c r="V3" i="8" s="1"/>
  <c r="E1" i="8" a="1"/>
  <c r="E1" i="8" s="1"/>
  <c r="AC3" i="8" a="1"/>
  <c r="AC3" i="8" s="1"/>
  <c r="AE1" i="8" a="1"/>
  <c r="AE1" i="8" s="1"/>
  <c r="U3" i="8" a="1"/>
  <c r="U3" i="8" s="1"/>
  <c r="V1" i="8" a="1"/>
  <c r="V1" i="8" s="1"/>
  <c r="Y3" i="8" a="1"/>
  <c r="Y3" i="8" s="1"/>
  <c r="AF3" i="8" a="1"/>
  <c r="AF3" i="8" s="1"/>
  <c r="U1" i="8" a="1"/>
  <c r="U1" i="8" s="1"/>
  <c r="AB3" i="8" a="1"/>
  <c r="AB3" i="8" s="1"/>
  <c r="W1" i="8" a="1"/>
  <c r="W1" i="8" s="1"/>
  <c r="AC1" i="8" a="1"/>
  <c r="AC1" i="8" s="1"/>
  <c r="F3" i="8"/>
  <c r="AF1" i="8" a="1"/>
  <c r="AF1" i="8" s="1"/>
  <c r="D1" i="8"/>
  <c r="Z1" i="8" a="1"/>
  <c r="Z1" i="8" s="1"/>
  <c r="AA1" i="8" a="1"/>
  <c r="AA1" i="8" s="1"/>
  <c r="X3" i="8" a="1"/>
  <c r="X3" i="8" s="1"/>
  <c r="AD3" i="8" a="1"/>
  <c r="AD3" i="8" s="1"/>
  <c r="Y1" i="8" a="1"/>
  <c r="Y1" i="8" s="1"/>
  <c r="D12" i="13"/>
  <c r="V12" i="13"/>
  <c r="AM159" i="5"/>
  <c r="L159" i="5"/>
  <c r="C159" i="6" s="1"/>
  <c r="I159" i="12"/>
  <c r="C159" i="12" s="1"/>
  <c r="Y157" i="12"/>
  <c r="W157" i="12" s="1" a="1"/>
  <c r="W157" i="12" s="1"/>
  <c r="C158" i="6"/>
  <c r="O158" i="5"/>
  <c r="AC158" i="5" a="1"/>
  <c r="AC158" i="5" s="1"/>
  <c r="C158" i="12"/>
  <c r="AO158" i="12" a="1"/>
  <c r="AO158" i="12" s="1"/>
  <c r="O158" i="12" a="1"/>
  <c r="O158" i="12" s="1"/>
  <c r="M158" i="12" a="1"/>
  <c r="M158" i="12" s="1"/>
  <c r="T155" i="12"/>
  <c r="V155" i="12" a="1"/>
  <c r="V155" i="12" s="1"/>
  <c r="U155" i="12"/>
  <c r="N157" i="12"/>
  <c r="M29" i="8"/>
  <c r="J29" i="8"/>
  <c r="W156" i="12" a="1"/>
  <c r="W156" i="12" s="1"/>
  <c r="X156" i="12" a="1"/>
  <c r="X156" i="12" s="1"/>
  <c r="D157" i="12"/>
  <c r="E157" i="6"/>
  <c r="C17" i="9"/>
  <c r="F17" i="9" s="1"/>
  <c r="C16" i="9"/>
  <c r="F16" i="9" s="1"/>
  <c r="A16" i="9"/>
  <c r="A17" i="9"/>
  <c r="A19" i="9"/>
  <c r="A18" i="9"/>
  <c r="C18" i="9"/>
  <c r="F18" i="9" s="1"/>
  <c r="C23" i="9"/>
  <c r="F23" i="9" s="1"/>
  <c r="C19" i="9"/>
  <c r="F19" i="9" s="1"/>
  <c r="A23" i="9"/>
  <c r="A20" i="9"/>
  <c r="C20" i="9"/>
  <c r="F20" i="9" s="1"/>
  <c r="A22" i="9"/>
  <c r="C22" i="9"/>
  <c r="F22" i="9" s="1"/>
  <c r="A21" i="9"/>
  <c r="C21" i="9"/>
  <c r="F21" i="9" s="1"/>
  <c r="C24" i="9"/>
  <c r="F24" i="9" s="1"/>
  <c r="C25" i="9"/>
  <c r="F25" i="9" s="1"/>
  <c r="A27" i="9"/>
  <c r="A26" i="9"/>
  <c r="C26" i="9"/>
  <c r="F26" i="9" s="1"/>
  <c r="A24" i="9"/>
  <c r="A25" i="9"/>
  <c r="C27" i="9"/>
  <c r="F27" i="9" s="1"/>
  <c r="A30" i="9"/>
  <c r="A28" i="9"/>
  <c r="A31" i="9"/>
  <c r="C28" i="9"/>
  <c r="F28" i="9" s="1"/>
  <c r="C30" i="9"/>
  <c r="F30" i="9" s="1"/>
  <c r="C29" i="9"/>
  <c r="F29" i="9" s="1"/>
  <c r="A29" i="9"/>
  <c r="A33" i="9"/>
  <c r="A32" i="9"/>
  <c r="C32" i="9"/>
  <c r="F32" i="9" s="1"/>
  <c r="C31" i="9"/>
  <c r="F31" i="9" s="1"/>
  <c r="C33" i="9"/>
  <c r="F33" i="9" s="1"/>
  <c r="C36" i="9"/>
  <c r="F36" i="9" s="1"/>
  <c r="A35" i="9"/>
  <c r="C35" i="9"/>
  <c r="F35" i="9" s="1"/>
  <c r="C34" i="9"/>
  <c r="F34" i="9" s="1"/>
  <c r="A34" i="9"/>
  <c r="A36" i="9"/>
  <c r="A37" i="9"/>
  <c r="A40" i="9"/>
  <c r="C40" i="9"/>
  <c r="F40" i="9" s="1"/>
  <c r="C38" i="9"/>
  <c r="F38" i="9" s="1"/>
  <c r="C37" i="9"/>
  <c r="F37" i="9" s="1"/>
  <c r="A39" i="9"/>
  <c r="A38" i="9"/>
  <c r="C39" i="9"/>
  <c r="F39" i="9" s="1"/>
  <c r="A41" i="9"/>
  <c r="C41" i="9"/>
  <c r="F41" i="9" s="1"/>
  <c r="C43" i="9"/>
  <c r="F43" i="9" s="1"/>
  <c r="A42" i="9"/>
  <c r="C45" i="9"/>
  <c r="F45" i="9" s="1"/>
  <c r="C42" i="9"/>
  <c r="F42" i="9" s="1"/>
  <c r="A43" i="9"/>
  <c r="C44" i="9"/>
  <c r="F44" i="9" s="1"/>
  <c r="A47" i="9"/>
  <c r="A45" i="9"/>
  <c r="A44" i="9"/>
  <c r="C47" i="9"/>
  <c r="F47" i="9" s="1"/>
  <c r="C46" i="9"/>
  <c r="F46" i="9" s="1"/>
  <c r="A46" i="9"/>
  <c r="C49" i="9"/>
  <c r="F49" i="9" s="1"/>
  <c r="C48" i="9"/>
  <c r="F48" i="9" s="1"/>
  <c r="A48" i="9"/>
  <c r="A49" i="9"/>
  <c r="C51" i="9"/>
  <c r="F51" i="9" s="1"/>
  <c r="A50" i="9"/>
  <c r="A51" i="9"/>
  <c r="C50" i="9"/>
  <c r="F50" i="9" s="1"/>
  <c r="C54" i="9"/>
  <c r="F54" i="9" s="1"/>
  <c r="A52" i="9"/>
  <c r="C53" i="9"/>
  <c r="F53" i="9" s="1"/>
  <c r="C52" i="9"/>
  <c r="F52" i="9" s="1"/>
  <c r="A53" i="9"/>
  <c r="A54" i="9"/>
  <c r="C16" i="10"/>
  <c r="A16" i="10" s="1"/>
  <c r="C55" i="9"/>
  <c r="F55" i="9" s="1"/>
  <c r="A55" i="9"/>
  <c r="A57" i="9"/>
  <c r="C56" i="9"/>
  <c r="F56" i="9" s="1"/>
  <c r="C18" i="10"/>
  <c r="A18" i="10" s="1"/>
  <c r="A56" i="9"/>
  <c r="C17" i="10"/>
  <c r="A17" i="10" s="1"/>
  <c r="C19" i="10"/>
  <c r="A19" i="10" s="1"/>
  <c r="A58" i="9"/>
  <c r="C20" i="10"/>
  <c r="A20" i="10" s="1"/>
  <c r="C57" i="9"/>
  <c r="F57" i="9" s="1"/>
  <c r="C21" i="10"/>
  <c r="A21" i="10" s="1"/>
  <c r="A59" i="9"/>
  <c r="C59" i="9"/>
  <c r="F59" i="9" s="1"/>
  <c r="C23" i="10"/>
  <c r="A23" i="10" s="1"/>
  <c r="C58" i="9"/>
  <c r="F58" i="9" s="1"/>
  <c r="A61" i="9"/>
  <c r="C60" i="9"/>
  <c r="F60" i="9" s="1"/>
  <c r="C22" i="10"/>
  <c r="A22" i="10" s="1"/>
  <c r="A60" i="9"/>
  <c r="C24" i="10"/>
  <c r="A24" i="10" s="1"/>
  <c r="C61" i="9"/>
  <c r="F61" i="9" s="1"/>
  <c r="A62" i="9"/>
  <c r="C62" i="9"/>
  <c r="F62" i="9" s="1"/>
  <c r="A63" i="9"/>
  <c r="C64" i="9"/>
  <c r="F64" i="9" s="1"/>
  <c r="C63" i="9"/>
  <c r="F63" i="9" s="1"/>
  <c r="C26" i="10"/>
  <c r="A26" i="10" s="1"/>
  <c r="A64" i="9"/>
  <c r="C25" i="10"/>
  <c r="A25" i="10" s="1"/>
  <c r="C28" i="10"/>
  <c r="A28" i="10" s="1"/>
  <c r="C27" i="10"/>
  <c r="A27" i="10" s="1"/>
  <c r="C29" i="10"/>
  <c r="A29" i="10" s="1"/>
  <c r="C30" i="10"/>
  <c r="A30" i="10" s="1"/>
  <c r="C32" i="10"/>
  <c r="A32" i="10" s="1"/>
  <c r="C31" i="10"/>
  <c r="A31" i="10" s="1"/>
  <c r="C33" i="10"/>
  <c r="A33" i="10" s="1"/>
  <c r="C34" i="10"/>
  <c r="A34" i="10" s="1"/>
  <c r="C35" i="10"/>
  <c r="A35" i="10" s="1"/>
  <c r="C36" i="10"/>
  <c r="A36" i="10" s="1"/>
  <c r="C38" i="10"/>
  <c r="A38" i="10" s="1"/>
  <c r="C37" i="10"/>
  <c r="A37" i="10" s="1"/>
  <c r="C39" i="10"/>
  <c r="A39" i="10" s="1"/>
  <c r="C41" i="10"/>
  <c r="A41" i="10" s="1"/>
  <c r="C42" i="10"/>
  <c r="A42" i="10" s="1"/>
  <c r="C40" i="10"/>
  <c r="A40" i="10" s="1"/>
  <c r="C43" i="10"/>
  <c r="A43" i="10" s="1"/>
  <c r="C45" i="10"/>
  <c r="A45" i="10" s="1"/>
  <c r="C44" i="10"/>
  <c r="A44" i="10" s="1"/>
  <c r="C47" i="10"/>
  <c r="A47" i="10" s="1"/>
  <c r="C46" i="10"/>
  <c r="A46" i="10" s="1"/>
  <c r="C48" i="10"/>
  <c r="A48" i="10" s="1"/>
  <c r="C49" i="10"/>
  <c r="A49" i="10" s="1"/>
  <c r="C50" i="10"/>
  <c r="A50" i="10" s="1"/>
  <c r="C51" i="10"/>
  <c r="A51" i="10" s="1"/>
  <c r="C54" i="10"/>
  <c r="A54" i="10" s="1"/>
  <c r="C55" i="10"/>
  <c r="A55" i="10" s="1"/>
  <c r="C53" i="10"/>
  <c r="A53" i="10" s="1"/>
  <c r="C52" i="10"/>
  <c r="A52" i="10" s="1"/>
  <c r="C57" i="10"/>
  <c r="A57" i="10" s="1"/>
  <c r="C56" i="10"/>
  <c r="A56" i="10" s="1"/>
  <c r="C60" i="10"/>
  <c r="A60" i="10" s="1"/>
  <c r="C58" i="10"/>
  <c r="A58" i="10" s="1"/>
  <c r="C59" i="10"/>
  <c r="A59" i="10" s="1"/>
  <c r="C61" i="10"/>
  <c r="A61" i="10" s="1"/>
  <c r="A1" i="9"/>
  <c r="C64" i="10"/>
  <c r="A64" i="10" s="1"/>
  <c r="C62" i="10"/>
  <c r="A62" i="10" s="1"/>
  <c r="C63" i="10"/>
  <c r="A63" i="10" s="1"/>
  <c r="A15" i="9"/>
  <c r="M12" i="6" a="1"/>
  <c r="M12" i="6" s="1"/>
  <c r="C1" i="9"/>
  <c r="F1" i="9" s="1"/>
  <c r="C1" i="10"/>
  <c r="A1" i="10" s="1"/>
  <c r="BG161" i="6" a="1"/>
  <c r="BG161" i="6" s="1"/>
  <c r="AX161" i="6" a="1"/>
  <c r="AX161" i="6" s="1"/>
  <c r="AP161" i="6"/>
  <c r="AT161" i="6"/>
  <c r="AS161" i="6"/>
  <c r="BF161" i="6" a="1"/>
  <c r="BF161" i="6" s="1"/>
  <c r="AR161" i="6"/>
  <c r="AQ161" i="6"/>
  <c r="AZ161" i="6" a="1"/>
  <c r="AZ161" i="6" s="1"/>
  <c r="BA161" i="6" a="1"/>
  <c r="BA161" i="6" s="1"/>
  <c r="AO161" i="6"/>
  <c r="BD161" i="6" a="1"/>
  <c r="BD161" i="6" s="1"/>
  <c r="AV161" i="6"/>
  <c r="AN161" i="6"/>
  <c r="AU161" i="6"/>
  <c r="AY161" i="6" a="1"/>
  <c r="AY161" i="6" s="1"/>
  <c r="AM161" i="6"/>
  <c r="BC161" i="6" a="1"/>
  <c r="BC161" i="6" s="1"/>
  <c r="AI161" i="6"/>
  <c r="AI15" i="6" s="1"/>
  <c r="X15" i="6" s="1"/>
  <c r="X11" i="6" s="1"/>
  <c r="AK161" i="6"/>
  <c r="AK15" i="6" s="1"/>
  <c r="Z15" i="6" s="1"/>
  <c r="Z11" i="6" s="1"/>
  <c r="BB161" i="6" a="1"/>
  <c r="BB161" i="6" s="1"/>
  <c r="BE161" i="6" a="1"/>
  <c r="BE161" i="6" s="1"/>
  <c r="AF161" i="6"/>
  <c r="AF15" i="6" s="1"/>
  <c r="U15" i="6" s="1"/>
  <c r="U11" i="6" s="1"/>
  <c r="AD161" i="6"/>
  <c r="AD15" i="6" s="1"/>
  <c r="S15" i="6" s="1"/>
  <c r="S11" i="6" s="1"/>
  <c r="AH161" i="6"/>
  <c r="AH15" i="6" s="1"/>
  <c r="W15" i="6" s="1"/>
  <c r="W11" i="6" s="1"/>
  <c r="AG161" i="6"/>
  <c r="AG15" i="6" s="1"/>
  <c r="V15" i="6" s="1"/>
  <c r="V11" i="6" s="1"/>
  <c r="AJ161" i="6"/>
  <c r="AJ15" i="6" s="1"/>
  <c r="Y15" i="6" s="1"/>
  <c r="Y11" i="6" s="1"/>
  <c r="AE161" i="6"/>
  <c r="AE15" i="6" s="1"/>
  <c r="T15" i="6" s="1"/>
  <c r="T11" i="6" s="1"/>
  <c r="AB161" i="6"/>
  <c r="AC161" i="6"/>
  <c r="AC15" i="6" s="1"/>
  <c r="R15" i="6" s="1"/>
  <c r="R11" i="6" s="1"/>
  <c r="AB158" i="5" a="1"/>
  <c r="AB158" i="5" s="1"/>
  <c r="AA158" i="5" a="1"/>
  <c r="AA158" i="5" s="1"/>
  <c r="AB159" i="5" a="1"/>
  <c r="AB159" i="5" s="1"/>
  <c r="AA159" i="5" a="1"/>
  <c r="AA159" i="5" s="1"/>
  <c r="X160" i="5" a="1"/>
  <c r="X160" i="5" s="1"/>
  <c r="AC159" i="5" l="1" a="1"/>
  <c r="AC159" i="5" s="1"/>
  <c r="AO159" i="12" a="1"/>
  <c r="AO159" i="12" s="1"/>
  <c r="O159" i="12" a="1"/>
  <c r="O159" i="12" s="1"/>
  <c r="X157" i="12" a="1"/>
  <c r="X157" i="12" s="1"/>
  <c r="M159" i="12" a="1"/>
  <c r="M159" i="12" s="1"/>
  <c r="O159" i="5"/>
  <c r="D159" i="12" s="1"/>
  <c r="AE22" i="13"/>
  <c r="AH22" i="13"/>
  <c r="O29" i="8"/>
  <c r="N23" i="8"/>
  <c r="R23" i="8" s="1"/>
  <c r="AH14" i="13"/>
  <c r="AE14" i="13"/>
  <c r="AB15" i="6"/>
  <c r="Q15" i="6" s="1"/>
  <c r="Q11" i="6" s="1"/>
  <c r="X161" i="5" a="1"/>
  <c r="X161" i="5" s="1"/>
  <c r="N158" i="12"/>
  <c r="Y158" i="12"/>
  <c r="S31" i="8"/>
  <c r="A29" i="8"/>
  <c r="F33" i="8"/>
  <c r="N26" i="8"/>
  <c r="P29" i="8"/>
  <c r="Q29" i="8"/>
  <c r="U156" i="12"/>
  <c r="T156" i="12"/>
  <c r="V156" i="12" a="1"/>
  <c r="V156" i="12" s="1"/>
  <c r="I160" i="12"/>
  <c r="L160" i="5"/>
  <c r="AM160" i="5"/>
  <c r="Z160" i="5"/>
  <c r="U157" i="12"/>
  <c r="V157" i="12" a="1"/>
  <c r="V157" i="12" s="1"/>
  <c r="T157" i="12"/>
  <c r="D158" i="12"/>
  <c r="E158" i="6"/>
  <c r="I73" i="10" a="1"/>
  <c r="I73" i="10" s="1"/>
  <c r="U73" i="10" a="1"/>
  <c r="U73" i="10" s="1"/>
  <c r="M73" i="10" a="1"/>
  <c r="M73" i="10" s="1"/>
  <c r="Y73" i="10" a="1"/>
  <c r="Y73" i="10" s="1"/>
  <c r="AC73" i="10" a="1"/>
  <c r="AC73" i="10" s="1"/>
  <c r="O73" i="10" a="1"/>
  <c r="O73" i="10" s="1"/>
  <c r="S73" i="10" a="1"/>
  <c r="S73" i="10" s="1"/>
  <c r="Q73" i="10" a="1"/>
  <c r="Q73" i="10" s="1"/>
  <c r="W73" i="10" a="1"/>
  <c r="W73" i="10" s="1"/>
  <c r="AA73" i="10" a="1"/>
  <c r="AA73" i="10" s="1"/>
  <c r="AE73" i="10" a="1"/>
  <c r="AE73" i="10" s="1"/>
  <c r="K73" i="10" a="1"/>
  <c r="K73" i="10" s="1"/>
  <c r="Y159" i="12" l="1"/>
  <c r="W159" i="12" s="1" a="1"/>
  <c r="W159" i="12" s="1"/>
  <c r="N159" i="12"/>
  <c r="E159" i="6"/>
  <c r="N11" i="6"/>
  <c r="I12" i="6"/>
  <c r="F11" i="6"/>
  <c r="D23" i="8"/>
  <c r="C23" i="8"/>
  <c r="F25" i="8"/>
  <c r="AA71" i="10"/>
  <c r="AE71" i="10"/>
  <c r="W158" i="12" a="1"/>
  <c r="W158" i="12" s="1"/>
  <c r="X158" i="12" a="1"/>
  <c r="X158" i="12" s="1"/>
  <c r="K71" i="10"/>
  <c r="W71" i="10"/>
  <c r="Q71" i="10"/>
  <c r="S71" i="10"/>
  <c r="I161" i="12"/>
  <c r="AM161" i="5"/>
  <c r="L161" i="5"/>
  <c r="Z161" i="5"/>
  <c r="AC71" i="10"/>
  <c r="M32" i="8"/>
  <c r="J32" i="8"/>
  <c r="Y71" i="10"/>
  <c r="C160" i="6"/>
  <c r="O160" i="5"/>
  <c r="AC160" i="5" a="1"/>
  <c r="AC160" i="5" s="1"/>
  <c r="O71" i="10"/>
  <c r="AA160" i="5" a="1"/>
  <c r="AA160" i="5" s="1"/>
  <c r="AB160" i="5" a="1"/>
  <c r="AB160" i="5" s="1"/>
  <c r="M71" i="10"/>
  <c r="C160" i="12"/>
  <c r="M160" i="12" a="1"/>
  <c r="M160" i="12" s="1"/>
  <c r="O160" i="12" a="1"/>
  <c r="O160" i="12" s="1"/>
  <c r="AO160" i="12" a="1"/>
  <c r="AO160" i="12" s="1"/>
  <c r="U71" i="10"/>
  <c r="I71" i="10" a="1"/>
  <c r="I71" i="10" s="1"/>
  <c r="X159" i="12" l="1" a="1"/>
  <c r="X159" i="12" s="1"/>
  <c r="Q32" i="8"/>
  <c r="O26" i="8"/>
  <c r="R26" i="8" s="1"/>
  <c r="N160" i="12"/>
  <c r="P32" i="8"/>
  <c r="V159" i="12" a="1"/>
  <c r="V159" i="12" s="1"/>
  <c r="U159" i="12"/>
  <c r="T159" i="12"/>
  <c r="Y160" i="12"/>
  <c r="AB161" i="5" a="1"/>
  <c r="AB161" i="5" s="1"/>
  <c r="AA161" i="5" a="1"/>
  <c r="AA161" i="5" s="1"/>
  <c r="O161" i="5"/>
  <c r="C161" i="6"/>
  <c r="AC161" i="5" a="1"/>
  <c r="AC161" i="5" s="1"/>
  <c r="V158" i="12" a="1"/>
  <c r="V158" i="12" s="1"/>
  <c r="U158" i="12"/>
  <c r="T158" i="12"/>
  <c r="S34" i="8"/>
  <c r="F36" i="8"/>
  <c r="C161" i="12"/>
  <c r="O161" i="12" a="1"/>
  <c r="O161" i="12" s="1"/>
  <c r="M161" i="12" a="1"/>
  <c r="M161" i="12" s="1"/>
  <c r="AO161" i="12" a="1"/>
  <c r="AO161" i="12" s="1"/>
  <c r="D160" i="12"/>
  <c r="E160" i="6"/>
  <c r="F28" i="8" l="1"/>
  <c r="Y161" i="12"/>
  <c r="N161" i="12"/>
  <c r="X160" i="12" a="1"/>
  <c r="X160" i="12" s="1"/>
  <c r="W160" i="12" a="1"/>
  <c r="W160" i="12" s="1"/>
  <c r="M35" i="8"/>
  <c r="J35" i="8"/>
  <c r="D161" i="12"/>
  <c r="E161" i="6"/>
  <c r="AF26" i="8" l="1" a="1"/>
  <c r="AF26" i="8" s="1"/>
  <c r="AC26" i="8" a="1"/>
  <c r="AC26" i="8" s="1"/>
  <c r="U26" i="8" a="1"/>
  <c r="U26" i="8" s="1"/>
  <c r="AD26" i="8" a="1"/>
  <c r="AD26" i="8" s="1"/>
  <c r="AC22" i="13" a="1"/>
  <c r="AC22" i="13" s="1"/>
  <c r="AF22" i="13" a="1"/>
  <c r="AF22" i="13" s="1"/>
  <c r="X26" i="8" a="1"/>
  <c r="X26" i="8" s="1"/>
  <c r="AA26" i="8" a="1"/>
  <c r="AA26" i="8" s="1"/>
  <c r="Y26" i="8" a="1"/>
  <c r="Y26" i="8" s="1"/>
  <c r="AE26" i="8" a="1"/>
  <c r="AE26" i="8" s="1"/>
  <c r="AD22" i="13" a="1"/>
  <c r="AD22" i="13" s="1"/>
  <c r="AG22" i="13" a="1"/>
  <c r="AG22" i="13" s="1"/>
  <c r="Z26" i="8" a="1"/>
  <c r="Z26" i="8" s="1"/>
  <c r="AB26" i="8" a="1"/>
  <c r="AB26" i="8" s="1"/>
  <c r="E26" i="8" a="1"/>
  <c r="E26" i="8" s="1"/>
  <c r="Q35" i="8"/>
  <c r="AG14" i="13" a="1"/>
  <c r="AG14" i="13" s="1"/>
  <c r="AD14" i="13" a="1"/>
  <c r="AD14" i="13" s="1"/>
  <c r="S37" i="8"/>
  <c r="F39" i="8"/>
  <c r="AC14" i="13" a="1"/>
  <c r="AC14" i="13" s="1"/>
  <c r="AF14" i="13" a="1"/>
  <c r="AF14" i="13" s="1"/>
  <c r="P35" i="8"/>
  <c r="T160" i="12"/>
  <c r="U160" i="12"/>
  <c r="V160" i="12" a="1"/>
  <c r="V160" i="12" s="1"/>
  <c r="W161" i="12" a="1"/>
  <c r="W161" i="12" s="1"/>
  <c r="X161" i="12" a="1"/>
  <c r="X161" i="12" s="1"/>
  <c r="M38" i="8" l="1"/>
  <c r="J38" i="8"/>
  <c r="V161" i="12" a="1"/>
  <c r="V161" i="12" s="1"/>
  <c r="U161" i="12"/>
  <c r="T161" i="12"/>
  <c r="N29" i="8" l="1"/>
  <c r="R29" i="8" s="1"/>
  <c r="N32" i="8"/>
  <c r="P38" i="8"/>
  <c r="O32" i="8"/>
  <c r="Q38" i="8"/>
  <c r="S40" i="8"/>
  <c r="F42" i="8"/>
  <c r="R32" i="8" l="1"/>
  <c r="F34" i="8" s="1"/>
  <c r="F31" i="8"/>
  <c r="C29" i="8"/>
  <c r="D29" i="8"/>
  <c r="M41" i="8"/>
  <c r="O35" i="8" s="1"/>
  <c r="J41" i="8"/>
  <c r="Z32" i="8" l="1" a="1"/>
  <c r="Z32" i="8" s="1"/>
  <c r="W32" i="8" a="1"/>
  <c r="W32" i="8" s="1"/>
  <c r="U32" i="8" a="1"/>
  <c r="U32" i="8" s="1"/>
  <c r="V32" i="8" a="1"/>
  <c r="V32" i="8" s="1"/>
  <c r="Y32" i="8" a="1"/>
  <c r="Y32" i="8" s="1"/>
  <c r="X32" i="8" a="1"/>
  <c r="X32" i="8" s="1"/>
  <c r="AA32" i="8" a="1"/>
  <c r="AA32" i="8" s="1"/>
  <c r="AC32" i="8" a="1"/>
  <c r="AC32" i="8" s="1"/>
  <c r="P41" i="8"/>
  <c r="N35" i="8"/>
  <c r="R35" i="8" s="1"/>
  <c r="AE32" i="8" a="1"/>
  <c r="AE32" i="8" s="1"/>
  <c r="E32" i="8" a="1"/>
  <c r="E32" i="8" s="1"/>
  <c r="AD32" i="8" a="1"/>
  <c r="AD32" i="8" s="1"/>
  <c r="AF32" i="8" a="1"/>
  <c r="AF32" i="8" s="1"/>
  <c r="AB32" i="8" a="1"/>
  <c r="AB32" i="8" s="1"/>
  <c r="S43" i="8"/>
  <c r="F45" i="8"/>
  <c r="Q41" i="8"/>
  <c r="F37" i="8" l="1"/>
  <c r="J44" i="8"/>
  <c r="M44" i="8"/>
  <c r="N38" i="8" l="1"/>
  <c r="Q44" i="8"/>
  <c r="O38" i="8"/>
  <c r="P44" i="8"/>
  <c r="S46" i="8"/>
  <c r="F48" i="8"/>
  <c r="R38" i="8" l="1"/>
  <c r="F40" i="8" s="1"/>
  <c r="M47" i="8"/>
  <c r="O41" i="8" s="1"/>
  <c r="J47" i="8"/>
  <c r="P47" i="8" l="1"/>
  <c r="Q47" i="8"/>
  <c r="O44" i="8"/>
  <c r="S49" i="8"/>
  <c r="F51" i="8"/>
  <c r="M50" i="8" l="1"/>
  <c r="P50" i="8" s="1"/>
  <c r="J50" i="8"/>
  <c r="O47" i="8" l="1"/>
  <c r="Q50" i="8"/>
  <c r="S52" i="8"/>
  <c r="F54" i="8"/>
  <c r="M53" i="8" l="1"/>
  <c r="J53" i="8"/>
  <c r="P53" i="8" l="1"/>
  <c r="Q53" i="8"/>
  <c r="S55" i="8"/>
  <c r="F57" i="8"/>
  <c r="M56" i="8" l="1"/>
  <c r="O50" i="8" s="1"/>
  <c r="J56" i="8"/>
  <c r="P56" i="8" l="1"/>
  <c r="Q56" i="8"/>
  <c r="S58" i="8"/>
  <c r="F60" i="8"/>
  <c r="M59" i="8" l="1"/>
  <c r="J59" i="8"/>
  <c r="P59" i="8" l="1"/>
  <c r="O53" i="8"/>
  <c r="Q59" i="8"/>
  <c r="N44" i="8"/>
  <c r="R44" i="8" s="1"/>
  <c r="N41" i="8"/>
  <c r="R41" i="8" s="1"/>
  <c r="N50" i="8"/>
  <c r="R50" i="8" s="1"/>
  <c r="S61" i="8"/>
  <c r="F63" i="8"/>
  <c r="F43" i="8" l="1"/>
  <c r="F46" i="8"/>
  <c r="F52" i="8"/>
  <c r="M62" i="8"/>
  <c r="J62" i="8"/>
  <c r="P62" i="8" l="1"/>
  <c r="O56" i="8"/>
  <c r="Q62" i="8"/>
  <c r="S64" i="8"/>
  <c r="F66" i="8"/>
  <c r="M65" i="8" l="1"/>
  <c r="O59" i="8" s="1"/>
  <c r="J65" i="8"/>
  <c r="P65" i="8" l="1"/>
  <c r="Q65" i="8"/>
  <c r="S67" i="8"/>
  <c r="F69" i="8"/>
  <c r="J68" i="8" l="1"/>
  <c r="M68" i="8"/>
  <c r="N53" i="8" l="1"/>
  <c r="R53" i="8" s="1"/>
  <c r="F55" i="8" s="1"/>
  <c r="O62" i="8"/>
  <c r="P68" i="8"/>
  <c r="Q68" i="8"/>
  <c r="S70" i="8"/>
  <c r="O65" i="8" l="1"/>
  <c r="N56" i="8" l="1"/>
  <c r="R56" i="8" s="1"/>
  <c r="F58" i="8" s="1"/>
  <c r="O68" i="8" l="1"/>
  <c r="N68" i="8"/>
  <c r="N62" i="8"/>
  <c r="R62" i="8" s="1"/>
  <c r="N59" i="8"/>
  <c r="R59" i="8" s="1"/>
  <c r="N65" i="8"/>
  <c r="R65" i="8" s="1"/>
  <c r="R68" i="8" l="1"/>
  <c r="F70" i="8" s="1"/>
  <c r="F67" i="8"/>
  <c r="F64" i="8"/>
  <c r="F61" i="8"/>
  <c r="N47" i="8" l="1"/>
  <c r="R47" i="8" s="1"/>
  <c r="O17" i="8"/>
  <c r="R17" i="8" s="1"/>
  <c r="F49" i="8" l="1"/>
  <c r="F19" i="8"/>
  <c r="Z47" i="8" l="1" a="1"/>
  <c r="Z47" i="8" s="1"/>
  <c r="AC47" i="8" a="1"/>
  <c r="AC47" i="8" s="1"/>
  <c r="AA47" i="8" a="1"/>
  <c r="AA47" i="8" s="1"/>
  <c r="AE47" i="8" a="1"/>
  <c r="AE47" i="8" s="1"/>
  <c r="AD47" i="8" a="1"/>
  <c r="AD47" i="8" s="1"/>
  <c r="U47" i="8" a="1"/>
  <c r="U47" i="8" s="1"/>
  <c r="W47" i="8" a="1"/>
  <c r="W47" i="8" s="1"/>
  <c r="AB17" i="8" a="1"/>
  <c r="AB17" i="8" s="1"/>
  <c r="Y17" i="8" a="1"/>
  <c r="Y17" i="8" s="1"/>
  <c r="AC17" i="8" a="1"/>
  <c r="AC17" i="8" s="1"/>
  <c r="W17" i="8" a="1"/>
  <c r="W17" i="8" s="1"/>
  <c r="X17" i="8" a="1"/>
  <c r="X17" i="8" s="1"/>
  <c r="AE17" i="8" a="1"/>
  <c r="AE17" i="8" s="1"/>
  <c r="AB47" i="8" l="1" a="1"/>
  <c r="AB47" i="8" s="1"/>
  <c r="AF47" i="8" a="1"/>
  <c r="AF47" i="8" s="1"/>
  <c r="Y47" i="8" a="1"/>
  <c r="Y47" i="8" s="1"/>
  <c r="V47" i="8" a="1"/>
  <c r="V47" i="8" s="1"/>
  <c r="E47" i="8" a="1"/>
  <c r="E47" i="8" s="1"/>
  <c r="AF17" i="8" a="1"/>
  <c r="AF17" i="8" s="1"/>
  <c r="AD17" i="8" a="1"/>
  <c r="AD17" i="8" s="1"/>
  <c r="Z17" i="8" a="1"/>
  <c r="Z17" i="8" s="1"/>
  <c r="U17" i="8" a="1"/>
  <c r="U17" i="8" s="1"/>
  <c r="AA17" i="8" a="1"/>
  <c r="AA17" i="8" s="1"/>
  <c r="V17" i="8" a="1"/>
  <c r="V17" i="8" s="1"/>
  <c r="E17" i="8" a="1"/>
  <c r="E17" i="8" s="1"/>
  <c r="B6" i="9" l="1" a="1"/>
  <c r="B6" i="9" s="1"/>
  <c r="M13" i="9" s="1"/>
  <c r="AC17" i="13" l="1" a="1"/>
  <c r="AC17" i="13" s="1"/>
  <c r="U50" i="8" l="1" a="1"/>
  <c r="U50" i="8" s="1"/>
  <c r="W50" i="8" a="1"/>
  <c r="W50" i="8" s="1"/>
  <c r="AD50" i="8" a="1"/>
  <c r="AD50" i="8" s="1"/>
  <c r="AC50" i="8" a="1"/>
  <c r="AC50" i="8" s="1"/>
  <c r="AE50" i="8" a="1"/>
  <c r="AE50" i="8" s="1"/>
  <c r="I51" i="5" l="1"/>
  <c r="I52" i="5" l="1"/>
  <c r="I58" i="5" l="1"/>
  <c r="AD20" i="13" l="1" a="1"/>
  <c r="AD20" i="13" s="1"/>
  <c r="G66" i="6" l="1"/>
  <c r="F66" i="12" a="1"/>
  <c r="F66" i="12" s="1"/>
  <c r="I35" i="5" l="1"/>
  <c r="I39" i="5" s="1"/>
  <c r="I46" i="5" l="1"/>
  <c r="I47" i="5" s="1"/>
  <c r="O22" i="11" l="1" a="1"/>
  <c r="O22" i="11" s="1"/>
  <c r="P22" i="11" l="1"/>
  <c r="C22" i="11"/>
  <c r="L22" i="13"/>
  <c r="D22" i="13" s="1"/>
  <c r="D44" i="8" l="1"/>
  <c r="AN22" i="13" a="1"/>
  <c r="AN22" i="13" s="1"/>
  <c r="AO22" i="13"/>
  <c r="O22" i="13" s="1"/>
  <c r="AK22" i="13" a="1"/>
  <c r="AK22" i="13" s="1"/>
  <c r="AL22" i="13"/>
  <c r="M22" i="13" s="1"/>
  <c r="P22" i="13" l="1"/>
  <c r="N22" i="13"/>
  <c r="D56" i="8" l="1"/>
  <c r="D38" i="8" l="1"/>
  <c r="AB35" i="8" l="1" a="1"/>
  <c r="AB35" i="8" s="1"/>
  <c r="Z35" i="8" a="1"/>
  <c r="Z35" i="8" s="1"/>
  <c r="E35" i="8" a="1"/>
  <c r="E35" i="8" s="1"/>
  <c r="X35" i="8" a="1"/>
  <c r="X35" i="8" s="1"/>
  <c r="AC35" i="8" a="1"/>
  <c r="AC35" i="8" s="1"/>
  <c r="AA35" i="8" a="1"/>
  <c r="AA35" i="8" s="1"/>
  <c r="U35" i="8" a="1"/>
  <c r="U35" i="8" s="1"/>
  <c r="V35" i="8" a="1"/>
  <c r="V35" i="8" s="1"/>
  <c r="AD35" i="8" a="1"/>
  <c r="AD35" i="8" s="1"/>
  <c r="AF41" i="8" a="1"/>
  <c r="AF41" i="8" s="1"/>
  <c r="Y35" i="8" a="1"/>
  <c r="Y35" i="8" s="1"/>
  <c r="W35" i="8" a="1"/>
  <c r="W35" i="8" s="1"/>
  <c r="AE35" i="8" a="1"/>
  <c r="AE35" i="8" s="1"/>
  <c r="U68" i="8" l="1" a="1"/>
  <c r="U68" i="8" s="1"/>
  <c r="AB68" i="8" a="1"/>
  <c r="AB68" i="8" s="1"/>
  <c r="AF35" i="8" l="1" a="1"/>
  <c r="AF35" i="8" s="1"/>
  <c r="AE68" i="8" a="1"/>
  <c r="AE68" i="8" s="1"/>
  <c r="AC68" i="8" a="1"/>
  <c r="AC68" i="8" s="1"/>
  <c r="Y68" i="8" a="1"/>
  <c r="Y68" i="8" s="1"/>
  <c r="W68" i="8" a="1"/>
  <c r="W68" i="8" s="1"/>
  <c r="V68" i="8" a="1"/>
  <c r="V68" i="8" s="1"/>
  <c r="Z68" i="8" a="1"/>
  <c r="Z68" i="8" s="1"/>
  <c r="AB59" i="8" a="1"/>
  <c r="AB59" i="8" s="1"/>
  <c r="AA22" i="11" l="1" a="1"/>
  <c r="AA22" i="11" s="1"/>
  <c r="AM22" i="13" a="1"/>
  <c r="AM22" i="13" s="1"/>
  <c r="AJ22" i="13" a="1"/>
  <c r="AJ22" i="13" s="1"/>
  <c r="AB53" i="8" l="1" a="1"/>
  <c r="AB53" i="8" s="1"/>
  <c r="R22" i="13"/>
  <c r="T22" i="13"/>
  <c r="C11" i="10" l="1" a="1"/>
  <c r="C11" i="10"/>
  <c r="Z62" i="8" l="1" a="1"/>
  <c r="Z62" i="8" s="1"/>
  <c r="Y62" i="8" a="1"/>
  <c r="Y62" i="8" s="1"/>
  <c r="AC62" i="8" a="1"/>
  <c r="AC62" i="8" s="1"/>
  <c r="E62" i="8" a="1"/>
  <c r="E62" i="8" s="1"/>
  <c r="AA62" i="8" a="1"/>
  <c r="AA62" i="8" s="1"/>
  <c r="AD62" i="8" a="1"/>
  <c r="AD62" i="8" s="1"/>
  <c r="X62" i="8" a="1"/>
  <c r="X62" i="8" s="1"/>
  <c r="V62" i="8" a="1"/>
  <c r="V62" i="8" s="1"/>
  <c r="W62" i="8" a="1"/>
  <c r="W62" i="8" s="1"/>
  <c r="U62" i="8" a="1"/>
  <c r="U62" i="8" s="1"/>
  <c r="AB62" i="8" a="1"/>
  <c r="AB62" i="8" s="1"/>
  <c r="AF62" i="8" a="1"/>
  <c r="AF62" i="8" s="1"/>
  <c r="AE62" i="8" a="1"/>
  <c r="AE62" i="8" s="1"/>
  <c r="AA53" i="8" l="1" a="1"/>
  <c r="AA53" i="8" s="1"/>
  <c r="AF53" i="8" a="1"/>
  <c r="AF53" i="8" s="1"/>
  <c r="C38" i="8" l="1"/>
  <c r="AB22" i="11" l="1" a="1"/>
  <c r="AB22" i="11" s="1"/>
  <c r="N22" i="11" l="1"/>
  <c r="U22" i="13"/>
  <c r="S22" i="13"/>
  <c r="Z22" i="11"/>
  <c r="C65" i="8" l="1"/>
  <c r="C56" i="8" l="1"/>
  <c r="C44" i="8"/>
  <c r="I27" i="5" l="1"/>
  <c r="I28" i="5" s="1"/>
  <c r="I21" i="5" l="1"/>
  <c r="O21" i="11" l="1" a="1"/>
  <c r="O21" i="11" s="1"/>
  <c r="C21" i="11" l="1"/>
  <c r="P21" i="11"/>
  <c r="L21" i="13"/>
  <c r="D21" i="13" s="1"/>
  <c r="AB21" i="11" a="1"/>
  <c r="AB21" i="11" s="1"/>
  <c r="N21" i="11" s="1"/>
  <c r="AO21" i="13" l="1"/>
  <c r="O21" i="13" s="1"/>
  <c r="AN21" i="13" a="1"/>
  <c r="AN21" i="13" s="1"/>
  <c r="U21" i="13" s="1"/>
  <c r="AK21" i="13" a="1"/>
  <c r="AK21" i="13" s="1"/>
  <c r="S21" i="13" s="1"/>
  <c r="AL21" i="13"/>
  <c r="M21" i="13" s="1"/>
  <c r="P21" i="13" l="1"/>
  <c r="N21" i="13"/>
  <c r="AA21" i="11" l="1" a="1"/>
  <c r="AA21" i="11" s="1"/>
  <c r="AJ21" i="13" l="1" a="1"/>
  <c r="AJ21" i="13" s="1"/>
  <c r="R21" i="13" s="1"/>
  <c r="AM21" i="13" a="1"/>
  <c r="AM21" i="13" s="1"/>
  <c r="T21" i="13" s="1"/>
  <c r="Z21" i="11"/>
  <c r="AD68" i="8" l="1" a="1"/>
  <c r="AD68" i="8" s="1"/>
  <c r="X68" i="8" a="1"/>
  <c r="X68" i="8" s="1"/>
  <c r="E68" i="8" a="1"/>
  <c r="E68" i="8" s="1"/>
  <c r="AA68" i="8" a="1"/>
  <c r="AA68" i="8" s="1"/>
  <c r="AF68" i="8" a="1"/>
  <c r="AF68" i="8" s="1"/>
  <c r="AF71" i="5" a="1"/>
  <c r="AF50" i="5" a="1"/>
  <c r="AF59" i="5" a="1"/>
  <c r="AF60" i="5" a="1"/>
  <c r="AF62" i="5" a="1"/>
  <c r="AF57" i="5" a="1"/>
  <c r="AF53" i="5" a="1"/>
  <c r="AF37" i="5" a="1"/>
  <c r="AF31" i="5" a="1"/>
  <c r="AF26" i="5" a="1"/>
  <c r="AF38" i="5" a="1"/>
  <c r="AF19" i="5" a="1"/>
  <c r="AF42" i="5" a="1"/>
  <c r="AF67" i="5" a="1"/>
  <c r="AF70" i="5" a="1"/>
  <c r="AF61" i="5" a="1"/>
  <c r="AF33" i="5" a="1"/>
  <c r="AF22" i="5" a="1"/>
  <c r="AF20" i="5" a="1"/>
  <c r="AF24" i="5" a="1"/>
  <c r="AF45" i="5" a="1"/>
  <c r="AF43" i="5" a="1"/>
  <c r="AF23" i="5" a="1"/>
  <c r="AF56" i="5" a="1"/>
  <c r="AF48" i="5" a="1"/>
  <c r="AF63" i="5" a="1"/>
  <c r="AF34" i="5" a="1"/>
  <c r="AF32" i="5" a="1"/>
  <c r="AF18" i="5" a="1"/>
  <c r="AF25" i="5" a="1"/>
  <c r="AF66" i="5" a="1"/>
  <c r="AF75" i="5" a="1"/>
  <c r="AF44" i="5" a="1"/>
  <c r="AF69" i="5" a="1"/>
  <c r="AF72" i="5" a="1"/>
  <c r="AF40" i="5" a="1"/>
  <c r="AF55" i="5" a="1"/>
  <c r="AF41" i="5" a="1"/>
  <c r="AF49" i="5" a="1"/>
  <c r="AF30" i="5" a="1"/>
  <c r="AF29" i="5" a="1"/>
  <c r="AF29" i="5" l="1"/>
  <c r="AF30" i="5"/>
  <c r="AF49" i="5"/>
  <c r="AF41" i="5"/>
  <c r="AF55" i="5"/>
  <c r="AF40" i="5"/>
  <c r="AF72" i="5"/>
  <c r="AF69" i="5"/>
  <c r="AF44" i="5"/>
  <c r="AF75" i="5"/>
  <c r="AF66" i="5"/>
  <c r="AF25" i="5"/>
  <c r="AF18" i="5"/>
  <c r="AF32" i="5"/>
  <c r="AF34" i="5"/>
  <c r="AF63" i="5"/>
  <c r="AF48" i="5"/>
  <c r="AF56" i="5"/>
  <c r="AF23" i="5"/>
  <c r="AF43" i="5"/>
  <c r="AF45" i="5"/>
  <c r="AF24" i="5"/>
  <c r="AF20" i="5"/>
  <c r="AF22" i="5"/>
  <c r="AF33" i="5"/>
  <c r="AF61" i="5"/>
  <c r="AF70" i="5"/>
  <c r="AF67" i="5"/>
  <c r="AF42" i="5"/>
  <c r="AF19" i="5"/>
  <c r="AF38" i="5"/>
  <c r="AF26" i="5"/>
  <c r="AF31" i="5"/>
  <c r="AF37" i="5"/>
  <c r="AF53" i="5"/>
  <c r="AF57" i="5"/>
  <c r="AF62" i="5"/>
  <c r="AF60" i="5"/>
  <c r="AF59" i="5"/>
  <c r="AF50" i="5"/>
  <c r="AF71" i="5"/>
  <c r="S50" i="5" l="1" a="1"/>
  <c r="S50" i="5" s="1"/>
  <c r="R50" i="5" a="1"/>
  <c r="R50" i="5" s="1"/>
  <c r="AG50" i="5" a="1"/>
  <c r="AG50" i="5" s="1"/>
  <c r="U50" i="5" s="1"/>
  <c r="AG57" i="5" a="1"/>
  <c r="AG57" i="5" s="1"/>
  <c r="U57" i="5" s="1"/>
  <c r="R57" i="5" a="1"/>
  <c r="R57" i="5" s="1"/>
  <c r="S57" i="5" a="1"/>
  <c r="S57" i="5" s="1"/>
  <c r="R26" i="5" a="1"/>
  <c r="R26" i="5" s="1"/>
  <c r="S26" i="5" a="1"/>
  <c r="S26" i="5" s="1"/>
  <c r="AG26" i="5" a="1"/>
  <c r="AG26" i="5" s="1"/>
  <c r="U26" i="5" s="1"/>
  <c r="S67" i="5" a="1"/>
  <c r="S67" i="5" s="1"/>
  <c r="R67" i="5" a="1"/>
  <c r="R67" i="5" s="1"/>
  <c r="AG67" i="5" a="1"/>
  <c r="AG67" i="5" s="1"/>
  <c r="U67" i="5" s="1"/>
  <c r="S22" i="5" a="1"/>
  <c r="S22" i="5" s="1"/>
  <c r="R22" i="5" a="1"/>
  <c r="R22" i="5" s="1"/>
  <c r="AG22" i="5" a="1"/>
  <c r="AG22" i="5" s="1"/>
  <c r="U22" i="5" s="1"/>
  <c r="S43" i="5" a="1"/>
  <c r="S43" i="5" s="1"/>
  <c r="R43" i="5" a="1"/>
  <c r="R43" i="5" s="1"/>
  <c r="AG43" i="5" a="1"/>
  <c r="AG43" i="5" s="1"/>
  <c r="U43" i="5" s="1"/>
  <c r="R63" i="5" a="1"/>
  <c r="R63" i="5" s="1"/>
  <c r="S63" i="5" a="1"/>
  <c r="S63" i="5" s="1"/>
  <c r="AG63" i="5" a="1"/>
  <c r="AG63" i="5" s="1"/>
  <c r="U63" i="5" s="1"/>
  <c r="S25" i="5" a="1"/>
  <c r="S25" i="5" s="1"/>
  <c r="AG25" i="5" a="1"/>
  <c r="AG25" i="5" s="1"/>
  <c r="U25" i="5" s="1"/>
  <c r="R25" i="5" a="1"/>
  <c r="R25" i="5" s="1"/>
  <c r="S69" i="5" a="1"/>
  <c r="S69" i="5" s="1"/>
  <c r="R69" i="5" a="1"/>
  <c r="R69" i="5" s="1"/>
  <c r="AG69" i="5" a="1"/>
  <c r="AG69" i="5" s="1"/>
  <c r="U69" i="5" s="1"/>
  <c r="AG41" i="5" a="1"/>
  <c r="AG41" i="5" s="1"/>
  <c r="U41" i="5" s="1"/>
  <c r="S41" i="5" a="1"/>
  <c r="S41" i="5" s="1"/>
  <c r="R41" i="5" a="1"/>
  <c r="R41" i="5" s="1"/>
  <c r="AG59" i="5" a="1"/>
  <c r="AG59" i="5" s="1"/>
  <c r="U59" i="5" s="1"/>
  <c r="R59" i="5" a="1"/>
  <c r="R59" i="5" s="1"/>
  <c r="S59" i="5" a="1"/>
  <c r="S59" i="5" s="1"/>
  <c r="S53" i="5" a="1"/>
  <c r="S53" i="5" s="1"/>
  <c r="AG53" i="5" a="1"/>
  <c r="AG53" i="5" s="1"/>
  <c r="U53" i="5" s="1"/>
  <c r="R53" i="5" a="1"/>
  <c r="R53" i="5" s="1"/>
  <c r="AG38" i="5" a="1"/>
  <c r="AG38" i="5" s="1"/>
  <c r="U38" i="5" s="1"/>
  <c r="S38" i="5" a="1"/>
  <c r="S38" i="5" s="1"/>
  <c r="R38" i="5" a="1"/>
  <c r="R38" i="5" s="1"/>
  <c r="S70" i="5" a="1"/>
  <c r="S70" i="5" s="1"/>
  <c r="AG70" i="5" a="1"/>
  <c r="AG70" i="5" s="1"/>
  <c r="U70" i="5" s="1"/>
  <c r="R70" i="5" a="1"/>
  <c r="R70" i="5" s="1"/>
  <c r="S20" i="5" a="1"/>
  <c r="S20" i="5" s="1"/>
  <c r="AG20" i="5" a="1"/>
  <c r="AG20" i="5" s="1"/>
  <c r="U20" i="5" s="1"/>
  <c r="R20" i="5" a="1"/>
  <c r="R20" i="5" s="1"/>
  <c r="S23" i="5" a="1"/>
  <c r="S23" i="5" s="1"/>
  <c r="R23" i="5" a="1"/>
  <c r="R23" i="5" s="1"/>
  <c r="AG23" i="5" a="1"/>
  <c r="AG23" i="5" s="1"/>
  <c r="U23" i="5" s="1"/>
  <c r="S34" i="5" a="1"/>
  <c r="S34" i="5" s="1"/>
  <c r="AG34" i="5" a="1"/>
  <c r="AG34" i="5" s="1"/>
  <c r="U34" i="5" s="1"/>
  <c r="R34" i="5" a="1"/>
  <c r="R34" i="5" s="1"/>
  <c r="R66" i="5" a="1"/>
  <c r="R66" i="5" s="1"/>
  <c r="AG66" i="5" a="1"/>
  <c r="AG66" i="5" s="1"/>
  <c r="U66" i="5" s="1"/>
  <c r="R72" i="5" a="1"/>
  <c r="R72" i="5" s="1"/>
  <c r="S72" i="5" a="1"/>
  <c r="S72" i="5" s="1"/>
  <c r="AG72" i="5" a="1"/>
  <c r="AG72" i="5" s="1"/>
  <c r="U72" i="5" s="1"/>
  <c r="S49" i="5" a="1"/>
  <c r="S49" i="5" s="1"/>
  <c r="AG49" i="5" a="1"/>
  <c r="AG49" i="5" s="1"/>
  <c r="U49" i="5" s="1"/>
  <c r="R49" i="5" a="1"/>
  <c r="R49" i="5" s="1"/>
  <c r="R60" i="5" a="1"/>
  <c r="R60" i="5" s="1"/>
  <c r="AG60" i="5" a="1"/>
  <c r="AG60" i="5" s="1"/>
  <c r="U60" i="5" s="1"/>
  <c r="S60" i="5" a="1"/>
  <c r="S60" i="5" s="1"/>
  <c r="S37" i="5" a="1"/>
  <c r="S37" i="5" s="1"/>
  <c r="AG37" i="5" a="1"/>
  <c r="AG37" i="5" s="1"/>
  <c r="U37" i="5" s="1"/>
  <c r="R37" i="5" a="1"/>
  <c r="R37" i="5" s="1"/>
  <c r="S19" i="5" a="1"/>
  <c r="S19" i="5" s="1"/>
  <c r="AG19" i="5" a="1"/>
  <c r="AG19" i="5" s="1"/>
  <c r="U19" i="5" s="1"/>
  <c r="R19" i="5" a="1"/>
  <c r="R19" i="5" s="1"/>
  <c r="R61" i="5" a="1"/>
  <c r="R61" i="5" s="1"/>
  <c r="S61" i="5" a="1"/>
  <c r="S61" i="5" s="1"/>
  <c r="AG61" i="5" a="1"/>
  <c r="AG61" i="5" s="1"/>
  <c r="U61" i="5" s="1"/>
  <c r="R24" i="5" a="1"/>
  <c r="R24" i="5" s="1"/>
  <c r="AG24" i="5" a="1"/>
  <c r="AG24" i="5" s="1"/>
  <c r="U24" i="5" s="1"/>
  <c r="S24" i="5" a="1"/>
  <c r="S24" i="5" s="1"/>
  <c r="S56" i="5" a="1"/>
  <c r="S56" i="5" s="1"/>
  <c r="AG56" i="5" a="1"/>
  <c r="AG56" i="5" s="1"/>
  <c r="U56" i="5" s="1"/>
  <c r="R56" i="5" a="1"/>
  <c r="R56" i="5" s="1"/>
  <c r="AG32" i="5" a="1"/>
  <c r="AG32" i="5" s="1"/>
  <c r="U32" i="5" s="1"/>
  <c r="S32" i="5" a="1"/>
  <c r="S32" i="5" s="1"/>
  <c r="R32" i="5" a="1"/>
  <c r="R32" i="5" s="1"/>
  <c r="S75" i="5" a="1"/>
  <c r="S75" i="5" s="1"/>
  <c r="R75" i="5" a="1"/>
  <c r="R75" i="5" s="1"/>
  <c r="AG75" i="5" a="1"/>
  <c r="AG75" i="5" s="1"/>
  <c r="U75" i="5" s="1"/>
  <c r="AG40" i="5" a="1"/>
  <c r="AG40" i="5" s="1"/>
  <c r="U40" i="5" s="1"/>
  <c r="S40" i="5" a="1"/>
  <c r="S40" i="5" s="1"/>
  <c r="R40" i="5" a="1"/>
  <c r="R40" i="5" s="1"/>
  <c r="S30" i="5" a="1"/>
  <c r="S30" i="5" s="1"/>
  <c r="AG30" i="5" a="1"/>
  <c r="AG30" i="5" s="1"/>
  <c r="U30" i="5" s="1"/>
  <c r="R30" i="5" a="1"/>
  <c r="R30" i="5" s="1"/>
  <c r="R71" i="5" a="1"/>
  <c r="R71" i="5" s="1"/>
  <c r="S71" i="5" a="1"/>
  <c r="S71" i="5" s="1"/>
  <c r="AG71" i="5" a="1"/>
  <c r="AG71" i="5" s="1"/>
  <c r="U71" i="5" s="1"/>
  <c r="S62" i="5" a="1"/>
  <c r="S62" i="5" s="1"/>
  <c r="R62" i="5" a="1"/>
  <c r="R62" i="5" s="1"/>
  <c r="AG62" i="5" a="1"/>
  <c r="AG62" i="5" s="1"/>
  <c r="U62" i="5" s="1"/>
  <c r="S31" i="5" a="1"/>
  <c r="S31" i="5" s="1"/>
  <c r="AG31" i="5" a="1"/>
  <c r="AG31" i="5" s="1"/>
  <c r="U31" i="5" s="1"/>
  <c r="R31" i="5" a="1"/>
  <c r="R31" i="5" s="1"/>
  <c r="R42" i="5" a="1"/>
  <c r="R42" i="5" s="1"/>
  <c r="S42" i="5" a="1"/>
  <c r="S42" i="5" s="1"/>
  <c r="AG42" i="5" a="1"/>
  <c r="AG42" i="5" s="1"/>
  <c r="U42" i="5" s="1"/>
  <c r="AG33" i="5" a="1"/>
  <c r="AG33" i="5" s="1"/>
  <c r="U33" i="5" s="1"/>
  <c r="S33" i="5" a="1"/>
  <c r="S33" i="5" s="1"/>
  <c r="R33" i="5" a="1"/>
  <c r="R33" i="5" s="1"/>
  <c r="S45" i="5" a="1"/>
  <c r="S45" i="5" s="1"/>
  <c r="R45" i="5" a="1"/>
  <c r="R45" i="5" s="1"/>
  <c r="AG45" i="5" a="1"/>
  <c r="AG45" i="5" s="1"/>
  <c r="U45" i="5" s="1"/>
  <c r="AG48" i="5" a="1"/>
  <c r="AG48" i="5" s="1"/>
  <c r="U48" i="5" s="1"/>
  <c r="S48" i="5" a="1"/>
  <c r="S48" i="5" s="1"/>
  <c r="R48" i="5" a="1"/>
  <c r="R48" i="5" s="1"/>
  <c r="S18" i="5" a="1"/>
  <c r="S18" i="5" s="1"/>
  <c r="AG18" i="5" a="1"/>
  <c r="AG18" i="5" s="1"/>
  <c r="U18" i="5" s="1"/>
  <c r="R18" i="5" a="1"/>
  <c r="R18" i="5" s="1"/>
  <c r="AG44" i="5" a="1"/>
  <c r="AG44" i="5" s="1"/>
  <c r="U44" i="5" s="1"/>
  <c r="S44" i="5" a="1"/>
  <c r="S44" i="5" s="1"/>
  <c r="R44" i="5" a="1"/>
  <c r="R44" i="5" s="1"/>
  <c r="AG55" i="5" a="1"/>
  <c r="AG55" i="5" s="1"/>
  <c r="U55" i="5" s="1"/>
  <c r="R55" i="5" a="1"/>
  <c r="R55" i="5" s="1"/>
  <c r="S55" i="5" a="1"/>
  <c r="S55" i="5" s="1"/>
  <c r="S29" i="5" a="1"/>
  <c r="S29" i="5" s="1"/>
  <c r="AG29" i="5" a="1"/>
  <c r="AG29" i="5" s="1"/>
  <c r="U29" i="5" s="1"/>
  <c r="R29" i="5" a="1"/>
  <c r="R29" i="5" s="1"/>
  <c r="AN18" i="5" l="1" a="1"/>
  <c r="AN18" i="5" s="1"/>
  <c r="W18" i="5" a="1"/>
  <c r="W18" i="5" s="1"/>
  <c r="AN71" i="5" a="1"/>
  <c r="AN71" i="5" s="1"/>
  <c r="W71" i="5" a="1"/>
  <c r="W71" i="5" s="1"/>
  <c r="W30" i="5" a="1"/>
  <c r="W30" i="5" s="1"/>
  <c r="AN30" i="5" a="1"/>
  <c r="AN30" i="5" s="1"/>
  <c r="W40" i="5" a="1"/>
  <c r="W40" i="5" s="1"/>
  <c r="AN40" i="5" a="1"/>
  <c r="AN40" i="5" s="1"/>
  <c r="E32" i="12"/>
  <c r="F32" i="6"/>
  <c r="AN56" i="5" a="1"/>
  <c r="AN56" i="5" s="1"/>
  <c r="W56" i="5" a="1"/>
  <c r="W56" i="5" s="1"/>
  <c r="F24" i="6"/>
  <c r="E24" i="12"/>
  <c r="AC24" i="5" a="1"/>
  <c r="AC24" i="5" s="1"/>
  <c r="E19" i="12"/>
  <c r="F19" i="6"/>
  <c r="AC19" i="5" a="1"/>
  <c r="AC19" i="5" s="1"/>
  <c r="W37" i="5" a="1"/>
  <c r="W37" i="5" s="1"/>
  <c r="AN37" i="5" a="1"/>
  <c r="AN37" i="5" s="1"/>
  <c r="E60" i="12"/>
  <c r="F60" i="6"/>
  <c r="W72" i="5" a="1"/>
  <c r="W72" i="5" s="1"/>
  <c r="AN72" i="5" a="1"/>
  <c r="AN72" i="5" s="1"/>
  <c r="E66" i="12"/>
  <c r="F66" i="6"/>
  <c r="W23" i="5" a="1"/>
  <c r="W23" i="5" s="1"/>
  <c r="AN23" i="5" a="1"/>
  <c r="AN23" i="5" s="1"/>
  <c r="W20" i="5" a="1"/>
  <c r="W20" i="5" s="1"/>
  <c r="AN20" i="5" a="1"/>
  <c r="AN20" i="5" s="1"/>
  <c r="F70" i="12" a="1"/>
  <c r="F70" i="12" s="1"/>
  <c r="G70" i="6"/>
  <c r="F53" i="6"/>
  <c r="E53" i="12"/>
  <c r="E59" i="12"/>
  <c r="F59" i="6"/>
  <c r="W41" i="5" a="1"/>
  <c r="W41" i="5" s="1"/>
  <c r="AN41" i="5" a="1"/>
  <c r="AN41" i="5" s="1"/>
  <c r="E25" i="12"/>
  <c r="F25" i="6"/>
  <c r="AC25" i="5" a="1"/>
  <c r="AC25" i="5" s="1"/>
  <c r="F63" i="12" a="1"/>
  <c r="F63" i="12" s="1"/>
  <c r="G63" i="6"/>
  <c r="F43" i="12" a="1"/>
  <c r="F43" i="12" s="1"/>
  <c r="G43" i="6"/>
  <c r="AN67" i="5" a="1"/>
  <c r="AN67" i="5" s="1"/>
  <c r="W67" i="5" a="1"/>
  <c r="W67" i="5" s="1"/>
  <c r="G26" i="6"/>
  <c r="F26" i="12" a="1"/>
  <c r="F26" i="12" s="1"/>
  <c r="W57" i="5" a="1"/>
  <c r="W57" i="5" s="1"/>
  <c r="AN57" i="5" a="1"/>
  <c r="AN57" i="5" s="1"/>
  <c r="W48" i="5" a="1"/>
  <c r="W48" i="5" s="1"/>
  <c r="AN48" i="5" a="1"/>
  <c r="AN48" i="5" s="1"/>
  <c r="AN45" i="5" a="1"/>
  <c r="AN45" i="5" s="1"/>
  <c r="W45" i="5" a="1"/>
  <c r="W45" i="5" s="1"/>
  <c r="W62" i="5" a="1"/>
  <c r="W62" i="5" s="1"/>
  <c r="AN62" i="5" a="1"/>
  <c r="AN62" i="5" s="1"/>
  <c r="F71" i="12" a="1"/>
  <c r="F71" i="12" s="1"/>
  <c r="G71" i="6"/>
  <c r="G32" i="6"/>
  <c r="F32" i="12" a="1"/>
  <c r="F32" i="12" s="1"/>
  <c r="F56" i="12" a="1"/>
  <c r="F56" i="12" s="1"/>
  <c r="G56" i="6"/>
  <c r="AN61" i="5" a="1"/>
  <c r="AN61" i="5" s="1"/>
  <c r="W61" i="5" a="1"/>
  <c r="W61" i="5" s="1"/>
  <c r="W19" i="5" a="1"/>
  <c r="W19" i="5" s="1"/>
  <c r="AN19" i="5" a="1"/>
  <c r="AN19" i="5" s="1"/>
  <c r="G37" i="6"/>
  <c r="F37" i="12" a="1"/>
  <c r="F37" i="12" s="1"/>
  <c r="F49" i="6"/>
  <c r="E49" i="12"/>
  <c r="G72" i="6"/>
  <c r="F72" i="12" a="1"/>
  <c r="F72" i="12" s="1"/>
  <c r="E34" i="12"/>
  <c r="F34" i="6"/>
  <c r="AC34" i="5" a="1"/>
  <c r="AC34" i="5" s="1"/>
  <c r="F23" i="6"/>
  <c r="E23" i="12"/>
  <c r="AC23" i="5" a="1"/>
  <c r="AC23" i="5" s="1"/>
  <c r="F20" i="12" a="1"/>
  <c r="F20" i="12" s="1"/>
  <c r="G20" i="6"/>
  <c r="F38" i="6"/>
  <c r="E38" i="12"/>
  <c r="AC38" i="5" a="1"/>
  <c r="AC38" i="5" s="1"/>
  <c r="W53" i="5" a="1"/>
  <c r="W53" i="5" s="1"/>
  <c r="AN53" i="5" a="1"/>
  <c r="AN53" i="5" s="1"/>
  <c r="W59" i="5" a="1"/>
  <c r="W59" i="5" s="1"/>
  <c r="AN59" i="5" a="1"/>
  <c r="AN59" i="5" s="1"/>
  <c r="AN69" i="5" a="1"/>
  <c r="AN69" i="5" s="1"/>
  <c r="W69" i="5" a="1"/>
  <c r="W69" i="5" s="1"/>
  <c r="W25" i="5" a="1"/>
  <c r="W25" i="5" s="1"/>
  <c r="AN25" i="5" a="1"/>
  <c r="AN25" i="5" s="1"/>
  <c r="F63" i="6"/>
  <c r="E63" i="12"/>
  <c r="AC63" i="5" a="1"/>
  <c r="AC63" i="5" s="1"/>
  <c r="AN22" i="5" a="1"/>
  <c r="AN22" i="5" s="1"/>
  <c r="W22" i="5" a="1"/>
  <c r="W22" i="5" s="1"/>
  <c r="E67" i="12"/>
  <c r="F67" i="6"/>
  <c r="E26" i="12"/>
  <c r="F26" i="6"/>
  <c r="AC26" i="5" a="1"/>
  <c r="AC26" i="5" s="1"/>
  <c r="W50" i="5" a="1"/>
  <c r="W50" i="5" s="1"/>
  <c r="AN50" i="5" a="1"/>
  <c r="AN50" i="5" s="1"/>
  <c r="E44" i="12"/>
  <c r="F44" i="6"/>
  <c r="AC44" i="5" a="1"/>
  <c r="AC44" i="5" s="1"/>
  <c r="F42" i="12" a="1"/>
  <c r="F42" i="12" s="1"/>
  <c r="G42" i="6"/>
  <c r="F55" i="12" a="1"/>
  <c r="F55" i="12" s="1"/>
  <c r="G55" i="6"/>
  <c r="F44" i="12" a="1"/>
  <c r="F44" i="12" s="1"/>
  <c r="G44" i="6"/>
  <c r="F42" i="6"/>
  <c r="E42" i="12"/>
  <c r="AC42" i="5" a="1"/>
  <c r="AC42" i="5" s="1"/>
  <c r="W75" i="5" a="1"/>
  <c r="W75" i="5" s="1"/>
  <c r="AN75" i="5" a="1"/>
  <c r="AN75" i="5" s="1"/>
  <c r="F29" i="6"/>
  <c r="E29" i="12"/>
  <c r="AC29" i="5" a="1"/>
  <c r="AC29" i="5" s="1"/>
  <c r="E55" i="12"/>
  <c r="F55" i="6"/>
  <c r="AN44" i="5" a="1"/>
  <c r="AN44" i="5" s="1"/>
  <c r="W44" i="5" a="1"/>
  <c r="W44" i="5" s="1"/>
  <c r="E48" i="12"/>
  <c r="F48" i="6"/>
  <c r="F45" i="6"/>
  <c r="E45" i="12"/>
  <c r="AC45" i="5" a="1"/>
  <c r="AC45" i="5" s="1"/>
  <c r="AN33" i="5" a="1"/>
  <c r="AN33" i="5" s="1"/>
  <c r="W33" i="5" a="1"/>
  <c r="W33" i="5" s="1"/>
  <c r="E31" i="12"/>
  <c r="F31" i="6"/>
  <c r="AC31" i="5" a="1"/>
  <c r="AC31" i="5" s="1"/>
  <c r="E62" i="12"/>
  <c r="F62" i="6"/>
  <c r="AC62" i="5" a="1"/>
  <c r="AC62" i="5" s="1"/>
  <c r="F71" i="6"/>
  <c r="E71" i="12"/>
  <c r="AC71" i="5" a="1"/>
  <c r="AC71" i="5" s="1"/>
  <c r="F40" i="6"/>
  <c r="E40" i="12"/>
  <c r="AC40" i="5" a="1"/>
  <c r="AC40" i="5" s="1"/>
  <c r="F75" i="6"/>
  <c r="E75" i="12"/>
  <c r="AC75" i="5" a="1"/>
  <c r="AC75" i="5" s="1"/>
  <c r="AN32" i="5" a="1"/>
  <c r="AN32" i="5" s="1"/>
  <c r="W32" i="5" a="1"/>
  <c r="W32" i="5" s="1"/>
  <c r="G24" i="6"/>
  <c r="F24" i="12" a="1"/>
  <c r="F24" i="12" s="1"/>
  <c r="F61" i="12" a="1"/>
  <c r="F61" i="12" s="1"/>
  <c r="G61" i="6"/>
  <c r="F19" i="12" a="1"/>
  <c r="F19" i="12" s="1"/>
  <c r="G19" i="6"/>
  <c r="G60" i="6"/>
  <c r="F60" i="12" a="1"/>
  <c r="F60" i="12" s="1"/>
  <c r="AN49" i="5" a="1"/>
  <c r="AN49" i="5" s="1"/>
  <c r="W49" i="5" a="1"/>
  <c r="W49" i="5" s="1"/>
  <c r="E72" i="12"/>
  <c r="F72" i="6"/>
  <c r="W34" i="5" a="1"/>
  <c r="W34" i="5" s="1"/>
  <c r="AN34" i="5" a="1"/>
  <c r="AN34" i="5" s="1"/>
  <c r="G23" i="6"/>
  <c r="F23" i="12" a="1"/>
  <c r="F23" i="12" s="1"/>
  <c r="F70" i="6"/>
  <c r="E70" i="12"/>
  <c r="AC70" i="5" a="1"/>
  <c r="AC70" i="5" s="1"/>
  <c r="G38" i="6"/>
  <c r="F38" i="12" a="1"/>
  <c r="F38" i="12" s="1"/>
  <c r="F53" i="12" a="1"/>
  <c r="F53" i="12" s="1"/>
  <c r="G53" i="6"/>
  <c r="E41" i="12"/>
  <c r="F41" i="6"/>
  <c r="AC41" i="5" a="1"/>
  <c r="AC41" i="5" s="1"/>
  <c r="F69" i="6"/>
  <c r="E69" i="12"/>
  <c r="F25" i="12" a="1"/>
  <c r="F25" i="12" s="1"/>
  <c r="G25" i="6"/>
  <c r="AN43" i="5" a="1"/>
  <c r="AN43" i="5" s="1"/>
  <c r="W43" i="5" a="1"/>
  <c r="W43" i="5" s="1"/>
  <c r="F22" i="6"/>
  <c r="E22" i="12"/>
  <c r="AC22" i="5" a="1"/>
  <c r="AC22" i="5" s="1"/>
  <c r="F67" i="12" a="1"/>
  <c r="F67" i="12" s="1"/>
  <c r="G67" i="6"/>
  <c r="F57" i="12" a="1"/>
  <c r="F57" i="12" s="1"/>
  <c r="G57" i="6"/>
  <c r="F50" i="6"/>
  <c r="E50" i="12"/>
  <c r="AC50" i="5" a="1"/>
  <c r="AC50" i="5" s="1"/>
  <c r="F29" i="12" a="1"/>
  <c r="F29" i="12" s="1"/>
  <c r="G29" i="6"/>
  <c r="E33" i="12"/>
  <c r="F33" i="6"/>
  <c r="AC33" i="5" a="1"/>
  <c r="AC33" i="5" s="1"/>
  <c r="G31" i="6"/>
  <c r="F31" i="12" a="1"/>
  <c r="F31" i="12" s="1"/>
  <c r="G18" i="6"/>
  <c r="F18" i="12" a="1"/>
  <c r="F18" i="12" s="1"/>
  <c r="F33" i="12" a="1"/>
  <c r="F33" i="12" s="1"/>
  <c r="G33" i="6"/>
  <c r="G30" i="6"/>
  <c r="F30" i="12" a="1"/>
  <c r="F30" i="12" s="1"/>
  <c r="AN29" i="5" a="1"/>
  <c r="AN29" i="5" s="1"/>
  <c r="W29" i="5" a="1"/>
  <c r="W29" i="5" s="1"/>
  <c r="W55" i="5" a="1"/>
  <c r="W55" i="5" s="1"/>
  <c r="AN55" i="5" a="1"/>
  <c r="AN55" i="5" s="1"/>
  <c r="F18" i="6"/>
  <c r="E18" i="12"/>
  <c r="AC18" i="5" a="1"/>
  <c r="AC18" i="5" s="1"/>
  <c r="G48" i="6"/>
  <c r="F48" i="12" a="1"/>
  <c r="F48" i="12" s="1"/>
  <c r="G45" i="6"/>
  <c r="F45" i="12" a="1"/>
  <c r="F45" i="12" s="1"/>
  <c r="AN42" i="5" a="1"/>
  <c r="AN42" i="5" s="1"/>
  <c r="W42" i="5" a="1"/>
  <c r="W42" i="5" s="1"/>
  <c r="AN31" i="5" a="1"/>
  <c r="AN31" i="5" s="1"/>
  <c r="W31" i="5" a="1"/>
  <c r="W31" i="5" s="1"/>
  <c r="F62" i="12" a="1"/>
  <c r="F62" i="12" s="1"/>
  <c r="G62" i="6"/>
  <c r="F30" i="6"/>
  <c r="E30" i="12"/>
  <c r="AC30" i="5" a="1"/>
  <c r="AC30" i="5" s="1"/>
  <c r="F40" i="12" a="1"/>
  <c r="F40" i="12" s="1"/>
  <c r="G40" i="6"/>
  <c r="F75" i="12" a="1"/>
  <c r="F75" i="12" s="1"/>
  <c r="G75" i="6"/>
  <c r="F56" i="6"/>
  <c r="E56" i="12"/>
  <c r="W24" i="5" a="1"/>
  <c r="W24" i="5" s="1"/>
  <c r="AN24" i="5" a="1"/>
  <c r="AN24" i="5" s="1"/>
  <c r="E61" i="12"/>
  <c r="F61" i="6"/>
  <c r="E37" i="12"/>
  <c r="F37" i="6"/>
  <c r="AC37" i="5" a="1"/>
  <c r="AC37" i="5" s="1"/>
  <c r="AN60" i="5" a="1"/>
  <c r="AN60" i="5" s="1"/>
  <c r="W60" i="5" a="1"/>
  <c r="W60" i="5" s="1"/>
  <c r="G49" i="6"/>
  <c r="F49" i="12" a="1"/>
  <c r="F49" i="12" s="1"/>
  <c r="AN66" i="5" a="1"/>
  <c r="AN66" i="5" s="1"/>
  <c r="W66" i="5" a="1"/>
  <c r="W66" i="5" s="1"/>
  <c r="F34" i="12" a="1"/>
  <c r="F34" i="12" s="1"/>
  <c r="G34" i="6"/>
  <c r="E20" i="12"/>
  <c r="F20" i="6"/>
  <c r="AC20" i="5" a="1"/>
  <c r="AC20" i="5" s="1"/>
  <c r="AN70" i="5" a="1"/>
  <c r="AN70" i="5" s="1"/>
  <c r="W70" i="5" a="1"/>
  <c r="W70" i="5" s="1"/>
  <c r="W38" i="5" a="1"/>
  <c r="W38" i="5" s="1"/>
  <c r="AN38" i="5" a="1"/>
  <c r="AN38" i="5" s="1"/>
  <c r="F59" i="12" a="1"/>
  <c r="F59" i="12" s="1"/>
  <c r="G59" i="6"/>
  <c r="G41" i="6"/>
  <c r="F41" i="12" a="1"/>
  <c r="F41" i="12" s="1"/>
  <c r="F69" i="12" a="1"/>
  <c r="F69" i="12" s="1"/>
  <c r="G69" i="6"/>
  <c r="AN63" i="5" a="1"/>
  <c r="AN63" i="5" s="1"/>
  <c r="W63" i="5" a="1"/>
  <c r="W63" i="5" s="1"/>
  <c r="F43" i="6"/>
  <c r="E43" i="12"/>
  <c r="AC43" i="5" a="1"/>
  <c r="AC43" i="5" s="1"/>
  <c r="F22" i="12" a="1"/>
  <c r="F22" i="12" s="1"/>
  <c r="G22" i="6"/>
  <c r="W26" i="5" a="1"/>
  <c r="W26" i="5" s="1"/>
  <c r="AN26" i="5" a="1"/>
  <c r="AN26" i="5" s="1"/>
  <c r="F57" i="6"/>
  <c r="E57" i="12"/>
  <c r="G50" i="6"/>
  <c r="F50" i="12" a="1"/>
  <c r="F50" i="12" s="1"/>
  <c r="X63" i="5" l="1" a="1"/>
  <c r="X63" i="5" s="1"/>
  <c r="H63" i="12" a="1"/>
  <c r="H63" i="12" s="1"/>
  <c r="H33" i="12" a="1"/>
  <c r="H33" i="12" s="1"/>
  <c r="X33" i="5" a="1"/>
  <c r="X33" i="5" s="1"/>
  <c r="H62" i="12" a="1"/>
  <c r="H62" i="12" s="1"/>
  <c r="X62" i="5" a="1"/>
  <c r="X62" i="5" s="1"/>
  <c r="H48" i="12" a="1"/>
  <c r="H48" i="12" s="1"/>
  <c r="X48" i="5" a="1"/>
  <c r="X48" i="5" s="1"/>
  <c r="H56" i="12" a="1"/>
  <c r="H56" i="12" s="1"/>
  <c r="X56" i="5" a="1"/>
  <c r="X56" i="5" s="1"/>
  <c r="X71" i="5" a="1"/>
  <c r="X71" i="5" s="1"/>
  <c r="H71" i="12" a="1"/>
  <c r="H71" i="12" s="1"/>
  <c r="X38" i="5" a="1"/>
  <c r="X38" i="5" s="1"/>
  <c r="H38" i="12" a="1"/>
  <c r="H38" i="12" s="1"/>
  <c r="H66" i="12" a="1"/>
  <c r="H66" i="12" s="1"/>
  <c r="X66" i="5" a="1"/>
  <c r="X66" i="5" s="1"/>
  <c r="H60" i="12" a="1"/>
  <c r="H60" i="12" s="1"/>
  <c r="X60" i="5" a="1"/>
  <c r="X60" i="5" s="1"/>
  <c r="H24" i="12" a="1"/>
  <c r="H24" i="12" s="1"/>
  <c r="X24" i="5" a="1"/>
  <c r="X24" i="5" s="1"/>
  <c r="H31" i="12" a="1"/>
  <c r="H31" i="12" s="1"/>
  <c r="X31" i="5" a="1"/>
  <c r="X31" i="5" s="1"/>
  <c r="X55" i="5" a="1"/>
  <c r="X55" i="5" s="1"/>
  <c r="H55" i="12" a="1"/>
  <c r="H55" i="12" s="1"/>
  <c r="X49" i="5" a="1"/>
  <c r="X49" i="5" s="1"/>
  <c r="H49" i="12" a="1"/>
  <c r="H49" i="12" s="1"/>
  <c r="X50" i="5" a="1"/>
  <c r="X50" i="5" s="1"/>
  <c r="H50" i="12" a="1"/>
  <c r="H50" i="12" s="1"/>
  <c r="X25" i="5" a="1"/>
  <c r="X25" i="5" s="1"/>
  <c r="H25" i="12" a="1"/>
  <c r="H25" i="12" s="1"/>
  <c r="H59" i="12" a="1"/>
  <c r="H59" i="12" s="1"/>
  <c r="X59" i="5" a="1"/>
  <c r="X59" i="5" s="1"/>
  <c r="X45" i="5" a="1"/>
  <c r="X45" i="5" s="1"/>
  <c r="H45" i="12" a="1"/>
  <c r="H45" i="12" s="1"/>
  <c r="X67" i="5" a="1"/>
  <c r="X67" i="5" s="1"/>
  <c r="H67" i="12" a="1"/>
  <c r="H67" i="12" s="1"/>
  <c r="H23" i="12" a="1"/>
  <c r="H23" i="12" s="1"/>
  <c r="X23" i="5" a="1"/>
  <c r="X23" i="5" s="1"/>
  <c r="H72" i="12" a="1"/>
  <c r="H72" i="12" s="1"/>
  <c r="X72" i="5" a="1"/>
  <c r="X72" i="5" s="1"/>
  <c r="H37" i="12" a="1"/>
  <c r="H37" i="12" s="1"/>
  <c r="X37" i="5" a="1"/>
  <c r="X37" i="5" s="1"/>
  <c r="H40" i="12" a="1"/>
  <c r="H40" i="12" s="1"/>
  <c r="X40" i="5" a="1"/>
  <c r="X40" i="5" s="1"/>
  <c r="X26" i="5" a="1"/>
  <c r="X26" i="5" s="1"/>
  <c r="H26" i="12" a="1"/>
  <c r="H26" i="12" s="1"/>
  <c r="H70" i="12" a="1"/>
  <c r="H70" i="12" s="1"/>
  <c r="X70" i="5" a="1"/>
  <c r="X70" i="5" s="1"/>
  <c r="H29" i="12" a="1"/>
  <c r="H29" i="12" s="1"/>
  <c r="X29" i="5" a="1"/>
  <c r="X29" i="5" s="1"/>
  <c r="X34" i="5" a="1"/>
  <c r="X34" i="5" s="1"/>
  <c r="H34" i="12" a="1"/>
  <c r="H34" i="12" s="1"/>
  <c r="X69" i="5" a="1"/>
  <c r="X69" i="5" s="1"/>
  <c r="H69" i="12" a="1"/>
  <c r="H69" i="12" s="1"/>
  <c r="H19" i="12" a="1"/>
  <c r="H19" i="12" s="1"/>
  <c r="X19" i="5" a="1"/>
  <c r="X19" i="5" s="1"/>
  <c r="H57" i="12" a="1"/>
  <c r="H57" i="12" s="1"/>
  <c r="X57" i="5" a="1"/>
  <c r="X57" i="5" s="1"/>
  <c r="X18" i="5" a="1"/>
  <c r="X18" i="5" s="1"/>
  <c r="H18" i="12" a="1"/>
  <c r="H18" i="12" s="1"/>
  <c r="X42" i="5" a="1"/>
  <c r="X42" i="5" s="1"/>
  <c r="H42" i="12" a="1"/>
  <c r="H42" i="12" s="1"/>
  <c r="H43" i="12" a="1"/>
  <c r="H43" i="12" s="1"/>
  <c r="X43" i="5" a="1"/>
  <c r="X43" i="5" s="1"/>
  <c r="X32" i="5" a="1"/>
  <c r="X32" i="5" s="1"/>
  <c r="H32" i="12" a="1"/>
  <c r="H32" i="12" s="1"/>
  <c r="H44" i="12" a="1"/>
  <c r="H44" i="12" s="1"/>
  <c r="X44" i="5" a="1"/>
  <c r="X44" i="5" s="1"/>
  <c r="H75" i="12" a="1"/>
  <c r="H75" i="12" s="1"/>
  <c r="X75" i="5" a="1"/>
  <c r="X75" i="5" s="1"/>
  <c r="X22" i="5" a="1"/>
  <c r="X22" i="5" s="1"/>
  <c r="H22" i="12" a="1"/>
  <c r="H22" i="12" s="1"/>
  <c r="X53" i="5" a="1"/>
  <c r="X53" i="5" s="1"/>
  <c r="H53" i="12" a="1"/>
  <c r="H53" i="12" s="1"/>
  <c r="H61" i="12" a="1"/>
  <c r="H61" i="12" s="1"/>
  <c r="X61" i="5" a="1"/>
  <c r="X61" i="5" s="1"/>
  <c r="H41" i="12" a="1"/>
  <c r="H41" i="12" s="1"/>
  <c r="X41" i="5" a="1"/>
  <c r="X41" i="5" s="1"/>
  <c r="H20" i="12" a="1"/>
  <c r="H20" i="12" s="1"/>
  <c r="X20" i="5" a="1"/>
  <c r="X20" i="5" s="1"/>
  <c r="X30" i="5" a="1"/>
  <c r="X30" i="5" s="1"/>
  <c r="H30" i="12" a="1"/>
  <c r="H30" i="12" s="1"/>
  <c r="I20" i="12" l="1"/>
  <c r="AM20" i="5"/>
  <c r="L20" i="5"/>
  <c r="Z20" i="5"/>
  <c r="L61" i="5"/>
  <c r="AM61" i="5"/>
  <c r="I61" i="12"/>
  <c r="Z61" i="5"/>
  <c r="L44" i="5"/>
  <c r="I44" i="12"/>
  <c r="Z44" i="5"/>
  <c r="AM44" i="5"/>
  <c r="AM43" i="5"/>
  <c r="I43" i="5"/>
  <c r="I44" i="5" s="1"/>
  <c r="L43" i="5"/>
  <c r="I43" i="12"/>
  <c r="Z43" i="5"/>
  <c r="AM19" i="5"/>
  <c r="Z19" i="5"/>
  <c r="I19" i="12"/>
  <c r="L19" i="5"/>
  <c r="AM70" i="5"/>
  <c r="L70" i="5"/>
  <c r="Z70" i="5"/>
  <c r="I70" i="12"/>
  <c r="L40" i="5"/>
  <c r="I40" i="5"/>
  <c r="I41" i="5" s="1"/>
  <c r="I42" i="5" s="1"/>
  <c r="Z40" i="5"/>
  <c r="AM40" i="5"/>
  <c r="I40" i="12"/>
  <c r="X39" i="5" a="1"/>
  <c r="X39" i="5" s="1"/>
  <c r="AM72" i="5"/>
  <c r="I72" i="12"/>
  <c r="L72" i="5"/>
  <c r="Z72" i="5"/>
  <c r="X58" i="5" a="1"/>
  <c r="X58" i="5" s="1"/>
  <c r="L59" i="5"/>
  <c r="I59" i="12"/>
  <c r="I59" i="5"/>
  <c r="I60" i="5" s="1"/>
  <c r="I61" i="5" s="1"/>
  <c r="I62" i="5" s="1"/>
  <c r="I63" i="5" s="1"/>
  <c r="Z59" i="5"/>
  <c r="AM59" i="5"/>
  <c r="L24" i="5"/>
  <c r="Z24" i="5"/>
  <c r="AM24" i="5"/>
  <c r="I24" i="12"/>
  <c r="I66" i="5"/>
  <c r="I67" i="5" s="1"/>
  <c r="X65" i="5" a="1"/>
  <c r="X65" i="5" s="1"/>
  <c r="AM66" i="5"/>
  <c r="X64" i="5" a="1"/>
  <c r="X64" i="5" s="1"/>
  <c r="I66" i="12"/>
  <c r="Z66" i="5"/>
  <c r="L66" i="5"/>
  <c r="X47" i="5" a="1"/>
  <c r="X47" i="5" s="1"/>
  <c r="AM48" i="5"/>
  <c r="X46" i="5" a="1"/>
  <c r="X46" i="5" s="1"/>
  <c r="I48" i="5"/>
  <c r="I49" i="5" s="1"/>
  <c r="I50" i="5" s="1"/>
  <c r="I48" i="12"/>
  <c r="L48" i="5"/>
  <c r="Z48" i="5"/>
  <c r="AM33" i="5"/>
  <c r="I33" i="12"/>
  <c r="Z33" i="5"/>
  <c r="L33" i="5"/>
  <c r="I18" i="5"/>
  <c r="I19" i="5" s="1"/>
  <c r="I20" i="5" s="1"/>
  <c r="I18" i="12"/>
  <c r="AM18" i="5"/>
  <c r="L18" i="5"/>
  <c r="Z18" i="5"/>
  <c r="X16" i="5" a="1"/>
  <c r="X16" i="5" s="1"/>
  <c r="X17" i="5" a="1"/>
  <c r="X17" i="5" s="1"/>
  <c r="X15" i="5"/>
  <c r="L34" i="5"/>
  <c r="Z34" i="5"/>
  <c r="I34" i="12"/>
  <c r="AM34" i="5"/>
  <c r="I67" i="12"/>
  <c r="L67" i="5"/>
  <c r="Z67" i="5"/>
  <c r="AM67" i="5"/>
  <c r="AM50" i="5"/>
  <c r="I50" i="12"/>
  <c r="L50" i="5"/>
  <c r="Z50" i="5"/>
  <c r="I55" i="12"/>
  <c r="Z55" i="5"/>
  <c r="AM55" i="5"/>
  <c r="X54" i="5" a="1"/>
  <c r="X54" i="5" s="1"/>
  <c r="L55" i="5"/>
  <c r="I55" i="5"/>
  <c r="I56" i="5" s="1"/>
  <c r="I57" i="5" s="1"/>
  <c r="Z71" i="5"/>
  <c r="I71" i="12"/>
  <c r="AM71" i="5"/>
  <c r="L71" i="5"/>
  <c r="I22" i="12"/>
  <c r="X21" i="5" a="1"/>
  <c r="X21" i="5" s="1"/>
  <c r="I22" i="5"/>
  <c r="I23" i="5" s="1"/>
  <c r="I24" i="5" s="1"/>
  <c r="I25" i="5" s="1"/>
  <c r="I26" i="5" s="1"/>
  <c r="AM22" i="5"/>
  <c r="L22" i="5"/>
  <c r="Z22" i="5"/>
  <c r="I41" i="12"/>
  <c r="L41" i="5"/>
  <c r="Z41" i="5"/>
  <c r="AM41" i="5"/>
  <c r="AM57" i="5"/>
  <c r="Z57" i="5"/>
  <c r="I57" i="12"/>
  <c r="L57" i="5"/>
  <c r="L29" i="5"/>
  <c r="Z29" i="5"/>
  <c r="AM29" i="5"/>
  <c r="X27" i="5" a="1"/>
  <c r="X27" i="5" s="1"/>
  <c r="I29" i="12"/>
  <c r="X28" i="5" a="1"/>
  <c r="X28" i="5" s="1"/>
  <c r="I29" i="5"/>
  <c r="I30" i="5" s="1"/>
  <c r="I31" i="5" s="1"/>
  <c r="I32" i="5" s="1"/>
  <c r="I33" i="5" s="1"/>
  <c r="I34" i="5" s="1"/>
  <c r="I37" i="5"/>
  <c r="I38" i="5" s="1"/>
  <c r="L37" i="5"/>
  <c r="I37" i="12"/>
  <c r="X36" i="5" a="1"/>
  <c r="X36" i="5" s="1"/>
  <c r="AM37" i="5"/>
  <c r="Z37" i="5"/>
  <c r="X35" i="5" a="1"/>
  <c r="X35" i="5" s="1"/>
  <c r="I23" i="12"/>
  <c r="Z23" i="5"/>
  <c r="L23" i="5"/>
  <c r="AM23" i="5"/>
  <c r="Z31" i="5"/>
  <c r="I31" i="12"/>
  <c r="AM31" i="5"/>
  <c r="L31" i="5"/>
  <c r="I60" i="12"/>
  <c r="AM60" i="5"/>
  <c r="Z60" i="5"/>
  <c r="L60" i="5"/>
  <c r="I56" i="12"/>
  <c r="AM56" i="5"/>
  <c r="Z56" i="5"/>
  <c r="L56" i="5"/>
  <c r="AM62" i="5"/>
  <c r="Z62" i="5"/>
  <c r="I62" i="12"/>
  <c r="L62" i="5"/>
  <c r="X73" i="5" a="1"/>
  <c r="X73" i="5" s="1"/>
  <c r="X74" i="5" a="1"/>
  <c r="X74" i="5" s="1"/>
  <c r="I75" i="12"/>
  <c r="I75" i="5"/>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L75" i="5"/>
  <c r="Z75" i="5"/>
  <c r="AM75" i="5"/>
  <c r="Z30" i="5"/>
  <c r="L30" i="5"/>
  <c r="AM30" i="5"/>
  <c r="I30" i="12"/>
  <c r="I53" i="5"/>
  <c r="X51" i="5" a="1"/>
  <c r="X51" i="5" s="1"/>
  <c r="I53" i="12"/>
  <c r="X52" i="5" a="1"/>
  <c r="X52" i="5" s="1"/>
  <c r="AM53" i="5"/>
  <c r="L53" i="5"/>
  <c r="Z53" i="5"/>
  <c r="Z32" i="5"/>
  <c r="I32" i="12"/>
  <c r="L32" i="5"/>
  <c r="AM32" i="5"/>
  <c r="Z42" i="5"/>
  <c r="I42" i="12"/>
  <c r="AM42" i="5"/>
  <c r="L42" i="5"/>
  <c r="I69" i="12"/>
  <c r="Z69" i="5"/>
  <c r="X68" i="5" a="1"/>
  <c r="X68" i="5" s="1"/>
  <c r="I69" i="5"/>
  <c r="I70" i="5" s="1"/>
  <c r="I71" i="5" s="1"/>
  <c r="I72" i="5" s="1"/>
  <c r="L69" i="5"/>
  <c r="AM69" i="5"/>
  <c r="AM26" i="5"/>
  <c r="I26" i="12"/>
  <c r="Z26" i="5"/>
  <c r="L26" i="5"/>
  <c r="Z45" i="5"/>
  <c r="I45" i="12"/>
  <c r="AM45" i="5"/>
  <c r="L45" i="5"/>
  <c r="C45" i="6" s="1"/>
  <c r="I45" i="5"/>
  <c r="O45" i="5" s="1"/>
  <c r="Z25" i="5"/>
  <c r="I25" i="12"/>
  <c r="L25" i="5"/>
  <c r="AM25" i="5"/>
  <c r="AM49" i="5"/>
  <c r="I49" i="12"/>
  <c r="L49" i="5"/>
  <c r="Z49" i="5"/>
  <c r="Z38" i="5"/>
  <c r="I38" i="12"/>
  <c r="L38" i="5"/>
  <c r="AM38" i="5"/>
  <c r="L63" i="5"/>
  <c r="Z63" i="5"/>
  <c r="AM63" i="5"/>
  <c r="I63" i="12"/>
  <c r="AB25" i="5" l="1" a="1"/>
  <c r="AB25" i="5" s="1"/>
  <c r="AA25" i="5" a="1"/>
  <c r="AA25" i="5" s="1"/>
  <c r="C26" i="12"/>
  <c r="O26" i="12" a="1"/>
  <c r="O26" i="12" s="1"/>
  <c r="N26" i="12" s="1"/>
  <c r="M26" i="12" a="1"/>
  <c r="M26" i="12" s="1"/>
  <c r="AO26" i="12" a="1"/>
  <c r="AO26" i="12" s="1"/>
  <c r="AB49" i="5" a="1"/>
  <c r="AB49" i="5" s="1"/>
  <c r="AA49" i="5" a="1"/>
  <c r="AA49" i="5" s="1"/>
  <c r="Z51" i="5"/>
  <c r="S44" i="8"/>
  <c r="I51" i="12"/>
  <c r="L51" i="5"/>
  <c r="O18" i="11" a="1"/>
  <c r="O18" i="11" s="1"/>
  <c r="AM51" i="5"/>
  <c r="O75" i="5"/>
  <c r="C75" i="6"/>
  <c r="O38" i="5"/>
  <c r="C38" i="6"/>
  <c r="AC49" i="5" a="1"/>
  <c r="AC49" i="5" s="1"/>
  <c r="C49" i="6"/>
  <c r="O49" i="5"/>
  <c r="O25" i="5"/>
  <c r="C25" i="6"/>
  <c r="C26" i="6"/>
  <c r="O26" i="5"/>
  <c r="AB69" i="5" a="1"/>
  <c r="AB69" i="5" s="1"/>
  <c r="AA69" i="5" a="1"/>
  <c r="AA69" i="5" s="1"/>
  <c r="M42" i="12" a="1"/>
  <c r="M42" i="12" s="1"/>
  <c r="C42" i="12"/>
  <c r="O42" i="12" a="1"/>
  <c r="O42" i="12" s="1"/>
  <c r="N42" i="12" s="1"/>
  <c r="AO42" i="12" a="1"/>
  <c r="AO42" i="12" s="1"/>
  <c r="Y42" i="12" s="1"/>
  <c r="C32" i="12"/>
  <c r="AO32" i="12" a="1"/>
  <c r="AO32" i="12" s="1"/>
  <c r="O32" i="12" a="1"/>
  <c r="O32" i="12" s="1"/>
  <c r="M32" i="12" a="1"/>
  <c r="M32" i="12" s="1"/>
  <c r="AB30" i="5" a="1"/>
  <c r="AB30" i="5" s="1"/>
  <c r="AA30" i="5" a="1"/>
  <c r="AA30" i="5" s="1"/>
  <c r="AB63" i="5" a="1"/>
  <c r="AB63" i="5" s="1"/>
  <c r="AA63" i="5" a="1"/>
  <c r="AA63" i="5" s="1"/>
  <c r="M38" i="12" a="1"/>
  <c r="M38" i="12" s="1"/>
  <c r="C38" i="12"/>
  <c r="O38" i="12" a="1"/>
  <c r="O38" i="12" s="1"/>
  <c r="N38" i="12" s="1"/>
  <c r="AO38" i="12" a="1"/>
  <c r="AO38" i="12" s="1"/>
  <c r="Y38" i="12" s="1"/>
  <c r="C49" i="12"/>
  <c r="O49" i="12" a="1"/>
  <c r="O49" i="12" s="1"/>
  <c r="M49" i="12" a="1"/>
  <c r="M49" i="12" s="1"/>
  <c r="AO49" i="12" a="1"/>
  <c r="AO49" i="12" s="1"/>
  <c r="Y49" i="12" s="1"/>
  <c r="AO25" i="12" a="1"/>
  <c r="AO25" i="12" s="1"/>
  <c r="M25" i="12" a="1"/>
  <c r="M25" i="12" s="1"/>
  <c r="C25" i="12"/>
  <c r="O25" i="12" a="1"/>
  <c r="O25" i="12" s="1"/>
  <c r="N25" i="12" s="1"/>
  <c r="AB26" i="5" a="1"/>
  <c r="AB26" i="5" s="1"/>
  <c r="AA26" i="5" a="1"/>
  <c r="AA26" i="5" s="1"/>
  <c r="AC69" i="5" a="1"/>
  <c r="AC69" i="5" s="1"/>
  <c r="O69" i="5"/>
  <c r="C69" i="6"/>
  <c r="C69" i="12"/>
  <c r="O69" i="12" a="1"/>
  <c r="O69" i="12" s="1"/>
  <c r="AO69" i="12" a="1"/>
  <c r="AO69" i="12" s="1"/>
  <c r="M69" i="12" a="1"/>
  <c r="M69" i="12" s="1"/>
  <c r="AB42" i="5" a="1"/>
  <c r="AB42" i="5" s="1"/>
  <c r="AA42" i="5" a="1"/>
  <c r="AA42" i="5" s="1"/>
  <c r="AB32" i="5" a="1"/>
  <c r="AB32" i="5" s="1"/>
  <c r="AA32" i="5" a="1"/>
  <c r="AA32" i="5" s="1"/>
  <c r="L52" i="5"/>
  <c r="Z52" i="5"/>
  <c r="I52" i="12"/>
  <c r="S47" i="8"/>
  <c r="AM52" i="5"/>
  <c r="C30" i="12"/>
  <c r="O30" i="12" a="1"/>
  <c r="O30" i="12" s="1"/>
  <c r="N30" i="12" s="1"/>
  <c r="AO30" i="12" a="1"/>
  <c r="AO30" i="12" s="1"/>
  <c r="M30" i="12" a="1"/>
  <c r="M30" i="12" s="1"/>
  <c r="C75" i="12"/>
  <c r="O75" i="12" a="1"/>
  <c r="O75" i="12" s="1"/>
  <c r="M75" i="12" a="1"/>
  <c r="M75" i="12" s="1"/>
  <c r="AO75" i="12" a="1"/>
  <c r="AO75" i="12" s="1"/>
  <c r="AO62" i="12" a="1"/>
  <c r="AO62" i="12" s="1"/>
  <c r="O62" i="12" a="1"/>
  <c r="O62" i="12" s="1"/>
  <c r="N62" i="12" s="1"/>
  <c r="C62" i="12"/>
  <c r="M62" i="12" a="1"/>
  <c r="M62" i="12" s="1"/>
  <c r="AB56" i="5" a="1"/>
  <c r="AB56" i="5" s="1"/>
  <c r="AA56" i="5" a="1"/>
  <c r="AA56" i="5" s="1"/>
  <c r="AB60" i="5" a="1"/>
  <c r="AB60" i="5" s="1"/>
  <c r="AA60" i="5" a="1"/>
  <c r="AA60" i="5" s="1"/>
  <c r="O23" i="5"/>
  <c r="C23" i="6"/>
  <c r="AB37" i="5" a="1"/>
  <c r="AB37" i="5" s="1"/>
  <c r="AA37" i="5" a="1"/>
  <c r="AA37" i="5" s="1"/>
  <c r="O37" i="5"/>
  <c r="C37" i="6"/>
  <c r="C29" i="12"/>
  <c r="AO29" i="12" a="1"/>
  <c r="AO29" i="12" s="1"/>
  <c r="M29" i="12" a="1"/>
  <c r="M29" i="12" s="1"/>
  <c r="O29" i="12" a="1"/>
  <c r="O29" i="12" s="1"/>
  <c r="C29" i="6"/>
  <c r="O29" i="5"/>
  <c r="AO41" i="12" a="1"/>
  <c r="AO41" i="12" s="1"/>
  <c r="Y41" i="12" s="1"/>
  <c r="M41" i="12" a="1"/>
  <c r="M41" i="12" s="1"/>
  <c r="O41" i="12" a="1"/>
  <c r="O41" i="12" s="1"/>
  <c r="C41" i="12"/>
  <c r="AC55" i="5" a="1"/>
  <c r="AC55" i="5" s="1"/>
  <c r="C55" i="6"/>
  <c r="O55" i="5"/>
  <c r="C55" i="12"/>
  <c r="AO55" i="12" a="1"/>
  <c r="AO55" i="12" s="1"/>
  <c r="M55" i="12" a="1"/>
  <c r="M55" i="12" s="1"/>
  <c r="O55" i="12" a="1"/>
  <c r="O55" i="12" s="1"/>
  <c r="C67" i="12"/>
  <c r="AO67" i="12" a="1"/>
  <c r="AO67" i="12" s="1"/>
  <c r="Y67" i="12" s="1"/>
  <c r="M67" i="12" a="1"/>
  <c r="M67" i="12" s="1"/>
  <c r="O67" i="12" a="1"/>
  <c r="O67" i="12" s="1"/>
  <c r="O34" i="5"/>
  <c r="C34" i="6"/>
  <c r="AB18" i="5" a="1"/>
  <c r="AB18" i="5" s="1"/>
  <c r="AA18" i="5" a="1"/>
  <c r="AA18" i="5" s="1"/>
  <c r="AC66" i="5" a="1"/>
  <c r="AC66" i="5" s="1"/>
  <c r="O66" i="5"/>
  <c r="C66" i="6"/>
  <c r="AB59" i="5" a="1"/>
  <c r="AB59" i="5" s="1"/>
  <c r="AA59" i="5" a="1"/>
  <c r="AA59" i="5" s="1"/>
  <c r="L58" i="5"/>
  <c r="S53" i="8"/>
  <c r="I58" i="12"/>
  <c r="AM58" i="5"/>
  <c r="Z58" i="5"/>
  <c r="AB40" i="5" a="1"/>
  <c r="AB40" i="5" s="1"/>
  <c r="AA40" i="5" a="1"/>
  <c r="AA40" i="5" s="1"/>
  <c r="AB70" i="5" a="1"/>
  <c r="AB70" i="5" s="1"/>
  <c r="AA70" i="5" a="1"/>
  <c r="AA70" i="5" s="1"/>
  <c r="C19" i="12"/>
  <c r="M19" i="12" a="1"/>
  <c r="M19" i="12" s="1"/>
  <c r="AO19" i="12" a="1"/>
  <c r="AO19" i="12" s="1"/>
  <c r="O19" i="12" a="1"/>
  <c r="O19" i="12" s="1"/>
  <c r="N19" i="12" s="1"/>
  <c r="M43" i="12" a="1"/>
  <c r="M43" i="12" s="1"/>
  <c r="AO43" i="12" a="1"/>
  <c r="AO43" i="12" s="1"/>
  <c r="Y43" i="12" s="1"/>
  <c r="O43" i="12" a="1"/>
  <c r="O43" i="12" s="1"/>
  <c r="C43" i="12"/>
  <c r="AB61" i="5" a="1"/>
  <c r="AB61" i="5" s="1"/>
  <c r="AA61" i="5" a="1"/>
  <c r="AA61" i="5" s="1"/>
  <c r="AB20" i="5" a="1"/>
  <c r="AB20" i="5" s="1"/>
  <c r="AA20" i="5" a="1"/>
  <c r="AA20" i="5" s="1"/>
  <c r="C42" i="6"/>
  <c r="O42" i="5"/>
  <c r="AB53" i="5" a="1"/>
  <c r="AB53" i="5" s="1"/>
  <c r="AA53" i="5" a="1"/>
  <c r="AA53" i="5" s="1"/>
  <c r="O53" i="12" a="1"/>
  <c r="O53" i="12" s="1"/>
  <c r="M53" i="12" a="1"/>
  <c r="M53" i="12" s="1"/>
  <c r="AO53" i="12" a="1"/>
  <c r="AO53" i="12" s="1"/>
  <c r="C53" i="12"/>
  <c r="AB75" i="5" a="1"/>
  <c r="AB75" i="5" s="1"/>
  <c r="AA75" i="5" a="1"/>
  <c r="AA75" i="5" s="1"/>
  <c r="S68" i="8"/>
  <c r="L74" i="5"/>
  <c r="I74" i="12"/>
  <c r="AM74" i="5"/>
  <c r="Z74" i="5"/>
  <c r="AB62" i="5" a="1"/>
  <c r="AB62" i="5" s="1"/>
  <c r="AA62" i="5" a="1"/>
  <c r="AA62" i="5" s="1"/>
  <c r="AO31" i="12" a="1"/>
  <c r="AO31" i="12" s="1"/>
  <c r="Y31" i="12" s="1"/>
  <c r="O31" i="12" a="1"/>
  <c r="O31" i="12" s="1"/>
  <c r="M31" i="12" a="1"/>
  <c r="M31" i="12" s="1"/>
  <c r="C31" i="12"/>
  <c r="AB23" i="5" a="1"/>
  <c r="AB23" i="5" s="1"/>
  <c r="AA23" i="5" a="1"/>
  <c r="AA23" i="5" s="1"/>
  <c r="L27" i="5"/>
  <c r="Z27" i="5"/>
  <c r="AM27" i="5"/>
  <c r="S23" i="8"/>
  <c r="O15" i="11" a="1"/>
  <c r="O15" i="11" s="1"/>
  <c r="I27" i="12"/>
  <c r="AC57" i="5" a="1"/>
  <c r="AC57" i="5" s="1"/>
  <c r="C57" i="6"/>
  <c r="O57" i="5"/>
  <c r="AB22" i="5" a="1"/>
  <c r="AB22" i="5" s="1"/>
  <c r="AA22" i="5" a="1"/>
  <c r="AA22" i="5" s="1"/>
  <c r="L21" i="5"/>
  <c r="Z21" i="5"/>
  <c r="S20" i="8"/>
  <c r="I21" i="12"/>
  <c r="AM21" i="5"/>
  <c r="M71" i="12" a="1"/>
  <c r="M71" i="12" s="1"/>
  <c r="AO71" i="12" a="1"/>
  <c r="AO71" i="12" s="1"/>
  <c r="Y71" i="12" s="1"/>
  <c r="C71" i="12"/>
  <c r="O71" i="12" a="1"/>
  <c r="O71" i="12" s="1"/>
  <c r="AM54" i="5"/>
  <c r="S50" i="8"/>
  <c r="Z54" i="5"/>
  <c r="I54" i="12"/>
  <c r="L54" i="5"/>
  <c r="AB50" i="5" a="1"/>
  <c r="AB50" i="5" s="1"/>
  <c r="AA50" i="5" a="1"/>
  <c r="AA50" i="5" s="1"/>
  <c r="K72" i="10"/>
  <c r="K75" i="10" s="1"/>
  <c r="O70" i="10"/>
  <c r="AM15" i="5"/>
  <c r="Y70" i="10"/>
  <c r="Q72" i="10"/>
  <c r="Q75" i="10" s="1"/>
  <c r="AE72" i="10"/>
  <c r="AE75" i="10" s="1"/>
  <c r="U70" i="10"/>
  <c r="M70" i="10"/>
  <c r="K70" i="10"/>
  <c r="S70" i="10"/>
  <c r="AE70" i="10"/>
  <c r="W72" i="10"/>
  <c r="W75" i="10" s="1"/>
  <c r="AC70" i="10"/>
  <c r="I72" i="10"/>
  <c r="AA72" i="10"/>
  <c r="AA75" i="10" s="1"/>
  <c r="AC72" i="10"/>
  <c r="AC75" i="10" s="1"/>
  <c r="Q70" i="10"/>
  <c r="U72" i="10"/>
  <c r="U75" i="10" s="1"/>
  <c r="Y72" i="10"/>
  <c r="Y75" i="10" s="1"/>
  <c r="O72" i="10"/>
  <c r="O75" i="10" s="1"/>
  <c r="AA70" i="10"/>
  <c r="W70" i="10"/>
  <c r="S72" i="10"/>
  <c r="S75" i="10" s="1"/>
  <c r="Z15" i="5"/>
  <c r="M72" i="10"/>
  <c r="M75" i="10" s="1"/>
  <c r="I70" i="10"/>
  <c r="Y9" i="10" s="1"/>
  <c r="O18" i="5"/>
  <c r="C18" i="6"/>
  <c r="O33" i="5"/>
  <c r="C33" i="6"/>
  <c r="AB48" i="5" a="1"/>
  <c r="AB48" i="5" s="1"/>
  <c r="AA48" i="5" a="1"/>
  <c r="AA48" i="5" s="1"/>
  <c r="I46" i="12"/>
  <c r="O17" i="11" a="1"/>
  <c r="O17" i="11" s="1"/>
  <c r="AM46" i="5"/>
  <c r="Z46" i="5"/>
  <c r="S38" i="8"/>
  <c r="L46" i="5"/>
  <c r="AB66" i="5" a="1"/>
  <c r="AB66" i="5" s="1"/>
  <c r="AA66" i="5" a="1"/>
  <c r="AA66" i="5" s="1"/>
  <c r="Z65" i="5"/>
  <c r="S59" i="8"/>
  <c r="L65" i="5"/>
  <c r="AM65" i="5"/>
  <c r="I65" i="12"/>
  <c r="AB24" i="5" a="1"/>
  <c r="AB24" i="5" s="1"/>
  <c r="AA24" i="5" a="1"/>
  <c r="AA24" i="5" s="1"/>
  <c r="AB72" i="5" a="1"/>
  <c r="AB72" i="5" s="1"/>
  <c r="AA72" i="5" a="1"/>
  <c r="AA72" i="5" s="1"/>
  <c r="L39" i="5"/>
  <c r="Z39" i="5"/>
  <c r="I39" i="12"/>
  <c r="S35" i="8"/>
  <c r="AM39" i="5"/>
  <c r="O70" i="5"/>
  <c r="C70" i="6"/>
  <c r="AB19" i="5" a="1"/>
  <c r="AB19" i="5" s="1"/>
  <c r="AA19" i="5" a="1"/>
  <c r="AA19" i="5" s="1"/>
  <c r="C43" i="6"/>
  <c r="O43" i="5"/>
  <c r="AB44" i="5" a="1"/>
  <c r="AB44" i="5" s="1"/>
  <c r="AA44" i="5" a="1"/>
  <c r="AA44" i="5" s="1"/>
  <c r="O61" i="12" a="1"/>
  <c r="O61" i="12" s="1"/>
  <c r="N61" i="12" s="1"/>
  <c r="C61" i="12"/>
  <c r="AO61" i="12" a="1"/>
  <c r="AO61" i="12" s="1"/>
  <c r="M61" i="12" a="1"/>
  <c r="M61" i="12" s="1"/>
  <c r="O20" i="5"/>
  <c r="C20" i="6"/>
  <c r="O63" i="5"/>
  <c r="C63" i="6"/>
  <c r="L68" i="5"/>
  <c r="I68" i="12"/>
  <c r="Z68" i="5"/>
  <c r="S62" i="8"/>
  <c r="AM68" i="5"/>
  <c r="AC53" i="5" a="1"/>
  <c r="AC53" i="5" s="1"/>
  <c r="C53" i="6"/>
  <c r="O53" i="5"/>
  <c r="AM73" i="5"/>
  <c r="I73" i="12"/>
  <c r="S65" i="8"/>
  <c r="Z73" i="5"/>
  <c r="O20" i="11" a="1"/>
  <c r="O20" i="11" s="1"/>
  <c r="L73" i="5"/>
  <c r="M56" i="12" a="1"/>
  <c r="M56" i="12" s="1"/>
  <c r="O56" i="12" a="1"/>
  <c r="O56" i="12" s="1"/>
  <c r="N56" i="12" s="1"/>
  <c r="C56" i="12"/>
  <c r="AO56" i="12" a="1"/>
  <c r="AO56" i="12" s="1"/>
  <c r="O60" i="12" a="1"/>
  <c r="O60" i="12" s="1"/>
  <c r="M60" i="12" a="1"/>
  <c r="M60" i="12" s="1"/>
  <c r="C60" i="12"/>
  <c r="AO60" i="12" a="1"/>
  <c r="AO60" i="12" s="1"/>
  <c r="Y60" i="12" s="1"/>
  <c r="AB31" i="5" a="1"/>
  <c r="AB31" i="5" s="1"/>
  <c r="AA31" i="5" a="1"/>
  <c r="AA31" i="5" s="1"/>
  <c r="M23" i="12" a="1"/>
  <c r="M23" i="12" s="1"/>
  <c r="O23" i="12" a="1"/>
  <c r="O23" i="12" s="1"/>
  <c r="AO23" i="12" a="1"/>
  <c r="AO23" i="12" s="1"/>
  <c r="C23" i="12"/>
  <c r="AM36" i="5"/>
  <c r="S32" i="8"/>
  <c r="Z36" i="5"/>
  <c r="L36" i="5"/>
  <c r="I36" i="12"/>
  <c r="C57" i="12"/>
  <c r="O57" i="12" a="1"/>
  <c r="O57" i="12" s="1"/>
  <c r="M57" i="12" a="1"/>
  <c r="M57" i="12" s="1"/>
  <c r="AO57" i="12" a="1"/>
  <c r="AO57" i="12" s="1"/>
  <c r="Y57" i="12" s="1"/>
  <c r="AB41" i="5" a="1"/>
  <c r="AB41" i="5" s="1"/>
  <c r="AA41" i="5" a="1"/>
  <c r="AA41" i="5" s="1"/>
  <c r="C22" i="6"/>
  <c r="O22" i="5"/>
  <c r="C22" i="12"/>
  <c r="AO22" i="12" a="1"/>
  <c r="AO22" i="12" s="1"/>
  <c r="O22" i="12" a="1"/>
  <c r="O22" i="12" s="1"/>
  <c r="M22" i="12" a="1"/>
  <c r="M22" i="12" s="1"/>
  <c r="M21" i="12" s="1" a="1"/>
  <c r="M21" i="12" s="1"/>
  <c r="AB71" i="5" a="1"/>
  <c r="AB71" i="5" s="1"/>
  <c r="AA71" i="5" a="1"/>
  <c r="AA71" i="5" s="1"/>
  <c r="O50" i="5"/>
  <c r="C50" i="6"/>
  <c r="AB67" i="5" a="1"/>
  <c r="AB67" i="5" s="1"/>
  <c r="AA67" i="5" a="1"/>
  <c r="AA67" i="5" s="1"/>
  <c r="C34" i="12"/>
  <c r="M34" i="12" a="1"/>
  <c r="M34" i="12" s="1"/>
  <c r="AO34" i="12" a="1"/>
  <c r="AO34" i="12" s="1"/>
  <c r="Y34" i="12" s="1"/>
  <c r="O34" i="12" a="1"/>
  <c r="O34" i="12" s="1"/>
  <c r="I17" i="12"/>
  <c r="AM17" i="5"/>
  <c r="Z17" i="5"/>
  <c r="L17" i="5"/>
  <c r="S17" i="8"/>
  <c r="AB33" i="5" a="1"/>
  <c r="AB33" i="5" s="1"/>
  <c r="AA33" i="5" a="1"/>
  <c r="AA33" i="5" s="1"/>
  <c r="AC48" i="5" a="1"/>
  <c r="AC48" i="5" s="1"/>
  <c r="O48" i="5"/>
  <c r="C48" i="6"/>
  <c r="O66" i="12" a="1"/>
  <c r="O66" i="12" s="1"/>
  <c r="C66" i="12"/>
  <c r="AO66" i="12" a="1"/>
  <c r="AO66" i="12" s="1"/>
  <c r="M66" i="12" a="1"/>
  <c r="M66" i="12" s="1"/>
  <c r="C24" i="6"/>
  <c r="O24" i="5"/>
  <c r="AO59" i="12" a="1"/>
  <c r="AO59" i="12" s="1"/>
  <c r="C59" i="12"/>
  <c r="O59" i="12" a="1"/>
  <c r="O59" i="12" s="1"/>
  <c r="M59" i="12" a="1"/>
  <c r="M59" i="12" s="1"/>
  <c r="AC72" i="5" a="1"/>
  <c r="AC72" i="5" s="1"/>
  <c r="C72" i="6"/>
  <c r="O72" i="5"/>
  <c r="C40" i="12"/>
  <c r="O40" i="12" a="1"/>
  <c r="O40" i="12" s="1"/>
  <c r="M40" i="12" a="1"/>
  <c r="M40" i="12" s="1"/>
  <c r="M39" i="12" s="1" a="1"/>
  <c r="M39" i="12" s="1"/>
  <c r="AO40" i="12" a="1"/>
  <c r="AO40" i="12" s="1"/>
  <c r="C40" i="6"/>
  <c r="O40" i="5"/>
  <c r="M44" i="12" a="1"/>
  <c r="M44" i="12" s="1"/>
  <c r="AO44" i="12" a="1"/>
  <c r="AO44" i="12" s="1"/>
  <c r="Y44" i="12" s="1"/>
  <c r="O44" i="12" a="1"/>
  <c r="O44" i="12" s="1"/>
  <c r="C44" i="12"/>
  <c r="AB38" i="5" a="1"/>
  <c r="AB38" i="5" s="1"/>
  <c r="AA38" i="5" a="1"/>
  <c r="AA38" i="5" s="1"/>
  <c r="M45" i="12" a="1"/>
  <c r="M45" i="12" s="1"/>
  <c r="C45" i="12"/>
  <c r="AO45" i="12" a="1"/>
  <c r="AO45" i="12" s="1"/>
  <c r="Y45" i="12" s="1"/>
  <c r="O45" i="12" a="1"/>
  <c r="O45" i="12" s="1"/>
  <c r="N45" i="12" s="1"/>
  <c r="M63" i="12" a="1"/>
  <c r="M63" i="12" s="1"/>
  <c r="C63" i="12"/>
  <c r="O63" i="12" a="1"/>
  <c r="O63" i="12" s="1"/>
  <c r="N63" i="12" s="1"/>
  <c r="AO63" i="12" a="1"/>
  <c r="AO63" i="12" s="1"/>
  <c r="D45" i="12"/>
  <c r="E45" i="6"/>
  <c r="AB45" i="5" a="1"/>
  <c r="AB45" i="5" s="1"/>
  <c r="AA45" i="5" a="1"/>
  <c r="AA45" i="5" s="1"/>
  <c r="AC32" i="5" a="1"/>
  <c r="AC32" i="5" s="1"/>
  <c r="O32" i="5"/>
  <c r="C32" i="6"/>
  <c r="C30" i="6"/>
  <c r="O30" i="5"/>
  <c r="O62" i="5"/>
  <c r="C62" i="6"/>
  <c r="AC56" i="5" a="1"/>
  <c r="AC56" i="5" s="1"/>
  <c r="C56" i="6"/>
  <c r="O56" i="5"/>
  <c r="AC60" i="5" a="1"/>
  <c r="AC60" i="5" s="1"/>
  <c r="C60" i="6"/>
  <c r="O60" i="5"/>
  <c r="O31" i="5"/>
  <c r="C31" i="6"/>
  <c r="L35" i="5"/>
  <c r="AM35" i="5"/>
  <c r="O16" i="11" a="1"/>
  <c r="O16" i="11" s="1"/>
  <c r="S29" i="8"/>
  <c r="Z35" i="5"/>
  <c r="I35" i="12"/>
  <c r="O37" i="12" a="1"/>
  <c r="O37" i="12" s="1"/>
  <c r="C37" i="12"/>
  <c r="M37" i="12" a="1"/>
  <c r="M37" i="12" s="1"/>
  <c r="AO37" i="12" a="1"/>
  <c r="AO37" i="12" s="1"/>
  <c r="L28" i="5"/>
  <c r="AM28" i="5"/>
  <c r="I28" i="12"/>
  <c r="S26" i="8"/>
  <c r="Z28" i="5"/>
  <c r="AB29" i="5" a="1"/>
  <c r="AB29" i="5" s="1"/>
  <c r="AA29" i="5" a="1"/>
  <c r="AA29" i="5" s="1"/>
  <c r="AB57" i="5" a="1"/>
  <c r="AB57" i="5" s="1"/>
  <c r="AA57" i="5" a="1"/>
  <c r="AA57" i="5" s="1"/>
  <c r="C41" i="6"/>
  <c r="O41" i="5"/>
  <c r="O71" i="5"/>
  <c r="C71" i="6"/>
  <c r="AB55" i="5" a="1"/>
  <c r="AB55" i="5" s="1"/>
  <c r="AB54" i="5" s="1" a="1"/>
  <c r="AB54" i="5" s="1"/>
  <c r="D50" i="8" s="1"/>
  <c r="AA55" i="5" a="1"/>
  <c r="AA55" i="5" s="1"/>
  <c r="AO50" i="12" a="1"/>
  <c r="AO50" i="12" s="1"/>
  <c r="O50" i="12" a="1"/>
  <c r="O50" i="12" s="1"/>
  <c r="M50" i="12" a="1"/>
  <c r="M50" i="12" s="1"/>
  <c r="C50" i="12"/>
  <c r="AC67" i="5" a="1"/>
  <c r="AC67" i="5" s="1"/>
  <c r="O67" i="5"/>
  <c r="C67" i="6"/>
  <c r="AB34" i="5" a="1"/>
  <c r="AB34" i="5" s="1"/>
  <c r="AA34" i="5" a="1"/>
  <c r="AA34" i="5" s="1"/>
  <c r="S14" i="8"/>
  <c r="O14" i="11" a="1"/>
  <c r="O14" i="11" s="1"/>
  <c r="AM16" i="5"/>
  <c r="Z16" i="5"/>
  <c r="L16" i="5"/>
  <c r="I16" i="12"/>
  <c r="M18" i="12" a="1"/>
  <c r="M18" i="12" s="1"/>
  <c r="C18" i="12"/>
  <c r="AO18" i="12" a="1"/>
  <c r="AO18" i="12" s="1"/>
  <c r="O18" i="12" a="1"/>
  <c r="O18" i="12" s="1"/>
  <c r="C33" i="12"/>
  <c r="AO33" i="12" a="1"/>
  <c r="AO33" i="12" s="1"/>
  <c r="O33" i="12" a="1"/>
  <c r="O33" i="12" s="1"/>
  <c r="M33" i="12" a="1"/>
  <c r="M33" i="12" s="1"/>
  <c r="M48" i="12" a="1"/>
  <c r="M48" i="12" s="1"/>
  <c r="AO48" i="12" a="1"/>
  <c r="AO48" i="12" s="1"/>
  <c r="C48" i="12"/>
  <c r="O48" i="12" a="1"/>
  <c r="O48" i="12" s="1"/>
  <c r="I47" i="12"/>
  <c r="Z47" i="5"/>
  <c r="S41" i="8"/>
  <c r="L47" i="5"/>
  <c r="AM47" i="5"/>
  <c r="I64" i="12"/>
  <c r="O19" i="11" a="1"/>
  <c r="O19" i="11" s="1"/>
  <c r="Z64" i="5"/>
  <c r="S56" i="8"/>
  <c r="L64" i="5"/>
  <c r="AM64" i="5"/>
  <c r="AO24" i="12" a="1"/>
  <c r="AO24" i="12" s="1"/>
  <c r="Y24" i="12" s="1"/>
  <c r="C24" i="12"/>
  <c r="M24" i="12" a="1"/>
  <c r="M24" i="12" s="1"/>
  <c r="O24" i="12" a="1"/>
  <c r="O24" i="12" s="1"/>
  <c r="N24" i="12" s="1"/>
  <c r="AC59" i="5" a="1"/>
  <c r="AC59" i="5" s="1"/>
  <c r="C59" i="6"/>
  <c r="O59" i="5"/>
  <c r="O72" i="12" a="1"/>
  <c r="O72" i="12" s="1"/>
  <c r="M72" i="12" a="1"/>
  <c r="M72" i="12" s="1"/>
  <c r="AO72" i="12" a="1"/>
  <c r="AO72" i="12" s="1"/>
  <c r="C72" i="12"/>
  <c r="M70" i="12" a="1"/>
  <c r="M70" i="12" s="1"/>
  <c r="C70" i="12"/>
  <c r="O70" i="12" a="1"/>
  <c r="O70" i="12" s="1"/>
  <c r="AO70" i="12" a="1"/>
  <c r="AO70" i="12" s="1"/>
  <c r="O19" i="5"/>
  <c r="C19" i="6"/>
  <c r="AB43" i="5" a="1"/>
  <c r="AB43" i="5" s="1"/>
  <c r="AA43" i="5" a="1"/>
  <c r="AA43" i="5" s="1"/>
  <c r="C44" i="6"/>
  <c r="O44" i="5"/>
  <c r="AC61" i="5" a="1"/>
  <c r="AC61" i="5" s="1"/>
  <c r="C61" i="6"/>
  <c r="O61" i="5"/>
  <c r="O20" i="12" a="1"/>
  <c r="O20" i="12" s="1"/>
  <c r="N20" i="12" s="1"/>
  <c r="C20" i="12"/>
  <c r="AO20" i="12" a="1"/>
  <c r="AO20" i="12" s="1"/>
  <c r="M20" i="12" a="1"/>
  <c r="M20" i="12" s="1"/>
  <c r="AC47" i="5" l="1" a="1"/>
  <c r="AC47" i="5" s="1"/>
  <c r="O47" i="5"/>
  <c r="C47" i="6"/>
  <c r="O17" i="12" a="1"/>
  <c r="O17" i="12" s="1"/>
  <c r="N18" i="12"/>
  <c r="O16" i="12" a="1"/>
  <c r="O16" i="12" s="1"/>
  <c r="AB28" i="5" a="1"/>
  <c r="AB28" i="5" s="1"/>
  <c r="D26" i="8" s="1"/>
  <c r="AB27" i="5" a="1"/>
  <c r="AB27" i="5" s="1"/>
  <c r="AB15" i="11" s="1" a="1"/>
  <c r="AB15" i="11" s="1"/>
  <c r="N15" i="11" s="1"/>
  <c r="N70" i="12"/>
  <c r="Y72" i="12"/>
  <c r="G56" i="8"/>
  <c r="G57" i="8" s="1" a="1"/>
  <c r="G57" i="8" s="1"/>
  <c r="H57" i="8" a="1"/>
  <c r="H57" i="8" s="1"/>
  <c r="C47" i="12"/>
  <c r="L47" i="12" a="1"/>
  <c r="L47" i="12" s="1"/>
  <c r="J47" i="12" a="1"/>
  <c r="J47" i="12" s="1"/>
  <c r="M47" i="12" a="1"/>
  <c r="M47" i="12" s="1"/>
  <c r="M46" i="12" a="1"/>
  <c r="M46" i="12" s="1"/>
  <c r="M17" i="12" a="1"/>
  <c r="M17" i="12" s="1"/>
  <c r="M16" i="12" a="1"/>
  <c r="M16" i="12" s="1"/>
  <c r="AA54" i="5" a="1"/>
  <c r="AA54" i="5" s="1"/>
  <c r="C50" i="8" s="1"/>
  <c r="E41" i="6"/>
  <c r="D41" i="12"/>
  <c r="AA28" i="5" a="1"/>
  <c r="AA28" i="5" s="1"/>
  <c r="C26" i="8" s="1"/>
  <c r="AA27" i="5" a="1"/>
  <c r="AA27" i="5" s="1"/>
  <c r="AA15" i="11" s="1" a="1"/>
  <c r="AA15" i="11" s="1"/>
  <c r="J28" i="12" a="1"/>
  <c r="J28" i="12" s="1"/>
  <c r="L28" i="12" a="1"/>
  <c r="L28" i="12" s="1"/>
  <c r="K28" i="12" s="1"/>
  <c r="C28" i="12"/>
  <c r="M36" i="12" a="1"/>
  <c r="M36" i="12" s="1"/>
  <c r="M35" i="12" a="1"/>
  <c r="M35" i="12" s="1"/>
  <c r="C35" i="6"/>
  <c r="O35" i="5"/>
  <c r="AC35" i="5" a="1"/>
  <c r="AC35" i="5" s="1"/>
  <c r="Y63" i="12"/>
  <c r="W44" i="12" a="1"/>
  <c r="W44" i="12" s="1"/>
  <c r="X44" i="12" a="1"/>
  <c r="X44" i="12" s="1"/>
  <c r="Y40" i="12"/>
  <c r="AO39" i="12" a="1"/>
  <c r="AO39" i="12" s="1"/>
  <c r="E72" i="6"/>
  <c r="D72" i="12"/>
  <c r="O58" i="12" a="1"/>
  <c r="O58" i="12" s="1"/>
  <c r="N59" i="12"/>
  <c r="N66" i="12"/>
  <c r="O64" i="12" a="1"/>
  <c r="O64" i="12" s="1"/>
  <c r="O65" i="12" a="1"/>
  <c r="O65" i="12" s="1"/>
  <c r="W34" i="12" a="1"/>
  <c r="W34" i="12" s="1"/>
  <c r="X34" i="12" a="1"/>
  <c r="X34" i="12" s="1"/>
  <c r="Y34" i="8" a="1"/>
  <c r="Y34" i="8" s="1"/>
  <c r="AE34" i="8" a="1"/>
  <c r="AE34" i="8" s="1"/>
  <c r="Z34" i="8" a="1"/>
  <c r="Z34" i="8" s="1"/>
  <c r="G32" i="8"/>
  <c r="G33" i="8" s="1" a="1"/>
  <c r="G33" i="8" s="1"/>
  <c r="AC34" i="8" a="1"/>
  <c r="AC34" i="8" s="1"/>
  <c r="AA34" i="8" a="1"/>
  <c r="AA34" i="8" s="1"/>
  <c r="AD34" i="8" a="1"/>
  <c r="AD34" i="8" s="1"/>
  <c r="W34" i="8" a="1"/>
  <c r="W34" i="8" s="1"/>
  <c r="H32" i="8" a="1"/>
  <c r="H32" i="8" s="1"/>
  <c r="J33" i="8" s="1"/>
  <c r="X34" i="8" a="1"/>
  <c r="X34" i="8" s="1"/>
  <c r="H33" i="8" a="1"/>
  <c r="H33" i="8" s="1"/>
  <c r="AF34" i="8" a="1"/>
  <c r="AF34" i="8" s="1"/>
  <c r="AB34" i="8" a="1"/>
  <c r="AB34" i="8" s="1"/>
  <c r="E34" i="8" a="1"/>
  <c r="E34" i="8" s="1"/>
  <c r="U34" i="8" a="1"/>
  <c r="U34" i="8" s="1"/>
  <c r="V34" i="8" a="1"/>
  <c r="V34" i="8" s="1"/>
  <c r="N23" i="12"/>
  <c r="X60" i="12" a="1"/>
  <c r="X60" i="12" s="1"/>
  <c r="W60" i="12" a="1"/>
  <c r="W60" i="12" s="1"/>
  <c r="Y56" i="12"/>
  <c r="AC73" i="5" a="1"/>
  <c r="AC73" i="5" s="1"/>
  <c r="C73" i="6"/>
  <c r="O73" i="5"/>
  <c r="C73" i="12"/>
  <c r="J73" i="12" a="1"/>
  <c r="J73" i="12" s="1"/>
  <c r="L73" i="12" a="1"/>
  <c r="L73" i="12" s="1"/>
  <c r="K73" i="12" s="1"/>
  <c r="J68" i="12" a="1"/>
  <c r="J68" i="12" s="1"/>
  <c r="C68" i="12"/>
  <c r="L68" i="12" a="1"/>
  <c r="L68" i="12" s="1"/>
  <c r="K68" i="12" s="1"/>
  <c r="D43" i="12"/>
  <c r="E43" i="6"/>
  <c r="L39" i="12" a="1"/>
  <c r="L39" i="12" s="1"/>
  <c r="J39" i="12" a="1"/>
  <c r="J39" i="12" s="1"/>
  <c r="C39" i="12"/>
  <c r="AA64" i="5" a="1"/>
  <c r="AA64" i="5" s="1"/>
  <c r="AA19" i="11" s="1" a="1"/>
  <c r="AA19" i="11" s="1"/>
  <c r="AA65" i="5" a="1"/>
  <c r="AA65" i="5" s="1"/>
  <c r="C59" i="8" s="1"/>
  <c r="AA46" i="5" a="1"/>
  <c r="AA46" i="5" s="1"/>
  <c r="AA17" i="11" s="1" a="1"/>
  <c r="AA17" i="11" s="1"/>
  <c r="AA47" i="5" a="1"/>
  <c r="AA47" i="5" s="1"/>
  <c r="C41" i="8" s="1"/>
  <c r="C21" i="12"/>
  <c r="J21" i="12" a="1"/>
  <c r="J21" i="12" s="1"/>
  <c r="L21" i="12" a="1"/>
  <c r="L21" i="12" s="1"/>
  <c r="K21" i="12" s="1"/>
  <c r="AA21" i="5" a="1"/>
  <c r="AA21" i="5" s="1"/>
  <c r="C20" i="8" s="1"/>
  <c r="W31" i="12" a="1"/>
  <c r="W31" i="12" s="1"/>
  <c r="X31" i="12" a="1"/>
  <c r="X31" i="12" s="1"/>
  <c r="AA73" i="5" a="1"/>
  <c r="AA73" i="5" s="1"/>
  <c r="AA20" i="11" s="1" a="1"/>
  <c r="AA20" i="11" s="1"/>
  <c r="AA74" i="5" a="1"/>
  <c r="AA74" i="5" s="1"/>
  <c r="C68" i="8" s="1"/>
  <c r="M51" i="12" a="1"/>
  <c r="M51" i="12" s="1"/>
  <c r="M52" i="12" a="1"/>
  <c r="M52" i="12" s="1"/>
  <c r="D42" i="12"/>
  <c r="E42" i="6"/>
  <c r="W43" i="12" a="1"/>
  <c r="W43" i="12" s="1"/>
  <c r="X43" i="12" a="1"/>
  <c r="X43" i="12" s="1"/>
  <c r="AA39" i="5" a="1"/>
  <c r="AA39" i="5" s="1"/>
  <c r="C35" i="8" s="1"/>
  <c r="L58" i="12" a="1"/>
  <c r="L58" i="12" s="1"/>
  <c r="K58" i="12" s="1"/>
  <c r="J58" i="12" a="1"/>
  <c r="J58" i="12" s="1"/>
  <c r="C58" i="12"/>
  <c r="AB58" i="5" a="1"/>
  <c r="AB58" i="5" s="1"/>
  <c r="D53" i="8" s="1"/>
  <c r="AA15" i="5"/>
  <c r="AA16" i="5" a="1"/>
  <c r="AA16" i="5" s="1"/>
  <c r="AA14" i="11" s="1" a="1"/>
  <c r="AA14" i="11" s="1"/>
  <c r="AA17" i="5" a="1"/>
  <c r="AA17" i="5" s="1"/>
  <c r="C17" i="8" s="1"/>
  <c r="N67" i="12"/>
  <c r="O54" i="12" a="1"/>
  <c r="O54" i="12" s="1"/>
  <c r="N55" i="12"/>
  <c r="D55" i="12"/>
  <c r="E55" i="6"/>
  <c r="N41" i="12"/>
  <c r="AB36" i="5" a="1"/>
  <c r="AB36" i="5" s="1"/>
  <c r="D32" i="8" s="1"/>
  <c r="AB35" i="5" a="1"/>
  <c r="AB35" i="5" s="1"/>
  <c r="AB16" i="11" s="1" a="1"/>
  <c r="AB16" i="11" s="1"/>
  <c r="N16" i="11" s="1"/>
  <c r="M74" i="12" a="1"/>
  <c r="M74" i="12" s="1"/>
  <c r="M73" i="12" a="1"/>
  <c r="M73" i="12" s="1"/>
  <c r="Y30" i="12"/>
  <c r="AF49" i="8" a="1"/>
  <c r="AF49" i="8" s="1"/>
  <c r="X49" i="8" a="1"/>
  <c r="X49" i="8" s="1"/>
  <c r="X47" i="8" s="1" a="1"/>
  <c r="X47" i="8" s="1"/>
  <c r="H47" i="8" s="1" a="1"/>
  <c r="H47" i="8" s="1"/>
  <c r="J48" i="8" s="1"/>
  <c r="H48" i="8" a="1"/>
  <c r="H48" i="8" s="1"/>
  <c r="G47" i="8"/>
  <c r="G48" i="8" s="1" a="1"/>
  <c r="G48" i="8" s="1"/>
  <c r="AC49" i="8" a="1"/>
  <c r="AC49" i="8" s="1"/>
  <c r="Y49" i="8" a="1"/>
  <c r="Y49" i="8" s="1"/>
  <c r="Y46" i="8" s="1" a="1"/>
  <c r="Y46" i="8" s="1"/>
  <c r="Y44" i="8" s="1" a="1"/>
  <c r="Y44" i="8" s="1"/>
  <c r="AB49" i="8" a="1"/>
  <c r="AB49" i="8" s="1"/>
  <c r="AE49" i="8" a="1"/>
  <c r="AE49" i="8" s="1"/>
  <c r="AD49" i="8" a="1"/>
  <c r="AD49" i="8" s="1"/>
  <c r="U49" i="8" a="1"/>
  <c r="U49" i="8" s="1"/>
  <c r="Z49" i="8" a="1"/>
  <c r="Z49" i="8" s="1"/>
  <c r="Z46" i="8" s="1" a="1"/>
  <c r="Z46" i="8" s="1"/>
  <c r="Z44" i="8" s="1" a="1"/>
  <c r="Z44" i="8" s="1"/>
  <c r="E49" i="8" a="1"/>
  <c r="E49" i="8" s="1"/>
  <c r="V49" i="8" a="1"/>
  <c r="V49" i="8" s="1"/>
  <c r="AA49" i="8" a="1"/>
  <c r="AA49" i="8" s="1"/>
  <c r="AA46" i="8" s="1" a="1"/>
  <c r="AA46" i="8" s="1"/>
  <c r="AA44" i="8" s="1" a="1"/>
  <c r="AA44" i="8" s="1"/>
  <c r="W49" i="8" a="1"/>
  <c r="W49" i="8" s="1"/>
  <c r="M68" i="12" a="1"/>
  <c r="M68" i="12" s="1"/>
  <c r="Y25" i="12"/>
  <c r="C51" i="6"/>
  <c r="O51" i="5"/>
  <c r="AC51" i="5" a="1"/>
  <c r="AC51" i="5" s="1"/>
  <c r="D22" i="12"/>
  <c r="E22" i="6"/>
  <c r="X57" i="12" a="1"/>
  <c r="X57" i="12" s="1"/>
  <c r="W57" i="12" a="1"/>
  <c r="W57" i="12" s="1"/>
  <c r="J36" i="12" a="1"/>
  <c r="J36" i="12" s="1"/>
  <c r="L36" i="12" a="1"/>
  <c r="L36" i="12" s="1"/>
  <c r="K36" i="12" s="1"/>
  <c r="C36" i="12"/>
  <c r="L20" i="13"/>
  <c r="D20" i="13" s="1"/>
  <c r="P20" i="11"/>
  <c r="C20" i="11"/>
  <c r="AC68" i="5" a="1"/>
  <c r="AC68" i="5" s="1"/>
  <c r="C68" i="6"/>
  <c r="O68" i="5"/>
  <c r="D20" i="12"/>
  <c r="E20" i="6"/>
  <c r="E70" i="6"/>
  <c r="D70" i="12"/>
  <c r="O65" i="5"/>
  <c r="AC65" i="5" a="1"/>
  <c r="AC65" i="5" s="1"/>
  <c r="C65" i="6"/>
  <c r="AB64" i="5" a="1"/>
  <c r="AB64" i="5" s="1"/>
  <c r="AB19" i="11" s="1" a="1"/>
  <c r="AB19" i="11" s="1"/>
  <c r="N19" i="11" s="1"/>
  <c r="AB65" i="5" a="1"/>
  <c r="AB65" i="5" s="1"/>
  <c r="D59" i="8" s="1"/>
  <c r="AB47" i="5" a="1"/>
  <c r="AB47" i="5" s="1"/>
  <c r="D41" i="8" s="1"/>
  <c r="AB46" i="5" a="1"/>
  <c r="AB46" i="5" s="1"/>
  <c r="AB17" i="11" s="1" a="1"/>
  <c r="AB17" i="11" s="1"/>
  <c r="N17" i="11" s="1"/>
  <c r="E18" i="6"/>
  <c r="D18" i="12"/>
  <c r="Z52" i="8" a="1"/>
  <c r="Z52" i="8" s="1"/>
  <c r="Z50" i="8" s="1" a="1"/>
  <c r="Z50" i="8" s="1"/>
  <c r="AD52" i="8" a="1"/>
  <c r="AD52" i="8" s="1"/>
  <c r="AD46" i="8" s="1" a="1"/>
  <c r="AD46" i="8" s="1"/>
  <c r="AD44" i="8" s="1" a="1"/>
  <c r="AD44" i="8" s="1"/>
  <c r="U52" i="8" a="1"/>
  <c r="U52" i="8" s="1"/>
  <c r="U46" i="8" s="1" a="1"/>
  <c r="U46" i="8" s="1"/>
  <c r="U44" i="8" s="1" a="1"/>
  <c r="U44" i="8" s="1"/>
  <c r="V52" i="8" a="1"/>
  <c r="V52" i="8" s="1"/>
  <c r="V50" i="8" s="1" a="1"/>
  <c r="V50" i="8" s="1"/>
  <c r="X52" i="8" a="1"/>
  <c r="X52" i="8" s="1"/>
  <c r="X50" i="8" s="1" a="1"/>
  <c r="X50" i="8" s="1"/>
  <c r="Y52" i="8" a="1"/>
  <c r="Y52" i="8" s="1"/>
  <c r="Y50" i="8" s="1" a="1"/>
  <c r="Y50" i="8" s="1"/>
  <c r="AC52" i="8" a="1"/>
  <c r="AC52" i="8" s="1"/>
  <c r="AC46" i="8" s="1" a="1"/>
  <c r="AC46" i="8" s="1"/>
  <c r="AC44" i="8" s="1" a="1"/>
  <c r="AC44" i="8" s="1"/>
  <c r="AF52" i="8" a="1"/>
  <c r="AF52" i="8" s="1"/>
  <c r="AF50" i="8" s="1" a="1"/>
  <c r="AF50" i="8" s="1"/>
  <c r="E52" i="8" a="1"/>
  <c r="E52" i="8" s="1"/>
  <c r="E50" i="8" s="1" a="1"/>
  <c r="E50" i="8" s="1"/>
  <c r="AA52" i="8" a="1"/>
  <c r="AA52" i="8" s="1"/>
  <c r="AA50" i="8" s="1" a="1"/>
  <c r="AA50" i="8" s="1"/>
  <c r="G50" i="8"/>
  <c r="G51" i="8" s="1" a="1"/>
  <c r="G51" i="8" s="1"/>
  <c r="AE52" i="8" a="1"/>
  <c r="AE52" i="8" s="1"/>
  <c r="W52" i="8" a="1"/>
  <c r="W52" i="8" s="1"/>
  <c r="W46" i="8" s="1" a="1"/>
  <c r="W46" i="8" s="1"/>
  <c r="W44" i="8" s="1" a="1"/>
  <c r="W44" i="8" s="1"/>
  <c r="AB52" i="8" a="1"/>
  <c r="AB52" i="8" s="1"/>
  <c r="AB50" i="8" s="1" a="1"/>
  <c r="AB50" i="8" s="1"/>
  <c r="H51" i="8" a="1"/>
  <c r="H51" i="8" s="1"/>
  <c r="H50" i="8" a="1"/>
  <c r="H50" i="8" s="1"/>
  <c r="J51" i="8" s="1"/>
  <c r="X71" i="12" a="1"/>
  <c r="X71" i="12" s="1"/>
  <c r="W71" i="12" a="1"/>
  <c r="W71" i="12" s="1"/>
  <c r="W22" i="8" a="1"/>
  <c r="W22" i="8" s="1"/>
  <c r="W20" i="8" s="1" a="1"/>
  <c r="W20" i="8" s="1"/>
  <c r="H21" i="8" a="1"/>
  <c r="H21" i="8" s="1"/>
  <c r="AE22" i="8" a="1"/>
  <c r="AE22" i="8" s="1"/>
  <c r="AE20" i="8" s="1" a="1"/>
  <c r="AE20" i="8" s="1"/>
  <c r="AD22" i="8" a="1"/>
  <c r="AD22" i="8" s="1"/>
  <c r="AD20" i="8" s="1" a="1"/>
  <c r="AD20" i="8" s="1"/>
  <c r="U22" i="8" a="1"/>
  <c r="U22" i="8" s="1"/>
  <c r="U20" i="8" s="1" a="1"/>
  <c r="U20" i="8" s="1"/>
  <c r="E22" i="8" a="1"/>
  <c r="E22" i="8" s="1"/>
  <c r="E20" i="8" s="1" a="1"/>
  <c r="E20" i="8" s="1"/>
  <c r="Z22" i="8" a="1"/>
  <c r="Z22" i="8" s="1"/>
  <c r="Z20" i="8" s="1" a="1"/>
  <c r="Z20" i="8" s="1"/>
  <c r="AC22" i="8" a="1"/>
  <c r="AC22" i="8" s="1"/>
  <c r="AC20" i="8" s="1" a="1"/>
  <c r="AC20" i="8" s="1"/>
  <c r="AF22" i="8" a="1"/>
  <c r="AF22" i="8" s="1"/>
  <c r="AF20" i="8" s="1" a="1"/>
  <c r="AF20" i="8" s="1"/>
  <c r="AA22" i="8" a="1"/>
  <c r="AA22" i="8" s="1"/>
  <c r="AA20" i="8" s="1" a="1"/>
  <c r="AA20" i="8" s="1"/>
  <c r="Y22" i="8" a="1"/>
  <c r="Y22" i="8" s="1"/>
  <c r="Y20" i="8" s="1" a="1"/>
  <c r="Y20" i="8" s="1"/>
  <c r="X22" i="8" a="1"/>
  <c r="X22" i="8" s="1"/>
  <c r="X20" i="8" s="1" a="1"/>
  <c r="X20" i="8" s="1"/>
  <c r="V22" i="8" a="1"/>
  <c r="V22" i="8" s="1"/>
  <c r="V20" i="8" s="1" a="1"/>
  <c r="V20" i="8" s="1"/>
  <c r="AB22" i="8" a="1"/>
  <c r="AB22" i="8" s="1"/>
  <c r="AB20" i="8" s="1" a="1"/>
  <c r="AB20" i="8" s="1"/>
  <c r="G20" i="8"/>
  <c r="G21" i="8" s="1" a="1"/>
  <c r="G21" i="8" s="1"/>
  <c r="H20" i="8" a="1"/>
  <c r="H20" i="8" s="1"/>
  <c r="J21" i="8" s="1"/>
  <c r="AB21" i="5" a="1"/>
  <c r="AB21" i="5" s="1"/>
  <c r="D20" i="8" s="1"/>
  <c r="J27" i="12" a="1"/>
  <c r="J27" i="12" s="1"/>
  <c r="C27" i="12"/>
  <c r="L27" i="12" a="1"/>
  <c r="L27" i="12" s="1"/>
  <c r="K27" i="12" s="1"/>
  <c r="J74" i="12" a="1"/>
  <c r="J74" i="12" s="1"/>
  <c r="C74" i="12"/>
  <c r="L74" i="12" a="1"/>
  <c r="L74" i="12" s="1"/>
  <c r="AB73" i="5" a="1"/>
  <c r="AB73" i="5" s="1"/>
  <c r="AB20" i="11" s="1" a="1"/>
  <c r="AB20" i="11" s="1"/>
  <c r="N20" i="11" s="1"/>
  <c r="AB74" i="5" a="1"/>
  <c r="AB74" i="5" s="1"/>
  <c r="D65" i="8" s="1"/>
  <c r="N53" i="12"/>
  <c r="O52" i="12" a="1"/>
  <c r="O52" i="12" s="1"/>
  <c r="N52" i="12" s="1"/>
  <c r="O51" i="12" a="1"/>
  <c r="O51" i="12" s="1"/>
  <c r="AB39" i="5" a="1"/>
  <c r="AB39" i="5" s="1"/>
  <c r="D35" i="8" s="1"/>
  <c r="X55" i="8" a="1"/>
  <c r="X55" i="8" s="1"/>
  <c r="X53" i="8" s="1" a="1"/>
  <c r="X53" i="8" s="1"/>
  <c r="E55" i="8" a="1"/>
  <c r="E55" i="8" s="1"/>
  <c r="E53" i="8" s="1" a="1"/>
  <c r="E53" i="8" s="1"/>
  <c r="W55" i="8" a="1"/>
  <c r="W55" i="8" s="1"/>
  <c r="W53" i="8" s="1" a="1"/>
  <c r="W53" i="8" s="1"/>
  <c r="V55" i="8" a="1"/>
  <c r="V55" i="8" s="1"/>
  <c r="V53" i="8" s="1" a="1"/>
  <c r="V53" i="8" s="1"/>
  <c r="U55" i="8" a="1"/>
  <c r="U55" i="8" s="1"/>
  <c r="U53" i="8" s="1" a="1"/>
  <c r="U53" i="8" s="1"/>
  <c r="G53" i="8"/>
  <c r="G54" i="8" s="1" a="1"/>
  <c r="G54" i="8" s="1"/>
  <c r="AD55" i="8" a="1"/>
  <c r="AD55" i="8" s="1"/>
  <c r="AD53" i="8" s="1" a="1"/>
  <c r="AD53" i="8" s="1"/>
  <c r="AA55" i="8" a="1"/>
  <c r="AA55" i="8" s="1"/>
  <c r="AE55" i="8" a="1"/>
  <c r="AE55" i="8" s="1"/>
  <c r="AE53" i="8" s="1" a="1"/>
  <c r="AE53" i="8" s="1"/>
  <c r="Y55" i="8" a="1"/>
  <c r="Y55" i="8" s="1"/>
  <c r="Y53" i="8" s="1" a="1"/>
  <c r="Y53" i="8" s="1"/>
  <c r="H54" i="8" a="1"/>
  <c r="H54" i="8" s="1"/>
  <c r="Z55" i="8" a="1"/>
  <c r="Z55" i="8" s="1"/>
  <c r="Z53" i="8" s="1" a="1"/>
  <c r="Z53" i="8" s="1"/>
  <c r="AC55" i="8" a="1"/>
  <c r="AC55" i="8" s="1"/>
  <c r="AC53" i="8" s="1" a="1"/>
  <c r="AC53" i="8" s="1"/>
  <c r="AF55" i="8" a="1"/>
  <c r="AF55" i="8" s="1"/>
  <c r="AB55" i="8" a="1"/>
  <c r="AB55" i="8" s="1"/>
  <c r="H53" i="8" a="1"/>
  <c r="H53" i="8" s="1"/>
  <c r="J54" i="8" s="1"/>
  <c r="AB16" i="5" a="1"/>
  <c r="AB16" i="5" s="1"/>
  <c r="AB14" i="11" s="1" a="1"/>
  <c r="AB14" i="11" s="1"/>
  <c r="AB17" i="5" a="1"/>
  <c r="AB17" i="5" s="1"/>
  <c r="D17" i="8" s="1"/>
  <c r="AB15" i="5"/>
  <c r="M54" i="12" a="1"/>
  <c r="M54" i="12" s="1"/>
  <c r="O27" i="12" a="1"/>
  <c r="O27" i="12" s="1"/>
  <c r="O28" i="12" a="1"/>
  <c r="O28" i="12" s="1"/>
  <c r="N29" i="12"/>
  <c r="O74" i="12" a="1"/>
  <c r="O74" i="12" s="1"/>
  <c r="N74" i="12" s="1"/>
  <c r="O73" i="12" a="1"/>
  <c r="O73" i="12" s="1"/>
  <c r="N75" i="12"/>
  <c r="C52" i="12"/>
  <c r="J52" i="12" a="1"/>
  <c r="J52" i="12" s="1"/>
  <c r="L52" i="12" a="1"/>
  <c r="L52" i="12" s="1"/>
  <c r="AO68" i="12" a="1"/>
  <c r="AO68" i="12" s="1"/>
  <c r="Y69" i="12"/>
  <c r="D69" i="12"/>
  <c r="E69" i="6"/>
  <c r="X49" i="12" a="1"/>
  <c r="X49" i="12" s="1"/>
  <c r="W49" i="12" a="1"/>
  <c r="W49" i="12" s="1"/>
  <c r="W38" i="12" a="1"/>
  <c r="W38" i="12" s="1"/>
  <c r="X38" i="12" a="1"/>
  <c r="X38" i="12" s="1"/>
  <c r="X42" i="12" a="1"/>
  <c r="X42" i="12" s="1"/>
  <c r="W42" i="12" a="1"/>
  <c r="W42" i="12" s="1"/>
  <c r="AA68" i="5" a="1"/>
  <c r="AA68" i="5" s="1"/>
  <c r="C62" i="8" s="1"/>
  <c r="D75" i="12"/>
  <c r="E75" i="6"/>
  <c r="L51" i="12" a="1"/>
  <c r="L51" i="12" s="1"/>
  <c r="K51" i="12" s="1"/>
  <c r="C51" i="12"/>
  <c r="J51" i="12" a="1"/>
  <c r="J51" i="12" s="1"/>
  <c r="N48" i="12"/>
  <c r="O46" i="12" a="1"/>
  <c r="O46" i="12" s="1"/>
  <c r="O47" i="12" a="1"/>
  <c r="O47" i="12" s="1"/>
  <c r="N47" i="12" s="1"/>
  <c r="C16" i="12"/>
  <c r="L16" i="12" a="1"/>
  <c r="L16" i="12" s="1"/>
  <c r="J16" i="12" a="1"/>
  <c r="J16" i="12" s="1"/>
  <c r="X45" i="12" a="1"/>
  <c r="X45" i="12" s="1"/>
  <c r="W45" i="12" a="1"/>
  <c r="W45" i="12" s="1"/>
  <c r="M65" i="12" a="1"/>
  <c r="M65" i="12" s="1"/>
  <c r="M64" i="12" a="1"/>
  <c r="M64" i="12" s="1"/>
  <c r="D61" i="12"/>
  <c r="E61" i="6"/>
  <c r="E19" i="6"/>
  <c r="D19" i="12"/>
  <c r="N72" i="12"/>
  <c r="AC43" i="8" a="1"/>
  <c r="AC43" i="8" s="1"/>
  <c r="AC41" i="8" s="1" a="1"/>
  <c r="AC41" i="8" s="1"/>
  <c r="AB43" i="8" a="1"/>
  <c r="AB43" i="8" s="1"/>
  <c r="AB41" i="8" s="1" a="1"/>
  <c r="AB41" i="8" s="1"/>
  <c r="Y43" i="8" a="1"/>
  <c r="Y43" i="8" s="1"/>
  <c r="Y41" i="8" s="1" a="1"/>
  <c r="Y41" i="8" s="1"/>
  <c r="AB40" i="8" a="1"/>
  <c r="AB40" i="8" s="1"/>
  <c r="AB38" i="8" s="1" a="1"/>
  <c r="AB38" i="8" s="1"/>
  <c r="E43" i="8" a="1"/>
  <c r="E43" i="8" s="1"/>
  <c r="E41" i="8" s="1" a="1"/>
  <c r="E41" i="8" s="1"/>
  <c r="U43" i="8" a="1"/>
  <c r="U43" i="8" s="1"/>
  <c r="U41" i="8" s="1" a="1"/>
  <c r="U41" i="8" s="1"/>
  <c r="H42" i="8" a="1"/>
  <c r="H42" i="8" s="1"/>
  <c r="Z43" i="8" a="1"/>
  <c r="Z43" i="8" s="1"/>
  <c r="Z41" i="8" s="1" a="1"/>
  <c r="Z41" i="8" s="1"/>
  <c r="E40" i="8" a="1"/>
  <c r="E40" i="8" s="1"/>
  <c r="E38" i="8" s="1" a="1"/>
  <c r="E38" i="8" s="1"/>
  <c r="G41" i="8"/>
  <c r="G42" i="8" s="1" a="1"/>
  <c r="G42" i="8" s="1"/>
  <c r="AF43" i="8" a="1"/>
  <c r="AF43" i="8" s="1"/>
  <c r="AF40" i="8" s="1" a="1"/>
  <c r="AF40" i="8" s="1"/>
  <c r="AF38" i="8" s="1" a="1"/>
  <c r="AF38" i="8" s="1"/>
  <c r="AD43" i="8" a="1"/>
  <c r="AD43" i="8" s="1"/>
  <c r="AD41" i="8" s="1" a="1"/>
  <c r="AD41" i="8" s="1"/>
  <c r="V43" i="8" a="1"/>
  <c r="V43" i="8" s="1"/>
  <c r="V41" i="8" s="1" a="1"/>
  <c r="V41" i="8" s="1"/>
  <c r="W43" i="8" a="1"/>
  <c r="W43" i="8" s="1"/>
  <c r="W41" i="8" s="1" a="1"/>
  <c r="W41" i="8" s="1"/>
  <c r="AE43" i="8" a="1"/>
  <c r="AE43" i="8" s="1"/>
  <c r="AE41" i="8" s="1" a="1"/>
  <c r="AE41" i="8" s="1"/>
  <c r="X43" i="8" a="1"/>
  <c r="X43" i="8" s="1"/>
  <c r="X41" i="8" s="1" a="1"/>
  <c r="X41" i="8" s="1"/>
  <c r="AA43" i="8" a="1"/>
  <c r="AA43" i="8" s="1"/>
  <c r="AA41" i="8" s="1" a="1"/>
  <c r="AA41" i="8" s="1"/>
  <c r="AC40" i="8" a="1"/>
  <c r="AC40" i="8" s="1"/>
  <c r="AC38" i="8" s="1" a="1"/>
  <c r="AC38" i="8" s="1"/>
  <c r="W40" i="8" a="1"/>
  <c r="W40" i="8" s="1"/>
  <c r="W38" i="8" s="1" a="1"/>
  <c r="W38" i="8" s="1"/>
  <c r="U40" i="8" a="1"/>
  <c r="U40" i="8" s="1"/>
  <c r="U38" i="8" s="1" a="1"/>
  <c r="U38" i="8" s="1"/>
  <c r="H41" i="8" a="1"/>
  <c r="H41" i="8" s="1"/>
  <c r="J42" i="8" s="1"/>
  <c r="AA40" i="8" a="1"/>
  <c r="AA40" i="8" s="1"/>
  <c r="AA38" i="8" s="1" a="1"/>
  <c r="AA38" i="8" s="1"/>
  <c r="V40" i="8" a="1"/>
  <c r="V40" i="8" s="1"/>
  <c r="V38" i="8" s="1" a="1"/>
  <c r="V38" i="8" s="1"/>
  <c r="N33" i="12"/>
  <c r="C16" i="6"/>
  <c r="O16" i="5"/>
  <c r="AC16" i="5" a="1"/>
  <c r="AC16" i="5" s="1"/>
  <c r="C14" i="6"/>
  <c r="N50" i="12"/>
  <c r="C16" i="11"/>
  <c r="L16" i="13"/>
  <c r="P16" i="11"/>
  <c r="E56" i="6"/>
  <c r="D56" i="12"/>
  <c r="E62" i="6"/>
  <c r="D62" i="12"/>
  <c r="D32" i="12"/>
  <c r="E32" i="6"/>
  <c r="E40" i="6"/>
  <c r="D40" i="12"/>
  <c r="N40" i="12"/>
  <c r="O39" i="12" a="1"/>
  <c r="O39" i="12" s="1"/>
  <c r="N39" i="12" s="1"/>
  <c r="AO58" i="12" a="1"/>
  <c r="AO58" i="12" s="1"/>
  <c r="Y58" i="12" s="1"/>
  <c r="Y59" i="12"/>
  <c r="AO64" i="12" a="1"/>
  <c r="AO64" i="12" s="1"/>
  <c r="Y64" i="12" s="1"/>
  <c r="Y66" i="12"/>
  <c r="AO65" i="12" a="1"/>
  <c r="AO65" i="12" s="1"/>
  <c r="Y65" i="12" s="1"/>
  <c r="D48" i="12"/>
  <c r="E48" i="6"/>
  <c r="G17" i="8"/>
  <c r="G18" i="8" s="1" a="1"/>
  <c r="G18" i="8" s="1"/>
  <c r="H18" i="8" a="1"/>
  <c r="H18" i="8" s="1"/>
  <c r="V19" i="8" a="1"/>
  <c r="V19" i="8" s="1"/>
  <c r="AE19" i="8" a="1"/>
  <c r="AE19" i="8" s="1"/>
  <c r="AA19" i="8" a="1"/>
  <c r="AA19" i="8" s="1"/>
  <c r="X19" i="8" a="1"/>
  <c r="X19" i="8" s="1"/>
  <c r="X16" i="8" s="1" a="1"/>
  <c r="X16" i="8" s="1"/>
  <c r="AC19" i="8" a="1"/>
  <c r="AC19" i="8" s="1"/>
  <c r="AC16" i="8" s="1" a="1"/>
  <c r="AC16" i="8" s="1"/>
  <c r="AC14" i="8" s="1" a="1"/>
  <c r="AC14" i="8" s="1"/>
  <c r="Y19" i="8" a="1"/>
  <c r="Y19" i="8" s="1"/>
  <c r="AD19" i="8" a="1"/>
  <c r="AD19" i="8" s="1"/>
  <c r="AD16" i="8" s="1" a="1"/>
  <c r="AD16" i="8" s="1"/>
  <c r="AD14" i="8" s="1" a="1"/>
  <c r="AD14" i="8" s="1"/>
  <c r="Z19" i="8" a="1"/>
  <c r="Z19" i="8" s="1"/>
  <c r="E19" i="8" a="1"/>
  <c r="E19" i="8" s="1"/>
  <c r="E16" i="8" s="1" a="1"/>
  <c r="E16" i="8" s="1"/>
  <c r="AF19" i="8" a="1"/>
  <c r="AF19" i="8" s="1"/>
  <c r="H17" i="8" a="1"/>
  <c r="H17" i="8" s="1"/>
  <c r="J18" i="8" s="1"/>
  <c r="U19" i="8" a="1"/>
  <c r="U19" i="8" s="1"/>
  <c r="U16" i="8" s="1" a="1"/>
  <c r="U16" i="8" s="1"/>
  <c r="AB19" i="8" a="1"/>
  <c r="AB19" i="8" s="1"/>
  <c r="AB16" i="8" s="1" a="1"/>
  <c r="AB16" i="8" s="1"/>
  <c r="AB14" i="8" s="1" a="1"/>
  <c r="AB14" i="8" s="1"/>
  <c r="W19" i="8" a="1"/>
  <c r="W19" i="8" s="1"/>
  <c r="AA16" i="8" a="1"/>
  <c r="AA16" i="8" s="1"/>
  <c r="Z16" i="8" a="1"/>
  <c r="Z16" i="8" s="1"/>
  <c r="Z14" i="8" s="1" a="1"/>
  <c r="Z14" i="8" s="1"/>
  <c r="V16" i="8" a="1"/>
  <c r="V16" i="8" s="1"/>
  <c r="V14" i="8" s="1" a="1"/>
  <c r="V14" i="8" s="1"/>
  <c r="Y16" i="8" a="1"/>
  <c r="Y16" i="8" s="1"/>
  <c r="Y14" i="8" s="1" a="1"/>
  <c r="Y14" i="8" s="1"/>
  <c r="AF16" i="8" a="1"/>
  <c r="AF16" i="8" s="1"/>
  <c r="AF14" i="8" s="1" a="1"/>
  <c r="AF14" i="8" s="1"/>
  <c r="AE16" i="8" a="1"/>
  <c r="AE16" i="8" s="1"/>
  <c r="AE14" i="8" s="1" a="1"/>
  <c r="AE14" i="8" s="1"/>
  <c r="W16" i="8" a="1"/>
  <c r="W16" i="8" s="1"/>
  <c r="W14" i="8" s="1" a="1"/>
  <c r="W14" i="8" s="1"/>
  <c r="J17" i="12" a="1"/>
  <c r="J17" i="12" s="1"/>
  <c r="C17" i="12"/>
  <c r="L17" i="12" a="1"/>
  <c r="L17" i="12" s="1"/>
  <c r="K17" i="12" s="1"/>
  <c r="E50" i="6"/>
  <c r="D50" i="12"/>
  <c r="N22" i="12"/>
  <c r="O21" i="12" a="1"/>
  <c r="O21" i="12" s="1"/>
  <c r="N21" i="12" s="1"/>
  <c r="C36" i="6"/>
  <c r="O36" i="5"/>
  <c r="AC36" i="5" a="1"/>
  <c r="AC36" i="5" s="1"/>
  <c r="D53" i="12"/>
  <c r="E53" i="6"/>
  <c r="W64" i="8" a="1"/>
  <c r="W64" i="8" s="1"/>
  <c r="U64" i="8" a="1"/>
  <c r="U64" i="8" s="1"/>
  <c r="AC64" i="8" a="1"/>
  <c r="AC64" i="8" s="1"/>
  <c r="X64" i="8" a="1"/>
  <c r="X64" i="8" s="1"/>
  <c r="Z64" i="8" a="1"/>
  <c r="Z64" i="8" s="1"/>
  <c r="E64" i="8" a="1"/>
  <c r="E64" i="8" s="1"/>
  <c r="AA64" i="8" a="1"/>
  <c r="AA64" i="8" s="1"/>
  <c r="AF64" i="8" a="1"/>
  <c r="AF64" i="8" s="1"/>
  <c r="G62" i="8"/>
  <c r="G63" i="8" s="1" a="1"/>
  <c r="G63" i="8" s="1"/>
  <c r="H62" i="8" a="1"/>
  <c r="H62" i="8" s="1"/>
  <c r="J63" i="8" s="1"/>
  <c r="AB64" i="8" a="1"/>
  <c r="AB64" i="8" s="1"/>
  <c r="AE64" i="8" a="1"/>
  <c r="AE64" i="8" s="1"/>
  <c r="AD64" i="8" a="1"/>
  <c r="AD64" i="8" s="1"/>
  <c r="H63" i="8" a="1"/>
  <c r="H63" i="8" s="1"/>
  <c r="V64" i="8" a="1"/>
  <c r="V64" i="8" s="1"/>
  <c r="Y64" i="8" a="1"/>
  <c r="Y64" i="8" s="1"/>
  <c r="C39" i="6"/>
  <c r="O39" i="5"/>
  <c r="AC39" i="5" a="1"/>
  <c r="AC39" i="5" s="1"/>
  <c r="Z61" i="8" a="1"/>
  <c r="Z61" i="8" s="1"/>
  <c r="Z59" i="8" s="1" a="1"/>
  <c r="Z59" i="8" s="1"/>
  <c r="X61" i="8" a="1"/>
  <c r="X61" i="8" s="1"/>
  <c r="X59" i="8" s="1" a="1"/>
  <c r="X59" i="8" s="1"/>
  <c r="AC61" i="8" a="1"/>
  <c r="AC61" i="8" s="1"/>
  <c r="AC59" i="8" s="1" a="1"/>
  <c r="AC59" i="8" s="1"/>
  <c r="AF61" i="8" a="1"/>
  <c r="AF61" i="8" s="1"/>
  <c r="AF59" i="8" s="1" a="1"/>
  <c r="AF59" i="8" s="1"/>
  <c r="H60" i="8" a="1"/>
  <c r="H60" i="8" s="1"/>
  <c r="AE61" i="8" a="1"/>
  <c r="AE61" i="8" s="1"/>
  <c r="AE59" i="8" s="1" a="1"/>
  <c r="AE59" i="8" s="1"/>
  <c r="U61" i="8" a="1"/>
  <c r="U61" i="8" s="1"/>
  <c r="U59" i="8" s="1" a="1"/>
  <c r="U59" i="8" s="1"/>
  <c r="Y61" i="8" a="1"/>
  <c r="Y61" i="8" s="1"/>
  <c r="Y59" i="8" s="1" a="1"/>
  <c r="Y59" i="8" s="1"/>
  <c r="AA61" i="8" a="1"/>
  <c r="AA61" i="8" s="1"/>
  <c r="AA59" i="8" s="1" a="1"/>
  <c r="AA59" i="8" s="1"/>
  <c r="E61" i="8" a="1"/>
  <c r="E61" i="8" s="1"/>
  <c r="E59" i="8" s="1" a="1"/>
  <c r="E59" i="8" s="1"/>
  <c r="W61" i="8" a="1"/>
  <c r="W61" i="8" s="1"/>
  <c r="W59" i="8" s="1" a="1"/>
  <c r="W59" i="8" s="1"/>
  <c r="AB61" i="8" a="1"/>
  <c r="AB61" i="8" s="1"/>
  <c r="AB58" i="8" s="1" a="1"/>
  <c r="AB58" i="8" s="1"/>
  <c r="AB56" i="8" s="1" a="1"/>
  <c r="AB56" i="8" s="1"/>
  <c r="H56" i="8" s="1" a="1"/>
  <c r="H56" i="8" s="1"/>
  <c r="J57" i="8" s="1"/>
  <c r="V61" i="8" a="1"/>
  <c r="V61" i="8" s="1"/>
  <c r="V59" i="8" s="1" a="1"/>
  <c r="V59" i="8" s="1"/>
  <c r="AD61" i="8" a="1"/>
  <c r="AD61" i="8" s="1"/>
  <c r="AD59" i="8" s="1" a="1"/>
  <c r="AD59" i="8" s="1"/>
  <c r="G59" i="8"/>
  <c r="G60" i="8" s="1" a="1"/>
  <c r="G60" i="8" s="1"/>
  <c r="Z58" i="8" a="1"/>
  <c r="Z58" i="8" s="1"/>
  <c r="Z56" i="8" s="1" a="1"/>
  <c r="Z56" i="8" s="1"/>
  <c r="AF58" i="8" a="1"/>
  <c r="AF58" i="8" s="1"/>
  <c r="AF56" i="8" s="1" a="1"/>
  <c r="AF56" i="8" s="1"/>
  <c r="E58" i="8" a="1"/>
  <c r="E58" i="8" s="1"/>
  <c r="E56" i="8" s="1" a="1"/>
  <c r="E56" i="8" s="1"/>
  <c r="W58" i="8" a="1"/>
  <c r="W58" i="8" s="1"/>
  <c r="W56" i="8" s="1" a="1"/>
  <c r="W56" i="8" s="1"/>
  <c r="AE58" i="8" a="1"/>
  <c r="AE58" i="8" s="1"/>
  <c r="AE56" i="8" s="1" a="1"/>
  <c r="AE56" i="8" s="1"/>
  <c r="X58" i="8" a="1"/>
  <c r="X58" i="8" s="1"/>
  <c r="X56" i="8" s="1" a="1"/>
  <c r="X56" i="8" s="1"/>
  <c r="AC58" i="8" a="1"/>
  <c r="AC58" i="8" s="1"/>
  <c r="AC56" i="8" s="1" a="1"/>
  <c r="AC56" i="8" s="1"/>
  <c r="H59" i="8" a="1"/>
  <c r="H59" i="8" s="1"/>
  <c r="J60" i="8" s="1"/>
  <c r="U58" i="8" a="1"/>
  <c r="U58" i="8" s="1"/>
  <c r="U56" i="8" s="1" a="1"/>
  <c r="U56" i="8" s="1"/>
  <c r="AD58" i="8" a="1"/>
  <c r="AD58" i="8" s="1"/>
  <c r="AD56" i="8" s="1" a="1"/>
  <c r="AD56" i="8" s="1"/>
  <c r="O46" i="5"/>
  <c r="AC46" i="5" a="1"/>
  <c r="AC46" i="5" s="1"/>
  <c r="C46" i="6"/>
  <c r="L17" i="13"/>
  <c r="D17" i="13" s="1"/>
  <c r="P17" i="11"/>
  <c r="C17" i="11"/>
  <c r="Z17" i="11"/>
  <c r="AE9" i="10"/>
  <c r="I75" i="10"/>
  <c r="H75" i="10" s="1"/>
  <c r="C54" i="6"/>
  <c r="O54" i="5"/>
  <c r="AC54" i="5" a="1"/>
  <c r="AC54" i="5" s="1"/>
  <c r="D57" i="12"/>
  <c r="E57" i="6"/>
  <c r="P15" i="11"/>
  <c r="L15" i="13"/>
  <c r="D15" i="13" s="1"/>
  <c r="C15" i="11"/>
  <c r="Z15" i="11"/>
  <c r="C27" i="6"/>
  <c r="AC27" i="5" a="1"/>
  <c r="AC27" i="5" s="1"/>
  <c r="O27" i="5"/>
  <c r="O74" i="5"/>
  <c r="AC74" i="5" a="1"/>
  <c r="AC74" i="5" s="1"/>
  <c r="C74" i="6"/>
  <c r="AA52" i="5" a="1"/>
  <c r="AA52" i="5" s="1"/>
  <c r="C47" i="8" s="1"/>
  <c r="AA51" i="5" a="1"/>
  <c r="AA51" i="5" s="1"/>
  <c r="AA18" i="11" s="1" a="1"/>
  <c r="AA18" i="11" s="1"/>
  <c r="C58" i="6"/>
  <c r="O58" i="5"/>
  <c r="AC58" i="5" a="1"/>
  <c r="AC58" i="5" s="1"/>
  <c r="D66" i="12"/>
  <c r="E66" i="6"/>
  <c r="X67" i="12" a="1"/>
  <c r="X67" i="12" s="1"/>
  <c r="W67" i="12" a="1"/>
  <c r="W67" i="12" s="1"/>
  <c r="AO54" i="12" a="1"/>
  <c r="AO54" i="12" s="1"/>
  <c r="Y54" i="12" s="1"/>
  <c r="Y55" i="12"/>
  <c r="X41" i="12" a="1"/>
  <c r="X41" i="12" s="1"/>
  <c r="W41" i="12" a="1"/>
  <c r="W41" i="12" s="1"/>
  <c r="M27" i="12" a="1"/>
  <c r="M27" i="12" s="1"/>
  <c r="M28" i="12" a="1"/>
  <c r="M28" i="12" s="1"/>
  <c r="E37" i="6"/>
  <c r="D37" i="12"/>
  <c r="E23" i="6"/>
  <c r="D23" i="12"/>
  <c r="Y62" i="12"/>
  <c r="N69" i="12"/>
  <c r="O68" i="12" a="1"/>
  <c r="O68" i="12" s="1"/>
  <c r="N68" i="12" s="1"/>
  <c r="N32" i="12"/>
  <c r="AB68" i="5" a="1"/>
  <c r="AB68" i="5" s="1"/>
  <c r="D62" i="8" s="1"/>
  <c r="E25" i="6"/>
  <c r="D25" i="12"/>
  <c r="G44" i="8"/>
  <c r="G45" i="8" s="1" a="1"/>
  <c r="G45" i="8" s="1"/>
  <c r="H45" i="8" a="1"/>
  <c r="H45" i="8" s="1"/>
  <c r="H44" i="8" a="1"/>
  <c r="H44" i="8" s="1"/>
  <c r="J45" i="8" s="1"/>
  <c r="Y26" i="12"/>
  <c r="E44" i="6"/>
  <c r="D44" i="12"/>
  <c r="W24" i="12" a="1"/>
  <c r="W24" i="12" s="1"/>
  <c r="X24" i="12" a="1"/>
  <c r="X24" i="12" s="1"/>
  <c r="P14" i="11"/>
  <c r="C14" i="11"/>
  <c r="L14" i="13"/>
  <c r="O24" i="11"/>
  <c r="Z14" i="11"/>
  <c r="H30" i="8" a="1"/>
  <c r="H30" i="8" s="1"/>
  <c r="G29" i="8"/>
  <c r="G30" i="8" s="1" a="1"/>
  <c r="G30" i="8" s="1"/>
  <c r="H29" i="8" a="1"/>
  <c r="H29" i="8" s="1"/>
  <c r="J30" i="8" s="1"/>
  <c r="C19" i="11"/>
  <c r="P19" i="11"/>
  <c r="L19" i="13"/>
  <c r="D19" i="13" s="1"/>
  <c r="Z19" i="11"/>
  <c r="AO17" i="12" a="1"/>
  <c r="AO17" i="12" s="1"/>
  <c r="Y17" i="12" s="1"/>
  <c r="Y18" i="12"/>
  <c r="AO16" i="12" a="1"/>
  <c r="AO16" i="12" s="1"/>
  <c r="Y16" i="12" s="1"/>
  <c r="H14" i="8" a="1"/>
  <c r="H14" i="8" s="1"/>
  <c r="J15" i="8" s="1"/>
  <c r="G14" i="8"/>
  <c r="G15" i="8" s="1" a="1"/>
  <c r="G15" i="8" s="1"/>
  <c r="H15" i="8" a="1"/>
  <c r="H15" i="8" s="1"/>
  <c r="R72" i="8"/>
  <c r="I72" i="8" s="1"/>
  <c r="E67" i="6"/>
  <c r="D67" i="12"/>
  <c r="C28" i="6"/>
  <c r="O28" i="5"/>
  <c r="AC28" i="5" a="1"/>
  <c r="AC28" i="5" s="1"/>
  <c r="O36" i="12" a="1"/>
  <c r="O36" i="12" s="1"/>
  <c r="N36" i="12" s="1"/>
  <c r="N37" i="12"/>
  <c r="O35" i="12" a="1"/>
  <c r="O35" i="12" s="1"/>
  <c r="D31" i="12"/>
  <c r="E31" i="6"/>
  <c r="Y20" i="12"/>
  <c r="Y70" i="12"/>
  <c r="D59" i="12"/>
  <c r="E59" i="6"/>
  <c r="AC64" i="5" a="1"/>
  <c r="AC64" i="5" s="1"/>
  <c r="C64" i="6"/>
  <c r="O64" i="5"/>
  <c r="J64" i="12" a="1"/>
  <c r="J64" i="12" s="1"/>
  <c r="L64" i="12" a="1"/>
  <c r="L64" i="12" s="1"/>
  <c r="K64" i="12" s="1"/>
  <c r="C64" i="12"/>
  <c r="AO47" i="12" a="1"/>
  <c r="AO47" i="12" s="1"/>
  <c r="Y47" i="12" s="1"/>
  <c r="AO46" i="12" a="1"/>
  <c r="AO46" i="12" s="1"/>
  <c r="Y46" i="12" s="1"/>
  <c r="Y48" i="12"/>
  <c r="Y33" i="12"/>
  <c r="Y50" i="12"/>
  <c r="D71" i="12"/>
  <c r="E71" i="6"/>
  <c r="Y28" i="8" a="1"/>
  <c r="Y28" i="8" s="1"/>
  <c r="Y25" i="8" s="1" a="1"/>
  <c r="Y25" i="8" s="1"/>
  <c r="Y23" i="8" s="1" a="1"/>
  <c r="Y23" i="8" s="1"/>
  <c r="U28" i="8" a="1"/>
  <c r="U28" i="8" s="1"/>
  <c r="U25" i="8" s="1" a="1"/>
  <c r="U25" i="8" s="1"/>
  <c r="U23" i="8" s="1" a="1"/>
  <c r="U23" i="8" s="1"/>
  <c r="H27" i="8" a="1"/>
  <c r="H27" i="8" s="1"/>
  <c r="Z28" i="8" a="1"/>
  <c r="Z28" i="8" s="1"/>
  <c r="Z25" i="8" s="1" a="1"/>
  <c r="Z25" i="8" s="1"/>
  <c r="Z23" i="8" s="1" a="1"/>
  <c r="Z23" i="8" s="1"/>
  <c r="AD28" i="8" a="1"/>
  <c r="AD28" i="8" s="1"/>
  <c r="AD25" i="8" s="1" a="1"/>
  <c r="AD25" i="8" s="1"/>
  <c r="AD23" i="8" s="1" a="1"/>
  <c r="AD23" i="8" s="1"/>
  <c r="W28" i="8" a="1"/>
  <c r="W28" i="8" s="1"/>
  <c r="W26" i="8" s="1" a="1"/>
  <c r="W26" i="8" s="1"/>
  <c r="AA28" i="8" a="1"/>
  <c r="AA28" i="8" s="1"/>
  <c r="AA25" i="8" s="1" a="1"/>
  <c r="AA25" i="8" s="1"/>
  <c r="AA23" i="8" s="1" a="1"/>
  <c r="AA23" i="8" s="1"/>
  <c r="V28" i="8" a="1"/>
  <c r="V28" i="8" s="1"/>
  <c r="V26" i="8" s="1" a="1"/>
  <c r="V26" i="8" s="1"/>
  <c r="H26" i="8" s="1" a="1"/>
  <c r="H26" i="8" s="1"/>
  <c r="J27" i="8" s="1"/>
  <c r="X28" i="8" a="1"/>
  <c r="X28" i="8" s="1"/>
  <c r="X25" i="8" s="1" a="1"/>
  <c r="X25" i="8" s="1"/>
  <c r="X23" i="8" s="1" a="1"/>
  <c r="X23" i="8" s="1"/>
  <c r="AF28" i="8" a="1"/>
  <c r="AF28" i="8" s="1"/>
  <c r="AF25" i="8" s="1" a="1"/>
  <c r="AF25" i="8" s="1"/>
  <c r="AF23" i="8" s="1" a="1"/>
  <c r="AF23" i="8" s="1"/>
  <c r="AE28" i="8" a="1"/>
  <c r="AE28" i="8" s="1"/>
  <c r="AE25" i="8" s="1" a="1"/>
  <c r="AE25" i="8" s="1"/>
  <c r="AE23" i="8" s="1" a="1"/>
  <c r="AE23" i="8" s="1"/>
  <c r="E28" i="8" a="1"/>
  <c r="E28" i="8" s="1"/>
  <c r="E25" i="8" s="1" a="1"/>
  <c r="E25" i="8" s="1"/>
  <c r="E23" i="8" s="1" a="1"/>
  <c r="E23" i="8" s="1"/>
  <c r="G26" i="8"/>
  <c r="G27" i="8" s="1" a="1"/>
  <c r="G27" i="8" s="1"/>
  <c r="AC28" i="8" a="1"/>
  <c r="AC28" i="8" s="1"/>
  <c r="AC25" i="8" s="1" a="1"/>
  <c r="AC25" i="8" s="1"/>
  <c r="AC23" i="8" s="1" a="1"/>
  <c r="AC23" i="8" s="1"/>
  <c r="AB28" i="8" a="1"/>
  <c r="AB28" i="8" s="1"/>
  <c r="AB25" i="8" s="1" a="1"/>
  <c r="AB25" i="8" s="1"/>
  <c r="AB23" i="8" s="1" a="1"/>
  <c r="AB23" i="8" s="1"/>
  <c r="W25" i="8" a="1"/>
  <c r="W25" i="8" s="1"/>
  <c r="W23" i="8" s="1" a="1"/>
  <c r="W23" i="8" s="1"/>
  <c r="AO36" i="12" a="1"/>
  <c r="AO36" i="12" s="1"/>
  <c r="Y36" i="12" s="1"/>
  <c r="Y37" i="12"/>
  <c r="AO35" i="12" a="1"/>
  <c r="AO35" i="12" s="1"/>
  <c r="Y35" i="12" s="1"/>
  <c r="J35" i="12" a="1"/>
  <c r="J35" i="12" s="1"/>
  <c r="L35" i="12" a="1"/>
  <c r="L35" i="12" s="1"/>
  <c r="C35" i="12"/>
  <c r="D60" i="12"/>
  <c r="E60" i="6"/>
  <c r="E30" i="6"/>
  <c r="D30" i="12"/>
  <c r="N44" i="12"/>
  <c r="M58" i="12" a="1"/>
  <c r="M58" i="12" s="1"/>
  <c r="E24" i="6"/>
  <c r="D24" i="12"/>
  <c r="C17" i="6"/>
  <c r="AC17" i="5" a="1"/>
  <c r="AC17" i="5" s="1"/>
  <c r="O17" i="5"/>
  <c r="N34" i="12"/>
  <c r="Y22" i="12"/>
  <c r="AO21" i="12" a="1"/>
  <c r="AO21" i="12" s="1"/>
  <c r="Y21" i="12" s="1"/>
  <c r="N57" i="12"/>
  <c r="Y23" i="12"/>
  <c r="N60" i="12"/>
  <c r="G65" i="8"/>
  <c r="G66" i="8" s="1" a="1"/>
  <c r="G66" i="8" s="1"/>
  <c r="H66" i="8" a="1"/>
  <c r="H66" i="8" s="1"/>
  <c r="H65" i="8" a="1"/>
  <c r="H65" i="8" s="1"/>
  <c r="J66" i="8" s="1"/>
  <c r="D63" i="12"/>
  <c r="E63" i="6"/>
  <c r="Y61" i="12"/>
  <c r="V37" i="8" a="1"/>
  <c r="V37" i="8" s="1"/>
  <c r="V31" i="8" s="1" a="1"/>
  <c r="V31" i="8" s="1"/>
  <c r="V29" i="8" s="1" a="1"/>
  <c r="V29" i="8" s="1"/>
  <c r="AD37" i="8" a="1"/>
  <c r="AD37" i="8" s="1"/>
  <c r="AD31" i="8" s="1" a="1"/>
  <c r="AD31" i="8" s="1"/>
  <c r="AD29" i="8" s="1" a="1"/>
  <c r="AD29" i="8" s="1"/>
  <c r="G35" i="8"/>
  <c r="G36" i="8" s="1" a="1"/>
  <c r="G36" i="8" s="1"/>
  <c r="AB37" i="8" a="1"/>
  <c r="AB37" i="8" s="1"/>
  <c r="AB31" i="8" s="1" a="1"/>
  <c r="AB31" i="8" s="1"/>
  <c r="AB29" i="8" s="1" a="1"/>
  <c r="AB29" i="8" s="1"/>
  <c r="W37" i="8" a="1"/>
  <c r="W37" i="8" s="1"/>
  <c r="W31" i="8" s="1" a="1"/>
  <c r="W31" i="8" s="1"/>
  <c r="W29" i="8" s="1" a="1"/>
  <c r="W29" i="8" s="1"/>
  <c r="U37" i="8" a="1"/>
  <c r="U37" i="8" s="1"/>
  <c r="U31" i="8" s="1" a="1"/>
  <c r="U31" i="8" s="1"/>
  <c r="U29" i="8" s="1" a="1"/>
  <c r="U29" i="8" s="1"/>
  <c r="H36" i="8" a="1"/>
  <c r="H36" i="8" s="1"/>
  <c r="Z37" i="8" a="1"/>
  <c r="Z37" i="8" s="1"/>
  <c r="Z31" i="8" s="1" a="1"/>
  <c r="Z31" i="8" s="1"/>
  <c r="Z29" i="8" s="1" a="1"/>
  <c r="Z29" i="8" s="1"/>
  <c r="H35" i="8" a="1"/>
  <c r="H35" i="8" s="1"/>
  <c r="J36" i="8" s="1"/>
  <c r="AE37" i="8" a="1"/>
  <c r="AE37" i="8" s="1"/>
  <c r="AE31" i="8" s="1" a="1"/>
  <c r="AE31" i="8" s="1"/>
  <c r="AE29" i="8" s="1" a="1"/>
  <c r="AE29" i="8" s="1"/>
  <c r="Y37" i="8" a="1"/>
  <c r="Y37" i="8" s="1"/>
  <c r="Y31" i="8" s="1" a="1"/>
  <c r="Y31" i="8" s="1"/>
  <c r="Y29" i="8" s="1" a="1"/>
  <c r="Y29" i="8" s="1"/>
  <c r="E37" i="8" a="1"/>
  <c r="E37" i="8" s="1"/>
  <c r="E31" i="8" s="1" a="1"/>
  <c r="E31" i="8" s="1"/>
  <c r="E29" i="8" s="1" a="1"/>
  <c r="E29" i="8" s="1"/>
  <c r="X37" i="8" a="1"/>
  <c r="X37" i="8" s="1"/>
  <c r="X31" i="8" s="1" a="1"/>
  <c r="X31" i="8" s="1"/>
  <c r="X29" i="8" s="1" a="1"/>
  <c r="X29" i="8" s="1"/>
  <c r="AA37" i="8" a="1"/>
  <c r="AA37" i="8" s="1"/>
  <c r="AA31" i="8" s="1" a="1"/>
  <c r="AA31" i="8" s="1"/>
  <c r="AA29" i="8" s="1" a="1"/>
  <c r="AA29" i="8" s="1"/>
  <c r="AF37" i="8" a="1"/>
  <c r="AF37" i="8" s="1"/>
  <c r="AF31" i="8" s="1" a="1"/>
  <c r="AF31" i="8" s="1"/>
  <c r="AF29" i="8" s="1" a="1"/>
  <c r="AF29" i="8" s="1"/>
  <c r="AC37" i="8" a="1"/>
  <c r="AC37" i="8" s="1"/>
  <c r="AC31" i="8" s="1" a="1"/>
  <c r="AC31" i="8" s="1"/>
  <c r="AC29" i="8" s="1" a="1"/>
  <c r="AC29" i="8" s="1"/>
  <c r="L65" i="12" a="1"/>
  <c r="L65" i="12" s="1"/>
  <c r="J65" i="12" a="1"/>
  <c r="J65" i="12" s="1"/>
  <c r="C65" i="12"/>
  <c r="H38" i="8" a="1"/>
  <c r="H38" i="8" s="1"/>
  <c r="J39" i="8" s="1"/>
  <c r="G38" i="8"/>
  <c r="G39" i="8" s="1" a="1"/>
  <c r="G39" i="8" s="1"/>
  <c r="H39" i="8" a="1"/>
  <c r="H39" i="8" s="1"/>
  <c r="L46" i="12" a="1"/>
  <c r="L46" i="12" s="1"/>
  <c r="K46" i="12" s="1"/>
  <c r="J46" i="12" a="1"/>
  <c r="J46" i="12" s="1"/>
  <c r="C46" i="12"/>
  <c r="D33" i="12"/>
  <c r="E33" i="6"/>
  <c r="L54" i="12" a="1"/>
  <c r="L54" i="12" s="1"/>
  <c r="C54" i="12"/>
  <c r="J54" i="12" a="1"/>
  <c r="J54" i="12" s="1"/>
  <c r="N71" i="12"/>
  <c r="C21" i="6"/>
  <c r="O21" i="5"/>
  <c r="AC21" i="5" a="1"/>
  <c r="AC21" i="5" s="1"/>
  <c r="G23" i="8"/>
  <c r="G24" i="8" s="1" a="1"/>
  <c r="G24" i="8" s="1"/>
  <c r="H24" i="8" a="1"/>
  <c r="H24" i="8" s="1"/>
  <c r="H23" i="8" a="1"/>
  <c r="H23" i="8" s="1"/>
  <c r="J24" i="8" s="1"/>
  <c r="N31" i="12"/>
  <c r="D68" i="8"/>
  <c r="AD70" i="8" a="1"/>
  <c r="AD70" i="8" s="1"/>
  <c r="H69" i="8" a="1"/>
  <c r="H69" i="8" s="1"/>
  <c r="Y70" i="8" a="1"/>
  <c r="Y70" i="8" s="1"/>
  <c r="Y67" i="8" s="1" a="1"/>
  <c r="Y67" i="8" s="1"/>
  <c r="Y65" i="8" s="1" a="1"/>
  <c r="Y65" i="8" s="1"/>
  <c r="U70" i="8" a="1"/>
  <c r="U70" i="8" s="1"/>
  <c r="U67" i="8" s="1" a="1"/>
  <c r="U67" i="8" s="1"/>
  <c r="U65" i="8" s="1" a="1"/>
  <c r="U65" i="8" s="1"/>
  <c r="V70" i="8" a="1"/>
  <c r="V70" i="8" s="1"/>
  <c r="V67" i="8" s="1" a="1"/>
  <c r="V67" i="8" s="1"/>
  <c r="V65" i="8" s="1" a="1"/>
  <c r="V65" i="8" s="1"/>
  <c r="W70" i="8" a="1"/>
  <c r="W70" i="8" s="1"/>
  <c r="W67" i="8" s="1" a="1"/>
  <c r="W67" i="8" s="1"/>
  <c r="W65" i="8" s="1" a="1"/>
  <c r="W65" i="8" s="1"/>
  <c r="AF70" i="8" a="1"/>
  <c r="AF70" i="8" s="1"/>
  <c r="G68" i="8"/>
  <c r="G69" i="8" s="1" a="1"/>
  <c r="G69" i="8" s="1"/>
  <c r="Z70" i="8" a="1"/>
  <c r="Z70" i="8" s="1"/>
  <c r="Z67" i="8" s="1" a="1"/>
  <c r="Z67" i="8" s="1"/>
  <c r="Z65" i="8" s="1" a="1"/>
  <c r="Z65" i="8" s="1"/>
  <c r="E70" i="8" a="1"/>
  <c r="E70" i="8" s="1"/>
  <c r="AA70" i="8" a="1"/>
  <c r="AA70" i="8" s="1"/>
  <c r="AA67" i="8" s="1" a="1"/>
  <c r="AA67" i="8" s="1"/>
  <c r="AA65" i="8" s="1" a="1"/>
  <c r="AA65" i="8" s="1"/>
  <c r="X70" i="8" a="1"/>
  <c r="X70" i="8" s="1"/>
  <c r="AB70" i="8" a="1"/>
  <c r="AB70" i="8" s="1"/>
  <c r="AB67" i="8" s="1" a="1"/>
  <c r="AB67" i="8" s="1"/>
  <c r="AB65" i="8" s="1" a="1"/>
  <c r="AB65" i="8" s="1"/>
  <c r="AC70" i="8" a="1"/>
  <c r="AC70" i="8" s="1"/>
  <c r="AC67" i="8" s="1" a="1"/>
  <c r="AC67" i="8" s="1"/>
  <c r="AC65" i="8" s="1" a="1"/>
  <c r="AC65" i="8" s="1"/>
  <c r="AE70" i="8" a="1"/>
  <c r="AE70" i="8" s="1"/>
  <c r="AE67" i="8" s="1" a="1"/>
  <c r="AE67" i="8" s="1"/>
  <c r="AE65" i="8" s="1" a="1"/>
  <c r="AE65" i="8" s="1"/>
  <c r="X67" i="8" a="1"/>
  <c r="X67" i="8" s="1"/>
  <c r="X65" i="8" s="1" a="1"/>
  <c r="X65" i="8" s="1"/>
  <c r="AD67" i="8" a="1"/>
  <c r="AD67" i="8" s="1"/>
  <c r="AD65" i="8" s="1" a="1"/>
  <c r="AD65" i="8" s="1"/>
  <c r="E67" i="8" a="1"/>
  <c r="E67" i="8" s="1"/>
  <c r="E65" i="8" s="1" a="1"/>
  <c r="E65" i="8" s="1"/>
  <c r="AF67" i="8" a="1"/>
  <c r="AF67" i="8" s="1"/>
  <c r="AF65" i="8" s="1" a="1"/>
  <c r="AF65" i="8" s="1"/>
  <c r="H68" i="8" a="1"/>
  <c r="H68" i="8" s="1"/>
  <c r="J69" i="8" s="1"/>
  <c r="AO51" i="12" a="1"/>
  <c r="AO51" i="12" s="1"/>
  <c r="Y51" i="12" s="1"/>
  <c r="AO52" i="12" a="1"/>
  <c r="AO52" i="12" s="1"/>
  <c r="Y52" i="12" s="1"/>
  <c r="Y53" i="12"/>
  <c r="AB51" i="5" a="1"/>
  <c r="AB51" i="5" s="1"/>
  <c r="AB18" i="11" s="1" a="1"/>
  <c r="AB18" i="11" s="1"/>
  <c r="N18" i="11" s="1"/>
  <c r="AB52" i="5" a="1"/>
  <c r="AB52" i="5" s="1"/>
  <c r="D47" i="8" s="1"/>
  <c r="N43" i="12"/>
  <c r="Y19" i="12"/>
  <c r="AA58" i="5" a="1"/>
  <c r="AA58" i="5" s="1"/>
  <c r="C53" i="8" s="1"/>
  <c r="E34" i="6"/>
  <c r="D34" i="12"/>
  <c r="D29" i="12"/>
  <c r="E29" i="6"/>
  <c r="AO28" i="12" a="1"/>
  <c r="AO28" i="12" s="1"/>
  <c r="Y28" i="12" s="1"/>
  <c r="AO27" i="12" a="1"/>
  <c r="AO27" i="12" s="1"/>
  <c r="Y27" i="12" s="1"/>
  <c r="Y29" i="12"/>
  <c r="AA36" i="5" a="1"/>
  <c r="AA36" i="5" s="1"/>
  <c r="C32" i="8" s="1"/>
  <c r="AA35" i="5" a="1"/>
  <c r="AA35" i="5" s="1"/>
  <c r="AA16" i="11" s="1" a="1"/>
  <c r="AA16" i="11" s="1"/>
  <c r="Y75" i="12"/>
  <c r="AO74" i="12" a="1"/>
  <c r="AO74" i="12" s="1"/>
  <c r="Y74" i="12" s="1"/>
  <c r="AO73" i="12" a="1"/>
  <c r="AO73" i="12" s="1"/>
  <c r="Y73" i="12" s="1"/>
  <c r="AC52" i="5" a="1"/>
  <c r="AC52" i="5" s="1"/>
  <c r="O52" i="5"/>
  <c r="C52" i="6"/>
  <c r="N49" i="12"/>
  <c r="Y32" i="12"/>
  <c r="E26" i="6"/>
  <c r="D26" i="12"/>
  <c r="E49" i="6"/>
  <c r="D49" i="12"/>
  <c r="D38" i="12"/>
  <c r="E38" i="6"/>
  <c r="L18" i="13"/>
  <c r="D18" i="13" s="1"/>
  <c r="C18" i="11"/>
  <c r="P18" i="11"/>
  <c r="Z18" i="11"/>
  <c r="U14" i="8" l="1" a="1"/>
  <c r="U14" i="8" s="1"/>
  <c r="U80" i="8" a="1"/>
  <c r="U80" i="8" s="1"/>
  <c r="U79" i="8" a="1"/>
  <c r="U79" i="8" s="1"/>
  <c r="U81" i="8"/>
  <c r="X14" i="8" a="1"/>
  <c r="X14" i="8" s="1"/>
  <c r="W75" i="12" a="1"/>
  <c r="W75" i="12" s="1"/>
  <c r="X75" i="12" a="1"/>
  <c r="X75" i="12" s="1"/>
  <c r="X22" i="12" a="1"/>
  <c r="X22" i="12" s="1"/>
  <c r="W22" i="12" a="1"/>
  <c r="W22" i="12" s="1"/>
  <c r="W35" i="12" a="1"/>
  <c r="W35" i="12" s="1"/>
  <c r="X35" i="12" a="1"/>
  <c r="X35" i="12" s="1"/>
  <c r="W48" i="12" a="1"/>
  <c r="W48" i="12" s="1"/>
  <c r="X48" i="12" a="1"/>
  <c r="X48" i="12" s="1"/>
  <c r="X20" i="12" a="1"/>
  <c r="X20" i="12" s="1"/>
  <c r="W20" i="12" a="1"/>
  <c r="W20" i="12" s="1"/>
  <c r="W17" i="12" a="1"/>
  <c r="W17" i="12" s="1"/>
  <c r="X17" i="12" a="1"/>
  <c r="X17" i="12" s="1"/>
  <c r="AA7" i="11"/>
  <c r="O25" i="11"/>
  <c r="W26" i="12" a="1"/>
  <c r="W26" i="12" s="1"/>
  <c r="X26" i="12" a="1"/>
  <c r="X26" i="12" s="1"/>
  <c r="AK15" i="13" a="1"/>
  <c r="AK15" i="13" s="1"/>
  <c r="S15" i="13" s="1"/>
  <c r="AL15" i="13"/>
  <c r="M15" i="13" s="1"/>
  <c r="AJ15" i="13" a="1"/>
  <c r="AJ15" i="13" s="1"/>
  <c r="R15" i="13" s="1"/>
  <c r="X54" i="12" a="1"/>
  <c r="X54" i="12" s="1"/>
  <c r="W54" i="12" a="1"/>
  <c r="W54" i="12" s="1"/>
  <c r="E74" i="6"/>
  <c r="D74" i="12"/>
  <c r="I68" i="8"/>
  <c r="A68" i="8" s="1"/>
  <c r="E54" i="6"/>
  <c r="D54" i="12"/>
  <c r="I50" i="8"/>
  <c r="A50" i="8" s="1"/>
  <c r="W65" i="12" a="1"/>
  <c r="W65" i="12" s="1"/>
  <c r="X65" i="12" a="1"/>
  <c r="X65" i="12" s="1"/>
  <c r="X58" i="12" a="1"/>
  <c r="X58" i="12" s="1"/>
  <c r="W58" i="12" a="1"/>
  <c r="W58" i="12" s="1"/>
  <c r="O12" i="5" a="1"/>
  <c r="O12" i="5" s="1"/>
  <c r="V38" i="12" a="1"/>
  <c r="V38" i="12" s="1"/>
  <c r="T38" i="12"/>
  <c r="U38" i="12"/>
  <c r="I62" i="8"/>
  <c r="A62" i="8" s="1"/>
  <c r="D68" i="12"/>
  <c r="E68" i="6"/>
  <c r="D51" i="12"/>
  <c r="I44" i="8"/>
  <c r="A44" i="8" s="1"/>
  <c r="E51" i="6"/>
  <c r="AB46" i="8" a="1"/>
  <c r="AB46" i="8" s="1"/>
  <c r="V46" i="8" a="1"/>
  <c r="V46" i="8" s="1"/>
  <c r="V44" i="8" s="1" a="1"/>
  <c r="V44" i="8" s="1"/>
  <c r="AK20" i="13" a="1"/>
  <c r="AK20" i="13" s="1"/>
  <c r="S20" i="13" s="1"/>
  <c r="AL20" i="13"/>
  <c r="M20" i="13" s="1"/>
  <c r="AJ20" i="13" a="1"/>
  <c r="AJ20" i="13" s="1"/>
  <c r="R20" i="13" s="1"/>
  <c r="N54" i="12"/>
  <c r="N65" i="12"/>
  <c r="N58" i="12"/>
  <c r="W40" i="12" a="1"/>
  <c r="W40" i="12" s="1"/>
  <c r="X40" i="12" a="1"/>
  <c r="X40" i="12" s="1"/>
  <c r="N17" i="12"/>
  <c r="X52" i="12" a="1"/>
  <c r="X52" i="12" s="1"/>
  <c r="W52" i="12" a="1"/>
  <c r="W52" i="12" s="1"/>
  <c r="W28" i="12" a="1"/>
  <c r="W28" i="12" s="1"/>
  <c r="X28" i="12" a="1"/>
  <c r="X28" i="12" s="1"/>
  <c r="X51" i="12" a="1"/>
  <c r="X51" i="12" s="1"/>
  <c r="W51" i="12" a="1"/>
  <c r="W51" i="12" s="1"/>
  <c r="I20" i="8"/>
  <c r="A20" i="8" s="1"/>
  <c r="E21" i="6"/>
  <c r="D21" i="12"/>
  <c r="K65" i="12"/>
  <c r="X23" i="12" a="1"/>
  <c r="X23" i="12" s="1"/>
  <c r="W23" i="12" a="1"/>
  <c r="W23" i="12" s="1"/>
  <c r="X37" i="12" a="1"/>
  <c r="X37" i="12" s="1"/>
  <c r="W37" i="12" a="1"/>
  <c r="W37" i="12" s="1"/>
  <c r="X46" i="12" a="1"/>
  <c r="X46" i="12" s="1"/>
  <c r="W46" i="12" a="1"/>
  <c r="W46" i="12" s="1"/>
  <c r="V14" i="13"/>
  <c r="V15" i="13" s="1"/>
  <c r="D14" i="13"/>
  <c r="L28" i="13"/>
  <c r="T24" i="12"/>
  <c r="U24" i="12"/>
  <c r="V24" i="12" a="1"/>
  <c r="V24" i="12" s="1"/>
  <c r="U41" i="12"/>
  <c r="T41" i="12"/>
  <c r="V41" i="12" a="1"/>
  <c r="V41" i="12" s="1"/>
  <c r="U67" i="12"/>
  <c r="T67" i="12"/>
  <c r="V67" i="12" a="1"/>
  <c r="V67" i="12" s="1"/>
  <c r="E27" i="6"/>
  <c r="D27" i="12"/>
  <c r="I23" i="8"/>
  <c r="AA14" i="8" a="1"/>
  <c r="AA14" i="8" s="1"/>
  <c r="W66" i="12" a="1"/>
  <c r="W66" i="12" s="1"/>
  <c r="X66" i="12" a="1"/>
  <c r="X66" i="12" s="1"/>
  <c r="AC7" i="5"/>
  <c r="E14" i="6"/>
  <c r="E16" i="6"/>
  <c r="D16" i="12"/>
  <c r="I14" i="8"/>
  <c r="AL19" i="13"/>
  <c r="M19" i="13" s="1"/>
  <c r="AK19" i="13" a="1"/>
  <c r="AK19" i="13" s="1"/>
  <c r="S19" i="13" s="1"/>
  <c r="AJ19" i="13" a="1"/>
  <c r="AJ19" i="13" s="1"/>
  <c r="R19" i="13" s="1"/>
  <c r="AN17" i="13" a="1"/>
  <c r="AN17" i="13" s="1"/>
  <c r="U17" i="13" s="1"/>
  <c r="N46" i="12"/>
  <c r="AO17" i="13"/>
  <c r="O17" i="13" s="1"/>
  <c r="AM17" i="13" a="1"/>
  <c r="AM17" i="13" s="1"/>
  <c r="T17" i="13" s="1"/>
  <c r="U42" i="12"/>
  <c r="T42" i="12"/>
  <c r="V42" i="12" a="1"/>
  <c r="V42" i="12" s="1"/>
  <c r="T49" i="12"/>
  <c r="V49" i="12" a="1"/>
  <c r="V49" i="12" s="1"/>
  <c r="U49" i="12"/>
  <c r="W69" i="12" a="1"/>
  <c r="W69" i="12" s="1"/>
  <c r="X69" i="12" a="1"/>
  <c r="X69" i="12" s="1"/>
  <c r="N51" i="12"/>
  <c r="AO18" i="13"/>
  <c r="O18" i="13" s="1"/>
  <c r="AN18" i="13" a="1"/>
  <c r="AN18" i="13" s="1"/>
  <c r="U18" i="13" s="1"/>
  <c r="AM18" i="13" a="1"/>
  <c r="AM18" i="13" s="1"/>
  <c r="T18" i="13" s="1"/>
  <c r="U71" i="12"/>
  <c r="V71" i="12" a="1"/>
  <c r="V71" i="12" s="1"/>
  <c r="T71" i="12"/>
  <c r="X46" i="8" a="1"/>
  <c r="X46" i="8" s="1"/>
  <c r="X44" i="8" s="1" a="1"/>
  <c r="X44" i="8" s="1"/>
  <c r="AO19" i="13"/>
  <c r="O19" i="13" s="1"/>
  <c r="AN19" i="13" a="1"/>
  <c r="AN19" i="13" s="1"/>
  <c r="U19" i="13" s="1"/>
  <c r="N64" i="12"/>
  <c r="AM19" i="13" a="1"/>
  <c r="AM19" i="13" s="1"/>
  <c r="T19" i="13" s="1"/>
  <c r="D35" i="12"/>
  <c r="I29" i="8"/>
  <c r="E35" i="6"/>
  <c r="AK14" i="13" a="1"/>
  <c r="AK14" i="13" s="1"/>
  <c r="S14" i="13" s="1"/>
  <c r="AL14" i="13"/>
  <c r="M14" i="13" s="1"/>
  <c r="AJ14" i="13" a="1"/>
  <c r="AJ14" i="13" s="1"/>
  <c r="R14" i="13" s="1"/>
  <c r="W27" i="12" a="1"/>
  <c r="W27" i="12" s="1"/>
  <c r="X27" i="12" a="1"/>
  <c r="X27" i="12" s="1"/>
  <c r="X32" i="12" a="1"/>
  <c r="X32" i="12" s="1"/>
  <c r="W32" i="12" a="1"/>
  <c r="W32" i="12" s="1"/>
  <c r="X73" i="12" a="1"/>
  <c r="X73" i="12" s="1"/>
  <c r="W73" i="12" a="1"/>
  <c r="W73" i="12" s="1"/>
  <c r="K54" i="12"/>
  <c r="X61" i="12" a="1"/>
  <c r="X61" i="12" s="1"/>
  <c r="W61" i="12" a="1"/>
  <c r="W61" i="12" s="1"/>
  <c r="I17" i="8"/>
  <c r="A17" i="8" s="1"/>
  <c r="D17" i="12"/>
  <c r="E17" i="6"/>
  <c r="K35" i="12"/>
  <c r="X36" i="12" a="1"/>
  <c r="X36" i="12" s="1"/>
  <c r="W36" i="12" a="1"/>
  <c r="W36" i="12" s="1"/>
  <c r="X50" i="12" a="1"/>
  <c r="X50" i="12" s="1"/>
  <c r="W50" i="12" a="1"/>
  <c r="W50" i="12" s="1"/>
  <c r="X47" i="12" a="1"/>
  <c r="X47" i="12" s="1"/>
  <c r="W47" i="12" a="1"/>
  <c r="W47" i="12" s="1"/>
  <c r="E64" i="6"/>
  <c r="I56" i="8"/>
  <c r="A56" i="8" s="1"/>
  <c r="D64" i="12"/>
  <c r="X16" i="12" a="1"/>
  <c r="X16" i="12" s="1"/>
  <c r="W16" i="12" a="1"/>
  <c r="W16" i="12" s="1"/>
  <c r="X62" i="12" a="1"/>
  <c r="X62" i="12" s="1"/>
  <c r="W62" i="12" a="1"/>
  <c r="W62" i="12" s="1"/>
  <c r="I53" i="8"/>
  <c r="A53" i="8" s="1"/>
  <c r="E58" i="6"/>
  <c r="D58" i="12"/>
  <c r="Y58" i="8" a="1"/>
  <c r="Y58" i="8" s="1"/>
  <c r="Y56" i="8" s="1" a="1"/>
  <c r="Y56" i="8" s="1"/>
  <c r="D39" i="12"/>
  <c r="E39" i="6"/>
  <c r="I35" i="8"/>
  <c r="A35" i="8" s="1"/>
  <c r="W64" i="12" a="1"/>
  <c r="W64" i="12" s="1"/>
  <c r="X64" i="12" a="1"/>
  <c r="X64" i="12" s="1"/>
  <c r="V16" i="13"/>
  <c r="V17" i="13" s="1"/>
  <c r="V18" i="13" s="1"/>
  <c r="V19" i="13" s="1"/>
  <c r="V20" i="13" s="1"/>
  <c r="V21" i="13" s="1"/>
  <c r="V22" i="13" s="1"/>
  <c r="V23" i="13" s="1"/>
  <c r="D16" i="13"/>
  <c r="AC11" i="5"/>
  <c r="Y40" i="8" a="1"/>
  <c r="Y40" i="8" s="1"/>
  <c r="Y38" i="8" s="1" a="1"/>
  <c r="Y38" i="8" s="1"/>
  <c r="AD40" i="8" a="1"/>
  <c r="AD40" i="8" s="1"/>
  <c r="AD38" i="8" s="1" a="1"/>
  <c r="AD38" i="8" s="1"/>
  <c r="X40" i="8" a="1"/>
  <c r="X40" i="8" s="1"/>
  <c r="X38" i="8" s="1" a="1"/>
  <c r="X38" i="8" s="1"/>
  <c r="K16" i="12"/>
  <c r="Y68" i="12"/>
  <c r="N28" i="12"/>
  <c r="K74" i="12"/>
  <c r="W25" i="12" a="1"/>
  <c r="W25" i="12" s="1"/>
  <c r="X25" i="12" a="1"/>
  <c r="X25" i="12" s="1"/>
  <c r="K39" i="12"/>
  <c r="W56" i="12" a="1"/>
  <c r="W56" i="12" s="1"/>
  <c r="X56" i="12" a="1"/>
  <c r="X56" i="12" s="1"/>
  <c r="V44" i="12" a="1"/>
  <c r="V44" i="12" s="1"/>
  <c r="U44" i="12"/>
  <c r="T44" i="12"/>
  <c r="K47" i="12"/>
  <c r="X72" i="12" a="1"/>
  <c r="X72" i="12" s="1"/>
  <c r="W72" i="12" a="1"/>
  <c r="W72" i="12" s="1"/>
  <c r="N16" i="12"/>
  <c r="AO14" i="13"/>
  <c r="O14" i="13" s="1"/>
  <c r="AN14" i="13" a="1"/>
  <c r="AN14" i="13" s="1"/>
  <c r="U14" i="13" s="1"/>
  <c r="AM14" i="13" a="1"/>
  <c r="AM14" i="13" s="1"/>
  <c r="T14" i="13" s="1"/>
  <c r="E47" i="6"/>
  <c r="D47" i="12"/>
  <c r="I41" i="8"/>
  <c r="A41" i="8" s="1"/>
  <c r="E52" i="6"/>
  <c r="D52" i="12"/>
  <c r="I47" i="8"/>
  <c r="A47" i="8" s="1"/>
  <c r="W74" i="12" a="1"/>
  <c r="W74" i="12" s="1"/>
  <c r="X74" i="12" a="1"/>
  <c r="X74" i="12" s="1"/>
  <c r="W29" i="12" a="1"/>
  <c r="W29" i="12" s="1"/>
  <c r="X29" i="12" a="1"/>
  <c r="X29" i="12" s="1"/>
  <c r="W19" i="12" a="1"/>
  <c r="W19" i="12" s="1"/>
  <c r="X19" i="12" a="1"/>
  <c r="X19" i="12" s="1"/>
  <c r="W53" i="12" a="1"/>
  <c r="W53" i="12" s="1"/>
  <c r="X53" i="12" a="1"/>
  <c r="X53" i="12" s="1"/>
  <c r="X21" i="12" a="1"/>
  <c r="X21" i="12" s="1"/>
  <c r="W21" i="12" a="1"/>
  <c r="W21" i="12" s="1"/>
  <c r="V25" i="8" a="1"/>
  <c r="V25" i="8" s="1"/>
  <c r="W33" i="12" a="1"/>
  <c r="W33" i="12" s="1"/>
  <c r="X33" i="12" a="1"/>
  <c r="X33" i="12" s="1"/>
  <c r="X70" i="12" a="1"/>
  <c r="X70" i="12" s="1"/>
  <c r="W70" i="12" a="1"/>
  <c r="W70" i="12" s="1"/>
  <c r="N35" i="12"/>
  <c r="AO16" i="13"/>
  <c r="O16" i="13" s="1"/>
  <c r="AN16" i="13" a="1"/>
  <c r="AN16" i="13" s="1"/>
  <c r="U16" i="13" s="1"/>
  <c r="AM16" i="13" a="1"/>
  <c r="AM16" i="13" s="1"/>
  <c r="T16" i="13" s="1"/>
  <c r="I26" i="8"/>
  <c r="A26" i="8" s="1"/>
  <c r="D28" i="12"/>
  <c r="E28" i="6"/>
  <c r="W18" i="12" a="1"/>
  <c r="W18" i="12" s="1"/>
  <c r="X18" i="12" a="1"/>
  <c r="X18" i="12" s="1"/>
  <c r="G11" i="11"/>
  <c r="X55" i="12" a="1"/>
  <c r="X55" i="12" s="1"/>
  <c r="W55" i="12" a="1"/>
  <c r="W55" i="12" s="1"/>
  <c r="E46" i="6"/>
  <c r="I38" i="8"/>
  <c r="A38" i="8" s="1"/>
  <c r="D46" i="12"/>
  <c r="V58" i="8" a="1"/>
  <c r="V58" i="8" s="1"/>
  <c r="V56" i="8" s="1" a="1"/>
  <c r="V56" i="8" s="1"/>
  <c r="AA58" i="8" a="1"/>
  <c r="AA58" i="8" s="1"/>
  <c r="AA56" i="8" s="1" a="1"/>
  <c r="AA56" i="8" s="1"/>
  <c r="I32" i="8"/>
  <c r="A32" i="8" s="1"/>
  <c r="D36" i="12"/>
  <c r="E36" i="6"/>
  <c r="E14" i="8" a="1"/>
  <c r="E14" i="8" s="1"/>
  <c r="E80" i="8" a="1"/>
  <c r="E80" i="8" s="1"/>
  <c r="E75" i="8" s="1"/>
  <c r="W59" i="12" a="1"/>
  <c r="W59" i="12" s="1"/>
  <c r="X59" i="12" a="1"/>
  <c r="X59" i="12" s="1"/>
  <c r="Z16" i="11"/>
  <c r="Z24" i="11" s="1"/>
  <c r="Z40" i="8" a="1"/>
  <c r="Z40" i="8" s="1"/>
  <c r="Z38" i="8" s="1" a="1"/>
  <c r="Z38" i="8" s="1"/>
  <c r="AE40" i="8" a="1"/>
  <c r="AE40" i="8" s="1"/>
  <c r="AE38" i="8" s="1" a="1"/>
  <c r="AE38" i="8" s="1"/>
  <c r="V45" i="12" a="1"/>
  <c r="V45" i="12" s="1"/>
  <c r="T45" i="12"/>
  <c r="U45" i="12"/>
  <c r="K52" i="12"/>
  <c r="AN20" i="13" a="1"/>
  <c r="AN20" i="13" s="1"/>
  <c r="U20" i="13" s="1"/>
  <c r="AO20" i="13"/>
  <c r="O20" i="13" s="1"/>
  <c r="N73" i="12"/>
  <c r="AM20" i="13" a="1"/>
  <c r="AM20" i="13" s="1"/>
  <c r="T20" i="13" s="1"/>
  <c r="N27" i="12"/>
  <c r="AO15" i="13"/>
  <c r="O15" i="13" s="1"/>
  <c r="AN15" i="13" a="1"/>
  <c r="AN15" i="13" s="1"/>
  <c r="U15" i="13" s="1"/>
  <c r="AM15" i="13" a="1"/>
  <c r="AM15" i="13" s="1"/>
  <c r="T15" i="13" s="1"/>
  <c r="N14" i="11"/>
  <c r="N24" i="11" s="1"/>
  <c r="AB24" i="11"/>
  <c r="AB7" i="11" s="1"/>
  <c r="AE46" i="8" a="1"/>
  <c r="AE46" i="8" s="1"/>
  <c r="AE44" i="8" s="1" a="1"/>
  <c r="AE44" i="8" s="1"/>
  <c r="I59" i="8"/>
  <c r="A59" i="8" s="1"/>
  <c r="D65" i="12"/>
  <c r="E65" i="6"/>
  <c r="Z20" i="11"/>
  <c r="T57" i="12"/>
  <c r="U57" i="12"/>
  <c r="V57" i="12" a="1"/>
  <c r="V57" i="12" s="1"/>
  <c r="E46" i="8" a="1"/>
  <c r="E46" i="8" s="1"/>
  <c r="E44" i="8" s="1" a="1"/>
  <c r="E44" i="8" s="1"/>
  <c r="E79" i="8" s="1" a="1"/>
  <c r="E79" i="8" s="1"/>
  <c r="E74" i="8" s="1"/>
  <c r="AF46" i="8" a="1"/>
  <c r="AF46" i="8" s="1"/>
  <c r="AF44" i="8" s="1" a="1"/>
  <c r="AF44" i="8" s="1"/>
  <c r="X30" i="12" a="1"/>
  <c r="X30" i="12" s="1"/>
  <c r="W30" i="12" a="1"/>
  <c r="W30" i="12" s="1"/>
  <c r="AA24" i="11"/>
  <c r="V43" i="12" a="1"/>
  <c r="V43" i="12" s="1"/>
  <c r="U43" i="12"/>
  <c r="T43" i="12"/>
  <c r="AK18" i="13" a="1"/>
  <c r="AK18" i="13" s="1"/>
  <c r="S18" i="13" s="1"/>
  <c r="AL18" i="13"/>
  <c r="M18" i="13" s="1"/>
  <c r="AJ18" i="13" a="1"/>
  <c r="AJ18" i="13" s="1"/>
  <c r="R18" i="13" s="1"/>
  <c r="U31" i="12"/>
  <c r="V31" i="12" a="1"/>
  <c r="V31" i="12" s="1"/>
  <c r="T31" i="12"/>
  <c r="D73" i="12"/>
  <c r="I65" i="8"/>
  <c r="A65" i="8" s="1"/>
  <c r="E73" i="6"/>
  <c r="U60" i="12"/>
  <c r="T60" i="12"/>
  <c r="V60" i="12" a="1"/>
  <c r="V60" i="12" s="1"/>
  <c r="V34" i="12" a="1"/>
  <c r="V34" i="12" s="1"/>
  <c r="T34" i="12"/>
  <c r="U34" i="12"/>
  <c r="Y39" i="12"/>
  <c r="W63" i="12" a="1"/>
  <c r="W63" i="12" s="1"/>
  <c r="X63" i="12" a="1"/>
  <c r="X63" i="12" s="1"/>
  <c r="AL16" i="13"/>
  <c r="M16" i="13" s="1"/>
  <c r="AK16" i="13" a="1"/>
  <c r="AK16" i="13" s="1"/>
  <c r="S16" i="13" s="1"/>
  <c r="AJ16" i="13" a="1"/>
  <c r="AJ16" i="13" s="1"/>
  <c r="R16" i="13" s="1"/>
  <c r="AK17" i="13" a="1"/>
  <c r="AK17" i="13" s="1"/>
  <c r="S17" i="13" s="1"/>
  <c r="AL17" i="13"/>
  <c r="M17" i="13" s="1"/>
  <c r="AJ17" i="13" a="1"/>
  <c r="AJ17" i="13" s="1"/>
  <c r="R17" i="13" s="1"/>
  <c r="L27" i="13" l="1"/>
  <c r="D32" i="14" s="1"/>
  <c r="N25" i="11"/>
  <c r="P20" i="13"/>
  <c r="N20" i="13"/>
  <c r="T63" i="12"/>
  <c r="U63" i="12"/>
  <c r="V63" i="12" a="1"/>
  <c r="V63" i="12" s="1"/>
  <c r="N16" i="13"/>
  <c r="P16" i="13"/>
  <c r="V19" i="12" a="1"/>
  <c r="V19" i="12" s="1"/>
  <c r="T19" i="12"/>
  <c r="U19" i="12"/>
  <c r="U74" i="12"/>
  <c r="V74" i="12" a="1"/>
  <c r="V74" i="12" s="1"/>
  <c r="T74" i="12"/>
  <c r="AD4" i="13"/>
  <c r="F82" i="8"/>
  <c r="V73" i="12" a="1"/>
  <c r="V73" i="12" s="1"/>
  <c r="T73" i="12"/>
  <c r="U73" i="12"/>
  <c r="M27" i="13"/>
  <c r="N18" i="13"/>
  <c r="P18" i="13"/>
  <c r="V52" i="12" a="1"/>
  <c r="V52" i="12" s="1"/>
  <c r="U52" i="12"/>
  <c r="T52" i="12"/>
  <c r="U58" i="12"/>
  <c r="T58" i="12"/>
  <c r="V58" i="12" a="1"/>
  <c r="V58" i="12" s="1"/>
  <c r="U20" i="12"/>
  <c r="V20" i="12" a="1"/>
  <c r="V20" i="12" s="1"/>
  <c r="T20" i="12"/>
  <c r="U76" i="8"/>
  <c r="U77" i="8"/>
  <c r="H70" i="9" s="1"/>
  <c r="H71" i="9"/>
  <c r="U78" i="8"/>
  <c r="U73" i="8" s="1"/>
  <c r="U30" i="12"/>
  <c r="V30" i="12" a="1"/>
  <c r="V30" i="12" s="1"/>
  <c r="T30" i="12"/>
  <c r="N15" i="13"/>
  <c r="P15" i="13"/>
  <c r="T59" i="12"/>
  <c r="V59" i="12" a="1"/>
  <c r="V59" i="12" s="1"/>
  <c r="U59" i="12"/>
  <c r="V55" i="12" a="1"/>
  <c r="V55" i="12" s="1"/>
  <c r="T55" i="12"/>
  <c r="U55" i="12"/>
  <c r="V18" i="12" a="1"/>
  <c r="V18" i="12" s="1"/>
  <c r="U18" i="12"/>
  <c r="T18" i="12"/>
  <c r="V33" i="12" a="1"/>
  <c r="V33" i="12" s="1"/>
  <c r="U33" i="12"/>
  <c r="T33" i="12"/>
  <c r="N14" i="13"/>
  <c r="P14" i="13"/>
  <c r="O28" i="13"/>
  <c r="W68" i="12" a="1"/>
  <c r="W68" i="12" s="1"/>
  <c r="X68" i="12" a="1"/>
  <c r="X68" i="12" s="1"/>
  <c r="V16" i="12" a="1"/>
  <c r="V16" i="12" s="1"/>
  <c r="U16" i="12"/>
  <c r="T16" i="12"/>
  <c r="U50" i="12"/>
  <c r="T50" i="12"/>
  <c r="V50" i="12" a="1"/>
  <c r="V50" i="12" s="1"/>
  <c r="U61" i="12"/>
  <c r="V61" i="12" a="1"/>
  <c r="V61" i="12" s="1"/>
  <c r="T61" i="12"/>
  <c r="T27" i="12"/>
  <c r="V27" i="12" a="1"/>
  <c r="V27" i="12" s="1"/>
  <c r="U27" i="12"/>
  <c r="T46" i="12"/>
  <c r="V46" i="12" a="1"/>
  <c r="V46" i="12" s="1"/>
  <c r="U46" i="12"/>
  <c r="T23" i="12"/>
  <c r="U23" i="12"/>
  <c r="V23" i="12" a="1"/>
  <c r="V23" i="12" s="1"/>
  <c r="V40" i="12" a="1"/>
  <c r="V40" i="12" s="1"/>
  <c r="U40" i="12"/>
  <c r="T40" i="12"/>
  <c r="AB44" i="8" a="1"/>
  <c r="AB44" i="8" s="1"/>
  <c r="U26" i="12"/>
  <c r="V26" i="12" a="1"/>
  <c r="V26" i="12" s="1"/>
  <c r="T26" i="12"/>
  <c r="T17" i="12"/>
  <c r="V17" i="12" a="1"/>
  <c r="V17" i="12" s="1"/>
  <c r="U17" i="12"/>
  <c r="V35" i="12" a="1"/>
  <c r="V35" i="12" s="1"/>
  <c r="T35" i="12"/>
  <c r="U35" i="12"/>
  <c r="V75" i="12" a="1"/>
  <c r="V75" i="12" s="1"/>
  <c r="U75" i="12"/>
  <c r="T75" i="12"/>
  <c r="U74" i="8"/>
  <c r="V79" i="8" a="1"/>
  <c r="V79" i="8" s="1"/>
  <c r="W39" i="12" a="1"/>
  <c r="W39" i="12" s="1"/>
  <c r="X39" i="12" a="1"/>
  <c r="X39" i="12" s="1"/>
  <c r="V70" i="12" a="1"/>
  <c r="V70" i="12" s="1"/>
  <c r="T70" i="12"/>
  <c r="U70" i="12"/>
  <c r="V23" i="8" a="1"/>
  <c r="V23" i="8" s="1"/>
  <c r="V81" i="8"/>
  <c r="V53" i="12" a="1"/>
  <c r="V53" i="12" s="1"/>
  <c r="U53" i="12"/>
  <c r="T53" i="12"/>
  <c r="V29" i="12" a="1"/>
  <c r="V29" i="12" s="1"/>
  <c r="U29" i="12"/>
  <c r="T29" i="12"/>
  <c r="U56" i="12"/>
  <c r="V56" i="12" a="1"/>
  <c r="V56" i="12" s="1"/>
  <c r="T56" i="12"/>
  <c r="V25" i="12" a="1"/>
  <c r="V25" i="12" s="1"/>
  <c r="U25" i="12"/>
  <c r="T25" i="12"/>
  <c r="T64" i="12"/>
  <c r="U64" i="12"/>
  <c r="V64" i="12" a="1"/>
  <c r="V64" i="12" s="1"/>
  <c r="V62" i="12" a="1"/>
  <c r="V62" i="12" s="1"/>
  <c r="T62" i="12"/>
  <c r="U62" i="12"/>
  <c r="T32" i="12"/>
  <c r="V32" i="12" a="1"/>
  <c r="V32" i="12" s="1"/>
  <c r="U32" i="12"/>
  <c r="M26" i="13"/>
  <c r="L24" i="13"/>
  <c r="D33" i="14"/>
  <c r="V28" i="12" a="1"/>
  <c r="V28" i="12" s="1"/>
  <c r="T28" i="12"/>
  <c r="U28" i="12"/>
  <c r="E81" i="8"/>
  <c r="T22" i="12"/>
  <c r="U22" i="12"/>
  <c r="V22" i="12" a="1"/>
  <c r="V22" i="12" s="1"/>
  <c r="U75" i="8"/>
  <c r="V80" i="8" a="1"/>
  <c r="V80" i="8" s="1"/>
  <c r="V21" i="12" a="1"/>
  <c r="V21" i="12" s="1"/>
  <c r="U21" i="12"/>
  <c r="T21" i="12"/>
  <c r="AD3" i="13"/>
  <c r="U72" i="12"/>
  <c r="V72" i="12" a="1"/>
  <c r="V72" i="12" s="1"/>
  <c r="T72" i="12"/>
  <c r="T47" i="12"/>
  <c r="V47" i="12" a="1"/>
  <c r="V47" i="12" s="1"/>
  <c r="U47" i="12"/>
  <c r="V36" i="12" a="1"/>
  <c r="V36" i="12" s="1"/>
  <c r="T36" i="12"/>
  <c r="U36" i="12"/>
  <c r="M28" i="13"/>
  <c r="N19" i="13"/>
  <c r="P19" i="13"/>
  <c r="U69" i="12"/>
  <c r="V69" i="12" a="1"/>
  <c r="V69" i="12" s="1"/>
  <c r="T69" i="12"/>
  <c r="P17" i="13"/>
  <c r="N17" i="13"/>
  <c r="T66" i="12"/>
  <c r="V66" i="12" a="1"/>
  <c r="V66" i="12" s="1"/>
  <c r="U66" i="12"/>
  <c r="U37" i="12"/>
  <c r="V37" i="12" a="1"/>
  <c r="V37" i="12" s="1"/>
  <c r="T37" i="12"/>
  <c r="V51" i="12" a="1"/>
  <c r="V51" i="12" s="1"/>
  <c r="U51" i="12"/>
  <c r="T51" i="12"/>
  <c r="U65" i="12"/>
  <c r="T65" i="12"/>
  <c r="V65" i="12" a="1"/>
  <c r="V65" i="12" s="1"/>
  <c r="U54" i="12"/>
  <c r="T54" i="12"/>
  <c r="V54" i="12" a="1"/>
  <c r="V54" i="12" s="1"/>
  <c r="Z3" i="11"/>
  <c r="AA3" i="11" s="1" a="1"/>
  <c r="AA3" i="11" s="1"/>
  <c r="U48" i="12"/>
  <c r="V48" i="12" a="1"/>
  <c r="V48" i="12" s="1"/>
  <c r="T48" i="12"/>
  <c r="V76" i="8" l="1"/>
  <c r="V77" i="8"/>
  <c r="J70" i="9" s="1"/>
  <c r="J71" i="9"/>
  <c r="V78" i="8"/>
  <c r="V73" i="8" s="1"/>
  <c r="W81" i="8"/>
  <c r="V74" i="8"/>
  <c r="W79" i="8" a="1"/>
  <c r="W79" i="8" s="1"/>
  <c r="AD18" i="11"/>
  <c r="AD17" i="11"/>
  <c r="AD22" i="11"/>
  <c r="AD12" i="11"/>
  <c r="AD19" i="11"/>
  <c r="AD21" i="11"/>
  <c r="AD16" i="11"/>
  <c r="AD20" i="11"/>
  <c r="AE19" i="11" s="1"/>
  <c r="M19" i="11" s="1"/>
  <c r="L19" i="11" s="1"/>
  <c r="AD23" i="11"/>
  <c r="AD14" i="11"/>
  <c r="AD15" i="11"/>
  <c r="W80" i="8" a="1"/>
  <c r="W80" i="8" s="1"/>
  <c r="V75" i="8"/>
  <c r="M25" i="13"/>
  <c r="T68" i="12"/>
  <c r="U68" i="12"/>
  <c r="V68" i="12" a="1"/>
  <c r="V68" i="12" s="1"/>
  <c r="U72" i="8"/>
  <c r="H68" i="9" s="1"/>
  <c r="H69" i="9"/>
  <c r="M24" i="13"/>
  <c r="O29" i="13"/>
  <c r="E77" i="8"/>
  <c r="E76" i="8"/>
  <c r="E72" i="8" s="1"/>
  <c r="E78" i="8"/>
  <c r="E73" i="8" s="1"/>
  <c r="U39" i="12"/>
  <c r="T39" i="12"/>
  <c r="V39" i="12" a="1"/>
  <c r="V39" i="12" s="1"/>
  <c r="AC27" i="13"/>
  <c r="D52" i="2" a="1"/>
  <c r="D52" i="2" s="1"/>
  <c r="D54" i="2" a="1"/>
  <c r="D54" i="2" s="1"/>
  <c r="D47" i="2" a="1"/>
  <c r="D47" i="2" s="1"/>
  <c r="D46" i="2" s="1"/>
  <c r="D53" i="2" a="1"/>
  <c r="D53" i="2" s="1"/>
  <c r="AD27" i="13"/>
  <c r="D51" i="2" a="1"/>
  <c r="D51" i="2" s="1"/>
  <c r="AD6" i="13"/>
  <c r="AE6" i="13" s="1"/>
  <c r="F33" i="14"/>
  <c r="O24" i="13"/>
  <c r="P24" i="13"/>
  <c r="N28" i="13"/>
  <c r="D48" i="2" a="1"/>
  <c r="D48" i="2" s="1"/>
  <c r="AD82" i="8"/>
  <c r="Z72" i="9" s="1"/>
  <c r="V82" i="8"/>
  <c r="Z82" i="8"/>
  <c r="X82" i="8"/>
  <c r="W82" i="8"/>
  <c r="E82" i="8"/>
  <c r="AA82" i="8"/>
  <c r="AE82" i="8"/>
  <c r="AB72" i="9" s="1"/>
  <c r="U82" i="8"/>
  <c r="AB82" i="8"/>
  <c r="Y82" i="8"/>
  <c r="AC82" i="8"/>
  <c r="X72" i="9" s="1"/>
  <c r="A11" i="12"/>
  <c r="P11" i="12" s="1"/>
  <c r="O11" i="12" s="1"/>
  <c r="AF82" i="8"/>
  <c r="AD72" i="9" s="1"/>
  <c r="AC83" i="8"/>
  <c r="P72" i="9" l="1"/>
  <c r="Y83" i="8"/>
  <c r="T72" i="9"/>
  <c r="AA83" i="8"/>
  <c r="R72" i="9"/>
  <c r="Z83" i="8"/>
  <c r="AD2" i="13"/>
  <c r="AE23" i="11"/>
  <c r="M23" i="11" s="1"/>
  <c r="L23" i="11" s="1"/>
  <c r="AE22" i="11"/>
  <c r="M22" i="11" s="1"/>
  <c r="L22" i="11" s="1"/>
  <c r="AE18" i="11"/>
  <c r="M18" i="11" s="1"/>
  <c r="L18" i="11" s="1"/>
  <c r="AE17" i="11"/>
  <c r="M17" i="11" s="1"/>
  <c r="L17" i="11" s="1"/>
  <c r="J72" i="9"/>
  <c r="J73" i="9" s="1"/>
  <c r="V83" i="8"/>
  <c r="W75" i="8"/>
  <c r="X80" i="8" a="1"/>
  <c r="X80" i="8" s="1"/>
  <c r="W74" i="8"/>
  <c r="X79" i="8" a="1"/>
  <c r="X79" i="8" s="1"/>
  <c r="V72" i="9"/>
  <c r="AB83" i="8"/>
  <c r="H72" i="9"/>
  <c r="H73" i="9" s="1"/>
  <c r="U83" i="8"/>
  <c r="G10" i="13"/>
  <c r="F34" i="14"/>
  <c r="D50" i="2"/>
  <c r="AE14" i="11"/>
  <c r="M14" i="11" s="1"/>
  <c r="AE15" i="11"/>
  <c r="M15" i="11" s="1"/>
  <c r="L15" i="11" s="1"/>
  <c r="AE21" i="11"/>
  <c r="M21" i="11" s="1"/>
  <c r="L21" i="11" s="1"/>
  <c r="N24" i="13"/>
  <c r="E33" i="14"/>
  <c r="E34" i="14"/>
  <c r="L72" i="9"/>
  <c r="L73" i="9" s="1"/>
  <c r="W83" i="8"/>
  <c r="N72" i="9"/>
  <c r="X83" i="8"/>
  <c r="AE4" i="13"/>
  <c r="O27" i="13" s="1"/>
  <c r="AE12" i="11"/>
  <c r="M12" i="11" s="1"/>
  <c r="L12" i="11" s="1"/>
  <c r="AE20" i="11"/>
  <c r="M20" i="11" s="1"/>
  <c r="L20" i="11" s="1"/>
  <c r="AE16" i="11"/>
  <c r="M16" i="11" s="1"/>
  <c r="L16" i="11" s="1"/>
  <c r="W77" i="8"/>
  <c r="L70" i="9" s="1"/>
  <c r="L71" i="9"/>
  <c r="W76" i="8"/>
  <c r="W78" i="8"/>
  <c r="W73" i="8" s="1"/>
  <c r="X81" i="8"/>
  <c r="J69" i="9"/>
  <c r="V72" i="8"/>
  <c r="J68" i="9" s="1"/>
  <c r="AD83" i="8"/>
  <c r="X75" i="8" l="1"/>
  <c r="Y80" i="8" a="1"/>
  <c r="Y80" i="8" s="1"/>
  <c r="X76" i="8"/>
  <c r="X77" i="8"/>
  <c r="N70" i="9" s="1"/>
  <c r="N73" i="9" s="1"/>
  <c r="N71" i="9"/>
  <c r="X78" i="8"/>
  <c r="X73" i="8" s="1"/>
  <c r="Y81" i="8"/>
  <c r="N27" i="13"/>
  <c r="F32" i="14"/>
  <c r="W72" i="8"/>
  <c r="L68" i="9" s="1"/>
  <c r="L69" i="9"/>
  <c r="X74" i="8"/>
  <c r="Y79" i="8" a="1"/>
  <c r="Y79" i="8" s="1"/>
  <c r="M24" i="11"/>
  <c r="L14" i="11"/>
  <c r="L24" i="11" s="1"/>
  <c r="J172" i="12"/>
  <c r="S77" i="10"/>
  <c r="AE83" i="8"/>
  <c r="M25" i="11" l="1"/>
  <c r="L26" i="13"/>
  <c r="M10" i="11"/>
  <c r="N10" i="13" s="1"/>
  <c r="E32" i="14"/>
  <c r="AE3" i="13"/>
  <c r="P71" i="9"/>
  <c r="Y77" i="8"/>
  <c r="Y76" i="8"/>
  <c r="Y78" i="8"/>
  <c r="Y73" i="8" s="1"/>
  <c r="Z81" i="8"/>
  <c r="N69" i="9"/>
  <c r="X72" i="8"/>
  <c r="N68" i="9" s="1"/>
  <c r="Z79" i="8" a="1"/>
  <c r="Z79" i="8" s="1"/>
  <c r="Y74" i="8"/>
  <c r="Z80" i="8" a="1"/>
  <c r="Z80" i="8" s="1"/>
  <c r="Y75" i="8"/>
  <c r="L25" i="13"/>
  <c r="D30" i="14" s="1"/>
  <c r="L25" i="11"/>
  <c r="L10" i="11"/>
  <c r="M10" i="13" s="1"/>
  <c r="AF83" i="8"/>
  <c r="T83" i="8" s="1"/>
  <c r="P69" i="9" l="1"/>
  <c r="Y72" i="8"/>
  <c r="P68" i="9" s="1"/>
  <c r="AA80" i="8" a="1"/>
  <c r="AA80" i="8" s="1"/>
  <c r="Z75" i="8"/>
  <c r="P70" i="9"/>
  <c r="P73" i="9" s="1"/>
  <c r="Z76" i="8"/>
  <c r="Z77" i="8"/>
  <c r="R70" i="9" s="1"/>
  <c r="R73" i="9" s="1"/>
  <c r="R71" i="9"/>
  <c r="Z78" i="8"/>
  <c r="Z73" i="8" s="1"/>
  <c r="AA81" i="8"/>
  <c r="D31" i="14"/>
  <c r="AC26" i="13"/>
  <c r="AD26" i="13"/>
  <c r="Z74" i="8"/>
  <c r="AA79" i="8" a="1"/>
  <c r="AA79" i="8" s="1"/>
  <c r="AE2" i="13"/>
  <c r="O26" i="13"/>
  <c r="G9" i="11"/>
  <c r="AA74" i="8" l="1"/>
  <c r="AB79" i="8" a="1"/>
  <c r="AB79" i="8" s="1"/>
  <c r="AA76" i="8"/>
  <c r="T71" i="9"/>
  <c r="AA77" i="8"/>
  <c r="T70" i="9" s="1"/>
  <c r="T73" i="9" s="1"/>
  <c r="AB81" i="8"/>
  <c r="AA78" i="8"/>
  <c r="AA73" i="8" s="1"/>
  <c r="R69" i="9"/>
  <c r="Z72" i="8"/>
  <c r="R68" i="9" s="1"/>
  <c r="N26" i="13"/>
  <c r="E31" i="14" s="1"/>
  <c r="F31" i="14"/>
  <c r="O25" i="13"/>
  <c r="AA75" i="8"/>
  <c r="AB80" i="8" a="1"/>
  <c r="AB80" i="8" s="1"/>
  <c r="F30" i="14" l="1"/>
  <c r="N25" i="13"/>
  <c r="E30" i="14" s="1"/>
  <c r="AC80" i="8" a="1"/>
  <c r="AC80" i="8" s="1"/>
  <c r="AB75" i="8"/>
  <c r="AA72" i="8"/>
  <c r="T68" i="9" s="1"/>
  <c r="T69" i="9"/>
  <c r="AB76" i="8"/>
  <c r="V71" i="9"/>
  <c r="AB77" i="8"/>
  <c r="AC81" i="8"/>
  <c r="AB78" i="8"/>
  <c r="AB73" i="8" s="1"/>
  <c r="AC79" i="8" a="1"/>
  <c r="AC79" i="8" s="1"/>
  <c r="AB74" i="8"/>
  <c r="AD79" i="8" l="1" a="1"/>
  <c r="AD79" i="8" s="1"/>
  <c r="AC74" i="8"/>
  <c r="AD80" i="8" a="1"/>
  <c r="AD80" i="8" s="1"/>
  <c r="AC75" i="8"/>
  <c r="AB72" i="8"/>
  <c r="V68" i="9" s="1"/>
  <c r="V69" i="9"/>
  <c r="X71" i="9"/>
  <c r="AC76" i="8"/>
  <c r="AC77" i="8"/>
  <c r="X70" i="9" s="1"/>
  <c r="X73" i="9" s="1"/>
  <c r="AD81" i="8"/>
  <c r="AC78" i="8"/>
  <c r="AC73" i="8" s="1"/>
  <c r="V70" i="9"/>
  <c r="V73" i="9" s="1"/>
  <c r="X69" i="9" l="1"/>
  <c r="AC72" i="8"/>
  <c r="X68" i="9" s="1"/>
  <c r="AD76" i="8"/>
  <c r="AE81" i="8"/>
  <c r="AD77" i="8"/>
  <c r="Z71" i="9"/>
  <c r="AD78" i="8"/>
  <c r="AD73" i="8" s="1"/>
  <c r="AD75" i="8"/>
  <c r="AE80" i="8" a="1"/>
  <c r="AE80" i="8" s="1"/>
  <c r="AE79" i="8" a="1"/>
  <c r="AE79" i="8" s="1"/>
  <c r="AD74" i="8"/>
  <c r="AF81" i="8" l="1"/>
  <c r="AB71" i="9"/>
  <c r="AE76" i="8"/>
  <c r="AE77" i="8"/>
  <c r="AB70" i="9" s="1"/>
  <c r="AB73" i="9" s="1"/>
  <c r="AE78" i="8"/>
  <c r="AE73" i="8" s="1"/>
  <c r="AE74" i="8"/>
  <c r="AF79" i="8" a="1"/>
  <c r="AF79" i="8" s="1"/>
  <c r="AF74" i="8" s="1"/>
  <c r="Z69" i="9"/>
  <c r="AD72" i="8"/>
  <c r="Z68" i="9" s="1"/>
  <c r="AF80" i="8" a="1"/>
  <c r="AF80" i="8" s="1"/>
  <c r="AF75" i="8" s="1"/>
  <c r="AE75" i="8"/>
  <c r="Z70" i="9"/>
  <c r="Z73" i="9" s="1"/>
  <c r="AB69" i="9" l="1"/>
  <c r="AE72" i="8"/>
  <c r="AB68" i="9" s="1"/>
  <c r="AF77" i="8"/>
  <c r="K10" i="8" a="1"/>
  <c r="K10" i="8" s="1"/>
  <c r="AD71" i="9"/>
  <c r="AF76" i="8"/>
  <c r="AF78" i="8"/>
  <c r="AF73" i="8" s="1"/>
  <c r="AD70" i="9" l="1"/>
  <c r="AD73" i="9" s="1"/>
  <c r="G73" i="9" s="1"/>
  <c r="F11" i="8" a="1"/>
  <c r="F11" i="8" s="1"/>
  <c r="AF72" i="8"/>
  <c r="AD68" i="9" s="1"/>
  <c r="AD69"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<sst xmlns="http://schemas.openxmlformats.org/spreadsheetml/2006/main" count="2441" uniqueCount="1099">
  <si>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</si>
  <si>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</si>
  <si>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</si>
  <si>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</si>
  <si>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</si>
  <si>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</si>
  <si>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</si>
  <si>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</si>
  <si>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</si>
  <si>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</si>
  <si>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</si>
  <si>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</si>
  <si>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</si>
  <si>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</si>
  <si>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</si>
  <si>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</si>
  <si>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</si>
  <si>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</si>
  <si>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</si>
  <si>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</si>
  <si>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</si>
  <si>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</si>
  <si>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</si>
  <si>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</si>
  <si>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</si>
  <si>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</si>
  <si>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</si>
  <si>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</si>
  <si>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</si>
  <si>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</si>
  <si>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</si>
  <si>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</si>
  <si>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</si>
  <si>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</si>
  <si>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</si>
  <si>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</si>
  <si>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</si>
  <si>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</si>
  <si>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</si>
  <si>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</si>
  <si>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</si>
  <si>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</si>
  <si>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</si>
  <si>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</si>
  <si>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</si>
  <si>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</si>
  <si>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</si>
  <si>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</si>
  <si>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</si>
  <si>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</si>
  <si>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</si>
  <si>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</si>
  <si>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</si>
  <si>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</si>
  <si>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</si>
  <si>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</si>
  <si>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</si>
  <si>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</si>
  <si>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</si>
  <si>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</si>
  <si>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</si>
  <si>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</si>
  <si>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</si>
  <si>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</si>
  <si>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</si>
  <si>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</si>
  <si>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</si>
  <si>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</si>
  <si>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</si>
  <si>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</si>
  <si>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</si>
  <si>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</si>
  <si>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</si>
  <si>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</si>
  <si>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</si>
  <si>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</si>
  <si>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</si>
  <si>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</si>
  <si>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</si>
  <si>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</si>
  <si>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</si>
  <si>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</si>
  <si>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</si>
  <si>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</si>
  <si>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</si>
  <si>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</si>
  <si>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</si>
  <si>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</si>
  <si>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</si>
  <si>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</si>
  <si>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</si>
  <si>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</si>
  <si>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</si>
  <si>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</si>
  <si>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</si>
  <si>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</si>
  <si>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</si>
  <si>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</si>
  <si>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</si>
  <si>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</si>
  <si>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</si>
  <si>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</si>
  <si>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</si>
  <si>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</si>
  <si>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</si>
  <si>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</si>
  <si>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</si>
  <si>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</si>
  <si>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</si>
  <si>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</si>
  <si>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</si>
  <si>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</si>
  <si>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</si>
  <si>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</si>
  <si>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</si>
  <si>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</si>
  <si>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</si>
  <si>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</si>
  <si>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</si>
  <si>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</si>
  <si>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</si>
  <si>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</si>
  <si>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</si>
  <si>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</si>
  <si>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</si>
  <si>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</si>
  <si>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</si>
  <si>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</si>
  <si>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</si>
  <si>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</si>
  <si>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</si>
  <si>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</si>
  <si>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</si>
  <si>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</si>
  <si>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</si>
  <si>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</si>
  <si>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</si>
  <si>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</si>
  <si>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</si>
  <si>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</si>
  <si>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</si>
  <si>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</si>
  <si>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</si>
  <si>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</si>
  <si>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</si>
  <si>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</si>
  <si>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</si>
  <si>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</si>
  <si>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</si>
  <si>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</si>
  <si>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</si>
  <si>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</si>
  <si>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</si>
  <si>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</si>
  <si>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</si>
  <si>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</si>
  <si>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</si>
  <si>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</si>
  <si>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</si>
  <si>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</si>
  <si>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</si>
  <si>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</si>
  <si>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</si>
  <si>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</si>
  <si>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</si>
  <si>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</si>
  <si>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</si>
  <si>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</si>
  <si>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</si>
  <si>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</si>
  <si>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</si>
  <si>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</si>
  <si>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</si>
  <si>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</si>
  <si>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</si>
  <si>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</si>
  <si>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</si>
  <si>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</si>
  <si>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</si>
  <si>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</si>
  <si>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</si>
  <si>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</si>
  <si>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</si>
  <si>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</si>
  <si>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</si>
  <si>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</si>
  <si>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</si>
  <si>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</si>
  <si>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</si>
  <si>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</si>
  <si>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</si>
  <si>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</si>
  <si>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</si>
  <si>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</si>
  <si>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</si>
  <si>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</si>
  <si>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</si>
  <si>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</si>
  <si>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</si>
  <si>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</si>
  <si>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</si>
  <si>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</si>
  <si>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</si>
  <si>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</si>
  <si>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</si>
  <si>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</si>
  <si>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</si>
  <si>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</si>
  <si>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</si>
  <si>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</si>
  <si>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</si>
  <si>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</si>
  <si>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</si>
  <si>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</si>
  <si>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</si>
  <si>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</si>
  <si>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</si>
  <si>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</si>
  <si>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</si>
  <si>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</si>
  <si>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</si>
  <si>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</si>
  <si>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</si>
  <si>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</si>
  <si>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</si>
  <si>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</si>
  <si>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</si>
  <si>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</si>
  <si>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</si>
  <si>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</si>
  <si>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</si>
  <si>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</si>
  <si>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</si>
  <si>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</si>
  <si>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</si>
  <si>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</si>
  <si>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</si>
  <si>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</si>
  <si>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</si>
  <si>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</si>
  <si>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</si>
  <si>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</si>
  <si>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</si>
  <si>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</si>
  <si>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</si>
  <si>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</si>
  <si>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</si>
  <si>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</si>
  <si>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</si>
  <si>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</si>
  <si>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</si>
  <si>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</si>
  <si>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</si>
  <si>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</si>
  <si>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</si>
  <si>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</si>
  <si>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</si>
  <si>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</si>
  <si>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</si>
  <si>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</si>
  <si>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</si>
  <si>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</si>
  <si>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</si>
  <si>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</si>
  <si>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</si>
  <si>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</si>
  <si>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</si>
  <si>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</si>
  <si>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</si>
  <si>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</si>
  <si>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</si>
  <si>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</si>
  <si>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</si>
  <si>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</si>
  <si>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</si>
  <si>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</si>
  <si>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</si>
  <si>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</si>
  <si>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</si>
  <si>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</si>
  <si>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</si>
  <si>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</si>
  <si>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</si>
  <si>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</si>
  <si>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</si>
  <si>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</si>
  <si>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</si>
  <si>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</si>
  <si>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</si>
  <si>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</si>
  <si>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</si>
  <si>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</si>
  <si>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</si>
  <si>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</si>
  <si>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</si>
  <si>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</si>
  <si>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</si>
  <si>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</si>
  <si>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</si>
  <si>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</si>
  <si>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</si>
  <si>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</si>
  <si>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</si>
  <si>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</si>
  <si>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</si>
  <si>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</si>
  <si>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</si>
  <si>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</si>
  <si>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</si>
  <si>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</si>
  <si>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</si>
  <si>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</si>
  <si>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</si>
  <si>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</si>
  <si>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</si>
  <si>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</si>
  <si>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</si>
  <si>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</si>
  <si>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</si>
  <si>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</si>
  <si>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</si>
  <si>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</si>
  <si>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</si>
  <si>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</si>
  <si>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</si>
  <si>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</si>
  <si>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</si>
  <si>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</si>
  <si>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</si>
  <si>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</si>
  <si>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</si>
  <si>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</si>
  <si>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</si>
  <si>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</si>
  <si>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</si>
  <si>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</si>
  <si>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</si>
  <si>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</si>
  <si>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</si>
  <si>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</si>
  <si>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</si>
  <si>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</si>
  <si>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</si>
  <si>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</si>
  <si>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</si>
  <si>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</si>
  <si>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</si>
  <si>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</si>
  <si>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</si>
  <si>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</si>
  <si>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</si>
  <si>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</si>
  <si>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</si>
  <si>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</si>
  <si>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</si>
  <si>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</si>
  <si>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</si>
  <si>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</si>
  <si>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</si>
  <si>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</si>
  <si>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</si>
  <si>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</si>
  <si>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</si>
  <si>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</si>
  <si>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</si>
  <si>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</si>
  <si>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</si>
  <si>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</si>
  <si>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</si>
  <si>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</si>
  <si>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</si>
  <si>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</si>
  <si>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</si>
  <si>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</si>
  <si>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</si>
  <si>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</si>
  <si>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</si>
  <si>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</si>
  <si>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</si>
  <si>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</si>
  <si>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</si>
  <si>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</si>
  <si>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</si>
  <si>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</si>
  <si>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</si>
  <si>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</si>
  <si>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</si>
  <si>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</si>
  <si>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</si>
  <si>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</si>
  <si>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</si>
  <si>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</si>
  <si>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</si>
  <si>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</si>
  <si>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</si>
  <si>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</si>
  <si>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</si>
  <si>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</si>
  <si>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</si>
  <si>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</si>
  <si>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</si>
  <si>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</si>
  <si>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</si>
  <si>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</si>
  <si>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</si>
  <si>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</si>
  <si>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</si>
  <si>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</si>
  <si>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</si>
  <si>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</si>
  <si>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</si>
  <si>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</si>
  <si>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</si>
  <si>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</si>
  <si>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</si>
  <si>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</si>
  <si>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</si>
  <si>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</si>
  <si>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</si>
  <si>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</si>
  <si>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</si>
  <si>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</si>
  <si>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</si>
  <si>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</si>
  <si>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</si>
  <si>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</si>
  <si>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</si>
  <si>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</si>
  <si>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</si>
  <si>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</si>
  <si>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</si>
  <si>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</si>
  <si>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</si>
  <si>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</si>
  <si>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</si>
  <si>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</si>
  <si>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</si>
  <si>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</si>
  <si>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</si>
  <si>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</si>
  <si>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</si>
  <si>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</si>
  <si>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</si>
  <si>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</si>
  <si>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</si>
  <si>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</si>
  <si>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</si>
  <si>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</si>
  <si>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</si>
  <si>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</si>
  <si>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</si>
  <si>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</si>
  <si>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</si>
  <si>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</si>
  <si>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</si>
  <si>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</si>
  <si>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</si>
  <si>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</si>
  <si>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</si>
  <si>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</si>
  <si>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</si>
  <si>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</si>
  <si>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</si>
  <si>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</si>
  <si>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</si>
  <si>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</si>
  <si>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</si>
  <si>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</si>
  <si>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</si>
  <si>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</si>
  <si>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</si>
  <si>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</si>
  <si>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</si>
  <si>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</si>
  <si>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</si>
  <si>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</si>
  <si>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</si>
  <si>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</si>
  <si>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</si>
  <si>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</si>
  <si>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</si>
  <si>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</si>
  <si>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</si>
  <si>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</si>
  <si>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</si>
  <si>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</si>
  <si>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</si>
  <si>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</si>
  <si>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</si>
  <si>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</si>
  <si>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</si>
  <si>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</si>
  <si>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</si>
  <si>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</si>
  <si>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</si>
  <si>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</si>
  <si>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</si>
  <si>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</si>
  <si>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</si>
  <si>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</si>
  <si>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</si>
  <si>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</si>
  <si>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</si>
  <si>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</si>
  <si>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</si>
  <si>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</si>
  <si>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</si>
  <si>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</si>
  <si>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</si>
  <si>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</si>
  <si>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</si>
  <si>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</si>
  <si>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</si>
  <si>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</si>
  <si>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</si>
  <si>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</si>
  <si>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</si>
  <si>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</si>
  <si>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</si>
  <si>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</si>
  <si>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</si>
  <si>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</si>
  <si>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</si>
  <si>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</si>
  <si>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</si>
  <si>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</si>
  <si>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</si>
  <si>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</si>
  <si>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</si>
  <si>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</si>
  <si>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</si>
  <si>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</si>
  <si>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</si>
  <si>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</si>
  <si>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</si>
  <si>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</si>
  <si>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</si>
  <si>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</si>
  <si>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</si>
  <si>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</si>
  <si>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</si>
  <si>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</si>
  <si>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</si>
  <si>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</si>
  <si>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</si>
  <si>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</si>
  <si>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</si>
  <si>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</si>
  <si>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</si>
  <si>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</si>
  <si>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</si>
  <si>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</si>
  <si>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</si>
  <si>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</si>
  <si>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</si>
  <si>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</si>
  <si>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</si>
  <si>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</si>
  <si>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</si>
  <si>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</si>
  <si>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</si>
  <si>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</si>
  <si>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</si>
  <si>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</si>
  <si>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</si>
  <si>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</si>
  <si>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</si>
  <si>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</si>
  <si>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</si>
  <si>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</si>
  <si>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</si>
  <si>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</si>
  <si>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</si>
  <si>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</si>
  <si>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</si>
  <si>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</si>
  <si>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</si>
  <si>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</si>
  <si>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</si>
  <si>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</si>
  <si>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</si>
  <si>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</si>
  <si>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</si>
  <si>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</si>
  <si>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</si>
  <si>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</si>
  <si>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</si>
  <si>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</si>
  <si>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</si>
  <si>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</si>
  <si>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</si>
  <si>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</si>
  <si>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</si>
  <si>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</si>
  <si>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</si>
  <si>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</si>
  <si>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</si>
  <si>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</si>
  <si>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</si>
  <si>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</si>
  <si>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</si>
  <si>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</si>
  <si>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</si>
  <si>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</si>
  <si>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</si>
  <si>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</si>
  <si>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</si>
  <si>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</si>
  <si>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</si>
  <si>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</si>
  <si>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</si>
  <si>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</si>
  <si>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</si>
  <si>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</si>
  <si>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</si>
  <si>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</si>
  <si>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</si>
  <si>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</si>
  <si>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</si>
  <si>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</si>
  <si>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</si>
  <si>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</si>
  <si>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</si>
  <si>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</si>
  <si>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</si>
  <si>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</si>
  <si>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</si>
  <si>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</si>
  <si>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</si>
  <si>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</si>
  <si>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</si>
  <si>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</si>
  <si>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</si>
  <si>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</si>
  <si>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</si>
  <si>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</si>
  <si>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</si>
  <si>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</si>
  <si>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</si>
  <si>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</si>
  <si>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</si>
  <si>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</si>
  <si>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</si>
  <si>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</si>
  <si>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</si>
  <si>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</si>
  <si>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</si>
  <si>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</si>
  <si>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</si>
  <si>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</si>
  <si>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</si>
  <si>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</si>
  <si>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</si>
  <si>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</si>
  <si>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</si>
  <si>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</si>
  <si>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</si>
  <si>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</si>
  <si>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</si>
  <si>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</si>
  <si>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</si>
  <si>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</si>
  <si>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</si>
  <si>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</si>
  <si>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</si>
  <si>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</si>
  <si>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</si>
  <si>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</si>
  <si>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</si>
  <si>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</si>
  <si>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</si>
  <si>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</si>
  <si>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</si>
  <si>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</si>
  <si>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</si>
  <si>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</si>
  <si>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</si>
  <si>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</si>
  <si>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</si>
  <si>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</si>
  <si>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</si>
  <si>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</si>
  <si>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</si>
  <si>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</si>
  <si>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</si>
  <si>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</si>
  <si>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</si>
  <si>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</si>
  <si>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</si>
  <si>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</si>
  <si>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</si>
  <si>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</si>
  <si>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</si>
  <si>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</si>
  <si>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</si>
  <si>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</si>
  <si>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</si>
  <si>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</si>
  <si>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</si>
  <si>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</si>
  <si>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</si>
  <si>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</si>
  <si>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</si>
  <si>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</si>
  <si>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</si>
  <si>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</si>
  <si>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</si>
  <si>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</si>
  <si>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</si>
  <si>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</si>
  <si>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</si>
  <si>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</si>
  <si>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</si>
  <si>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</si>
  <si>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</si>
  <si>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</si>
  <si>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</si>
  <si>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</si>
  <si>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</si>
  <si>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</si>
  <si>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</si>
  <si>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</si>
  <si>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</si>
  <si>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</si>
  <si>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</si>
  <si>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</si>
  <si>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</si>
  <si>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</si>
  <si>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</si>
  <si>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</si>
  <si>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</si>
  <si>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</si>
  <si>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</si>
  <si>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</si>
  <si>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</si>
  <si>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</si>
  <si>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</si>
  <si>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</si>
  <si>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</si>
  <si>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</si>
  <si>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</si>
  <si>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</si>
  <si>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</si>
  <si>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</si>
  <si>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</si>
  <si>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</si>
  <si>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</si>
  <si>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</si>
  <si>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</si>
  <si>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</si>
  <si>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</si>
  <si>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</si>
  <si>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</si>
  <si>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</si>
  <si>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</si>
  <si>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</si>
  <si>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</si>
  <si>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</si>
  <si>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</si>
  <si>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</si>
  <si>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</si>
  <si>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</si>
  <si>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</si>
  <si>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</si>
  <si>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</si>
  <si>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</si>
  <si>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</si>
  <si>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</si>
  <si>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</si>
  <si>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</si>
  <si>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</si>
  <si>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</si>
  <si>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</si>
  <si>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</si>
  <si>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</si>
  <si>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</si>
  <si>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</si>
  <si>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</si>
  <si>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</si>
  <si>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</si>
  <si>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</si>
  <si>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</si>
  <si>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</si>
  <si>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</si>
  <si>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</si>
  <si>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</si>
  <si>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</si>
  <si>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</si>
  <si>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</si>
  <si>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</si>
  <si>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</si>
  <si>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</si>
  <si>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</si>
  <si>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</si>
  <si>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</si>
  <si>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</si>
  <si>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</si>
  <si>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</si>
  <si>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</si>
  <si>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</si>
  <si>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</si>
  <si>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</si>
  <si>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</si>
  <si>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</si>
  <si>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</si>
  <si>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</si>
  <si>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</si>
  <si>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</si>
  <si>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</si>
  <si>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</si>
  <si>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</si>
  <si>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</si>
  <si>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</si>
  <si>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</si>
  <si>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</si>
  <si>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</si>
  <si>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</si>
  <si>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</si>
  <si>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</si>
  <si>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</si>
  <si>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</si>
  <si>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</si>
  <si>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</si>
  <si>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</si>
  <si>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</si>
  <si>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</si>
  <si>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</si>
  <si>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</si>
  <si>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</si>
  <si>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</si>
  <si>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</si>
  <si>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</si>
  <si>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</si>
  <si>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</si>
  <si>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</si>
  <si>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</si>
  <si>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</si>
  <si>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</si>
  <si>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</si>
  <si>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</si>
  <si>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</si>
  <si>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</si>
  <si>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</si>
  <si>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</si>
  <si>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</si>
  <si>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</si>
  <si>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</si>
  <si>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</si>
  <si>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</si>
  <si>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</si>
  <si>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</si>
  <si>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</si>
  <si>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</si>
  <si>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</si>
  <si>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</si>
  <si>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</si>
  <si>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</si>
  <si>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</si>
  <si>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</si>
  <si>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</si>
  <si>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</si>
  <si>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</si>
  <si>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</si>
  <si>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</si>
  <si>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</si>
  <si>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</si>
  <si>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</si>
  <si>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</si>
  <si>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</si>
  <si>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</si>
  <si>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</si>
  <si>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</si>
  <si>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</si>
  <si>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</si>
  <si>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</si>
  <si>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</si>
  <si>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</si>
  <si>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</si>
  <si>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</si>
  <si>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</si>
  <si>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</si>
  <si>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</si>
  <si>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</si>
  <si>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</si>
  <si>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</si>
  <si>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</si>
  <si>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</si>
  <si>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</si>
  <si>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</si>
  <si>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</si>
  <si>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</si>
  <si>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</si>
  <si>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</si>
  <si>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</si>
  <si>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</si>
  <si>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</si>
  <si>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</si>
  <si>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</si>
  <si>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</si>
  <si>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</si>
  <si>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</si>
  <si>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</si>
  <si>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</si>
  <si>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</si>
  <si>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</si>
  <si>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</si>
  <si>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</si>
  <si>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</si>
  <si>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</si>
  <si>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</si>
  <si>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</si>
  <si>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</si>
  <si>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</si>
  <si>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</si>
  <si>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</si>
  <si>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</si>
  <si>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</si>
  <si>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</si>
  <si>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</si>
  <si>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</si>
  <si>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</si>
  <si>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</si>
  <si>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</si>
  <si>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</si>
  <si>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</si>
  <si>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</si>
  <si>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</si>
  <si>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</si>
  <si>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</si>
  <si>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</si>
  <si>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</si>
  <si>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</si>
  <si>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</si>
  <si>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</si>
  <si>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</si>
  <si>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</si>
  <si>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</si>
  <si>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</si>
  <si>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</si>
  <si>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</si>
  <si>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</si>
  <si>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</si>
  <si>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</si>
  <si>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</si>
  <si>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</si>
  <si>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</si>
  <si>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</si>
  <si>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</si>
  <si>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</si>
  <si>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</si>
  <si>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</si>
  <si>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</si>
  <si>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</si>
  <si>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</si>
  <si>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</si>
  <si>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</si>
  <si>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</si>
  <si>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</si>
  <si>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</si>
  <si>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</si>
  <si>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</si>
  <si>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</si>
  <si>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</si>
  <si>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</si>
  <si>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</si>
  <si>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</si>
  <si>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</si>
  <si>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</si>
  <si>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</si>
  <si>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</si>
  <si>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</si>
  <si>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</si>
  <si>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</si>
  <si>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</si>
  <si>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</si>
  <si>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</si>
  <si>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</si>
  <si>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</si>
  <si>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</si>
  <si>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</si>
  <si>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</si>
  <si>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</si>
  <si>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</si>
  <si>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</si>
  <si>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</si>
  <si>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</si>
  <si>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</si>
  <si>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</si>
  <si>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</si>
  <si>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</si>
  <si>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</si>
  <si>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</si>
  <si>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</si>
  <si>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</si>
  <si>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</si>
  <si>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</si>
  <si>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</si>
  <si>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</si>
  <si>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</si>
  <si>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</si>
  <si>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</si>
  <si>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</si>
  <si>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</si>
  <si>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</si>
  <si>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</si>
  <si>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</si>
  <si>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</si>
  <si>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103689</t>
  </si>
  <si>
    <t>CPU-025</t>
  </si>
  <si>
    <t>13.38.30</t>
  </si>
  <si>
    <t>CANTEIRO DE OBRA</t>
  </si>
  <si>
    <t>INSTALAÇÃO DA OBRA</t>
  </si>
  <si>
    <t>MOVIMENTAÇÃO DE TERRA</t>
  </si>
  <si>
    <t>DEMOLIÇÕES E REMOÇÕES</t>
  </si>
  <si>
    <t>DRENAGEM PROFUNDA E SUPERFICIAL</t>
  </si>
  <si>
    <t>ESCORAMENTO</t>
  </si>
  <si>
    <t>DISPOSITIVOS DE DRENAGEM</t>
  </si>
  <si>
    <t>CANAL E DRENOS</t>
  </si>
  <si>
    <t>SINALIZAÇÃO VIÁRIA</t>
  </si>
  <si>
    <t>SINALIZAÇÃO VERTICAL</t>
  </si>
  <si>
    <t>OBRAS COMPLEMENTARES</t>
  </si>
  <si>
    <t xml:space="preserve">ADMINISTRAÇÃO LOCAL </t>
  </si>
  <si>
    <t>6817873</t>
  </si>
  <si>
    <t>1619003</t>
  </si>
  <si>
    <t>98525</t>
  </si>
  <si>
    <t>98530</t>
  </si>
  <si>
    <t>98527</t>
  </si>
  <si>
    <t>102297</t>
  </si>
  <si>
    <t>FUNDAÇÕES</t>
  </si>
  <si>
    <t>5915405</t>
  </si>
  <si>
    <t>93592</t>
  </si>
  <si>
    <t>102293</t>
  </si>
  <si>
    <t>2003403</t>
  </si>
  <si>
    <t>3719529</t>
  </si>
  <si>
    <t>CORTA RIO</t>
  </si>
  <si>
    <t>0705248</t>
  </si>
  <si>
    <t>103798</t>
  </si>
  <si>
    <t>2003147</t>
  </si>
  <si>
    <t>102724</t>
  </si>
  <si>
    <t>2106292</t>
  </si>
  <si>
    <t>90781</t>
  </si>
  <si>
    <t>88253</t>
  </si>
  <si>
    <t>SERVIÇOS PRELIMINARES</t>
  </si>
  <si>
    <t>LOCAÇÃO DE OBRA</t>
  </si>
  <si>
    <t xml:space="preserve">ÁREA DOS TALUDES </t>
  </si>
  <si>
    <t xml:space="preserve">CORTE DE ÁRVORE </t>
  </si>
  <si>
    <t>DESTOCAMENTO</t>
  </si>
  <si>
    <t>3M³ DE VOLUME MÉDIO POR ÁRVORE</t>
  </si>
  <si>
    <t>DMT 10KM</t>
  </si>
  <si>
    <t xml:space="preserve">=12 M DE COMPRIMENTO X 2 M DE LARGURA X 4 M DE ALTURA </t>
  </si>
  <si>
    <t xml:space="preserve">REATERRO DO CORTA RIO </t>
  </si>
  <si>
    <t xml:space="preserve">REMOÇÃO DE SOLO MOLE SOB ADUELA (9X3,5) E DISSIPADOR (60,15) COM 1M DE PROFUNDIDADE </t>
  </si>
  <si>
    <t>VOLUME ESCAVADO - VOLUME DE ATERRO</t>
  </si>
  <si>
    <t>1505860</t>
  </si>
  <si>
    <t>3346</t>
  </si>
  <si>
    <t>8H DE SERVIÇOS POR DIA, 21 DIAS POR MÊS EM 3 MESES</t>
  </si>
  <si>
    <t xml:space="preserve">VOLUME DE SOLO MOLE </t>
  </si>
  <si>
    <t>PESO ESPECIFICO 2,1 T/M³</t>
  </si>
  <si>
    <t>DMT 20KM</t>
  </si>
  <si>
    <t xml:space="preserve">EXTENSÃO DAS ADUELAS (9,00 M) X ALTURA (3,00 M) X FIXADA DOS DOIS LADOS </t>
  </si>
  <si>
    <t xml:space="preserve">PLACA INDICANDO PONTE ESTREITA </t>
  </si>
  <si>
    <t xml:space="preserve">SUPORTES PARA PLACA </t>
  </si>
  <si>
    <t xml:space="preserve">7.1. ADMINISTRAÇÃO LOCAL </t>
  </si>
  <si>
    <t>0705253</t>
  </si>
  <si>
    <t>4915730</t>
  </si>
  <si>
    <t>VOLUME ATERRO - VOLUME DE CORTE</t>
  </si>
  <si>
    <t>EXTENSÃO DE 11,00 M</t>
  </si>
  <si>
    <t xml:space="preserve">DRENO COM 50CM CADA UNIDADE, SEGUINDO EM TODA EXTENÇÃO DA ADUELA (11,00 M) EM AMBOS OS LADOS </t>
  </si>
  <si>
    <t>DISSIPADOR COM ÁREA DE 43,61M² X  0,5 M DE ALTURA</t>
  </si>
  <si>
    <t>PONTE ANTIGA</t>
  </si>
  <si>
    <t>Passos / MG</t>
  </si>
  <si>
    <t xml:space="preserve">TRAVESSIA EM ADUELAS ESTRADA PRINCIPAL DO VIRA </t>
  </si>
  <si>
    <t>REGIÃO DO ZÉ PRETO</t>
  </si>
  <si>
    <t xml:space="preserve">Mateus Junior Rosa </t>
  </si>
  <si>
    <t>386526 MG</t>
  </si>
  <si>
    <t xml:space="preserve">Diego Rodrigo de Oliveira </t>
  </si>
  <si>
    <t>Prefeito Municipal</t>
  </si>
  <si>
    <t>CPU-001</t>
  </si>
  <si>
    <t>103946</t>
  </si>
  <si>
    <t>104800</t>
  </si>
  <si>
    <t>10776</t>
  </si>
  <si>
    <t>10778</t>
  </si>
  <si>
    <t>10775</t>
  </si>
  <si>
    <t>100952</t>
  </si>
  <si>
    <t>3 CONTAINERS DE APROXIMADAMENTE 2,5T * 20KM * 2 (MOBILIZAÇÃO E DESMOBILIZAÇÃO)</t>
  </si>
  <si>
    <t xml:space="preserve">CPU-002 </t>
  </si>
  <si>
    <t>PLACAS DE OBRA 3,60M X 1,8M</t>
  </si>
  <si>
    <t>CONFORME PROJETO DE
TERRAPLENAGEM (199,50m³ de
corte) (corte nescessário para as
aduelas + terraplenagem da
estrada - a erosão causada pela
chuva)</t>
  </si>
  <si>
    <t>CONFORME PROJETO DE
TERRAPLENAGEM (volume de
aterro)</t>
  </si>
  <si>
    <t>78,83 metros lineares de sarjeta</t>
  </si>
  <si>
    <t>4 entradas d'água</t>
  </si>
  <si>
    <t>18,43 metros lineares de descida d'água</t>
  </si>
  <si>
    <t xml:space="preserve"> 1 boca BSCC de entrada</t>
  </si>
  <si>
    <t>1 boca BSCC de Saída</t>
  </si>
  <si>
    <t xml:space="preserve"> 20,09 metros de Barreira New
Jersey </t>
  </si>
  <si>
    <t xml:space="preserve">Área de plantio de grama  </t>
  </si>
  <si>
    <t>16,04 metros de remoção de cerca</t>
  </si>
  <si>
    <t>16,04 metros de recomposição de
cerca</t>
  </si>
  <si>
    <t>3 MESES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</si>
</sst>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1"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8" applyFont="1" applyFill="1" applyBorder="1" applyAlignment="1" applyProtection="1">
      <alignment vertical="center" shrinkToFit="1"/>
    </xf>
    <xf numFmtId="172"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2"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2" fontId="24" fillId="17" borderId="44" xfId="48" applyFont="1" applyFill="1" applyBorder="1" applyAlignment="1" applyProtection="1">
      <alignment horizontal="center" vertical="center" shrinkToFit="1"/>
    </xf>
    <xf numFmtId="172"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2" fontId="0" fillId="6" borderId="38" xfId="48" applyFont="1" applyFill="1" applyBorder="1" applyAlignment="1" applyProtection="1">
      <alignment vertical="center" shrinkToFit="1"/>
      <protection locked="0"/>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8"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2"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3"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4" fontId="56" fillId="0" borderId="59" xfId="48" applyNumberFormat="1" applyFill="1" applyBorder="1" applyAlignment="1" applyProtection="1">
      <alignment horizontal="right" shrinkToFit="1"/>
    </xf>
    <xf numFmtId="174"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6" fontId="0" fillId="0" borderId="60" xfId="49" applyFont="1" applyFill="1" applyBorder="1" applyAlignment="1" applyProtection="1">
      <alignment horizontal="right" shrinkToFit="1"/>
    </xf>
    <xf numFmtId="174" fontId="0" fillId="0" borderId="30" xfId="48" applyNumberFormat="1" applyFont="1" applyFill="1" applyBorder="1" applyAlignment="1" applyProtection="1">
      <alignment horizontal="center" vertical="center"/>
    </xf>
    <xf numFmtId="166" fontId="48" fillId="0" borderId="61" xfId="49" applyFont="1" applyFill="1" applyBorder="1" applyAlignment="1" applyProtection="1">
      <alignment horizontal="center"/>
    </xf>
    <xf numFmtId="0" fontId="46" fillId="0" borderId="13" xfId="34" applyFont="1" applyBorder="1" applyAlignment="1">
      <alignment horizontal="center"/>
    </xf>
    <xf numFmtId="166" fontId="48" fillId="0" borderId="0" xfId="49" applyFont="1" applyFill="1" applyBorder="1" applyAlignment="1" applyProtection="1">
      <alignment horizontal="center"/>
    </xf>
    <xf numFmtId="166" fontId="0" fillId="0" borderId="13"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6" fontId="24" fillId="0" borderId="32"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5"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5" fontId="49" fillId="0" borderId="54" xfId="34" applyNumberFormat="1" applyFont="1" applyBorder="1" applyAlignment="1" applyProtection="1">
      <alignment horizontal="center"/>
      <protection locked="0"/>
    </xf>
    <xf numFmtId="0" fontId="46" fillId="8" borderId="33" xfId="34" applyFont="1" applyFill="1" applyBorder="1"/>
    <xf numFmtId="166" fontId="24" fillId="0" borderId="0" xfId="49" applyFont="1" applyFill="1" applyBorder="1" applyAlignment="1" applyProtection="1">
      <alignment horizontal="center" shrinkToFit="1"/>
    </xf>
    <xf numFmtId="166" fontId="0" fillId="8" borderId="62" xfId="49" applyFont="1" applyFill="1" applyBorder="1" applyAlignment="1" applyProtection="1">
      <alignment horizontal="center"/>
    </xf>
    <xf numFmtId="166" fontId="0" fillId="8" borderId="63" xfId="49" applyFont="1" applyFill="1" applyBorder="1" applyAlignment="1" applyProtection="1">
      <alignment horizontal="right"/>
    </xf>
    <xf numFmtId="172" fontId="56" fillId="0" borderId="39" xfId="48" applyFill="1" applyBorder="1" applyAlignment="1" applyProtection="1">
      <alignment shrinkToFit="1"/>
    </xf>
    <xf numFmtId="0" fontId="46" fillId="8" borderId="30" xfId="34" applyFont="1" applyFill="1" applyBorder="1"/>
    <xf numFmtId="166" fontId="0" fillId="0" borderId="37" xfId="49" applyFont="1" applyFill="1" applyBorder="1" applyAlignment="1" applyProtection="1">
      <alignment horizontal="center"/>
    </xf>
    <xf numFmtId="166"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6" fontId="0" fillId="8" borderId="37" xfId="49" applyFont="1" applyFill="1" applyBorder="1" applyAlignment="1" applyProtection="1">
      <alignment horizontal="center"/>
    </xf>
    <xf numFmtId="166" fontId="0" fillId="8" borderId="65" xfId="49" applyFont="1" applyFill="1" applyBorder="1" applyAlignment="1" applyProtection="1">
      <alignment horizontal="right"/>
    </xf>
    <xf numFmtId="172" fontId="56" fillId="0" borderId="42" xfId="48" applyFill="1" applyBorder="1" applyAlignment="1" applyProtection="1">
      <alignment shrinkToFit="1"/>
    </xf>
    <xf numFmtId="166" fontId="0" fillId="0" borderId="57" xfId="49" applyFont="1" applyFill="1" applyBorder="1" applyAlignment="1" applyProtection="1">
      <alignment horizontal="center"/>
    </xf>
    <xf numFmtId="166" fontId="0" fillId="0" borderId="59" xfId="49" applyFont="1" applyFill="1" applyBorder="1" applyAlignment="1" applyProtection="1">
      <alignment horizontal="right"/>
    </xf>
    <xf numFmtId="0" fontId="46" fillId="8" borderId="13" xfId="34" applyFont="1" applyFill="1" applyBorder="1"/>
    <xf numFmtId="166" fontId="24" fillId="8" borderId="68" xfId="49" applyFont="1" applyFill="1" applyBorder="1" applyAlignment="1" applyProtection="1">
      <alignment horizontal="center"/>
    </xf>
    <xf numFmtId="166" fontId="24" fillId="8" borderId="69" xfId="49" applyFont="1" applyFill="1" applyBorder="1" applyAlignment="1" applyProtection="1">
      <alignment horizontal="right"/>
    </xf>
    <xf numFmtId="0" fontId="46" fillId="0" borderId="29" xfId="34" applyFont="1" applyBorder="1" applyAlignment="1">
      <alignment horizontal="center"/>
    </xf>
    <xf numFmtId="166"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9" fontId="0" fillId="0" borderId="45" xfId="0" applyNumberFormat="1" applyBorder="1" applyAlignment="1">
      <alignment horizontal="center" vertical="center"/>
    </xf>
    <xf numFmtId="179" fontId="0" fillId="0" borderId="13" xfId="0" applyNumberFormat="1" applyBorder="1" applyAlignment="1">
      <alignment horizontal="center" vertical="center"/>
    </xf>
    <xf numFmtId="180" fontId="24"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5" xfId="0" applyNumberFormat="1" applyBorder="1" applyAlignment="1">
      <alignment horizontal="center" vertical="center"/>
    </xf>
    <xf numFmtId="179" fontId="0" fillId="0" borderId="65"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6"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9" fontId="17" fillId="8" borderId="78"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2" fontId="8" fillId="8" borderId="45"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28" xfId="0" applyNumberFormat="1" applyFont="1" applyFill="1" applyBorder="1" applyAlignment="1">
      <alignment horizontal="center"/>
    </xf>
    <xf numFmtId="182"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3"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4" fontId="24" fillId="8" borderId="33" xfId="0" applyNumberFormat="1" applyFont="1" applyFill="1" applyBorder="1" applyAlignment="1">
      <alignment horizontal="center" vertical="center" wrapText="1"/>
    </xf>
    <xf numFmtId="172" fontId="0" fillId="0" borderId="37" xfId="48" applyFont="1" applyFill="1" applyBorder="1" applyAlignment="1" applyProtection="1">
      <alignment vertical="center" shrinkToFit="1"/>
    </xf>
    <xf numFmtId="172" fontId="0" fillId="0" borderId="65" xfId="48" applyFont="1" applyFill="1" applyBorder="1" applyAlignment="1" applyProtection="1">
      <alignment vertical="center" shrinkToFit="1"/>
    </xf>
    <xf numFmtId="172" fontId="0" fillId="0" borderId="38" xfId="48" applyFont="1" applyFill="1" applyBorder="1" applyAlignment="1" applyProtection="1">
      <alignment horizontal="center" vertical="center" shrinkToFit="1"/>
    </xf>
    <xf numFmtId="172" fontId="0" fillId="0" borderId="39" xfId="48" applyFont="1" applyFill="1" applyBorder="1" applyAlignment="1" applyProtection="1">
      <alignment horizontal="center" vertical="center" shrinkToFit="1"/>
    </xf>
    <xf numFmtId="172" fontId="0" fillId="6" borderId="38" xfId="48" applyFont="1" applyFill="1" applyBorder="1" applyAlignment="1" applyProtection="1">
      <protection locked="0"/>
    </xf>
    <xf numFmtId="172" fontId="0" fillId="6" borderId="40" xfId="48" applyFont="1" applyFill="1" applyBorder="1" applyAlignment="1" applyProtection="1">
      <protection locked="0"/>
    </xf>
    <xf numFmtId="166" fontId="0" fillId="0" borderId="39" xfId="0" applyNumberFormat="1" applyBorder="1"/>
    <xf numFmtId="172" fontId="24" fillId="17" borderId="13" xfId="48" applyFont="1" applyFill="1" applyBorder="1" applyAlignment="1" applyProtection="1">
      <alignment horizontal="center" vertical="center"/>
    </xf>
    <xf numFmtId="172"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5"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9"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2" fontId="8" fillId="8" borderId="80" xfId="0" applyNumberFormat="1" applyFont="1" applyFill="1" applyBorder="1" applyAlignment="1">
      <alignment horizontal="center"/>
    </xf>
    <xf numFmtId="182" fontId="8" fillId="8" borderId="81" xfId="0" applyNumberFormat="1" applyFont="1" applyFill="1" applyBorder="1" applyAlignment="1">
      <alignment horizontal="center"/>
    </xf>
    <xf numFmtId="182" fontId="8" fillId="8" borderId="62" xfId="0" applyNumberFormat="1" applyFont="1" applyFill="1" applyBorder="1" applyAlignment="1">
      <alignment horizontal="center"/>
    </xf>
    <xf numFmtId="182"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5" xfId="0" applyNumberFormat="1" applyFill="1" applyBorder="1" applyAlignment="1">
      <alignment horizontal="center" vertical="center"/>
    </xf>
    <xf numFmtId="179" fontId="0" fillId="8" borderId="65" xfId="0" applyNumberFormat="1" applyFill="1" applyBorder="1" applyAlignment="1">
      <alignment horizontal="center" vertical="center"/>
    </xf>
    <xf numFmtId="0" fontId="0" fillId="18" borderId="80" xfId="0" applyFill="1" applyBorder="1" applyAlignment="1">
      <alignment horizontal="right"/>
    </xf>
    <xf numFmtId="179" fontId="55" fillId="0" borderId="39" xfId="0" applyNumberFormat="1" applyFont="1" applyBorder="1"/>
    <xf numFmtId="179" fontId="0" fillId="0" borderId="82" xfId="0" applyNumberFormat="1" applyBorder="1" applyAlignment="1">
      <alignment horizontal="center" vertical="center"/>
    </xf>
    <xf numFmtId="179" fontId="0" fillId="0" borderId="57"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0" fontId="0" fillId="18" borderId="83" xfId="0" applyFill="1" applyBorder="1" applyAlignment="1">
      <alignment horizontal="right"/>
    </xf>
    <xf numFmtId="179" fontId="17" fillId="8" borderId="31" xfId="0" applyNumberFormat="1" applyFont="1" applyFill="1" applyBorder="1" applyAlignment="1">
      <alignment horizontal="center" vertical="center"/>
    </xf>
    <xf numFmtId="179" fontId="17" fillId="8" borderId="44"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9" xfId="48" applyNumberFormat="1" applyFont="1" applyFill="1" applyBorder="1" applyAlignment="1" applyProtection="1">
      <alignment vertical="top" shrinkToFit="1"/>
    </xf>
    <xf numFmtId="181"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2"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2"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2"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2"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2"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2" fontId="0" fillId="0" borderId="36" xfId="48" applyFont="1" applyFill="1" applyBorder="1" applyAlignment="1" applyProtection="1">
      <alignment vertical="center" shrinkToFit="1"/>
    </xf>
    <xf numFmtId="186"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2" fontId="24" fillId="17" borderId="29" xfId="48" applyFont="1" applyFill="1" applyBorder="1" applyAlignment="1" applyProtection="1">
      <alignment horizontal="center" vertical="center"/>
    </xf>
    <xf numFmtId="172"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2" fontId="0" fillId="0" borderId="40" xfId="48" applyFont="1" applyFill="1" applyBorder="1" applyAlignment="1" applyProtection="1">
      <alignment vertical="center" shrinkToFit="1"/>
    </xf>
    <xf numFmtId="172" fontId="24" fillId="17" borderId="67" xfId="48" applyFont="1" applyFill="1" applyBorder="1" applyAlignment="1" applyProtection="1">
      <alignment horizontal="center" vertical="center" shrinkToFit="1"/>
    </xf>
    <xf numFmtId="172"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164"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8" fontId="0" fillId="0" borderId="90" xfId="0" applyNumberFormat="1" applyBorder="1"/>
    <xf numFmtId="187"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110" xfId="49" applyFont="1" applyFill="1" applyBorder="1" applyAlignment="1" applyProtection="1">
      <alignment horizontal="center"/>
    </xf>
    <xf numFmtId="166" fontId="24" fillId="8" borderId="75" xfId="49" applyFont="1" applyFill="1" applyBorder="1" applyAlignment="1" applyProtection="1">
      <alignment horizontal="right"/>
    </xf>
    <xf numFmtId="166" fontId="56" fillId="0" borderId="111" xfId="49" applyFill="1" applyBorder="1" applyAlignment="1" applyProtection="1">
      <alignment horizontal="right"/>
    </xf>
    <xf numFmtId="10" fontId="0" fillId="29" borderId="52" xfId="38" applyNumberFormat="1" applyFont="1" applyFill="1" applyBorder="1" applyAlignment="1" applyProtection="1"/>
    <xf numFmtId="172" fontId="56" fillId="29" borderId="39" xfId="48" applyFill="1" applyBorder="1" applyAlignment="1" applyProtection="1">
      <alignment shrinkToFit="1"/>
    </xf>
    <xf numFmtId="166" fontId="24" fillId="29" borderId="67" xfId="49" applyFont="1" applyFill="1" applyBorder="1" applyAlignment="1" applyProtection="1">
      <alignment shrinkToFit="1"/>
    </xf>
    <xf numFmtId="172"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5" fontId="49" fillId="0" borderId="116" xfId="34" applyNumberFormat="1" applyFont="1" applyBorder="1" applyAlignment="1">
      <alignment horizontal="center"/>
    </xf>
    <xf numFmtId="10" fontId="0" fillId="29" borderId="117" xfId="38" applyNumberFormat="1" applyFont="1" applyFill="1" applyBorder="1" applyAlignment="1" applyProtection="1"/>
    <xf numFmtId="172"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2"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2"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5" fontId="74" fillId="0" borderId="0" xfId="0" applyNumberFormat="1" applyFont="1"/>
    <xf numFmtId="0" fontId="77" fillId="0" borderId="0" xfId="0" applyFont="1"/>
    <xf numFmtId="179" fontId="0" fillId="6" borderId="66" xfId="0" applyNumberFormat="1" applyFill="1" applyBorder="1" applyAlignment="1" applyProtection="1">
      <alignment horizontal="right" vertical="center"/>
      <protection locked="0"/>
    </xf>
    <xf numFmtId="179" fontId="0" fillId="6" borderId="42" xfId="0" applyNumberFormat="1" applyFill="1" applyBorder="1" applyAlignment="1" applyProtection="1">
      <alignment horizontal="right" vertical="center"/>
      <protection locked="0"/>
    </xf>
    <xf numFmtId="179"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90"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90"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2"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2" fontId="56" fillId="0" borderId="122" xfId="48" applyBorder="1" applyAlignment="1" applyProtection="1">
      <alignment shrinkToFit="1"/>
    </xf>
    <xf numFmtId="172"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2" fontId="24" fillId="30" borderId="122" xfId="0" applyNumberFormat="1" applyFont="1" applyFill="1" applyBorder="1"/>
    <xf numFmtId="0" fontId="46" fillId="31" borderId="123" xfId="0" applyFont="1" applyFill="1" applyBorder="1" applyAlignment="1">
      <alignment horizontal="left" vertical="center"/>
    </xf>
    <xf numFmtId="172" fontId="56" fillId="31" borderId="122" xfId="48" applyFill="1" applyBorder="1" applyAlignment="1" applyProtection="1">
      <alignment horizontal="left" vertical="center" shrinkToFit="1"/>
    </xf>
    <xf numFmtId="172"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6"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9" fontId="17" fillId="8" borderId="123" xfId="0" applyNumberFormat="1" applyFont="1" applyFill="1" applyBorder="1" applyAlignment="1">
      <alignment horizontal="center" vertical="center"/>
    </xf>
    <xf numFmtId="179"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90"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90" fontId="56" fillId="28" borderId="143" xfId="50" applyNumberFormat="1" applyFont="1" applyFill="1" applyBorder="1" applyAlignment="1">
      <alignment horizontal="center" vertical="center"/>
    </xf>
    <xf numFmtId="190"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8" fontId="0" fillId="0" borderId="29" xfId="33" applyNumberFormat="1" applyFont="1" applyBorder="1" applyAlignment="1">
      <alignment horizontal="left"/>
    </xf>
    <xf numFmtId="187"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5"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7"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7" fontId="63" fillId="0" borderId="29" xfId="0" applyNumberFormat="1" applyFont="1" applyBorder="1" applyAlignment="1">
      <alignment horizontal="left"/>
    </xf>
    <xf numFmtId="172" fontId="56" fillId="0" borderId="103" xfId="48" applyBorder="1" applyAlignment="1" applyProtection="1">
      <alignment horizontal="center" shrinkToFit="1"/>
    </xf>
    <xf numFmtId="172" fontId="56" fillId="0" borderId="105" xfId="48" applyBorder="1" applyAlignment="1" applyProtection="1">
      <alignment horizontal="center" shrinkToFit="1"/>
    </xf>
    <xf numFmtId="172" fontId="56" fillId="0" borderId="122" xfId="48" applyBorder="1" applyAlignment="1" applyProtection="1">
      <alignment horizontal="center" shrinkToFit="1"/>
    </xf>
    <xf numFmtId="189" fontId="46" fillId="0" borderId="103" xfId="48" applyNumberFormat="1" applyFont="1" applyBorder="1" applyAlignment="1" applyProtection="1">
      <alignment horizontal="center" shrinkToFit="1"/>
    </xf>
    <xf numFmtId="189" fontId="46" fillId="0" borderId="105" xfId="48" applyNumberFormat="1" applyFont="1" applyBorder="1" applyAlignment="1" applyProtection="1">
      <alignment horizontal="center" shrinkToFit="1"/>
    </xf>
    <xf numFmtId="188"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9"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4" fontId="24" fillId="0" borderId="31" xfId="48" applyNumberFormat="1" applyFont="1" applyFill="1" applyBorder="1" applyAlignment="1" applyProtection="1">
      <alignment horizontal="center" vertical="center"/>
    </xf>
    <xf numFmtId="166"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7"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6"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8" fontId="56" fillId="0" borderId="13" xfId="48" applyNumberFormat="1" applyFill="1" applyBorder="1" applyAlignment="1" applyProtection="1">
      <alignment horizontal="center" shrinkToFit="1"/>
    </xf>
    <xf numFmtId="178"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7"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2"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1"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795">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h5KM/X6JeRWdhjLRvUDNusK/SiD08SVpvBPhfbwhis/IgD7mlEEhFAGRGiU/jEegX+IooYgoZmsuxAs2V3ckNw==" saltValue="MJndltOyLRLf1rE/2WXCz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04-Wednesday.xlsm.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MuFFvvKtp0LZllVtRVPl2TPqSAlA8cic/Ftpeqs18mOWxpufNdkznyAqVWxmjiisESt8qlLdrPnKbZDLALIInA==" saltValue="zVPMiUFbAqMHmL9XvdVdWg==" spinCount="100000" sheet="1" objects="1" scenarios="1" autoFilter="0"/>
  <mergeCells count="4">
    <mergeCell ref="B20:H20"/>
    <mergeCell ref="B8:H8"/>
    <mergeCell ref="E2:G3"/>
    <mergeCell ref="B16:H16"/>
  </mergeCells>
  <phoneticPr fontId="38" type="noConversion"/>
  <conditionalFormatting sqref="C10:G14">
    <cfRule type="expression" dxfId="794" priority="70" stopIfTrue="1">
      <formula>TIPOORCAMENTO="Licitado"</formula>
    </cfRule>
  </conditionalFormatting>
  <conditionalFormatting sqref="C18:G18 E22:E24">
    <cfRule type="expression" dxfId="793" priority="71" stopIfTrue="1">
      <formula>TIPOORCAMENTO&lt;&gt;"Licitado"</formula>
    </cfRule>
  </conditionalFormatting>
  <conditionalFormatting sqref="C22">
    <cfRule type="expression" dxfId="792" priority="73" stopIfTrue="1">
      <formula>OR(TIPOORCAMENTO&lt;&gt;"Licitado",ACOMPANHAMENTO&lt;&gt;"PLE")</formula>
    </cfRule>
  </conditionalFormatting>
  <conditionalFormatting sqref="G22">
    <cfRule type="expression" dxfId="791" priority="74" stopIfTrue="1">
      <formula>OR(TIPOORCAMENTO&lt;&gt;"Licitado",ACOMPANHAMENTO&lt;&gt;"BM")</formula>
    </cfRule>
  </conditionalFormatting>
  <conditionalFormatting sqref="B16:H16 B20:H20">
    <cfRule type="expression" dxfId="790" priority="599" stopIfTrue="1">
      <formula>$O$3&lt;&gt;2</formula>
    </cfRule>
  </conditionalFormatting>
  <conditionalFormatting sqref="B8:H8">
    <cfRule type="expression" dxfId="789"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27" activePane="bottomLeft" state="frozen"/>
      <selection pane="bottomLeft" activeCell="D32" sqref="D32"/>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1070</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1071</v>
      </c>
      <c r="D16" s="563" t="str">
        <f t="shared" ref="D16:D19" ca="1" si="1">IF(OFFSET(D16,0,-1)="","◄","")</f>
        <v/>
      </c>
      <c r="L16" s="12" t="s">
        <v>113</v>
      </c>
      <c r="AV16" t="s">
        <v>224</v>
      </c>
      <c r="AW16" t="s">
        <v>225</v>
      </c>
    </row>
    <row r="17" spans="2:49" x14ac:dyDescent="0.2">
      <c r="B17" s="17" t="s">
        <v>226</v>
      </c>
      <c r="C17" s="26" t="s">
        <v>1072</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46113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1073</v>
      </c>
      <c r="D22" s="563" t="str">
        <f t="shared" ref="D22:D24" ca="1" si="2">IF(OFFSET(D22,0,-1)="","◄","")</f>
        <v/>
      </c>
      <c r="AV22" t="s">
        <v>241</v>
      </c>
      <c r="AW22" t="s">
        <v>242</v>
      </c>
    </row>
    <row r="23" spans="2:49" x14ac:dyDescent="0.2">
      <c r="B23" s="17" t="s">
        <v>243</v>
      </c>
      <c r="C23" s="18" t="s">
        <v>1074</v>
      </c>
      <c r="D23" s="563" t="str">
        <f t="shared" ca="1" si="2"/>
        <v/>
      </c>
      <c r="AV23" t="s">
        <v>244</v>
      </c>
      <c r="AW23" t="s">
        <v>245</v>
      </c>
    </row>
    <row r="24" spans="2:49" x14ac:dyDescent="0.2">
      <c r="B24" s="17" t="s">
        <v>246</v>
      </c>
      <c r="C24" s="18" t="s">
        <v>688</v>
      </c>
      <c r="D24" s="563" t="str">
        <f t="shared" ca="1" si="2"/>
        <v/>
      </c>
      <c r="AV24" t="s">
        <v>247</v>
      </c>
      <c r="AW24" t="s">
        <v>248</v>
      </c>
    </row>
    <row r="25" spans="2:49" ht="13.5" thickBot="1" x14ac:dyDescent="0.25">
      <c r="B25" s="21" t="s">
        <v>249</v>
      </c>
      <c r="C25" s="32">
        <v>46121</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1075</v>
      </c>
      <c r="D28" s="563" t="str">
        <f t="shared" ref="D28:D29" ca="1" si="3">IF(OFFSET(D28,0,-1)="","◄","")</f>
        <v/>
      </c>
      <c r="AV28" t="s">
        <v>258</v>
      </c>
      <c r="AW28" t="s">
        <v>259</v>
      </c>
    </row>
    <row r="29" spans="2:49" ht="13.5" thickBot="1" x14ac:dyDescent="0.25">
      <c r="B29" s="21" t="s">
        <v>260</v>
      </c>
      <c r="C29" s="34" t="s">
        <v>1076</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969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2jkM1mWNien5KnkhRe4fp7dFbAviWli0akFl9pFpdD8CJQ3PGCVpTHsdsibn+TNAR0Wgad4+ZGtzE3um+QEZBQ==" saltValue="UKQkqaKqVCjlmLLRHp0SN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788" priority="2" stopIfTrue="1">
      <formula>CAIXA.Modo=FALSE</formula>
    </cfRule>
  </conditionalFormatting>
  <conditionalFormatting sqref="B59:C61">
    <cfRule type="expression" dxfId="787"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f>Import.Proponente</f>
        <v>0</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TRAVESSIA EM ADUELAS ESTRADA PRINCIPAL DO VIRA  / REGIÃO DO ZÉ PRETO</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1</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0.03</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IF(COUNTIF(ORÇAMENTO!$V$15:$V$162,BDI_1.Título)=0,"",IF(OR(Import.BDI.Tipo1="(SELECIONAR)",Import.BDI.Tipo1="",U17&lt;&gt;"",AND($J17&lt;&gt;$A$145,OR(S21="",S22="",AND($J17&lt;&gt;$A$146,OR(S23="",S24="")),S25="",S26=""))),"Falta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658</v>
      </c>
      <c r="K17" s="701"/>
      <c r="L17" s="701"/>
      <c r="M17" s="701"/>
      <c r="N17" s="701"/>
      <c r="O17" s="701"/>
      <c r="P17" s="701"/>
      <c r="Q17" s="701"/>
      <c r="R17" s="701"/>
      <c r="S17" s="701"/>
      <c r="T17" s="563" t="str">
        <f ca="1">IF(U17="","","◄")</f>
        <v/>
      </c>
      <c r="U17" s="562" t="str">
        <f ca="1">IF(AND(OR(S29&gt;0,COUNTIF(ORÇAMENTO!$V$15:$V$162,BDI_1.Título)&gt;0),OR(Import.BDI.Tipo1="(SELECIONAR)",Import.BDI.Tipo1="")),"Selecione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4.0099999999999997E-2</v>
      </c>
      <c r="T21" s="572" t="str">
        <f ca="1">IF(AND($U$14&lt;&gt;"",$U$17="",R21&lt;&gt;"",S21=""),"◄","")</f>
        <v/>
      </c>
      <c r="U21" s="689" t="str">
        <f ca="1">IFERROR(IF(T21="◄","FALTA PREENCHER",IF(AND(OR(S21&gt;=X21,X21="-"),OR(S21&lt;=Z21,Z21="-")),"OK","FORA DO INTERVALO")),"-")</f>
        <v>OK</v>
      </c>
      <c r="V21" s="689"/>
      <c r="W21" s="689"/>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4.0000000000000001E-3</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5.5999999999999999E-3</v>
      </c>
      <c r="T23" s="572" t="str">
        <f t="shared" ca="1" si="1"/>
        <v/>
      </c>
      <c r="U23" s="689" t="str">
        <f t="shared" ca="1" si="2"/>
        <v>OK</v>
      </c>
      <c r="V23" s="689"/>
      <c r="W23" s="689"/>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1.11E-2</v>
      </c>
      <c r="T24" s="572" t="str">
        <f t="shared" ca="1" si="1"/>
        <v/>
      </c>
      <c r="U24" s="689" t="str">
        <f t="shared" ca="1" si="2"/>
        <v>OK</v>
      </c>
      <c r="V24" s="689"/>
      <c r="W24" s="689"/>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7.2999999999999995E-2</v>
      </c>
      <c r="T25" s="572" t="str">
        <f t="shared" ca="1" si="1"/>
        <v/>
      </c>
      <c r="U25" s="689" t="str">
        <f t="shared" ca="1" si="2"/>
        <v>OK</v>
      </c>
      <c r="V25" s="689"/>
      <c r="W25" s="689"/>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0.03</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0.22</v>
      </c>
      <c r="U29" s="690" t="str">
        <f ca="1">IFERROR(IF(AND(OR(S29&gt;=X29,X29="-"),OR(S29&lt;=Z29,Z29="-")),"OK","FORA DO INTERVALO"),IF(S29=0,"OK","Selecione o Tipo de obra"))</f>
        <v>OK</v>
      </c>
      <c r="V29" s="690"/>
      <c r="W29" s="69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0.22</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2"/>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Passos / MG</v>
      </c>
      <c r="K45" s="683"/>
      <c r="L45" s="683"/>
      <c r="M45" s="683"/>
      <c r="P45" s="684">
        <f>DADOS!$C$25</f>
        <v>46121</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 xml:space="preserve">Mateus Junior Rosa </v>
      </c>
      <c r="L50" s="79"/>
      <c r="M50" s="79"/>
      <c r="N50" s="76"/>
    </row>
    <row r="51" spans="1:26" ht="14.25" x14ac:dyDescent="0.2">
      <c r="A51"/>
      <c r="B51"/>
      <c r="C51"/>
      <c r="D51"/>
      <c r="E51"/>
      <c r="F51"/>
      <c r="G51"/>
      <c r="I51" t="s">
        <v>536</v>
      </c>
      <c r="J51" s="77" t="s">
        <v>243</v>
      </c>
      <c r="K51" s="78" t="str">
        <v>386526 MG</v>
      </c>
      <c r="L51" s="79"/>
      <c r="M51" s="79"/>
      <c r="N51" s="76"/>
    </row>
    <row r="52" spans="1:26" ht="14.25" x14ac:dyDescent="0.2">
      <c r="A52"/>
      <c r="B52"/>
      <c r="C52"/>
      <c r="D52"/>
      <c r="E52"/>
      <c r="F52"/>
      <c r="G52"/>
      <c r="I52" t="s">
        <v>536</v>
      </c>
      <c r="J52" s="77" t="s">
        <v>246</v>
      </c>
      <c r="K52" s="78" t="str">
        <v>-</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02" t="s">
        <v>697</v>
      </c>
      <c r="K54" s="702"/>
      <c r="L54" s="702"/>
      <c r="M54" s="702"/>
      <c r="N54" s="702"/>
      <c r="O54" s="702"/>
      <c r="P54" s="702"/>
      <c r="Q54" s="702"/>
      <c r="R54" s="702"/>
      <c r="S54" s="702"/>
      <c r="U54" s="521" t="str">
        <f>IF(COUNTIF(ORÇAMENTO!$V$15:$V$162,BDI_2.Título)=0,"",IF(OR(Import.BDI.Tipo2="(SELECIONAR)",Import.BDI.Tipo2="",U57&lt;&gt;"",AND($J57&lt;&gt;$A$145,OR(S61="",S62="",AND($J57&lt;&gt;$A$146,OR(S63="",S64="")),S65="",S66=""))),"Falta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0" t="s">
        <v>664</v>
      </c>
      <c r="K56" s="700"/>
      <c r="L56" s="700"/>
      <c r="M56" s="700"/>
      <c r="N56" s="700"/>
      <c r="O56" s="700"/>
      <c r="P56" s="700"/>
      <c r="Q56" s="700"/>
      <c r="R56" s="700"/>
      <c r="S56" s="700"/>
    </row>
    <row r="57" spans="1:26" ht="15" x14ac:dyDescent="0.25">
      <c r="A57"/>
      <c r="B57"/>
      <c r="C57"/>
      <c r="D57"/>
      <c r="E57"/>
      <c r="F57"/>
      <c r="G57"/>
      <c r="I57" t="str">
        <f t="shared" ca="1" si="3"/>
        <v/>
      </c>
      <c r="J57" s="701" t="s">
        <v>139</v>
      </c>
      <c r="K57" s="701"/>
      <c r="L57" s="701"/>
      <c r="M57" s="701"/>
      <c r="N57" s="701"/>
      <c r="O57" s="701"/>
      <c r="P57" s="701"/>
      <c r="Q57" s="701"/>
      <c r="R57" s="701"/>
      <c r="S57" s="701"/>
      <c r="T57" s="563" t="str">
        <f ca="1">IF(U57="","","◄")</f>
        <v/>
      </c>
      <c r="U57" s="562" t="str">
        <f ca="1">IF(AND(OR(S69&gt;0,COUNTIF(ORÇAMENTO!$V$15:$V$162,BDI_2.Título)&gt;0),OR(Import.BDI.Tipo2="(SELECIONAR)",Import.BDI.Tipo2="")),"Selecione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
      </c>
      <c r="J61" s="688" t="str">
        <f>IF($J$57=$A$146,"Encargos Sociais incidentes sobre a mão de obra","Administração Central")</f>
        <v>Administração Central</v>
      </c>
      <c r="K61" s="688"/>
      <c r="L61" s="688"/>
      <c r="M61" s="688"/>
      <c r="N61" s="688"/>
      <c r="O61" s="688"/>
      <c r="P61" s="688"/>
      <c r="Q61" s="688"/>
      <c r="R61" s="60" t="str">
        <f>IF($J57=$A$146,"K1","AC")</f>
        <v>AC</v>
      </c>
      <c r="S61" s="61"/>
      <c r="T61" s="572" t="str">
        <f ca="1">IF(AND($U$54&lt;&gt;"",$U$57="",R61&lt;&gt;"",S61=""),"◄","")</f>
        <v/>
      </c>
      <c r="U61" s="689" t="str">
        <f ca="1">IFERROR(IF(T61="◄","FALTA PREENCHER",IF(AND(OR(S61&gt;=X61,X61="-"),OR(S61&lt;=Z61,Z61="-")),"OK","FORA DO INTERVALO")),"-")</f>
        <v>-</v>
      </c>
      <c r="V61" s="689"/>
      <c r="W61" s="689"/>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88" t="str">
        <f>IF($J$57=$A$146,"Administração Central da empresa ou consultoria - overhead","Seguro e Garantia")</f>
        <v>Seguro e Garantia</v>
      </c>
      <c r="K62" s="688"/>
      <c r="L62" s="688"/>
      <c r="M62" s="688"/>
      <c r="N62" s="688"/>
      <c r="O62" s="688"/>
      <c r="P62" s="688"/>
      <c r="Q62" s="688"/>
      <c r="R62" s="60" t="str">
        <f>IF($J57=$A$146,"K2","SG")</f>
        <v>SG</v>
      </c>
      <c r="S62" s="61"/>
      <c r="T62" s="572" t="str">
        <f t="shared" ref="T62:T66" ca="1" si="4">IF(AND($U$54&lt;&gt;"",$U$57="",R62&lt;&gt;"",S62=""),"◄","")</f>
        <v/>
      </c>
      <c r="U62" s="689" t="str">
        <f t="shared" ref="U62:U68" ca="1" si="5">IFERROR(IF(T62="◄","FALTA PREENCHER",IF(AND(OR(S62&gt;=X62,X62="-"),OR(S62&lt;=Z62,Z62="-")),"OK","FORA DO INTERVALO")),"-")</f>
        <v>-</v>
      </c>
      <c r="V62" s="689"/>
      <c r="W62" s="689"/>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88" t="s">
        <v>942</v>
      </c>
      <c r="K63" s="688"/>
      <c r="L63" s="688"/>
      <c r="M63" s="688"/>
      <c r="N63" s="688"/>
      <c r="O63" s="688"/>
      <c r="P63" s="688"/>
      <c r="Q63" s="688"/>
      <c r="R63" s="60" t="str">
        <f>IF($J57=$A$146,"","R")</f>
        <v>R</v>
      </c>
      <c r="S63" s="61"/>
      <c r="T63" s="572" t="str">
        <f t="shared" ca="1" si="4"/>
        <v/>
      </c>
      <c r="U63" s="689" t="str">
        <f t="shared" ca="1" si="5"/>
        <v>-</v>
      </c>
      <c r="V63" s="689"/>
      <c r="W63" s="689"/>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88" t="s">
        <v>943</v>
      </c>
      <c r="K64" s="688"/>
      <c r="L64" s="688"/>
      <c r="M64" s="688"/>
      <c r="N64" s="688"/>
      <c r="O64" s="688"/>
      <c r="P64" s="688"/>
      <c r="Q64" s="688"/>
      <c r="R64" s="60" t="str">
        <f>IF($J57=$A$146,"","DF")</f>
        <v>DF</v>
      </c>
      <c r="S64" s="61"/>
      <c r="T64" s="572" t="str">
        <f t="shared" ca="1" si="4"/>
        <v/>
      </c>
      <c r="U64" s="689" t="str">
        <f t="shared" ca="1" si="5"/>
        <v>-</v>
      </c>
      <c r="V64" s="689"/>
      <c r="W64" s="689"/>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88" t="str">
        <f>IF($J$57=$A$146,"Margem bruta da empresa de consultoria","Lucro")</f>
        <v>Lucro</v>
      </c>
      <c r="K65" s="688"/>
      <c r="L65" s="688"/>
      <c r="M65" s="688"/>
      <c r="N65" s="688"/>
      <c r="O65" s="688"/>
      <c r="P65" s="688"/>
      <c r="Q65" s="688"/>
      <c r="R65" s="60" t="str">
        <f>IF($J57=$A$146,"K3","L")</f>
        <v>L</v>
      </c>
      <c r="S65" s="61"/>
      <c r="T65" s="572" t="str">
        <f t="shared" ca="1" si="4"/>
        <v/>
      </c>
      <c r="U65" s="689" t="str">
        <f t="shared" ca="1" si="5"/>
        <v>-</v>
      </c>
      <c r="V65" s="689"/>
      <c r="W65" s="689"/>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88" t="s">
        <v>675</v>
      </c>
      <c r="K66" s="688"/>
      <c r="L66" s="688"/>
      <c r="M66" s="688"/>
      <c r="N66" s="688"/>
      <c r="O66" s="688"/>
      <c r="P66" s="688"/>
      <c r="Q66" s="688"/>
      <c r="R66" s="60" t="s">
        <v>456</v>
      </c>
      <c r="S66" s="61"/>
      <c r="T66" s="572" t="str">
        <f t="shared" ca="1" si="4"/>
        <v/>
      </c>
      <c r="U66" s="689" t="str">
        <f t="shared" ca="1" si="5"/>
        <v>FORA DO INTERVALO</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88" t="s">
        <v>676</v>
      </c>
      <c r="K67" s="688"/>
      <c r="L67" s="688"/>
      <c r="M67" s="688"/>
      <c r="N67" s="688"/>
      <c r="O67" s="688"/>
      <c r="P67" s="688"/>
      <c r="Q67" s="688"/>
      <c r="R67" s="60" t="s">
        <v>677</v>
      </c>
      <c r="S67" s="62">
        <f ca="1">IF(AND($J57&lt;&gt;$A$145,COUNTA(OFFSET(S60,1,0,6))&gt;0),$R$11*$R$10,0)</f>
        <v>0</v>
      </c>
      <c r="U67" s="689" t="str">
        <f t="shared" ca="1" si="5"/>
        <v>OK</v>
      </c>
      <c r="V67" s="689"/>
      <c r="W67" s="689"/>
      <c r="X67" s="62">
        <v>0</v>
      </c>
      <c r="Y67" s="62">
        <v>2.5000000000000001E-2</v>
      </c>
      <c r="Z67" s="62">
        <v>0.05</v>
      </c>
    </row>
    <row r="68" spans="1:26" ht="15" customHeight="1" x14ac:dyDescent="0.2">
      <c r="A68"/>
      <c r="B68"/>
      <c r="C68"/>
      <c r="D68"/>
      <c r="E68"/>
      <c r="F68"/>
      <c r="G68"/>
      <c r="I68" t="str">
        <f t="shared" ca="1" si="3"/>
        <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
      </c>
      <c r="J69" s="688" t="s">
        <v>680</v>
      </c>
      <c r="K69" s="688"/>
      <c r="L69" s="688"/>
      <c r="M69" s="688"/>
      <c r="N69" s="688"/>
      <c r="O69" s="688"/>
      <c r="P69" s="688"/>
      <c r="Q69" s="688"/>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1" t="s">
        <v>681</v>
      </c>
      <c r="K70" s="691"/>
      <c r="L70" s="691"/>
      <c r="M70" s="691"/>
      <c r="N70" s="691"/>
      <c r="O70" s="691"/>
      <c r="P70" s="691"/>
      <c r="Q70" s="691"/>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
      </c>
    </row>
    <row r="74" spans="1:26" x14ac:dyDescent="0.2">
      <c r="A74"/>
      <c r="B74"/>
      <c r="C74"/>
      <c r="D74"/>
      <c r="E74"/>
      <c r="F74"/>
      <c r="G74"/>
      <c r="I74" t="str">
        <f t="shared" ca="1" si="3"/>
        <v/>
      </c>
      <c r="J74" s="694" t="s">
        <v>683</v>
      </c>
      <c r="K74" s="694"/>
      <c r="L74" s="694"/>
      <c r="M74" s="694"/>
      <c r="N74" s="694"/>
      <c r="O74" s="694"/>
      <c r="P74" s="694"/>
      <c r="Q74" s="694"/>
      <c r="R74" s="694"/>
      <c r="S74" s="694"/>
    </row>
    <row r="75" spans="1:26" ht="15.75" x14ac:dyDescent="0.25">
      <c r="A75"/>
      <c r="B75"/>
      <c r="C75"/>
      <c r="D75"/>
      <c r="E75"/>
      <c r="F75"/>
      <c r="G75"/>
      <c r="I75" t="str">
        <f t="shared" ca="1" si="3"/>
        <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
      </c>
      <c r="J76" s="68"/>
      <c r="K76" s="68"/>
      <c r="L76" s="68"/>
      <c r="M76" s="695"/>
      <c r="N76" s="687" t="s">
        <v>686</v>
      </c>
      <c r="O76" s="687"/>
      <c r="P76" s="687"/>
      <c r="Q76" s="69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81"/>
      <c r="L78" s="681"/>
      <c r="M78" s="681"/>
      <c r="N78" s="681"/>
      <c r="O78" s="681"/>
      <c r="P78" s="681"/>
      <c r="Q78" s="681"/>
      <c r="R78" s="681"/>
      <c r="S78" s="681"/>
    </row>
    <row r="79" spans="1:26" x14ac:dyDescent="0.2">
      <c r="A79"/>
      <c r="B79"/>
      <c r="C79"/>
      <c r="D79"/>
      <c r="E79"/>
      <c r="F79"/>
      <c r="G79"/>
      <c r="I79" t="str">
        <f t="shared" ca="1" si="3"/>
        <v/>
      </c>
    </row>
    <row r="80" spans="1:26" ht="50.1" customHeight="1" x14ac:dyDescent="0.2">
      <c r="A80"/>
      <c r="B80"/>
      <c r="C80"/>
      <c r="D80"/>
      <c r="E80"/>
      <c r="F80"/>
      <c r="G80"/>
      <c r="I80" t="str">
        <f t="shared" ca="1" si="3"/>
        <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82"/>
      <c r="K83" s="682"/>
      <c r="L83" s="682"/>
      <c r="M83" s="682"/>
      <c r="N83" s="682"/>
      <c r="O83" s="682"/>
      <c r="P83" s="682"/>
      <c r="Q83" s="682"/>
      <c r="R83" s="682"/>
      <c r="S83" s="682"/>
    </row>
    <row r="84" spans="1:21" x14ac:dyDescent="0.2">
      <c r="A84"/>
      <c r="B84"/>
      <c r="C84"/>
      <c r="D84"/>
      <c r="E84"/>
      <c r="F84"/>
      <c r="G84"/>
      <c r="I84" t="str">
        <f t="shared" ca="1" si="3"/>
        <v/>
      </c>
    </row>
    <row r="85" spans="1:21" x14ac:dyDescent="0.2">
      <c r="A85"/>
      <c r="B85"/>
      <c r="C85"/>
      <c r="D85"/>
      <c r="E85"/>
      <c r="F85"/>
      <c r="G85"/>
      <c r="I85" t="str">
        <f t="shared" ca="1" si="3"/>
        <v/>
      </c>
      <c r="J85" s="683" t="str">
        <f>Import.Município</f>
        <v>Passos / MG</v>
      </c>
      <c r="K85" s="683"/>
      <c r="L85" s="683"/>
      <c r="M85" s="683"/>
      <c r="P85" s="684">
        <f>DADOS!$C$25</f>
        <v>46121</v>
      </c>
      <c r="Q85" s="684"/>
      <c r="R85" s="684"/>
      <c r="S85" s="684"/>
    </row>
    <row r="86" spans="1:21" x14ac:dyDescent="0.2">
      <c r="A86"/>
      <c r="B86"/>
      <c r="C86"/>
      <c r="D86"/>
      <c r="E86"/>
      <c r="F86"/>
      <c r="G86"/>
      <c r="I86" t="str">
        <f t="shared" ca="1" si="3"/>
        <v/>
      </c>
      <c r="J86" s="685" t="s">
        <v>693</v>
      </c>
      <c r="K86" s="685"/>
      <c r="L86" s="685"/>
      <c r="M86" s="68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86"/>
      <c r="K88" s="686"/>
      <c r="L88" s="686"/>
      <c r="M88" s="686"/>
      <c r="N88" s="76"/>
    </row>
    <row r="89" spans="1:21" x14ac:dyDescent="0.2">
      <c r="A89"/>
      <c r="B89"/>
      <c r="C89"/>
      <c r="D89"/>
      <c r="E89"/>
      <c r="F89"/>
      <c r="G89"/>
      <c r="I89" t="str">
        <f t="shared" ca="1" si="3"/>
        <v/>
      </c>
      <c r="J89" s="680" t="s">
        <v>696</v>
      </c>
      <c r="K89" s="680"/>
      <c r="L89" s="680"/>
      <c r="M89" s="680"/>
    </row>
    <row r="90" spans="1:21" ht="14.25" x14ac:dyDescent="0.2">
      <c r="A90"/>
      <c r="B90"/>
      <c r="C90"/>
      <c r="D90"/>
      <c r="E90"/>
      <c r="F90"/>
      <c r="G90"/>
      <c r="I90" t="str">
        <f t="shared" ca="1" si="3"/>
        <v/>
      </c>
      <c r="J90" s="77" t="s">
        <v>240</v>
      </c>
      <c r="K90" s="78" t="str">
        <f t="array" ref="K90:K92">Import.RespOrçamento</f>
        <v xml:space="preserve">Mateus Junior Rosa </v>
      </c>
      <c r="L90" s="79"/>
      <c r="M90" s="79"/>
      <c r="N90" s="76"/>
    </row>
    <row r="91" spans="1:21" ht="14.25" x14ac:dyDescent="0.2">
      <c r="A91"/>
      <c r="B91"/>
      <c r="C91"/>
      <c r="D91"/>
      <c r="E91"/>
      <c r="F91"/>
      <c r="G91"/>
      <c r="I91" t="str">
        <f t="shared" ca="1" si="3"/>
        <v/>
      </c>
      <c r="J91" s="77" t="s">
        <v>243</v>
      </c>
      <c r="K91" s="78" t="str">
        <v>386526 MG</v>
      </c>
      <c r="L91" s="79"/>
      <c r="M91" s="79"/>
      <c r="N91" s="76"/>
    </row>
    <row r="92" spans="1:21" ht="14.25" x14ac:dyDescent="0.2">
      <c r="A92"/>
      <c r="B92"/>
      <c r="C92"/>
      <c r="D92"/>
      <c r="E92"/>
      <c r="F92"/>
      <c r="G92"/>
      <c r="I92" t="str">
        <f t="shared" ca="1" si="3"/>
        <v/>
      </c>
      <c r="J92" s="77" t="s">
        <v>246</v>
      </c>
      <c r="K92" s="78" t="str">
        <v>-</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02" t="s">
        <v>698</v>
      </c>
      <c r="K94" s="702"/>
      <c r="L94" s="702"/>
      <c r="M94" s="702"/>
      <c r="N94" s="702"/>
      <c r="O94" s="702"/>
      <c r="P94" s="702"/>
      <c r="Q94" s="702"/>
      <c r="R94" s="702"/>
      <c r="S94" s="702"/>
      <c r="U94" s="521" t="str">
        <f>IF(COUNTIF(ORÇAMENTO!$V$15:$V$162,BDI_3.Título)=0,"",IF(OR(Import.BDI.Tipo3="(SELECIONAR)",Import.BDI.Tipo3="",U97&lt;&gt;"",AND($J97&lt;&gt;$A$145,OR(S101="",S102="",AND($J97&lt;&gt;$A$146,OR(S103="",S104="")),S105="",S106=""))),"Falta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0" t="s">
        <v>664</v>
      </c>
      <c r="K96" s="700"/>
      <c r="L96" s="700"/>
      <c r="M96" s="700"/>
      <c r="N96" s="700"/>
      <c r="O96" s="700"/>
      <c r="P96" s="700"/>
      <c r="Q96" s="700"/>
      <c r="R96" s="700"/>
      <c r="S96" s="700"/>
    </row>
    <row r="97" spans="1:26" ht="15"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IF(AND(OR(S109&gt;0,COUNTIF(ORÇAMENTO!$V$15:$V$162,BDI_3.Título)&gt;0),OR(Import.BDI.Tipo3="(SELECIONAR)",Import.BDI.Tipo3="")),"Selecione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customHeight="1" x14ac:dyDescent="0.2">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customHeight="1" x14ac:dyDescent="0.2">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customHeight="1" x14ac:dyDescent="0.2">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customHeight="1" x14ac:dyDescent="0.2">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ca="1" si="6"/>
        <v/>
      </c>
    </row>
    <row r="114" spans="1:19" x14ac:dyDescent="0.2">
      <c r="A114"/>
      <c r="B114"/>
      <c r="C114"/>
      <c r="D114"/>
      <c r="E114"/>
      <c r="F114"/>
      <c r="G114"/>
      <c r="I114" t="str">
        <f t="shared" ca="1" si="6"/>
        <v/>
      </c>
      <c r="J114" s="694" t="s">
        <v>683</v>
      </c>
      <c r="K114" s="694"/>
      <c r="L114" s="694"/>
      <c r="M114" s="694"/>
      <c r="N114" s="694"/>
      <c r="O114" s="694"/>
      <c r="P114" s="694"/>
      <c r="Q114" s="694"/>
      <c r="R114" s="694"/>
      <c r="S114" s="694"/>
    </row>
    <row r="115" spans="1:19" ht="15.75" x14ac:dyDescent="0.25">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75" x14ac:dyDescent="0.2">
      <c r="A116"/>
      <c r="B116"/>
      <c r="C116"/>
      <c r="D116"/>
      <c r="E116"/>
      <c r="F116"/>
      <c r="G116"/>
      <c r="I116" t="str">
        <f t="shared" ca="1" si="6"/>
        <v/>
      </c>
      <c r="J116" s="68"/>
      <c r="K116" s="68"/>
      <c r="L116" s="68"/>
      <c r="M116" s="695"/>
      <c r="N116" s="687" t="s">
        <v>686</v>
      </c>
      <c r="O116" s="687"/>
      <c r="P116" s="687"/>
      <c r="Q116" s="69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81"/>
      <c r="L118" s="681"/>
      <c r="M118" s="681"/>
      <c r="N118" s="681"/>
      <c r="O118" s="681"/>
      <c r="P118" s="681"/>
      <c r="Q118" s="681"/>
      <c r="R118" s="681"/>
      <c r="S118" s="681"/>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82"/>
      <c r="K123" s="682"/>
      <c r="L123" s="682"/>
      <c r="M123" s="682"/>
      <c r="N123" s="682"/>
      <c r="O123" s="682"/>
      <c r="P123" s="682"/>
      <c r="Q123" s="682"/>
      <c r="R123" s="682"/>
      <c r="S123" s="682"/>
    </row>
    <row r="124" spans="1:19" x14ac:dyDescent="0.2">
      <c r="A124"/>
      <c r="B124"/>
      <c r="C124"/>
      <c r="D124"/>
      <c r="E124"/>
      <c r="F124"/>
      <c r="G124"/>
      <c r="I124" t="str">
        <f t="shared" ca="1" si="6"/>
        <v/>
      </c>
    </row>
    <row r="125" spans="1:19" x14ac:dyDescent="0.2">
      <c r="A125"/>
      <c r="B125"/>
      <c r="C125"/>
      <c r="D125"/>
      <c r="E125"/>
      <c r="F125"/>
      <c r="G125"/>
      <c r="I125" t="str">
        <f t="shared" ca="1" si="6"/>
        <v/>
      </c>
      <c r="J125" s="683" t="str">
        <f>Import.Município</f>
        <v>Passos / MG</v>
      </c>
      <c r="K125" s="683"/>
      <c r="L125" s="683"/>
      <c r="M125" s="683"/>
      <c r="P125" s="684">
        <f>DADOS!$C$25</f>
        <v>46121</v>
      </c>
      <c r="Q125" s="684"/>
      <c r="R125" s="684"/>
      <c r="S125" s="684"/>
    </row>
    <row r="126" spans="1:19" x14ac:dyDescent="0.2">
      <c r="A126"/>
      <c r="B126"/>
      <c r="C126"/>
      <c r="D126"/>
      <c r="E126"/>
      <c r="F126"/>
      <c r="G126"/>
      <c r="I126" t="str">
        <f t="shared" ca="1" si="6"/>
        <v/>
      </c>
      <c r="J126" s="685" t="s">
        <v>693</v>
      </c>
      <c r="K126" s="685"/>
      <c r="L126" s="685"/>
      <c r="M126" s="68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6"/>
      <c r="K128" s="686"/>
      <c r="L128" s="686"/>
      <c r="M128" s="686"/>
      <c r="N128" s="76"/>
    </row>
    <row r="129" spans="1:14" x14ac:dyDescent="0.2">
      <c r="A129"/>
      <c r="B129"/>
      <c r="C129"/>
      <c r="D129"/>
      <c r="E129"/>
      <c r="F129"/>
      <c r="G129"/>
      <c r="I129" t="str">
        <f t="shared" ca="1" si="6"/>
        <v/>
      </c>
      <c r="J129" s="680" t="s">
        <v>696</v>
      </c>
      <c r="K129" s="680"/>
      <c r="L129" s="680"/>
      <c r="M129" s="680"/>
    </row>
    <row r="130" spans="1:14" ht="14.25" x14ac:dyDescent="0.2">
      <c r="A130"/>
      <c r="B130"/>
      <c r="C130"/>
      <c r="D130"/>
      <c r="E130"/>
      <c r="F130"/>
      <c r="G130"/>
      <c r="I130" t="str">
        <f t="shared" ca="1" si="6"/>
        <v/>
      </c>
      <c r="J130" s="77" t="s">
        <v>240</v>
      </c>
      <c r="K130" s="78" t="str">
        <f t="array" ref="K130:K132">Import.RespOrçamento</f>
        <v xml:space="preserve">Mateus Junior Rosa </v>
      </c>
      <c r="L130" s="79"/>
      <c r="M130" s="79"/>
      <c r="N130" s="76"/>
    </row>
    <row r="131" spans="1:14" ht="14.25" x14ac:dyDescent="0.2">
      <c r="A131"/>
      <c r="B131"/>
      <c r="C131"/>
      <c r="D131"/>
      <c r="E131"/>
      <c r="F131"/>
      <c r="G131"/>
      <c r="I131" t="str">
        <f t="shared" ca="1" si="6"/>
        <v/>
      </c>
      <c r="J131" s="77" t="s">
        <v>243</v>
      </c>
      <c r="K131" s="78" t="str">
        <v>386526 MG</v>
      </c>
      <c r="L131" s="79"/>
      <c r="M131" s="79"/>
      <c r="N131" s="76"/>
    </row>
    <row r="132" spans="1:14" ht="14.25" x14ac:dyDescent="0.2">
      <c r="A132"/>
      <c r="B132"/>
      <c r="C132"/>
      <c r="D132"/>
      <c r="E132"/>
      <c r="F132"/>
      <c r="G132"/>
      <c r="I132" t="str">
        <f t="shared" ca="1" si="6"/>
        <v/>
      </c>
      <c r="J132" s="77" t="s">
        <v>246</v>
      </c>
      <c r="K132" s="78" t="str">
        <v>-</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xu6PQ/dT5SfKNS0MJULt4y2CAtCkuGujEu914JPpyMYTk/XeWOTHBtsjdiYAKG5/gBXikLYa/+fK2YQYczSxTw==" saltValue="Fki22SogBWVg5wtSOQ22hg=="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786" priority="11" stopIfTrue="1">
      <formula>DESONERACAO="não"</formula>
    </cfRule>
  </conditionalFormatting>
  <conditionalFormatting sqref="U69:W69 U29:W29 U109:W109">
    <cfRule type="expression" dxfId="785" priority="12" stopIfTrue="1">
      <formula>AND(U29&lt;&gt;"OK",U29&lt;&gt;"-",U29&lt;&gt;"")</formula>
    </cfRule>
    <cfRule type="cellIs" dxfId="784" priority="13" stopIfTrue="1" operator="equal">
      <formula>"OK"</formula>
    </cfRule>
  </conditionalFormatting>
  <conditionalFormatting sqref="S29 S69 S109">
    <cfRule type="expression" dxfId="783" priority="14" stopIfTrue="1">
      <formula>DESONERACAO="não"</formula>
    </cfRule>
  </conditionalFormatting>
  <conditionalFormatting sqref="J23:S24">
    <cfRule type="expression" dxfId="782" priority="9">
      <formula>$J$17=$A$146</formula>
    </cfRule>
  </conditionalFormatting>
  <conditionalFormatting sqref="S21:S26">
    <cfRule type="expression" dxfId="781" priority="8">
      <formula>$J$17=$A$145</formula>
    </cfRule>
  </conditionalFormatting>
  <conditionalFormatting sqref="J63:S64">
    <cfRule type="expression" dxfId="780" priority="7">
      <formula>$J$57=$A$146</formula>
    </cfRule>
  </conditionalFormatting>
  <conditionalFormatting sqref="S61:S66">
    <cfRule type="expression" dxfId="779" priority="6">
      <formula>$J$57=$A$145</formula>
    </cfRule>
  </conditionalFormatting>
  <conditionalFormatting sqref="J103:S104">
    <cfRule type="expression" dxfId="778" priority="5">
      <formula>$J$97=$A$146</formula>
    </cfRule>
  </conditionalFormatting>
  <conditionalFormatting sqref="S101:S106">
    <cfRule type="expression" dxfId="777" priority="4">
      <formula>$J$97=$A$145</formula>
    </cfRule>
  </conditionalFormatting>
  <conditionalFormatting sqref="U21:W28">
    <cfRule type="cellIs" dxfId="776" priority="3" operator="notEqual">
      <formula>"OK"</formula>
    </cfRule>
  </conditionalFormatting>
  <conditionalFormatting sqref="U61:W68">
    <cfRule type="cellIs" dxfId="775" priority="2" operator="notEqual">
      <formula>"OK"</formula>
    </cfRule>
  </conditionalFormatting>
  <conditionalFormatting sqref="U101:W108">
    <cfRule type="cellIs" dxfId="774"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dimension ref="A1:AN65692"/>
  <sheetViews>
    <sheetView showGridLines="0" view="pageBreakPreview" zoomScale="60" zoomScaleNormal="85" workbookViewId="0">
      <pane xSplit="19" ySplit="15" topLeftCell="T52" activePane="bottomRight" state="frozen"/>
      <selection pane="topRight" activeCell="T1" sqref="T1"/>
      <selection pane="bottomLeft" activeCell="L16" sqref="L16"/>
      <selection pane="bottomRight" activeCell="AJ162" sqref="AJ162"/>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MAX($C$15:$C$162)</f>
        <v>2</v>
      </c>
      <c r="B5" s="7"/>
      <c r="C5" s="7"/>
      <c r="D5" s="7"/>
      <c r="E5" s="7"/>
      <c r="F5" s="663">
        <f ca="1">IF(BDI.Opcao="DESONERADO",BDI!$S$30,BDI!$S$29)</f>
        <v>0.22</v>
      </c>
      <c r="G5" s="663">
        <f ca="1">IF(BDI.Opcao="DESONERADO",BDI!$S$70,BDI!$S$69)</f>
        <v>0</v>
      </c>
      <c r="H5" s="663">
        <f ca="1">IF(BDI.Opcao="DESONERADO",BDI!$S$110,BDI!$S$109)</f>
        <v>0</v>
      </c>
      <c r="I5" s="7"/>
      <c r="O5" s="703">
        <f>Import.CR</f>
        <v>0</v>
      </c>
      <c r="P5" s="703"/>
      <c r="Q5" s="90" cm="1">
        <f t="array" ref="Q5">Import.TransfereGOV</f>
        <v>0</v>
      </c>
      <c r="R5" s="91">
        <f>Import.Proponente</f>
        <v>0</v>
      </c>
      <c r="S5" s="703" t="str">
        <f>Import.Apelido</f>
        <v xml:space="preserve">TRAVESSIA EM ADUELAS ESTRADA PRINCIPAL DO VIRA </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11" t="str" cm="1">
        <f t="array" ref="S7">IF(TIPOORCAMENTO="Licitado","REGIME DE EXECUÇÃO","MUNICÍPIO / UF")</f>
        <v>MUNICÍPIO / UF</v>
      </c>
      <c r="T7" s="711"/>
      <c r="U7" s="71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IF(COUNTIFS($L$15:$L$162,"F",$AC$15:$AC$162,"JUSTIFICAR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04-Wednesday.xlsm]Banco'!$a5:$a$65536</v>
      </c>
      <c r="G8" s="715"/>
      <c r="H8" s="715"/>
      <c r="I8" s="715"/>
      <c r="J8" s="715"/>
      <c r="K8" s="715"/>
      <c r="L8" s="693" t="s">
        <v>655</v>
      </c>
      <c r="O8" s="703" t="str" cm="1">
        <f t="array" aca="1" ref="O8" ca="1">IF(ISERROR(INDIRECT($F$9)),"(N/D: 'Referência "&amp;Excel_BuiltIn_Database&amp;".xlsm)",INDIRECT($F$9))</f>
        <v>(N/D: 'Referência 04-Wednesday.xlsm)</v>
      </c>
      <c r="P8" s="703"/>
      <c r="Q8" s="99" t="str" cm="1">
        <f t="array" aca="1" ref="Q8" ca="1">TEXT(Import.DataBase,"mm-aa")&amp;IF(DESONERACAO="Sim"," (DES.)"," (N DES.)")</f>
        <v>04-aa (N DES.)</v>
      </c>
      <c r="R8" s="91" t="str" cm="1">
        <f t="array" ref="R8">IF(TIPOORCAMENTO="Licitado",Import.empresa,Import.DescLote)</f>
        <v>REGIÃO DO ZÉ PRETO</v>
      </c>
      <c r="S8" s="716" t="str" cm="1">
        <f t="array" ref="S8">IF(TIPOORCAMENTO="Licitado",Import.RegimeExecução,Import.Município)</f>
        <v>Passos / MG</v>
      </c>
      <c r="T8" s="716"/>
      <c r="U8" s="716"/>
      <c r="V8" s="100" t="str" cm="1">
        <f t="array" aca="1" ref="V8" ca="1">IF(TIPOORCAMENTO="Licitado","",TEXT(F5,"0,00%"))</f>
        <v>022%</v>
      </c>
      <c r="W8" s="100" t="str" cm="1">
        <f t="array" aca="1" ref="W8" ca="1">IF(TIPOORCAMENTO="Licitado","",TEXT(G5,"0,00%"))</f>
        <v>000%</v>
      </c>
      <c r="X8" s="101" t="str" cm="1">
        <f t="array" aca="1" ref="X8" ca="1">IF(TIPOORCAMENTO="Licitado",Import.CTEF,TEXT(H5,"0,00%"))</f>
        <v>000%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04-Wednesday.xlsm]Banco'!$d$3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04-Wednesday.xlsm]Banco'!$B$3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
      </c>
      <c r="G11" s="665" t="str" cm="1">
        <f t="array" aca="1" ref="G11" ca="1">IFERROR(TEXT(Import.DataBase,"mm/aaaa"),"")</f>
        <v>04/Wednesday</v>
      </c>
      <c r="H11" s="104"/>
      <c r="L11" s="693"/>
      <c r="Y11" s="693"/>
      <c r="Z11" s="693"/>
      <c r="AC11" s="105" t="str">
        <f ca="1">IF(COUNTIFS($L$15:$L$162,"F",$AC$15:$AC$162,"&lt;&gt;"&amp;" ",$AC$15:$AC$162,"&lt;&gt;"&amp;"JUSTIFICAR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IF(COUNTIF($AC$15:$AC$162,"FONTE")&gt;0,"Falta preencher a Fonte (coluna P) na Linha "&amp;(14+MATCH("FONTE",$AC$15:$AC$162,0)),
 IF(COUNTIF($AC$15:$AC$162,"CÓDIGO")&gt;0,"Falta preencher o Código (coluna Q) na Linha "&amp;(14+MATCH("CÓDIGO",$AC$15:$AC$162,0)),
 IF(COUNTIF($AC$15:$AC$162,"CÓDIGO N/ID")&gt;0,"Código (coluna Q) não identificado na Linha "&amp;(14+MATCH("CÓDIGO N/ID",$AC$15:$AC$162,0))&amp;". Verifique se o código está correto ou busque outro código",
 IF(COUNTIF($AC$15:$AC$162,"DESCRIÇÃO")&gt;0,"Falta preencher a Descrição (coluna R) na Linha "&amp;(14+MATCH("DESCRIÇÃO",$AC$15:$AC$162,0)),
 IF(COUNTIF($AC$15:$AC$162,"UNIDADE")&gt;0,"Falta preencher a Unidade (coluna S) na Linha "&amp;(14+MATCH("UNIDADE",$AC$15:$AC$162,0)),
 IF(COUNTIF($AC$15:$AC$162,"SEM CUSTO")&gt;0,"Falta preencher o Custo Unitário (coluna U) na Linha "&amp;(14+MATCH("SEM CUSTO",$AC$15:$AC$162,0)),
 IF(COUNTIF($AC$15:$AC$162,"SEM PREÇO")&gt;0,"Falta preencher o Preço Unitário licitado (coluna AL) na Linha "&amp;(14+MATCH("SEM CUSTO",$AC$15:$AC$162,0)),
 IF(COUNTIF($AC$15:$AC$162,"BDI")&gt;0,"Falta definir o BDI (coluna V) na Linha "&amp;(14+MATCH("BDI",$AC$15:$AC$162,0)),
 IF(COUNTIF($AC$15:$AC$162,"ACIMA REF.")&gt;0,
         IF(TIPOORCAMENTO="Proposto","O custo unitário (coluna U) na Linha "&amp;(14+MATCH("ACIMA REF.",$AC$15:$AC$162,0))&amp;" está acima do custo referencial (coluna AG)",
            "O preço unitário licitado (coluna AL) na Linha "&amp;(14+MATCH("ACIMA REF.",$AC$15:$AC$162,0))&amp;" está acima do preço referencial do edital (coluna AN)"),
 IF(COUNTIF($AC$15:$AC$162,"QUANT.")&gt;0,"Falta a Quantidade do serviço na Linha "&amp;(14+MATCH("QUANT.",$AC$15:$AC$162,0))&amp;IF(ACOMPANHAMENTO="PLE",". Preencher na aba CÁLCULO",". Preencher na coluna AJ"),
 IF(COUNTIF($AC$15:$AC$162,"Código &gt;13")&gt;0,"O tamanho do código do serviço no TransfereGOV é limitado a 13 caracteres. Resuma o código (coluna Q) na Linha "&amp;(14+MATCH("Código &gt;13",$AC$15:$AC$162,0)),
 IF(COUNTIF($AC$15:$AC$162,"Descrição &gt;100")&gt;0,"O tamanho da descrição de macrosserviço no TransfereGOV é limitado a 100 caracteres. Resuma a descrição (coluna R) na Linha "&amp;(14+MATCH("Descrição &gt;100",$AC$15:$AC$162,0)),
 IF(COUNTIF($AC$15:$AC$162,"Descrição &gt;500")&gt;0,"O tamanho da descrição de serviço no TransfereGOV é limitado a 500 caracteres. Resuma a descrição (coluna R) na Linha "&amp;(14+MATCH("Descrição &gt;500",$AC$15:$AC$162,0)),
 IF(COUNTIF($AC$15:$AC$162,"Unid. Não Disp")&gt;0,"Unidade não disponível na lista do TransfereGOV. Reveja a unidade (coluna S) na Linha "&amp;(14+MATCH("Unid. Não Disp",$AC$15:$AC$162,0)),
 IF(AND(TIPOORCAMENTO="Proposto",LEFT($O$8,5)="(N/D:"),"Abra o arquivo Referência "&amp;Excel_BuiltIn_Database&amp;".xlsm","")))))))))))))))))</f>
        <v>Código (coluna Q) não identificado na Linha 18. Verifique se o código está correto ou busque outro código</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IF(OR($C14="S",$C14=0),0,MATCH(0,OFFSET($D14,1,$C14,ROW($C$162)-ROW($C14)),0))</f>
        <v>0</v>
      </c>
      <c r="K14">
        <f ca="1">IF(OR($C14="S",$C14=0),0,MATCH(OFFSET($D14,0,$C14)+IF($C14&lt;&gt;1,1,COUNTIF(QCI!$A$13:$A$24,ORÇAMENTO!E14)),OFFSET($D14,1,$C14,ROW($C$162)-ROW($C14)),0))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v>
      </c>
      <c r="AJ14" s="431"/>
      <c r="AL14" s="439"/>
      <c r="AM14" s="336">
        <f t="shared" ref="AM14:AM161" ca="1" si="0">$X14</f>
        <v>0</v>
      </c>
      <c r="AN14" s="470" cm="1">
        <f t="array" aca="1" ref="AN14" ca="1">ROUND(ORÇAMENTO.CustoUnitario*(1+$AH14),2)</f>
        <v>0</v>
      </c>
    </row>
    <row r="15" spans="1:40" ht="12.75" customHeight="1" x14ac:dyDescent="0.2">
      <c r="A15">
        <v>0</v>
      </c>
      <c r="C15" t="s">
        <v>654</v>
      </c>
      <c r="D15">
        <f ca="1">COUNTA(OFFSET(D15,1,0):D$162)</f>
        <v>146</v>
      </c>
      <c r="E15">
        <v>0</v>
      </c>
      <c r="L15" s="114" t="s">
        <v>536</v>
      </c>
      <c r="M15" s="130" t="str" cm="1">
        <f t="array" ref="M15">IF(TIPOORCAMENTO="LICITADO","CTEF","LOTE")</f>
        <v>LOTE</v>
      </c>
      <c r="N15" s="130" t="str" cm="1">
        <f t="array" ref="N15">IF(TIPOORCAMENTO="LICITADO","CTEF","LOTE")</f>
        <v>LOTE</v>
      </c>
      <c r="O15" s="718" t="str">
        <f>Import.DescLote</f>
        <v>REGIÃO DO ZÉ PRETO</v>
      </c>
      <c r="P15" s="719"/>
      <c r="Q15" s="719"/>
      <c r="R15" s="719"/>
      <c r="S15" s="613"/>
      <c r="T15" s="614"/>
      <c r="U15" s="614"/>
      <c r="V15" s="615"/>
      <c r="W15" s="614"/>
      <c r="X15" s="131">
        <f ca="1">SUMIF(OFFSET($C15,1,0,ROW(X162)-ROW(X15)-1),"S",OFFSET(X15,1,0,ROW(X162)-ROW(X15)-1))</f>
        <v>0</v>
      </c>
      <c r="Y15" s="7"/>
      <c r="Z15" t="str">
        <f ca="1">IF(AND($C15="S",$X15&gt;0),LEFT($Y15,2),"")</f>
        <v/>
      </c>
      <c r="AA15" s="426">
        <f ca="1">SUMIF(OFFSET($C15,1,0,ROW(AA162)-ROW(AA15)-1),"S",OFFSET(AA15,1,0,ROW(AA162)-ROW(AA15)-1))</f>
        <v>0</v>
      </c>
      <c r="AB15" s="132">
        <f ca="1">SUMIF(OFFSET($C15,1,0,ROW(AB162)-ROW(AB15)-1),"S",OFFSET(AB15,1,0,ROW(AB162)-ROW(AB15)-1))</f>
        <v>0</v>
      </c>
      <c r="AC15" s="565" t="s">
        <v>752</v>
      </c>
      <c r="AG15" s="441"/>
      <c r="AH15" s="442"/>
      <c r="AJ15" s="430"/>
      <c r="AL15" s="440"/>
      <c r="AM15" s="471">
        <f t="shared" ca="1" si="0"/>
        <v>0</v>
      </c>
      <c r="AN15" s="472"/>
    </row>
    <row r="16" spans="1:40" x14ac:dyDescent="0.2">
      <c r="A16">
        <f t="shared" ref="A16:A53" si="1">CHOOSE(1+LOG(1+2*(ORÇAMENTO.Nivel="Meta")+4*(ORÇAMENTO.Nivel="Nível 2")+8*(ORÇAMENTO.Nivel="Nível 3")+16*(ORÇAMENTO.Nivel="Nível 4")+32*(ORÇAMENTO.Nivel="Serviço"),2),0,1,2,3,4,"S")</f>
        <v>1</v>
      </c>
      <c r="B16">
        <f t="shared" ref="B16:B53" ca="1" si="2">IF(OR(C16="s",C16=0),OFFSET(B16,-1,0),C16)</f>
        <v>1</v>
      </c>
      <c r="C16">
        <f t="shared" ref="C16:C53" ca="1" si="3">IF(OFFSET(C16,-1,0)="L",1,IF(OFFSET(C16,-1,0)=1,2,IF(OR(A16="s",A16=0),"S",IF(AND(OFFSET(C16,-1,0)=2,A16=4),3,IF(AND(OR(OFFSET(C16,-1,0)="s",OFFSET(C16,-1,0)=0),A16&lt;&gt;"s",A16&gt;OFFSET(B16,-1,0)),OFFSET(B16,-1,0),A16)))))</f>
        <v>1</v>
      </c>
      <c r="D16">
        <f t="shared" ref="D16:D53" ca="1" si="4">IF(OR(C16="S",C16=0),0,IF(ISERROR(K16),J16,SMALL(J16:K16,1)))</f>
        <v>11</v>
      </c>
      <c r="E16">
        <f ca="1">IF($C16=1,OFFSET(E16,-1,0)+MAX(1,COUNTIF(QCI!$A$13:$A$24,OFFSET(ORÇAMENTO!E16,-1,0))),OFFSET(E16,-1,0))</f>
        <v>1</v>
      </c>
      <c r="F16">
        <f t="shared" ref="F16:F53" ca="1" si="5">IF($C16=1,0,IF($C16=2,OFFSET(F16,-1,0)+1,OFFSET(F16,-1,0)))</f>
        <v>0</v>
      </c>
      <c r="G16">
        <f t="shared" ref="G16:G53" ca="1" si="6">IF(AND($C16&lt;=2,$C16&lt;&gt;0),0,IF($C16=3,OFFSET(G16,-1,0)+1,OFFSET(G16,-1,0)))</f>
        <v>0</v>
      </c>
      <c r="H16">
        <f t="shared" ref="H16:H53" ca="1" si="7">IF(AND($C16&lt;=3,$C16&lt;&gt;0),0,IF($C16=4,OFFSET(H16,-1,0)+1,OFFSET(H16,-1,0)))</f>
        <v>0</v>
      </c>
      <c r="I16">
        <f t="shared" ref="I16:I53" ca="1" si="8">IF(AND($C16&lt;=4,$C16&lt;&gt;0),0,IF(AND($C16="S",$X16&gt;0),OFFSET(I16,-1,0)+1,OFFSET(I16,-1,0)))</f>
        <v>0</v>
      </c>
      <c r="J16">
        <f t="shared" ref="J16:J47" ca="1" si="9">IF(OR($C16="S",$C16=0),0,MATCH(0,OFFSET($D16,1,$C16,ROW($C$162)-ROW($C16)),0))</f>
        <v>146</v>
      </c>
      <c r="K16">
        <f ca="1">IF(OR($C16="S",$C16=0),0,MATCH(OFFSET($D16,0,$C16)+IF($C16&lt;&gt;1,1,COUNTIF(QCI!$A$13:$A$24,ORÇAMENTO!E16)),OFFSET($D16,1,$C16,ROW($C$162)-ROW($C16)),0))</f>
        <v>11</v>
      </c>
      <c r="L16" s="114" t="str">
        <f t="shared" ref="L16:L53" ca="1" si="10">IF(OR($X16&gt;0,$C16=1,$C16=2,$C16=3,$C16=4),"F","")</f>
        <v>F</v>
      </c>
      <c r="M16" s="115" t="s">
        <v>701</v>
      </c>
      <c r="N16" s="116" t="str">
        <f t="shared" ref="N16:N53" ca="1" si="11">CHOOSE(1+LOG(1+2*(C16=1)+4*(C16=2)+8*(C16=3)+16*(C16=4)+32*(C16="S"),2),"","Meta","Nível 2","Nível 3","Nível 4","Serviço")</f>
        <v>Meta</v>
      </c>
      <c r="O16" s="117" t="str">
        <f t="shared" ref="O16:O53"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53"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53" ca="1" si="14">ROUND(IF(ISNUMBER(ORÇAMENTO.OpcaoBDI),ORÇAMENTO.OpcaoBDI,IF(LEFT(ORÇAMENTO.OpcaoBDI,3)="BDI",HLOOKUP(ORÇAMENTO.OpcaoBDI,$F$4:$H$5,2,FALSE),0)),15-11*$AF$9)</f>
        <v>0.22</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10</v>
      </c>
      <c r="K17">
        <f ca="1">IF(OR($C17="S",$C17=0),0,MATCH(OFFSET($D17,0,$C17)+IF($C17&lt;&gt;1,1,COUNTIF(QCI!$A$13:$A$24,ORÇAMENTO!E17)),OFFSET($D17,1,$C17,ROW($C$162)-ROW($C17)),0))</f>
        <v>4</v>
      </c>
      <c r="L17" s="114" t="str">
        <f t="shared" ca="1" si="10"/>
        <v>F</v>
      </c>
      <c r="M17" s="115" t="s">
        <v>702</v>
      </c>
      <c r="N17" s="116" t="str">
        <f t="shared" ca="1" si="11"/>
        <v>Nível 2</v>
      </c>
      <c r="O17" s="117" t="str">
        <f t="shared" ca="1" si="12"/>
        <v>1.1.</v>
      </c>
      <c r="P17" s="118" t="s">
        <v>750</v>
      </c>
      <c r="Q17" s="119"/>
      <c r="R17" s="120" t="s">
        <v>1042</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v>
      </c>
      <c r="AJ17" s="431"/>
      <c r="AL17" s="439"/>
      <c r="AM17" s="336">
        <f t="shared" ca="1" si="0"/>
        <v>0</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IF(OR($C18="S",$C18=0),0,MATCH(OFFSET($D18,0,$C18)+IF($C18&lt;&gt;1,1,COUNTIF(QCI!$A$13:$A$24,ORÇAMENTO!E18)),OFFSET($D18,1,$C18,ROW($C$162)-ROW($C18)),0))</f>
        <v>0</v>
      </c>
      <c r="L18" s="114" t="str">
        <f t="shared" ca="1" si="10"/>
        <v/>
      </c>
      <c r="M18" s="115" t="s">
        <v>705</v>
      </c>
      <c r="N18" s="116" t="str">
        <f t="shared" ca="1" si="11"/>
        <v>Serviço</v>
      </c>
      <c r="O18" s="117" t="str">
        <f t="shared" ca="1" si="12"/>
        <v>-</v>
      </c>
      <c r="P18" s="118" t="s">
        <v>750</v>
      </c>
      <c r="Q18" s="119" t="s">
        <v>1007</v>
      </c>
      <c r="R18" s="120" t="str" cm="1">
        <f t="array" aca="1" ref="R18" ca="1">IF($C18="S",REFERENCIA.Descricao,"(digite a descrição aqui)")</f>
        <v>(Código não identificado nas referências)</v>
      </c>
      <c r="S18" s="121" t="str" cm="1">
        <f t="array" aca="1" ref="S18" ca="1">REFERENCIA.Unidade</f>
        <v>-</v>
      </c>
      <c r="T18" s="122">
        <f ca="1">OFFSET(CÁLCULO!H$15,ROW($T18)-ROW(T$15),0)</f>
        <v>6.48</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0.22</v>
      </c>
      <c r="AJ18" s="431">
        <v>6.48</v>
      </c>
      <c r="AL18" s="439"/>
      <c r="AM18" s="336">
        <f t="shared" ca="1" si="0"/>
        <v>0</v>
      </c>
      <c r="AN18" s="470" cm="1">
        <f t="array" aca="1" ref="AN18" ca="1">ROUND(ORÇAMENTO.CustoUnitario*(1+$AH18),2)</f>
        <v>0</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IF(OR($C19="S",$C19=0),0,MATCH(OFFSET($D19,0,$C19)+IF($C19&lt;&gt;1,1,COUNTIF(QCI!$A$13:$A$24,ORÇAMENTO!E19)),OFFSET($D19,1,$C19,ROW($C$162)-ROW($C19)),0))</f>
        <v>0</v>
      </c>
      <c r="L19" s="114" t="str">
        <f t="shared" ca="1" si="10"/>
        <v/>
      </c>
      <c r="M19" s="115" t="s">
        <v>705</v>
      </c>
      <c r="N19" s="116" t="str">
        <f t="shared" ca="1" si="11"/>
        <v>Serviço</v>
      </c>
      <c r="O19" s="117" t="str">
        <f t="shared" ca="1" si="12"/>
        <v>-</v>
      </c>
      <c r="P19" s="118" t="s">
        <v>750</v>
      </c>
      <c r="Q19" s="119" t="s">
        <v>1040</v>
      </c>
      <c r="R19" s="120" t="str" cm="1">
        <f t="array" aca="1" ref="R19" ca="1">IF($C19="S",REFERENCIA.Descricao,"(digite a descrição aqui)")</f>
        <v>(Código não identificado nas referências)</v>
      </c>
      <c r="S19" s="121" t="str" cm="1">
        <f t="array" aca="1" ref="S19" ca="1">REFERENCIA.Unidade</f>
        <v>-</v>
      </c>
      <c r="T19" s="122">
        <f ca="1">OFFSET(CÁLCULO!H$15,ROW($T19)-ROW(T$15),0)</f>
        <v>20</v>
      </c>
      <c r="U19" s="123">
        <f t="shared" ref="U19:U20" ca="1" si="15">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90781</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0.22</v>
      </c>
      <c r="AJ19" s="431">
        <v>20</v>
      </c>
      <c r="AL19" s="439"/>
      <c r="AM19" s="336">
        <f t="shared" ca="1" si="0"/>
        <v>0</v>
      </c>
      <c r="AN19" s="470" cm="1">
        <f t="array" aca="1" ref="AN19"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IF(OR($C20="S",$C20=0),0,MATCH(OFFSET($D20,0,$C20)+IF($C20&lt;&gt;1,1,COUNTIF(QCI!$A$13:$A$24,ORÇAMENTO!E20)),OFFSET($D20,1,$C20,ROW($C$162)-ROW($C20)),0))</f>
        <v>0</v>
      </c>
      <c r="L20" s="114" t="str">
        <f t="shared" ca="1" si="10"/>
        <v/>
      </c>
      <c r="M20" s="115" t="s">
        <v>705</v>
      </c>
      <c r="N20" s="116" t="str">
        <f t="shared" ca="1" si="11"/>
        <v>Serviço</v>
      </c>
      <c r="O20" s="117" t="str">
        <f t="shared" ca="1" si="12"/>
        <v>-</v>
      </c>
      <c r="P20" s="118" t="s">
        <v>750</v>
      </c>
      <c r="Q20" s="119" t="s">
        <v>1041</v>
      </c>
      <c r="R20" s="120" t="str" cm="1">
        <f t="array" aca="1" ref="R20" ca="1">IF($C20="S",REFERENCIA.Descricao,"(digite a descrição aqui)")</f>
        <v>(Código não identificado nas referências)</v>
      </c>
      <c r="S20" s="121" t="str" cm="1">
        <f t="array" aca="1" ref="S20" ca="1">REFERENCIA.Unidade</f>
        <v>-</v>
      </c>
      <c r="T20" s="122">
        <f ca="1">OFFSET(CÁLCULO!H$15,ROW($T20)-ROW(T$15),0)</f>
        <v>20</v>
      </c>
      <c r="U20" s="123">
        <f t="shared" ca="1" si="15"/>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88253</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0.22</v>
      </c>
      <c r="AJ20" s="431">
        <v>20</v>
      </c>
      <c r="AL20" s="439"/>
      <c r="AM20" s="336">
        <f t="shared" ca="1" si="0"/>
        <v>0</v>
      </c>
      <c r="AN20" s="470" cm="1">
        <f t="array" aca="1" ref="AN20" ca="1">ROUND(ORÇAMENTO.CustoUnitario*(1+$AH20),2)</f>
        <v>0</v>
      </c>
    </row>
    <row r="21" spans="1:40" x14ac:dyDescent="0.2">
      <c r="A21">
        <f t="shared" si="1"/>
        <v>2</v>
      </c>
      <c r="B21">
        <f t="shared" ca="1" si="2"/>
        <v>2</v>
      </c>
      <c r="C21">
        <f t="shared" ca="1" si="3"/>
        <v>2</v>
      </c>
      <c r="D21">
        <f t="shared" ca="1" si="4"/>
        <v>6</v>
      </c>
      <c r="E21">
        <f ca="1">IF($C21=1,OFFSET(E21,-1,0)+MAX(1,COUNTIF(QCI!$A$13:$A$24,OFFSET(ORÇAMENTO!E21,-1,0))),OFFSET(E21,-1,0))</f>
        <v>1</v>
      </c>
      <c r="F21">
        <f t="shared" ca="1" si="5"/>
        <v>2</v>
      </c>
      <c r="G21">
        <f t="shared" ca="1" si="6"/>
        <v>0</v>
      </c>
      <c r="H21">
        <f t="shared" ca="1" si="7"/>
        <v>0</v>
      </c>
      <c r="I21">
        <f t="shared" ca="1" si="8"/>
        <v>0</v>
      </c>
      <c r="J21">
        <f t="shared" ca="1" si="9"/>
        <v>6</v>
      </c>
      <c r="K21">
        <f ca="1">IF(OR($C21="S",$C21=0),0,MATCH(OFFSET($D21,0,$C21)+IF($C21&lt;&gt;1,1,COUNTIF(QCI!$A$13:$A$24,ORÇAMENTO!E21)),OFFSET($D21,1,$C21,ROW($C$162)-ROW($C21)),0))</f>
        <v>37</v>
      </c>
      <c r="L21" s="114" t="str">
        <f t="shared" ca="1" si="10"/>
        <v>F</v>
      </c>
      <c r="M21" s="115" t="s">
        <v>702</v>
      </c>
      <c r="N21" s="116" t="str">
        <f t="shared" ca="1" si="11"/>
        <v>Nível 2</v>
      </c>
      <c r="O21" s="117" t="str">
        <f t="shared" ca="1" si="12"/>
        <v>1.2.</v>
      </c>
      <c r="P21" s="118" t="s">
        <v>750</v>
      </c>
      <c r="Q21" s="119"/>
      <c r="R21" s="120" t="s">
        <v>1011</v>
      </c>
      <c r="S21" s="121" t="str" cm="1">
        <f t="array" aca="1" ref="S21" ca="1">REFERENCIA.Unidade</f>
        <v>-</v>
      </c>
      <c r="T21" s="122">
        <f ca="1">OFFSET(CÁLCULO!H$15,ROW($T21)-ROW(T$15),0)</f>
        <v>0</v>
      </c>
      <c r="U21" s="123">
        <f t="shared" ref="U21:U54" ca="1" si="16">AG21</f>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0.22</v>
      </c>
      <c r="AJ21" s="431"/>
      <c r="AL21" s="439"/>
      <c r="AM21" s="336">
        <f t="shared" ca="1" si="0"/>
        <v>0</v>
      </c>
      <c r="AN21" s="470" cm="1">
        <f t="array" aca="1" ref="AN21" ca="1">ROUND(ORÇAMENTO.CustoUnitario*(1+$AH21),2)</f>
        <v>0</v>
      </c>
    </row>
    <row r="22" spans="1:40" ht="38.2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IF(OR($C22="S",$C22=0),0,MATCH(OFFSET($D22,0,$C22)+IF($C22&lt;&gt;1,1,COUNTIF(QCI!$A$13:$A$24,ORÇAMENTO!E22)),OFFSET($D22,1,$C22,ROW($C$162)-ROW($C22)),0))</f>
        <v>0</v>
      </c>
      <c r="L22" s="114" t="str">
        <f t="shared" ca="1" si="10"/>
        <v/>
      </c>
      <c r="M22" s="115" t="s">
        <v>705</v>
      </c>
      <c r="N22" s="116" t="str">
        <f t="shared" ca="1" si="11"/>
        <v>Serviço</v>
      </c>
      <c r="O22" s="117" t="str">
        <f t="shared" ca="1" si="12"/>
        <v>-</v>
      </c>
      <c r="P22" s="118" t="s">
        <v>954</v>
      </c>
      <c r="Q22" s="119" t="s">
        <v>1082</v>
      </c>
      <c r="R22" s="120" t="str" cm="1">
        <f t="array" aca="1" ref="R22" ca="1">IF($C22="S",REFERENCIA.Descricao,"(digite a descrição aqui)")</f>
        <v>(Código não identificado nas referências)</v>
      </c>
      <c r="S22" s="121" t="str" cm="1">
        <f t="array" aca="1" ref="S22" ca="1">REFERENCIA.Unidade</f>
        <v>-</v>
      </c>
      <c r="T22" s="122">
        <f ca="1">OFFSET(CÁLCULO!H$15,ROW($T22)-ROW(T$15),0)</f>
        <v>3</v>
      </c>
      <c r="U22" s="123">
        <f t="shared" ca="1" si="16"/>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SINAPI-I 10775</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0.22</v>
      </c>
      <c r="AJ22" s="431">
        <v>3</v>
      </c>
      <c r="AL22" s="439"/>
      <c r="AM22" s="336">
        <f t="shared" ca="1" si="0"/>
        <v>0</v>
      </c>
      <c r="AN22" s="470" cm="1">
        <f t="array" aca="1" ref="AN22" ca="1">ROUND(ORÇAMENTO.CustoUnitario*(1+$AH22),2)</f>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IF(OR($C23="S",$C23=0),0,MATCH(OFFSET($D23,0,$C23)+IF($C23&lt;&gt;1,1,COUNTIF(QCI!$A$13:$A$24,ORÇAMENTO!E23)),OFFSET($D23,1,$C23,ROW($C$162)-ROW($C23)),0))</f>
        <v>0</v>
      </c>
      <c r="L23" s="114" t="str">
        <f t="shared" ca="1" si="10"/>
        <v/>
      </c>
      <c r="M23" s="115" t="s">
        <v>705</v>
      </c>
      <c r="N23" s="116" t="str">
        <f t="shared" ca="1" si="11"/>
        <v>Serviço</v>
      </c>
      <c r="O23" s="117" t="str">
        <f t="shared" ca="1" si="12"/>
        <v>-</v>
      </c>
      <c r="P23" s="118" t="s">
        <v>954</v>
      </c>
      <c r="Q23" s="119" t="s">
        <v>1080</v>
      </c>
      <c r="R23" s="120" t="str" cm="1">
        <f t="array" aca="1" ref="R23" ca="1">IF($C23="S",REFERENCIA.Descricao,"(digite a descrição aqui)")</f>
        <v>(Código não identificado nas referências)</v>
      </c>
      <c r="S23" s="121" t="str" cm="1">
        <f t="array" aca="1" ref="S23" ca="1">REFERENCIA.Unidade</f>
        <v>-</v>
      </c>
      <c r="T23" s="122">
        <f ca="1">OFFSET(CÁLCULO!H$15,ROW($T23)-ROW(T$15),0)</f>
        <v>3</v>
      </c>
      <c r="U23" s="123">
        <f t="shared" ca="1" si="16"/>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SINAPI-I 10776</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0.22</v>
      </c>
      <c r="AJ23" s="431">
        <v>3</v>
      </c>
      <c r="AL23" s="439"/>
      <c r="AM23" s="336">
        <f t="shared" ca="1" si="0"/>
        <v>0</v>
      </c>
      <c r="AN23" s="470" cm="1">
        <f t="array" aca="1" ref="AN23" ca="1">ROUND(ORÇAMENTO.CustoUnitario*(1+$AH23),2)</f>
        <v>0</v>
      </c>
    </row>
    <row r="24" spans="1:40" ht="38.25"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IF(OR($C24="S",$C24=0),0,MATCH(OFFSET($D24,0,$C24)+IF($C24&lt;&gt;1,1,COUNTIF(QCI!$A$13:$A$24,ORÇAMENTO!E24)),OFFSET($D24,1,$C24,ROW($C$162)-ROW($C24)),0))</f>
        <v>0</v>
      </c>
      <c r="L24" s="114" t="str">
        <f ca="1">IF(OR($X24&gt;0,$C24=1,$C24=2,$C24=3,$C24=4),"F","")</f>
        <v/>
      </c>
      <c r="M24" s="115" t="s">
        <v>705</v>
      </c>
      <c r="N24" s="116" t="str">
        <f ca="1">CHOOSE(1+LOG(1+2*(C24=1)+4*(C24=2)+8*(C24=3)+16*(C24=4)+32*(C24="S"),2),"","Meta","Nível 2","Nível 3","Nível 4","Serviço")</f>
        <v>Serviço</v>
      </c>
      <c r="O24" s="117" t="str">
        <f ca="1">IF(OR($C24=0,$L24=""),"-",CONCATENATE(E24&amp;".",IF(AND($A$5&gt;=2,$C24&gt;=2),F24&amp;".",""),IF(AND($A$5&gt;=3,$C24&gt;=3),G24&amp;".",""),IF(AND($A$5&gt;=4,$C24&gt;=4),H24&amp;".",""),IF($C24="S",I24&amp;".","")))</f>
        <v>-</v>
      </c>
      <c r="P24" s="118" t="s">
        <v>954</v>
      </c>
      <c r="Q24" s="119" t="s">
        <v>1081</v>
      </c>
      <c r="R24" s="120" t="str" cm="1">
        <f t="array" aca="1" ref="R24" ca="1">IF($C24="S",REFERENCIA.Descricao,"(digite a descrição aqui)")</f>
        <v>(Código não identificado nas referências)</v>
      </c>
      <c r="S24" s="121" t="str" cm="1">
        <f t="array" aca="1" ref="S24" ca="1">REFERENCIA.Unidade</f>
        <v>-</v>
      </c>
      <c r="T24" s="122">
        <f ca="1">OFFSET(CÁLCULO!H$15,ROW($T24)-ROW(T$15),0)</f>
        <v>3</v>
      </c>
      <c r="U24" s="123">
        <f t="shared" ca="1" si="16"/>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ca="1">IF(AND($C24="S",$X24&gt;0),IF(ISBLANK($Y24),"RA",LEFT($Y24,2)),"")</f>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SINAPI-I 10778</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ca="1">ROUND(IF(ISNUMBER(ORÇAMENTO.OpcaoBDI),ORÇAMENTO.OpcaoBDI,IF(LEFT(ORÇAMENTO.OpcaoBDI,3)="BDI",HLOOKUP(ORÇAMENTO.OpcaoBDI,$F$4:$H$5,2,FALSE),0)),15-11*$AF$9)</f>
        <v>0.22</v>
      </c>
      <c r="AJ24" s="431">
        <v>3</v>
      </c>
      <c r="AL24" s="439"/>
      <c r="AM24" s="336">
        <f t="shared" ca="1" si="0"/>
        <v>0</v>
      </c>
      <c r="AN24" s="470" cm="1">
        <f t="array" aca="1" ref="AN24" ca="1">ROUND(ORÇAMENTO.CustoUnitario*(1+$AH24),2)</f>
        <v>0</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IF(OR($C25="S",$C25=0),0,MATCH(OFFSET($D25,0,$C25)+IF($C25&lt;&gt;1,1,COUNTIF(QCI!$A$13:$A$24,ORÇAMENTO!E25)),OFFSET($D25,1,$C25,ROW($C$162)-ROW($C25)),0))</f>
        <v>0</v>
      </c>
      <c r="L25" s="114" t="str">
        <f t="shared" ca="1" si="10"/>
        <v/>
      </c>
      <c r="M25" s="115" t="s">
        <v>705</v>
      </c>
      <c r="N25" s="116" t="str">
        <f t="shared" ca="1" si="11"/>
        <v>Serviço</v>
      </c>
      <c r="O25" s="117" t="str">
        <f t="shared" ca="1" si="12"/>
        <v>-</v>
      </c>
      <c r="P25" s="118" t="s">
        <v>750</v>
      </c>
      <c r="Q25" s="119" t="s">
        <v>1083</v>
      </c>
      <c r="R25" s="120" t="str" cm="1">
        <f t="array" aca="1" ref="R25" ca="1">IF($C25="S",REFERENCIA.Descricao,"(digite a descrição aqui)")</f>
        <v>(Código não identificado nas referências)</v>
      </c>
      <c r="S25" s="121" t="str" cm="1">
        <f t="array" aca="1" ref="S25" ca="1">REFERENCIA.Unidade</f>
        <v>-</v>
      </c>
      <c r="T25" s="122">
        <f ca="1">OFFSET(CÁLCULO!H$15,ROW($T25)-ROW(T$15),0)</f>
        <v>300</v>
      </c>
      <c r="U25" s="123">
        <f t="shared" ca="1" si="16"/>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100952</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0.22</v>
      </c>
      <c r="AJ25" s="431">
        <f>2.5*3*20*2</f>
        <v>300</v>
      </c>
      <c r="AL25" s="439"/>
      <c r="AM25" s="336">
        <f t="shared" ca="1" si="0"/>
        <v>0</v>
      </c>
      <c r="AN25" s="470" cm="1">
        <f t="array" aca="1" ref="AN25" ca="1">ROUND(ORÇAMENTO.CustoUnitario*(1+$AH25),2)</f>
        <v>0</v>
      </c>
    </row>
    <row r="26" spans="1:40" ht="25.5" x14ac:dyDescent="0.2">
      <c r="A26" t="str">
        <f>CHOOSE(1+LOG(1+2*(ORÇAMENTO.Nivel="Meta")+4*(ORÇAMENTO.Nivel="Nível 2")+8*(ORÇAMENTO.Nivel="Nível 3")+16*(ORÇAMENTO.Nivel="Nível 4")+32*(ORÇAMENTO.Nivel="Serviço"),2),0,1,2,3,4,"S")</f>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2</v>
      </c>
      <c r="G26">
        <f ca="1">IF(AND($C26&lt;=2,$C26&lt;&gt;0),0,IF($C26=3,OFFSET(G26,-1,0)+1,OFFSET(G26,-1,0)))</f>
        <v>0</v>
      </c>
      <c r="H26">
        <f ca="1">IF(AND($C26&lt;=3,$C26&lt;&gt;0),0,IF($C26=4,OFFSET(H26,-1,0)+1,OFFSET(H26,-1,0)))</f>
        <v>0</v>
      </c>
      <c r="I26">
        <f ca="1">IF(AND($C26&lt;=4,$C26&lt;&gt;0),0,IF(AND($C26="S",$X26&gt;0),OFFSET(I26,-1,0)+1,OFFSET(I26,-1,0)))</f>
        <v>0</v>
      </c>
      <c r="J26">
        <f t="shared" ca="1" si="9"/>
        <v>0</v>
      </c>
      <c r="K26">
        <f ca="1">IF(OR($C26="S",$C26=0),0,MATCH(OFFSET($D26,0,$C26)+IF($C26&lt;&gt;1,1,COUNTIF(QCI!$A$13:$A$24,ORÇAMENTO!E26)),OFFSET($D26,1,$C26,ROW($C$162)-ROW($C26)),0))</f>
        <v>0</v>
      </c>
      <c r="L26" s="114" t="str">
        <f ca="1">IF(OR($X26&gt;0,$C26=1,$C26=2,$C26=3,$C26=4),"F","")</f>
        <v/>
      </c>
      <c r="M26" s="115" t="s">
        <v>705</v>
      </c>
      <c r="N26" s="116" t="str">
        <f ca="1">CHOOSE(1+LOG(1+2*(C26=1)+4*(C26=2)+8*(C26=3)+16*(C26=4)+32*(C26="S"),2),"","Meta","Nível 2","Nível 3","Nível 4","Serviço")</f>
        <v>Serviço</v>
      </c>
      <c r="O26" s="117" t="str">
        <f ca="1">IF(OR($C26=0,$L26=""),"-",CONCATENATE(E26&amp;".",IF(AND($A$5&gt;=2,$C26&gt;=2),F26&amp;".",""),IF(AND($A$5&gt;=3,$C26&gt;=3),G26&amp;".",""),IF(AND($A$5&gt;=4,$C26&gt;=4),H26&amp;".",""),IF($C26="S",I26&amp;".","")))</f>
        <v>-</v>
      </c>
      <c r="P26" s="118" t="s">
        <v>954</v>
      </c>
      <c r="Q26" s="119" t="s">
        <v>1054</v>
      </c>
      <c r="R26" s="120" t="str" cm="1">
        <f t="array" aca="1" ref="R26" ca="1">IF($C26="S",REFERENCIA.Descricao,"(digite a descrição aqui)")</f>
        <v>(Código não identificado nas referências)</v>
      </c>
      <c r="S26" s="121" t="str" cm="1">
        <f t="array" aca="1" ref="S26" ca="1">REFERENCIA.Unidade</f>
        <v>-</v>
      </c>
      <c r="T26" s="122">
        <f ca="1">OFFSET(CÁLCULO!H$15,ROW($T26)-ROW(T$15),0)</f>
        <v>504</v>
      </c>
      <c r="U26" s="123">
        <f t="shared" ca="1" si="16"/>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ca="1">IF(AND($C26="S",$X26&gt;0),IF(ISBLANK($Y26),"RA",LEFT($Y26,2)),"")</f>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SINAPI-I 3346</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ca="1">ROUND(IF(ISNUMBER(ORÇAMENTO.OpcaoBDI),ORÇAMENTO.OpcaoBDI,IF(LEFT(ORÇAMENTO.OpcaoBDI,3)="BDI",HLOOKUP(ORÇAMENTO.OpcaoBDI,$F$4:$H$5,2,FALSE),0)),15-11*$AF$9)</f>
        <v>0.22</v>
      </c>
      <c r="AJ26" s="431">
        <f>63*8</f>
        <v>504</v>
      </c>
      <c r="AL26" s="439"/>
      <c r="AM26" s="336">
        <f t="shared" ca="1" si="0"/>
        <v>0</v>
      </c>
      <c r="AN26" s="470" cm="1">
        <f t="array" aca="1" ref="AN26" ca="1">ROUND(ORÇAMENTO.CustoUnitario*(1+$AH26),2)</f>
        <v>0</v>
      </c>
    </row>
    <row r="27" spans="1:40" x14ac:dyDescent="0.2">
      <c r="A27">
        <f t="shared" si="1"/>
        <v>1</v>
      </c>
      <c r="B27">
        <f t="shared" ca="1" si="2"/>
        <v>1</v>
      </c>
      <c r="C27">
        <f t="shared" ca="1" si="3"/>
        <v>1</v>
      </c>
      <c r="D27">
        <f t="shared" ca="1" si="4"/>
        <v>8</v>
      </c>
      <c r="E27">
        <f ca="1">IF($C27=1,OFFSET(E27,-1,0)+MAX(1,COUNTIF(QCI!$A$13:$A$24,OFFSET(ORÇAMENTO!E27,-1,0))),OFFSET(E27,-1,0))</f>
        <v>2</v>
      </c>
      <c r="F27">
        <f t="shared" ca="1" si="5"/>
        <v>0</v>
      </c>
      <c r="G27">
        <f t="shared" ca="1" si="6"/>
        <v>0</v>
      </c>
      <c r="H27">
        <f t="shared" ca="1" si="7"/>
        <v>0</v>
      </c>
      <c r="I27">
        <f t="shared" ca="1" si="8"/>
        <v>0</v>
      </c>
      <c r="J27">
        <f t="shared" ca="1" si="9"/>
        <v>135</v>
      </c>
      <c r="K27">
        <f ca="1">IF(OR($C27="S",$C27=0),0,MATCH(OFFSET($D27,0,$C27)+IF($C27&lt;&gt;1,1,COUNTIF(QCI!$A$13:$A$24,ORÇAMENTO!E27)),OFFSET($D27,1,$C27,ROW($C$162)-ROW($C27)),0))</f>
        <v>8</v>
      </c>
      <c r="L27" s="114" t="str">
        <f t="shared" ca="1" si="10"/>
        <v>F</v>
      </c>
      <c r="M27" s="115" t="s">
        <v>701</v>
      </c>
      <c r="N27" s="116" t="str">
        <f t="shared" ca="1" si="11"/>
        <v>Meta</v>
      </c>
      <c r="O27" s="117" t="str">
        <f t="shared" ca="1" si="12"/>
        <v>2.</v>
      </c>
      <c r="P27" s="118" t="s">
        <v>750</v>
      </c>
      <c r="Q27" s="119"/>
      <c r="R27" s="120" t="s">
        <v>1013</v>
      </c>
      <c r="S27" s="121" t="str" cm="1">
        <f t="array" aca="1" ref="S27" ca="1">REFERENCIA.Unidade</f>
        <v>-</v>
      </c>
      <c r="T27" s="122">
        <f ca="1">OFFSET(CÁLCULO!H$15,ROW($T27)-ROW(T$15),0)</f>
        <v>0</v>
      </c>
      <c r="U27" s="123">
        <f t="shared" ca="1" si="16"/>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IF(C27&lt;=CRONO.NivelExibicao,MAX($AD$15:OFFSET(AD27,-1,0))+IF($C27&lt;&gt;1,1,MAX(1,COUNTIF(QCI!$A$13:$A$24,OFFSET($E27,-1,0)))),"")</f>
        <v>4</v>
      </c>
      <c r="AE27" s="7" t="b" cm="1">
        <f t="array" aca="1" ref="AE27" ca="1">IF(AND($C27="S",ORÇAMENTO.CodBarra&lt;&gt;""),IF(ORÇAMENTO.Fonte="",ORÇAMENTO.CodBarra,CONCATENATE(ORÇAMENTO.Fonte," ",ORÇAMENTO.CodBarra)))</f>
        <v>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4"/>
        <v>0.22</v>
      </c>
      <c r="AJ27" s="431"/>
      <c r="AL27" s="439"/>
      <c r="AM27" s="336">
        <f t="shared" ca="1" si="0"/>
        <v>0</v>
      </c>
      <c r="AN27" s="470" cm="1">
        <f t="array" aca="1" ref="AN27" ca="1">ROUND(ORÇAMENTO.CustoUnitario*(1+$AH27),2)</f>
        <v>0</v>
      </c>
    </row>
    <row r="28" spans="1:40" x14ac:dyDescent="0.2">
      <c r="A28">
        <f t="shared" si="1"/>
        <v>2</v>
      </c>
      <c r="B28">
        <f t="shared" ca="1" si="2"/>
        <v>2</v>
      </c>
      <c r="C28">
        <f t="shared" ca="1" si="3"/>
        <v>2</v>
      </c>
      <c r="D28">
        <f t="shared" ca="1" si="4"/>
        <v>7</v>
      </c>
      <c r="E28">
        <f ca="1">IF($C28=1,OFFSET(E28,-1,0)+MAX(1,COUNTIF(QCI!$A$13:$A$24,OFFSET(ORÇAMENTO!E28,-1,0))),OFFSET(E28,-1,0))</f>
        <v>2</v>
      </c>
      <c r="F28">
        <f t="shared" ca="1" si="5"/>
        <v>1</v>
      </c>
      <c r="G28">
        <f t="shared" ca="1" si="6"/>
        <v>0</v>
      </c>
      <c r="H28">
        <f t="shared" ca="1" si="7"/>
        <v>0</v>
      </c>
      <c r="I28">
        <f t="shared" ca="1" si="8"/>
        <v>0</v>
      </c>
      <c r="J28">
        <f t="shared" ca="1" si="9"/>
        <v>7</v>
      </c>
      <c r="K28">
        <f ca="1">IF(OR($C28="S",$C28=0),0,MATCH(OFFSET($D28,0,$C28)+IF($C28&lt;&gt;1,1,COUNTIF(QCI!$A$13:$A$24,ORÇAMENTO!E28)),OFFSET($D28,1,$C28,ROW($C$162)-ROW($C28)),0))</f>
        <v>11</v>
      </c>
      <c r="L28" s="114" t="str">
        <f t="shared" ca="1" si="10"/>
        <v>F</v>
      </c>
      <c r="M28" s="115" t="s">
        <v>702</v>
      </c>
      <c r="N28" s="116" t="str">
        <f t="shared" ca="1" si="11"/>
        <v>Nível 2</v>
      </c>
      <c r="O28" s="117" t="str">
        <f t="shared" ca="1" si="12"/>
        <v>2.1.</v>
      </c>
      <c r="P28" s="118" t="s">
        <v>750</v>
      </c>
      <c r="Q28" s="119"/>
      <c r="R28" s="120" t="s">
        <v>1013</v>
      </c>
      <c r="S28" s="121" t="str" cm="1">
        <f t="array" aca="1" ref="S28" ca="1">REFERENCIA.Unidade</f>
        <v>-</v>
      </c>
      <c r="T28" s="122">
        <f ca="1">OFFSET(CÁLCULO!H$15,ROW($T28)-ROW(T$15),0)</f>
        <v>0</v>
      </c>
      <c r="U28" s="123">
        <f t="shared" ca="1" si="16"/>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f ca="1">IF(C28&lt;=CRONO.NivelExibicao,MAX($AD$15:OFFSET(AD28,-1,0))+IF($C28&lt;&gt;1,1,MAX(1,COUNTIF(QCI!$A$13:$A$24,OFFSET($E28,-1,0)))),"")</f>
        <v>5</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8" cm="1">
        <f t="array" aca="1" ref="AG28" ca="1">ROUND(IF(DESONERACAO="sim",REFERENCIA.Desonerado,REFERENCIA.NaoDesonerado),2)</f>
        <v>0</v>
      </c>
      <c r="AH28" s="429">
        <f t="shared" ca="1" si="14"/>
        <v>0.22</v>
      </c>
      <c r="AJ28" s="431"/>
      <c r="AL28" s="439"/>
      <c r="AM28" s="336">
        <f t="shared" ca="1" si="0"/>
        <v>0</v>
      </c>
      <c r="AN28" s="470" cm="1">
        <f t="array" aca="1" ref="AN28" ca="1">ROUND(ORÇAMENTO.CustoUnitario*(1+$AH28),2)</f>
        <v>0</v>
      </c>
    </row>
    <row r="29" spans="1:40" ht="38.25" x14ac:dyDescent="0.2">
      <c r="A29" t="str">
        <f t="shared" si="1"/>
        <v>S</v>
      </c>
      <c r="B29">
        <f t="shared" ca="1" si="2"/>
        <v>2</v>
      </c>
      <c r="C29" t="str">
        <f t="shared" ca="1" si="3"/>
        <v>S</v>
      </c>
      <c r="D29">
        <f t="shared" ca="1" si="4"/>
        <v>0</v>
      </c>
      <c r="E29">
        <f ca="1">IF($C29=1,OFFSET(E29,-1,0)+MAX(1,COUNTIF(QCI!$A$13:$A$24,OFFSET(ORÇAMENTO!E29,-1,0))),OFFSET(E29,-1,0))</f>
        <v>2</v>
      </c>
      <c r="F29">
        <f t="shared" ca="1" si="5"/>
        <v>1</v>
      </c>
      <c r="G29">
        <f t="shared" ca="1" si="6"/>
        <v>0</v>
      </c>
      <c r="H29">
        <f t="shared" ca="1" si="7"/>
        <v>0</v>
      </c>
      <c r="I29">
        <f t="shared" ca="1" si="8"/>
        <v>0</v>
      </c>
      <c r="J29">
        <f t="shared" ca="1" si="9"/>
        <v>0</v>
      </c>
      <c r="K29">
        <f ca="1">IF(OR($C29="S",$C29=0),0,MATCH(OFFSET($D29,0,$C29)+IF($C29&lt;&gt;1,1,COUNTIF(QCI!$A$13:$A$24,ORÇAMENTO!E29)),OFFSET($D29,1,$C29,ROW($C$162)-ROW($C29)),0))</f>
        <v>0</v>
      </c>
      <c r="L29" s="114" t="str">
        <f t="shared" ca="1" si="10"/>
        <v/>
      </c>
      <c r="M29" s="115" t="s">
        <v>705</v>
      </c>
      <c r="N29" s="116" t="str">
        <f t="shared" ca="1" si="11"/>
        <v>Serviço</v>
      </c>
      <c r="O29" s="117" t="str">
        <f t="shared" ca="1" si="12"/>
        <v>-</v>
      </c>
      <c r="P29" s="118" t="s">
        <v>750</v>
      </c>
      <c r="Q29" s="119" t="s">
        <v>1024</v>
      </c>
      <c r="R29" s="120" t="str" cm="1">
        <f t="array" aca="1" ref="R29" ca="1">IF($C29="S",REFERENCIA.Descricao,"(digite a descrição aqui)")</f>
        <v>(Código não identificado nas referências)</v>
      </c>
      <c r="S29" s="121" t="str" cm="1">
        <f t="array" aca="1" ref="S29" ca="1">REFERENCIA.Unidade</f>
        <v>-</v>
      </c>
      <c r="T29" s="122">
        <f ca="1">OFFSET(CÁLCULO!H$15,ROW($T29)-ROW(T$15),0)</f>
        <v>178.64</v>
      </c>
      <c r="U29" s="123">
        <f t="shared" ca="1" si="16"/>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98525</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0.22</v>
      </c>
      <c r="AJ29" s="431">
        <v>178.64</v>
      </c>
      <c r="AL29" s="439"/>
      <c r="AM29" s="336">
        <f t="shared" ca="1" si="0"/>
        <v>0</v>
      </c>
      <c r="AN29" s="470" cm="1">
        <f t="array" aca="1" ref="AN29" ca="1">ROUND(ORÇAMENTO.CustoUnitario*(1+$AH29),2)</f>
        <v>0</v>
      </c>
    </row>
    <row r="30" spans="1:40" ht="25.5" x14ac:dyDescent="0.2">
      <c r="A30" t="str">
        <f>CHOOSE(1+LOG(1+2*(ORÇAMENTO.Nivel="Meta")+4*(ORÇAMENTO.Nivel="Nível 2")+8*(ORÇAMENTO.Nivel="Nível 3")+16*(ORÇAMENTO.Nivel="Nível 4")+32*(ORÇAMENTO.Nivel="Serviço"),2),0,1,2,3,4,"S")</f>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2</v>
      </c>
      <c r="F30">
        <f ca="1">IF($C30=1,0,IF($C30=2,OFFSET(F30,-1,0)+1,OFFSET(F30,-1,0)))</f>
        <v>1</v>
      </c>
      <c r="G30">
        <f ca="1">IF(AND($C30&lt;=2,$C30&lt;&gt;0),0,IF($C30=3,OFFSET(G30,-1,0)+1,OFFSET(G30,-1,0)))</f>
        <v>0</v>
      </c>
      <c r="H30">
        <f ca="1">IF(AND($C30&lt;=3,$C30&lt;&gt;0),0,IF($C30=4,OFFSET(H30,-1,0)+1,OFFSET(H30,-1,0)))</f>
        <v>0</v>
      </c>
      <c r="I30">
        <f ca="1">IF(AND($C30&lt;=4,$C30&lt;&gt;0),0,IF(AND($C30="S",$X30&gt;0),OFFSET(I30,-1,0)+1,OFFSET(I30,-1,0)))</f>
        <v>0</v>
      </c>
      <c r="J30">
        <f t="shared" ca="1" si="9"/>
        <v>0</v>
      </c>
      <c r="K30">
        <f ca="1">IF(OR($C30="S",$C30=0),0,MATCH(OFFSET($D30,0,$C30)+IF($C30&lt;&gt;1,1,COUNTIF(QCI!$A$13:$A$24,ORÇAMENTO!E30)),OFFSET($D30,1,$C30,ROW($C$162)-ROW($C30)),0))</f>
        <v>0</v>
      </c>
      <c r="L30" s="114" t="str">
        <f ca="1">IF(OR($X30&gt;0,$C30=1,$C30=2,$C30=3,$C30=4),"F","")</f>
        <v/>
      </c>
      <c r="M30" s="115" t="s">
        <v>705</v>
      </c>
      <c r="N30" s="116" t="str">
        <f ca="1">CHOOSE(1+LOG(1+2*(C30=1)+4*(C30=2)+8*(C30=3)+16*(C30=4)+32*(C30="S"),2),"","Meta","Nível 2","Nível 3","Nível 4","Serviço")</f>
        <v>Serviço</v>
      </c>
      <c r="O30" s="117" t="str">
        <f ca="1">IF(OR($C30=0,$L30=""),"-",CONCATENATE(E30&amp;".",IF(AND($A$5&gt;=2,$C30&gt;=2),F30&amp;".",""),IF(AND($A$5&gt;=3,$C30&gt;=3),G30&amp;".",""),IF(AND($A$5&gt;=4,$C30&gt;=4),H30&amp;".",""),IF($C30="S",I30&amp;".","")))</f>
        <v>-</v>
      </c>
      <c r="P30" s="118" t="s">
        <v>750</v>
      </c>
      <c r="Q30" s="119" t="s">
        <v>1025</v>
      </c>
      <c r="R30" s="120" t="str" cm="1">
        <f t="array" aca="1" ref="R30" ca="1">IF($C30="S",REFERENCIA.Descricao,"(digite a descrição aqui)")</f>
        <v>(Código não identificado nas referências)</v>
      </c>
      <c r="S30" s="121" t="str" cm="1">
        <f t="array" aca="1" ref="S30" ca="1">REFERENCIA.Unidade</f>
        <v>-</v>
      </c>
      <c r="T30" s="122">
        <f ca="1">OFFSET(CÁLCULO!H$15,ROW($T30)-ROW(T$15),0)</f>
        <v>5</v>
      </c>
      <c r="U30" s="123">
        <f t="shared" ca="1" si="16"/>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ca="1">IF(AND($C30="S",$X30&gt;0),IF(ISBLANK($Y30),"RA",LEFT($Y30,2)),"")</f>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98530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ca="1">ROUND(IF(ISNUMBER(ORÇAMENTO.OpcaoBDI),ORÇAMENTO.OpcaoBDI,IF(LEFT(ORÇAMENTO.OpcaoBDI,3)="BDI",HLOOKUP(ORÇAMENTO.OpcaoBDI,$F$4:$H$5,2,FALSE),0)),15-11*$AF$9)</f>
        <v>0.22</v>
      </c>
      <c r="AJ30" s="431">
        <v>5</v>
      </c>
      <c r="AL30" s="439"/>
      <c r="AM30" s="336">
        <f t="shared" ca="1" si="0"/>
        <v>0</v>
      </c>
      <c r="AN30" s="470" cm="1">
        <f t="array" aca="1" ref="AN30" ca="1">ROUND(ORÇAMENTO.CustoUnitario*(1+$AH30),2)</f>
        <v>0</v>
      </c>
    </row>
    <row r="31" spans="1:40" ht="38.25" x14ac:dyDescent="0.2">
      <c r="A31" t="str">
        <f t="shared" si="1"/>
        <v>S</v>
      </c>
      <c r="B31">
        <f t="shared" ca="1" si="2"/>
        <v>2</v>
      </c>
      <c r="C31" t="str">
        <f t="shared" ca="1" si="3"/>
        <v>S</v>
      </c>
      <c r="D31">
        <f t="shared" ca="1" si="4"/>
        <v>0</v>
      </c>
      <c r="E31">
        <f ca="1">IF($C31=1,OFFSET(E31,-1,0)+MAX(1,COUNTIF(QCI!$A$13:$A$24,OFFSET(ORÇAMENTO!E31,-1,0))),OFFSET(E31,-1,0))</f>
        <v>2</v>
      </c>
      <c r="F31">
        <f t="shared" ca="1" si="5"/>
        <v>1</v>
      </c>
      <c r="G31">
        <f t="shared" ca="1" si="6"/>
        <v>0</v>
      </c>
      <c r="H31">
        <f t="shared" ca="1" si="7"/>
        <v>0</v>
      </c>
      <c r="I31">
        <f t="shared" ca="1" si="8"/>
        <v>0</v>
      </c>
      <c r="J31">
        <f t="shared" ca="1" si="9"/>
        <v>0</v>
      </c>
      <c r="K31">
        <f ca="1">IF(OR($C31="S",$C31=0),0,MATCH(OFFSET($D31,0,$C31)+IF($C31&lt;&gt;1,1,COUNTIF(QCI!$A$13:$A$24,ORÇAMENTO!E31)),OFFSET($D31,1,$C31,ROW($C$162)-ROW($C31)),0))</f>
        <v>0</v>
      </c>
      <c r="L31" s="114" t="str">
        <f t="shared" ca="1" si="10"/>
        <v/>
      </c>
      <c r="M31" s="115" t="s">
        <v>705</v>
      </c>
      <c r="N31" s="116" t="str">
        <f t="shared" ca="1" si="11"/>
        <v>Serviço</v>
      </c>
      <c r="O31" s="117" t="str">
        <f t="shared" ca="1" si="12"/>
        <v>-</v>
      </c>
      <c r="P31" s="118" t="s">
        <v>750</v>
      </c>
      <c r="Q31" s="119" t="s">
        <v>1026</v>
      </c>
      <c r="R31" s="120" t="str" cm="1">
        <f t="array" aca="1" ref="R31" ca="1">IF($C31="S",REFERENCIA.Descricao,"(digite a descrição aqui)")</f>
        <v>(Código não identificado nas referências)</v>
      </c>
      <c r="S31" s="121" t="str" cm="1">
        <f t="array" aca="1" ref="S31" ca="1">REFERENCIA.Unidade</f>
        <v>-</v>
      </c>
      <c r="T31" s="122">
        <f ca="1">OFFSET(CÁLCULO!H$15,ROW($T31)-ROW(T$15),0)</f>
        <v>5</v>
      </c>
      <c r="U31" s="123">
        <f t="shared" ca="1" si="16"/>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98527</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0.22</v>
      </c>
      <c r="AJ31" s="431">
        <v>5</v>
      </c>
      <c r="AL31" s="439"/>
      <c r="AM31" s="336">
        <f t="shared" ca="1" si="0"/>
        <v>0</v>
      </c>
      <c r="AN31" s="470" cm="1">
        <f t="array" aca="1" ref="AN31" ca="1">ROUND(ORÇAMENTO.CustoUnitario*(1+$AH31),2)</f>
        <v>0</v>
      </c>
    </row>
    <row r="32" spans="1:40" x14ac:dyDescent="0.2">
      <c r="A32" t="str">
        <f t="shared" si="1"/>
        <v>S</v>
      </c>
      <c r="B32">
        <f t="shared" ca="1" si="2"/>
        <v>2</v>
      </c>
      <c r="C32" t="str">
        <f t="shared" ca="1" si="3"/>
        <v>S</v>
      </c>
      <c r="D32">
        <f t="shared" ca="1" si="4"/>
        <v>0</v>
      </c>
      <c r="E32">
        <f ca="1">IF($C32=1,OFFSET(E32,-1,0)+MAX(1,COUNTIF(QCI!$A$13:$A$24,OFFSET(ORÇAMENTO!E32,-1,0))),OFFSET(E32,-1,0))</f>
        <v>2</v>
      </c>
      <c r="F32">
        <f t="shared" ca="1" si="5"/>
        <v>1</v>
      </c>
      <c r="G32">
        <f t="shared" ca="1" si="6"/>
        <v>0</v>
      </c>
      <c r="H32">
        <f t="shared" ca="1" si="7"/>
        <v>0</v>
      </c>
      <c r="I32">
        <f t="shared" ca="1" si="8"/>
        <v>0</v>
      </c>
      <c r="J32">
        <f t="shared" ca="1" si="9"/>
        <v>0</v>
      </c>
      <c r="K32">
        <f ca="1">IF(OR($C32="S",$C32=0),0,MATCH(OFFSET($D32,0,$C32)+IF($C32&lt;&gt;1,1,COUNTIF(QCI!$A$13:$A$24,ORÇAMENTO!E32)),OFFSET($D32,1,$C32,ROW($C$162)-ROW($C32)),0))</f>
        <v>0</v>
      </c>
      <c r="L32" s="114" t="str">
        <f t="shared" ca="1" si="10"/>
        <v/>
      </c>
      <c r="M32" s="115" t="s">
        <v>705</v>
      </c>
      <c r="N32" s="116" t="str">
        <f t="shared" ca="1" si="11"/>
        <v>Serviço</v>
      </c>
      <c r="O32" s="117" t="str">
        <f t="shared" ca="1" si="12"/>
        <v>-</v>
      </c>
      <c r="P32" s="118" t="s">
        <v>955</v>
      </c>
      <c r="Q32" s="119" t="s">
        <v>1023</v>
      </c>
      <c r="R32" s="120" t="str" cm="1">
        <f t="array" aca="1" ref="R32" ca="1">IF($C32="S",REFERENCIA.Descricao,"(digite a descrição aqui)")</f>
        <v>(Código não identificado nas referências)</v>
      </c>
      <c r="S32" s="121" t="str" cm="1">
        <f t="array" aca="1" ref="S32" ca="1">REFERENCIA.Unidade</f>
        <v>-</v>
      </c>
      <c r="T32" s="122">
        <f ca="1">OFFSET(CÁLCULO!H$15,ROW($T32)-ROW(T$15),0)</f>
        <v>6</v>
      </c>
      <c r="U32" s="123">
        <f t="shared" ca="1" si="16"/>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SICRO 1619003</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0.22</v>
      </c>
      <c r="AJ32" s="431">
        <f>10*2*0.3</f>
        <v>6</v>
      </c>
      <c r="AL32" s="439"/>
      <c r="AM32" s="336">
        <f t="shared" ca="1" si="0"/>
        <v>0</v>
      </c>
      <c r="AN32" s="470" cm="1">
        <f t="array" aca="1" ref="AN32" ca="1">ROUND(ORÇAMENTO.CustoUnitario*(1+$AH32),2)</f>
        <v>0</v>
      </c>
    </row>
    <row r="33" spans="1:40" ht="51" x14ac:dyDescent="0.2">
      <c r="A33" t="str">
        <f t="shared" si="1"/>
        <v>S</v>
      </c>
      <c r="B33">
        <f t="shared" ca="1" si="2"/>
        <v>2</v>
      </c>
      <c r="C33" t="str">
        <f t="shared" ca="1" si="3"/>
        <v>S</v>
      </c>
      <c r="D33">
        <f t="shared" ca="1" si="4"/>
        <v>0</v>
      </c>
      <c r="E33">
        <f ca="1">IF($C33=1,OFFSET(E33,-1,0)+MAX(1,COUNTIF(QCI!$A$13:$A$24,OFFSET(ORÇAMENTO!E33,-1,0))),OFFSET(E33,-1,0))</f>
        <v>2</v>
      </c>
      <c r="F33">
        <f t="shared" ca="1" si="5"/>
        <v>1</v>
      </c>
      <c r="G33">
        <f t="shared" ca="1" si="6"/>
        <v>0</v>
      </c>
      <c r="H33">
        <f t="shared" ca="1" si="7"/>
        <v>0</v>
      </c>
      <c r="I33">
        <f t="shared" ca="1" si="8"/>
        <v>0</v>
      </c>
      <c r="J33">
        <f t="shared" ca="1" si="9"/>
        <v>0</v>
      </c>
      <c r="K33">
        <f ca="1">IF(OR($C33="S",$C33=0),0,MATCH(OFFSET($D33,0,$C33)+IF($C33&lt;&gt;1,1,COUNTIF(QCI!$A$13:$A$24,ORÇAMENTO!E33)),OFFSET($D33,1,$C33,ROW($C$162)-ROW($C33)),0))</f>
        <v>0</v>
      </c>
      <c r="L33" s="114" t="str">
        <f t="shared" ca="1" si="10"/>
        <v/>
      </c>
      <c r="M33" s="115" t="s">
        <v>705</v>
      </c>
      <c r="N33" s="116" t="str">
        <f t="shared" ca="1" si="11"/>
        <v>Serviço</v>
      </c>
      <c r="O33" s="117" t="str">
        <f t="shared" ca="1" si="12"/>
        <v>-</v>
      </c>
      <c r="P33" s="118" t="s">
        <v>750</v>
      </c>
      <c r="Q33" s="119">
        <v>100983</v>
      </c>
      <c r="R33" s="120" t="str" cm="1">
        <f t="array" aca="1" ref="R33" ca="1">IF($C33="S",REFERENCIA.Descricao,"(digite a descrição aqui)")</f>
        <v>(Código não identificado nas referências)</v>
      </c>
      <c r="S33" s="121" t="str" cm="1">
        <f t="array" aca="1" ref="S33" ca="1">REFERENCIA.Unidade</f>
        <v>-</v>
      </c>
      <c r="T33" s="122">
        <f ca="1">OFFSET(CÁLCULO!H$15,ROW($T33)-ROW(T$15),0)</f>
        <v>21</v>
      </c>
      <c r="U33" s="123">
        <f t="shared" ca="1" si="16"/>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100983</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0.22</v>
      </c>
      <c r="AJ33" s="431">
        <f>AJ31*3+AJ32</f>
        <v>21</v>
      </c>
      <c r="AL33" s="439"/>
      <c r="AM33" s="336">
        <f t="shared" ca="1" si="0"/>
        <v>0</v>
      </c>
      <c r="AN33" s="470" cm="1">
        <f t="array" aca="1" ref="AN33" ca="1">ROUND(ORÇAMENTO.CustoUnitario*(1+$AH33),2)</f>
        <v>0</v>
      </c>
    </row>
    <row r="34" spans="1:40" ht="38.25" x14ac:dyDescent="0.2">
      <c r="A34" t="str">
        <f t="shared" si="1"/>
        <v>S</v>
      </c>
      <c r="B34">
        <f t="shared" ca="1" si="2"/>
        <v>2</v>
      </c>
      <c r="C34" t="str">
        <f t="shared" ca="1" si="3"/>
        <v>S</v>
      </c>
      <c r="D34">
        <f t="shared" ca="1" si="4"/>
        <v>0</v>
      </c>
      <c r="E34">
        <f ca="1">IF($C34=1,OFFSET(E34,-1,0)+MAX(1,COUNTIF(QCI!$A$13:$A$24,OFFSET(ORÇAMENTO!E34,-1,0))),OFFSET(E34,-1,0))</f>
        <v>2</v>
      </c>
      <c r="F34">
        <f t="shared" ca="1" si="5"/>
        <v>1</v>
      </c>
      <c r="G34">
        <f t="shared" ca="1" si="6"/>
        <v>0</v>
      </c>
      <c r="H34">
        <f t="shared" ca="1" si="7"/>
        <v>0</v>
      </c>
      <c r="I34">
        <f t="shared" ca="1" si="8"/>
        <v>0</v>
      </c>
      <c r="J34">
        <f t="shared" ca="1" si="9"/>
        <v>0</v>
      </c>
      <c r="K34">
        <f ca="1">IF(OR($C34="S",$C34=0),0,MATCH(OFFSET($D34,0,$C34)+IF($C34&lt;&gt;1,1,COUNTIF(QCI!$A$13:$A$24,ORÇAMENTO!E34)),OFFSET($D34,1,$C34,ROW($C$162)-ROW($C34)),0))</f>
        <v>0</v>
      </c>
      <c r="L34" s="114" t="str">
        <f t="shared" ca="1" si="10"/>
        <v/>
      </c>
      <c r="M34" s="115" t="s">
        <v>705</v>
      </c>
      <c r="N34" s="116" t="str">
        <f t="shared" ca="1" si="11"/>
        <v>Serviço</v>
      </c>
      <c r="O34" s="117" t="str">
        <f t="shared" ca="1" si="12"/>
        <v>-</v>
      </c>
      <c r="P34" s="118" t="s">
        <v>750</v>
      </c>
      <c r="Q34" s="119" t="s">
        <v>1030</v>
      </c>
      <c r="R34" s="120" t="str" cm="1">
        <f t="array" aca="1" ref="R34" ca="1">IF($C34="S",REFERENCIA.Descricao,"(digite a descrição aqui)")</f>
        <v>(Código não identificado nas referências)</v>
      </c>
      <c r="S34" s="121" t="str" cm="1">
        <f t="array" aca="1" ref="S34" ca="1">REFERENCIA.Unidade</f>
        <v>-</v>
      </c>
      <c r="T34" s="122">
        <f ca="1">OFFSET(CÁLCULO!H$15,ROW($T34)-ROW(T$15),0)</f>
        <v>420</v>
      </c>
      <c r="U34" s="123">
        <f t="shared" ca="1" si="16"/>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93592</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0.22</v>
      </c>
      <c r="AJ34" s="431">
        <f>AJ33*20</f>
        <v>420</v>
      </c>
      <c r="AL34" s="439"/>
      <c r="AM34" s="336">
        <f t="shared" ca="1" si="0"/>
        <v>0</v>
      </c>
      <c r="AN34" s="470" cm="1">
        <f t="array" aca="1" ref="AN34" ca="1">ROUND(ORÇAMENTO.CustoUnitario*(1+$AH34),2)</f>
        <v>0</v>
      </c>
    </row>
    <row r="35" spans="1:40" x14ac:dyDescent="0.2">
      <c r="A35">
        <f t="shared" si="1"/>
        <v>1</v>
      </c>
      <c r="B35">
        <f t="shared" ca="1" si="2"/>
        <v>1</v>
      </c>
      <c r="C35">
        <f t="shared" ca="1" si="3"/>
        <v>1</v>
      </c>
      <c r="D35">
        <f t="shared" ca="1" si="4"/>
        <v>11</v>
      </c>
      <c r="E35">
        <f ca="1">IF($C35=1,OFFSET(E35,-1,0)+MAX(1,COUNTIF(QCI!$A$13:$A$24,OFFSET(ORÇAMENTO!E35,-1,0))),OFFSET(E35,-1,0))</f>
        <v>3</v>
      </c>
      <c r="F35">
        <f t="shared" ca="1" si="5"/>
        <v>0</v>
      </c>
      <c r="G35">
        <f t="shared" ca="1" si="6"/>
        <v>0</v>
      </c>
      <c r="H35">
        <f t="shared" ca="1" si="7"/>
        <v>0</v>
      </c>
      <c r="I35">
        <f t="shared" ca="1" si="8"/>
        <v>0</v>
      </c>
      <c r="J35">
        <f t="shared" ca="1" si="9"/>
        <v>127</v>
      </c>
      <c r="K35">
        <f ca="1">IF(OR($C35="S",$C35=0),0,MATCH(OFFSET($D35,0,$C35)+IF($C35&lt;&gt;1,1,COUNTIF(QCI!$A$13:$A$24,ORÇAMENTO!E35)),OFFSET($D35,1,$C35,ROW($C$162)-ROW($C35)),0))</f>
        <v>11</v>
      </c>
      <c r="L35" s="114" t="str">
        <f t="shared" ca="1" si="10"/>
        <v>F</v>
      </c>
      <c r="M35" s="115" t="s">
        <v>701</v>
      </c>
      <c r="N35" s="116" t="str">
        <f t="shared" ca="1" si="11"/>
        <v>Meta</v>
      </c>
      <c r="O35" s="117" t="str">
        <f t="shared" ca="1" si="12"/>
        <v>3.</v>
      </c>
      <c r="P35" s="118" t="s">
        <v>750</v>
      </c>
      <c r="Q35" s="119"/>
      <c r="R35" s="120" t="s">
        <v>1012</v>
      </c>
      <c r="S35" s="121" t="str" cm="1">
        <f t="array" aca="1" ref="S35" ca="1">REFERENCIA.Unidade</f>
        <v>-</v>
      </c>
      <c r="T35" s="122">
        <f ca="1">OFFSET(CÁLCULO!H$15,ROW($T35)-ROW(T$15),0)</f>
        <v>0</v>
      </c>
      <c r="U35" s="123">
        <f t="shared" ca="1" si="16"/>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f ca="1">IF(C35&lt;=CRONO.NivelExibicao,MAX($AD$15:OFFSET(AD35,-1,0))+IF($C35&lt;&gt;1,1,MAX(1,COUNTIF(QCI!$A$13:$A$24,OFFSET($E35,-1,0)))),"")</f>
        <v>6</v>
      </c>
      <c r="AE35" s="7" t="b" cm="1">
        <f t="array" aca="1" ref="AE35" ca="1">IF(AND($C35="S",ORÇAMENTO.CodBarra&lt;&gt;""),IF(ORÇAMENTO.Fonte="",ORÇAMENTO.CodBarra,CONCATENATE(ORÇAMENTO.Fonte," ",ORÇAMENTO.CodBarra)))</f>
        <v>0</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0.22</v>
      </c>
      <c r="AJ35" s="431"/>
      <c r="AL35" s="439"/>
      <c r="AM35" s="336">
        <f t="shared" ca="1" si="0"/>
        <v>0</v>
      </c>
      <c r="AN35" s="470" cm="1">
        <f t="array" aca="1" ref="AN35" ca="1">ROUND(ORÇAMENTO.CustoUnitario*(1+$AH35),2)</f>
        <v>0</v>
      </c>
    </row>
    <row r="36" spans="1:40" x14ac:dyDescent="0.2">
      <c r="A36" t="str">
        <f>CHOOSE(1+LOG(1+2*(ORÇAMENTO.Nivel="Meta")+4*(ORÇAMENTO.Nivel="Nível 2")+8*(ORÇAMENTO.Nivel="Nível 3")+16*(ORÇAMENTO.Nivel="Nível 4")+32*(ORÇAMENTO.Nivel="Serviço"),2),0,1,2,3,4,"S")</f>
        <v>S</v>
      </c>
      <c r="B36">
        <f ca="1">IF(OR(C36="s",C36=0),OFFSET(B36,-1,0),C36)</f>
        <v>2</v>
      </c>
      <c r="C36">
        <f ca="1">IF(OFFSET(C36,-1,0)="L",1,IF(OFFSET(C36,-1,0)=1,2,IF(OR(A36="s",A36=0),"S",IF(AND(OFFSET(C36,-1,0)=2,A36=4),3,IF(AND(OR(OFFSET(C36,-1,0)="s",OFFSET(C36,-1,0)=0),A36&lt;&gt;"s",A36&gt;OFFSET(B36,-1,0)),OFFSET(B36,-1,0),A36)))))</f>
        <v>2</v>
      </c>
      <c r="D36">
        <f ca="1">IF(OR(C36="S",C36=0),0,IF(ISERROR(K36),J36,SMALL(J36:K36,1)))</f>
        <v>3</v>
      </c>
      <c r="E36">
        <f ca="1">IF($C36=1,OFFSET(E36,-1,0)+MAX(1,COUNTIF(QCI!$A$13:$A$24,OFFSET(ORÇAMENTO!E36,-1,0))),OFFSET(E36,-1,0))</f>
        <v>3</v>
      </c>
      <c r="F36">
        <f ca="1">IF($C36=1,0,IF($C36=2,OFFSET(F36,-1,0)+1,OFFSET(F36,-1,0)))</f>
        <v>1</v>
      </c>
      <c r="G36">
        <f ca="1">IF(AND($C36&lt;=2,$C36&lt;&gt;0),0,IF($C36=3,OFFSET(G36,-1,0)+1,OFFSET(G36,-1,0)))</f>
        <v>0</v>
      </c>
      <c r="H36">
        <f ca="1">IF(AND($C36&lt;=3,$C36&lt;&gt;0),0,IF($C36=4,OFFSET(H36,-1,0)+1,OFFSET(H36,-1,0)))</f>
        <v>0</v>
      </c>
      <c r="I36">
        <f ca="1">IF(AND($C36&lt;=4,$C36&lt;&gt;0),0,IF(AND($C36="S",$X36&gt;0),OFFSET(I36,-1,0)+1,OFFSET(I36,-1,0)))</f>
        <v>0</v>
      </c>
      <c r="J36">
        <f t="shared" ca="1" si="9"/>
        <v>10</v>
      </c>
      <c r="K36">
        <f ca="1">IF(OR($C36="S",$C36=0),0,MATCH(OFFSET($D36,0,$C36)+IF($C36&lt;&gt;1,1,COUNTIF(QCI!$A$13:$A$24,ORÇAMENTO!E36)),OFFSET($D36,1,$C36,ROW($C$162)-ROW($C36)),0))</f>
        <v>3</v>
      </c>
      <c r="L36" s="114" t="str">
        <f ca="1">IF(OR($X36&gt;0,$C36=1,$C36=2,$C36=3,$C36=4),"F","")</f>
        <v>F</v>
      </c>
      <c r="M36" s="115" t="s">
        <v>705</v>
      </c>
      <c r="N36" s="116" t="str">
        <f ca="1">CHOOSE(1+LOG(1+2*(C36=1)+4*(C36=2)+8*(C36=3)+16*(C36=4)+32*(C36="S"),2),"","Meta","Nível 2","Nível 3","Nível 4","Serviço")</f>
        <v>Nível 2</v>
      </c>
      <c r="O36" s="117" t="str">
        <f ca="1">IF(OR($C36=0,$L36=""),"-",CONCATENATE(E36&amp;".",IF(AND($A$5&gt;=2,$C36&gt;=2),F36&amp;".",""),IF(AND($A$5&gt;=3,$C36&gt;=3),G36&amp;".",""),IF(AND($A$5&gt;=4,$C36&gt;=4),H36&amp;".",""),IF($C36="S",I36&amp;".","")))</f>
        <v>3.1.</v>
      </c>
      <c r="P36" s="118" t="s">
        <v>750</v>
      </c>
      <c r="Q36" s="119"/>
      <c r="R36" s="120" t="s">
        <v>1034</v>
      </c>
      <c r="S36" s="121" t="str" cm="1">
        <f t="array" aca="1" ref="S36" ca="1">REFERENCIA.Unidade</f>
        <v>-</v>
      </c>
      <c r="T36" s="122">
        <f ca="1">OFFSET(CÁLCULO!H$15,ROW($T36)-ROW(T$15),0)</f>
        <v>0</v>
      </c>
      <c r="U36" s="123">
        <f t="shared" ca="1" si="16"/>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ca="1">IF(AND($C36="S",$X36&gt;0),IF(ISBLANK($Y36),"RA",LEFT($Y36,2)),"")</f>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f ca="1">IF(C36&lt;=CRONO.NivelExibicao,MAX($AD$15:OFFSET(AD36,-1,0))+IF($C36&lt;&gt;1,1,MAX(1,COUNTIF(QCI!$A$13:$A$24,OFFSET($E36,-1,0)))),"")</f>
        <v>7</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ca="1">ROUND(IF(ISNUMBER(ORÇAMENTO.OpcaoBDI),ORÇAMENTO.OpcaoBDI,IF(LEFT(ORÇAMENTO.OpcaoBDI,3)="BDI",HLOOKUP(ORÇAMENTO.OpcaoBDI,$F$4:$H$5,2,FALSE),0)),15-11*$AF$9)</f>
        <v>0.22</v>
      </c>
      <c r="AJ36" s="431"/>
      <c r="AL36" s="439"/>
      <c r="AM36" s="336">
        <f t="shared" ca="1" si="0"/>
        <v>0</v>
      </c>
      <c r="AN36" s="470" cm="1">
        <f t="array" aca="1" ref="AN36" ca="1">ROUND(ORÇAMENTO.CustoUnitario*(1+$AH36),2)</f>
        <v>0</v>
      </c>
    </row>
    <row r="37" spans="1:40" ht="51" x14ac:dyDescent="0.2">
      <c r="A37" t="str">
        <f>CHOOSE(1+LOG(1+2*(ORÇAMENTO.Nivel="Meta")+4*(ORÇAMENTO.Nivel="Nível 2")+8*(ORÇAMENTO.Nivel="Nível 3")+16*(ORÇAMENTO.Nivel="Nível 4")+32*(ORÇAMENTO.Nivel="Serviço"),2),0,1,2,3,4,"S")</f>
        <v>S</v>
      </c>
      <c r="B37">
        <f t="shared" ref="B37:B38" ca="1" si="17">IF(OR(C37="s",C37=0),OFFSET(B37,-1,0),C37)</f>
        <v>2</v>
      </c>
      <c r="C37" t="str">
        <f t="shared" ref="C37:C38" ca="1" si="18">IF(OFFSET(C37,-1,0)="L",1,IF(OFFSET(C37,-1,0)=1,2,IF(OR(A37="s",A37=0),"S",IF(AND(OFFSET(C37,-1,0)=2,A37=4),3,IF(AND(OR(OFFSET(C37,-1,0)="s",OFFSET(C37,-1,0)=0),A37&lt;&gt;"s",A37&gt;OFFSET(B37,-1,0)),OFFSET(B37,-1,0),A37)))))</f>
        <v>S</v>
      </c>
      <c r="D37">
        <f t="shared" ref="D37:D38" ca="1" si="19">IF(OR(C37="S",C37=0),0,IF(ISERROR(K37),J37,SMALL(J37:K37,1)))</f>
        <v>0</v>
      </c>
      <c r="E37">
        <f ca="1">IF($C37=1,OFFSET(E37,-1,0)+MAX(1,COUNTIF(QCI!$A$13:$A$24,OFFSET(ORÇAMENTO!E37,-1,0))),OFFSET(E37,-1,0))</f>
        <v>3</v>
      </c>
      <c r="F37">
        <f t="shared" ref="F37:F38" ca="1" si="20">IF($C37=1,0,IF($C37=2,OFFSET(F37,-1,0)+1,OFFSET(F37,-1,0)))</f>
        <v>1</v>
      </c>
      <c r="G37">
        <f t="shared" ref="G37:G38" ca="1" si="21">IF(AND($C37&lt;=2,$C37&lt;&gt;0),0,IF($C37=3,OFFSET(G37,-1,0)+1,OFFSET(G37,-1,0)))</f>
        <v>0</v>
      </c>
      <c r="H37">
        <f t="shared" ref="H37:H38" ca="1" si="22">IF(AND($C37&lt;=3,$C37&lt;&gt;0),0,IF($C37=4,OFFSET(H37,-1,0)+1,OFFSET(H37,-1,0)))</f>
        <v>0</v>
      </c>
      <c r="I37">
        <f t="shared" ref="I37:I38" ca="1" si="23">IF(AND($C37&lt;=4,$C37&lt;&gt;0),0,IF(AND($C37="S",$X37&gt;0),OFFSET(I37,-1,0)+1,OFFSET(I37,-1,0)))</f>
        <v>0</v>
      </c>
      <c r="J37">
        <f t="shared" ca="1" si="9"/>
        <v>0</v>
      </c>
      <c r="K37">
        <f ca="1">IF(OR($C37="S",$C37=0),0,MATCH(OFFSET($D37,0,$C37)+IF($C37&lt;&gt;1,1,COUNTIF(QCI!$A$13:$A$24,ORÇAMENTO!E37)),OFFSET($D37,1,$C37,ROW($C$162)-ROW($C37)),0))</f>
        <v>0</v>
      </c>
      <c r="L37" s="114" t="str">
        <f t="shared" ref="L37:L38" ca="1" si="24">IF(OR($X37&gt;0,$C37=1,$C37=2,$C37=3,$C37=4),"F","")</f>
        <v/>
      </c>
      <c r="M37" s="115" t="s">
        <v>705</v>
      </c>
      <c r="N37" s="116" t="str">
        <f t="shared" ref="N37:N38" ca="1" si="25">CHOOSE(1+LOG(1+2*(C37=1)+4*(C37=2)+8*(C37=3)+16*(C37=4)+32*(C37="S"),2),"","Meta","Nível 2","Nível 3","Nível 4","Serviço")</f>
        <v>Serviço</v>
      </c>
      <c r="O37" s="117" t="str">
        <f t="shared" ref="O37:O38" ca="1" si="26">IF(OR($C37=0,$L37=""),"-",CONCATENATE(E37&amp;".",IF(AND($A$5&gt;=2,$C37&gt;=2),F37&amp;".",""),IF(AND($A$5&gt;=3,$C37&gt;=3),G37&amp;".",""),IF(AND($A$5&gt;=4,$C37&gt;=4),H37&amp;".",""),IF($C37="S",I37&amp;".","")))</f>
        <v>-</v>
      </c>
      <c r="P37" s="118" t="s">
        <v>750</v>
      </c>
      <c r="Q37" s="119" t="s">
        <v>1027</v>
      </c>
      <c r="R37" s="120" t="str" cm="1">
        <f t="array" aca="1" ref="R37" ca="1">IF($C37="S",REFERENCIA.Descricao,"(digite a descrição aqui)")</f>
        <v>(Código não identificado nas referências)</v>
      </c>
      <c r="S37" s="121" t="str" cm="1">
        <f t="array" aca="1" ref="S37" ca="1">REFERENCIA.Unidade</f>
        <v>-</v>
      </c>
      <c r="T37" s="122">
        <f ca="1">OFFSET(CÁLCULO!H$15,ROW($T37)-ROW(T$15),0)</f>
        <v>96</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ref="Z37:Z38" ca="1" si="27">IF(AND($C37="S",$X37&gt;0),IF(ISBLANK($Y37),"RA",LEFT($Y37,2)),"")</f>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102297</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ca="1">ROUND(IF(ISNUMBER(ORÇAMENTO.OpcaoBDI),ORÇAMENTO.OpcaoBDI,IF(LEFT(ORÇAMENTO.OpcaoBDI,3)="BDI",HLOOKUP(ORÇAMENTO.OpcaoBDI,$F$4:$H$5,2,FALSE),0)),15-11*$AF$9)</f>
        <v>0.22</v>
      </c>
      <c r="AJ37" s="431">
        <f>12*2*4</f>
        <v>96</v>
      </c>
      <c r="AL37" s="439"/>
      <c r="AM37" s="336">
        <f t="shared" ca="1" si="0"/>
        <v>0</v>
      </c>
      <c r="AN37" s="470" cm="1">
        <f t="array" aca="1" ref="AN37" ca="1">ROUND(ORÇAMENTO.CustoUnitario*(1+$AH37),2)</f>
        <v>0</v>
      </c>
    </row>
    <row r="38" spans="1:40" ht="51" x14ac:dyDescent="0.2">
      <c r="A38" t="str">
        <f>CHOOSE(1+LOG(1+2*(ORÇAMENTO.Nivel="Meta")+4*(ORÇAMENTO.Nivel="Nível 2")+8*(ORÇAMENTO.Nivel="Nível 3")+16*(ORÇAMENTO.Nivel="Nível 4")+32*(ORÇAMENTO.Nivel="Serviço"),2),0,1,2,3,4,"S")</f>
        <v>S</v>
      </c>
      <c r="B38">
        <f t="shared" ca="1" si="17"/>
        <v>2</v>
      </c>
      <c r="C38" t="str">
        <f t="shared" ca="1" si="18"/>
        <v>S</v>
      </c>
      <c r="D38">
        <f t="shared" ca="1" si="19"/>
        <v>0</v>
      </c>
      <c r="E38">
        <f ca="1">IF($C38=1,OFFSET(E38,-1,0)+MAX(1,COUNTIF(QCI!$A$13:$A$24,OFFSET(ORÇAMENTO!E38,-1,0))),OFFSET(E38,-1,0))</f>
        <v>3</v>
      </c>
      <c r="F38">
        <f t="shared" ca="1" si="20"/>
        <v>1</v>
      </c>
      <c r="G38">
        <f t="shared" ca="1" si="21"/>
        <v>0</v>
      </c>
      <c r="H38">
        <f t="shared" ca="1" si="22"/>
        <v>0</v>
      </c>
      <c r="I38">
        <f t="shared" ca="1" si="23"/>
        <v>0</v>
      </c>
      <c r="J38">
        <f t="shared" ca="1" si="9"/>
        <v>0</v>
      </c>
      <c r="K38">
        <f ca="1">IF(OR($C38="S",$C38=0),0,MATCH(OFFSET($D38,0,$C38)+IF($C38&lt;&gt;1,1,COUNTIF(QCI!$A$13:$A$24,ORÇAMENTO!E38)),OFFSET($D38,1,$C38,ROW($C$162)-ROW($C38)),0))</f>
        <v>0</v>
      </c>
      <c r="L38" s="114" t="str">
        <f t="shared" ca="1" si="24"/>
        <v/>
      </c>
      <c r="M38" s="115" t="s">
        <v>705</v>
      </c>
      <c r="N38" s="116" t="str">
        <f t="shared" ca="1" si="25"/>
        <v>Serviço</v>
      </c>
      <c r="O38" s="117" t="str">
        <f t="shared" ca="1" si="26"/>
        <v>-</v>
      </c>
      <c r="P38" s="118" t="s">
        <v>750</v>
      </c>
      <c r="Q38" s="119">
        <v>96385</v>
      </c>
      <c r="R38" s="120" t="str" cm="1">
        <f t="array" aca="1" ref="R38" ca="1">IF($C38="S",REFERENCIA.Descricao,"(digite a descrição aqui)")</f>
        <v>(Código não identificado nas referências)</v>
      </c>
      <c r="S38" s="121" t="str" cm="1">
        <f t="array" aca="1" ref="S38" ca="1">REFERENCIA.Unidade</f>
        <v>-</v>
      </c>
      <c r="T38" s="122">
        <f ca="1">OFFSET(CÁLCULO!H$15,ROW($T38)-ROW(T$15),0)</f>
        <v>96</v>
      </c>
      <c r="U38" s="123">
        <f t="shared" ca="1" si="16"/>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27"/>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96385</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ca="1">ROUND(IF(ISNUMBER(ORÇAMENTO.OpcaoBDI),ORÇAMENTO.OpcaoBDI,IF(LEFT(ORÇAMENTO.OpcaoBDI,3)="BDI",HLOOKUP(ORÇAMENTO.OpcaoBDI,$F$4:$H$5,2,FALSE),0)),15-11*$AF$9)</f>
        <v>0.22</v>
      </c>
      <c r="AJ38" s="431">
        <f>12*2*4</f>
        <v>96</v>
      </c>
      <c r="AL38" s="439"/>
      <c r="AM38" s="336">
        <f t="shared" ca="1" si="0"/>
        <v>0</v>
      </c>
      <c r="AN38" s="470" cm="1">
        <f t="array" aca="1" ref="AN38" ca="1">ROUND(ORÇAMENTO.CustoUnitario*(1+$AH38),2)</f>
        <v>0</v>
      </c>
    </row>
    <row r="39" spans="1:40" x14ac:dyDescent="0.2">
      <c r="A39">
        <f t="shared" si="1"/>
        <v>2</v>
      </c>
      <c r="B39">
        <f t="shared" ca="1" si="2"/>
        <v>2</v>
      </c>
      <c r="C39">
        <f t="shared" ca="1" si="3"/>
        <v>2</v>
      </c>
      <c r="D39">
        <f t="shared" ca="1" si="4"/>
        <v>7</v>
      </c>
      <c r="E39">
        <f ca="1">IF($C39=1,OFFSET(E39,-1,0)+MAX(1,COUNTIF(QCI!$A$13:$A$24,OFFSET(ORÇAMENTO!E39,-1,0))),OFFSET(E39,-1,0))</f>
        <v>3</v>
      </c>
      <c r="F39">
        <f t="shared" ca="1" si="5"/>
        <v>2</v>
      </c>
      <c r="G39">
        <f t="shared" ca="1" si="6"/>
        <v>0</v>
      </c>
      <c r="H39">
        <f t="shared" ca="1" si="7"/>
        <v>0</v>
      </c>
      <c r="I39">
        <f t="shared" ca="1" si="8"/>
        <v>0</v>
      </c>
      <c r="J39">
        <f t="shared" ca="1" si="9"/>
        <v>7</v>
      </c>
      <c r="K39">
        <f ca="1">IF(OR($C39="S",$C39=0),0,MATCH(OFFSET($D39,0,$C39)+IF($C39&lt;&gt;1,1,COUNTIF(QCI!$A$13:$A$24,ORÇAMENTO!E39)),OFFSET($D39,1,$C39,ROW($C$162)-ROW($C39)),0))</f>
        <v>19</v>
      </c>
      <c r="L39" s="114" t="str">
        <f t="shared" ca="1" si="10"/>
        <v>F</v>
      </c>
      <c r="M39" s="115" t="s">
        <v>702</v>
      </c>
      <c r="N39" s="116" t="str">
        <f t="shared" ca="1" si="11"/>
        <v>Nível 2</v>
      </c>
      <c r="O39" s="117" t="str">
        <f t="shared" ca="1" si="12"/>
        <v>3.2.</v>
      </c>
      <c r="P39" s="118" t="s">
        <v>750</v>
      </c>
      <c r="Q39" s="119"/>
      <c r="R39" s="120" t="s">
        <v>1012</v>
      </c>
      <c r="S39" s="121" t="str" cm="1">
        <f t="array" aca="1" ref="S39" ca="1">REFERENCIA.Unidade</f>
        <v>-</v>
      </c>
      <c r="T39" s="122">
        <f ca="1">OFFSET(CÁLCULO!H$15,ROW($T39)-ROW(T$15),0)</f>
        <v>0</v>
      </c>
      <c r="U39" s="123">
        <f t="shared" ca="1" si="16"/>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8</v>
      </c>
      <c r="AE39" s="7" t="b" cm="1">
        <f t="array" aca="1" ref="AE39" ca="1">IF(AND($C39="S",ORÇAMENTO.CodBarra&lt;&gt;""),IF(ORÇAMENTO.Fonte="",ORÇAMENTO.CodBarra,CONCATENATE(ORÇAMENTO.Fonte," ",ORÇAMENTO.CodBarra)))</f>
        <v>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ca="1" si="14"/>
        <v>0.22</v>
      </c>
      <c r="AJ39" s="431"/>
      <c r="AL39" s="439"/>
      <c r="AM39" s="336">
        <f t="shared" ca="1" si="0"/>
        <v>0</v>
      </c>
      <c r="AN39" s="470" cm="1">
        <f t="array" aca="1" ref="AN39" ca="1">ROUND(ORÇAMENTO.CustoUnitario*(1+$AH39),2)</f>
        <v>0</v>
      </c>
    </row>
    <row r="40" spans="1:40" ht="51" x14ac:dyDescent="0.2">
      <c r="A40" t="str">
        <f t="shared" si="1"/>
        <v>S</v>
      </c>
      <c r="B40">
        <f t="shared" ca="1" si="2"/>
        <v>2</v>
      </c>
      <c r="C40" t="str">
        <f t="shared" ca="1" si="3"/>
        <v>S</v>
      </c>
      <c r="D40">
        <f t="shared" ca="1" si="4"/>
        <v>0</v>
      </c>
      <c r="E40">
        <f ca="1">IF($C40=1,OFFSET(E40,-1,0)+MAX(1,COUNTIF(QCI!$A$13:$A$24,OFFSET(ORÇAMENTO!E40,-1,0))),OFFSET(E40,-1,0))</f>
        <v>3</v>
      </c>
      <c r="F40">
        <f t="shared" ca="1" si="5"/>
        <v>2</v>
      </c>
      <c r="G40">
        <f t="shared" ca="1" si="6"/>
        <v>0</v>
      </c>
      <c r="H40">
        <f t="shared" ca="1" si="7"/>
        <v>0</v>
      </c>
      <c r="I40">
        <f t="shared" ca="1" si="8"/>
        <v>0</v>
      </c>
      <c r="J40">
        <f t="shared" ca="1" si="9"/>
        <v>0</v>
      </c>
      <c r="K40">
        <f ca="1">IF(OR($C40="S",$C40=0),0,MATCH(OFFSET($D40,0,$C40)+IF($C40&lt;&gt;1,1,COUNTIF(QCI!$A$13:$A$24,ORÇAMENTO!E40)),OFFSET($D40,1,$C40,ROW($C$162)-ROW($C40)),0))</f>
        <v>0</v>
      </c>
      <c r="L40" s="114" t="str">
        <f t="shared" ca="1" si="10"/>
        <v/>
      </c>
      <c r="M40" s="115" t="s">
        <v>705</v>
      </c>
      <c r="N40" s="116" t="str">
        <f t="shared" ca="1" si="11"/>
        <v>Serviço</v>
      </c>
      <c r="O40" s="117" t="str">
        <f t="shared" ca="1" si="12"/>
        <v>-</v>
      </c>
      <c r="P40" s="118" t="s">
        <v>750</v>
      </c>
      <c r="Q40" s="119" t="s">
        <v>1027</v>
      </c>
      <c r="R40" s="120" t="str" cm="1">
        <f t="array" aca="1" ref="R40" ca="1">IF($C40="S",REFERENCIA.Descricao,"(digite a descrição aqui)")</f>
        <v>(Código não identificado nas referências)</v>
      </c>
      <c r="S40" s="121" t="str" cm="1">
        <f t="array" aca="1" ref="S40" ca="1">REFERENCIA.Unidade</f>
        <v>-</v>
      </c>
      <c r="T40" s="122">
        <f ca="1">OFFSET(CÁLCULO!H$15,ROW($T40)-ROW(T$15),0)</f>
        <v>199.5</v>
      </c>
      <c r="U40" s="123">
        <f t="shared" ca="1" si="16"/>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102297</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4"/>
        <v>0.22</v>
      </c>
      <c r="AJ40" s="431">
        <f>14.3+185.2</f>
        <v>199.5</v>
      </c>
      <c r="AL40" s="439"/>
      <c r="AM40" s="336">
        <f t="shared" ca="1" si="0"/>
        <v>0</v>
      </c>
      <c r="AN40" s="470" cm="1">
        <f t="array" aca="1" ref="AN40" ca="1">ROUND(ORÇAMENTO.CustoUnitario*(1+$AH40),2)</f>
        <v>0</v>
      </c>
    </row>
    <row r="41" spans="1:40" ht="63.75" x14ac:dyDescent="0.2">
      <c r="A41" t="str">
        <f>CHOOSE(1+LOG(1+2*(ORÇAMENTO.Nivel="Meta")+4*(ORÇAMENTO.Nivel="Nível 2")+8*(ORÇAMENTO.Nivel="Nível 3")+16*(ORÇAMENTO.Nivel="Nível 4")+32*(ORÇAMENTO.Nivel="Serviço"),2),0,1,2,3,4,"S")</f>
        <v>S</v>
      </c>
      <c r="B41">
        <f ca="1">IF(OR(C41="s",C41=0),OFFSET(B41,-1,0),C41)</f>
        <v>2</v>
      </c>
      <c r="C41" t="str">
        <f ca="1">IF(OFFSET(C41,-1,0)="L",1,IF(OFFSET(C41,-1,0)=1,2,IF(OR(A41="s",A41=0),"S",IF(AND(OFFSET(C41,-1,0)=2,A41=4),3,IF(AND(OR(OFFSET(C41,-1,0)="s",OFFSET(C41,-1,0)=0),A41&lt;&gt;"s",A41&gt;OFFSET(B41,-1,0)),OFFSET(B41,-1,0),A41)))))</f>
        <v>S</v>
      </c>
      <c r="D41">
        <f ca="1">IF(OR(C41="S",C41=0),0,IF(ISERROR(K41),J41,SMALL(J41:K41,1)))</f>
        <v>0</v>
      </c>
      <c r="E41">
        <f ca="1">IF($C41=1,OFFSET(E41,-1,0)+MAX(1,COUNTIF(QCI!$A$13:$A$24,OFFSET(ORÇAMENTO!E41,-1,0))),OFFSET(E41,-1,0))</f>
        <v>3</v>
      </c>
      <c r="F41">
        <f ca="1">IF($C41=1,0,IF($C41=2,OFFSET(F41,-1,0)+1,OFFSET(F41,-1,0)))</f>
        <v>2</v>
      </c>
      <c r="G41">
        <f ca="1">IF(AND($C41&lt;=2,$C41&lt;&gt;0),0,IF($C41=3,OFFSET(G41,-1,0)+1,OFFSET(G41,-1,0)))</f>
        <v>0</v>
      </c>
      <c r="H41">
        <f ca="1">IF(AND($C41&lt;=3,$C41&lt;&gt;0),0,IF($C41=4,OFFSET(H41,-1,0)+1,OFFSET(H41,-1,0)))</f>
        <v>0</v>
      </c>
      <c r="I41">
        <f ca="1">IF(AND($C41&lt;=4,$C41&lt;&gt;0),0,IF(AND($C41="S",$X41&gt;0),OFFSET(I41,-1,0)+1,OFFSET(I41,-1,0)))</f>
        <v>0</v>
      </c>
      <c r="J41">
        <f t="shared" ca="1" si="9"/>
        <v>0</v>
      </c>
      <c r="K41">
        <f ca="1">IF(OR($C41="S",$C41=0),0,MATCH(OFFSET($D41,0,$C41)+IF($C41&lt;&gt;1,1,COUNTIF(QCI!$A$13:$A$24,ORÇAMENTO!E41)),OFFSET($D41,1,$C41,ROW($C$162)-ROW($C41)),0))</f>
        <v>0</v>
      </c>
      <c r="L41" s="114" t="str">
        <f ca="1">IF(OR($X41&gt;0,$C41=1,$C41=2,$C41=3,$C41=4),"F","")</f>
        <v/>
      </c>
      <c r="M41" s="115" t="s">
        <v>705</v>
      </c>
      <c r="N41" s="116" t="str">
        <f ca="1">CHOOSE(1+LOG(1+2*(C41=1)+4*(C41=2)+8*(C41=3)+16*(C41=4)+32*(C41="S"),2),"","Meta","Nível 2","Nível 3","Nível 4","Serviço")</f>
        <v>Serviço</v>
      </c>
      <c r="O41" s="117" t="str">
        <f ca="1">IF(OR($C41=0,$L41=""),"-",CONCATENATE(E41&amp;".",IF(AND($A$5&gt;=2,$C41&gt;=2),F41&amp;".",""),IF(AND($A$5&gt;=3,$C41&gt;=3),G41&amp;".",""),IF(AND($A$5&gt;=4,$C41&gt;=4),H41&amp;".",""),IF($C41="S",I41&amp;".","")))</f>
        <v>-</v>
      </c>
      <c r="P41" s="118" t="s">
        <v>750</v>
      </c>
      <c r="Q41" s="119" t="s">
        <v>1031</v>
      </c>
      <c r="R41" s="120" t="str" cm="1">
        <f t="array" aca="1" ref="R41" ca="1">IF($C41="S",REFERENCIA.Descricao,"(digite a descrição aqui)")</f>
        <v>(Código não identificado nas referências)</v>
      </c>
      <c r="S41" s="121" t="str" cm="1">
        <f t="array" aca="1" ref="S41" ca="1">REFERENCIA.Unidade</f>
        <v>-</v>
      </c>
      <c r="T41" s="122">
        <f ca="1">OFFSET(CÁLCULO!H$15,ROW($T41)-ROW(T$15),0)</f>
        <v>82.11</v>
      </c>
      <c r="U41" s="123">
        <f t="shared" ca="1" si="16"/>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ca="1">IF(AND($C41="S",$X41&gt;0),IF(ISBLANK($Y41),"RA",LEFT($Y41,2)),"")</f>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102293</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ca="1">ROUND(IF(ISNUMBER(ORÇAMENTO.OpcaoBDI),ORÇAMENTO.OpcaoBDI,IF(LEFT(ORÇAMENTO.OpcaoBDI,3)="BDI",HLOOKUP(ORÇAMENTO.OpcaoBDI,$F$4:$H$5,2,FALSE),0)),15-11*$AF$9)</f>
        <v>0.22</v>
      </c>
      <c r="AJ41" s="431">
        <f>AJ48</f>
        <v>82.11</v>
      </c>
      <c r="AL41" s="439"/>
      <c r="AM41" s="336">
        <f t="shared" ca="1" si="0"/>
        <v>0</v>
      </c>
      <c r="AN41" s="470" cm="1">
        <f t="array" aca="1" ref="AN41" ca="1">ROUND(ORÇAMENTO.CustoUnitario*(1+$AH41),2)</f>
        <v>0</v>
      </c>
    </row>
    <row r="42" spans="1:40" ht="51" x14ac:dyDescent="0.2">
      <c r="A42" t="str">
        <f>CHOOSE(1+LOG(1+2*(ORÇAMENTO.Nivel="Meta")+4*(ORÇAMENTO.Nivel="Nível 2")+8*(ORÇAMENTO.Nivel="Nível 3")+16*(ORÇAMENTO.Nivel="Nível 4")+32*(ORÇAMENTO.Nivel="Serviço"),2),0,1,2,3,4,"S")</f>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3</v>
      </c>
      <c r="F42">
        <f ca="1">IF($C42=1,0,IF($C42=2,OFFSET(F42,-1,0)+1,OFFSET(F42,-1,0)))</f>
        <v>2</v>
      </c>
      <c r="G42">
        <f ca="1">IF(AND($C42&lt;=2,$C42&lt;&gt;0),0,IF($C42=3,OFFSET(G42,-1,0)+1,OFFSET(G42,-1,0)))</f>
        <v>0</v>
      </c>
      <c r="H42">
        <f ca="1">IF(AND($C42&lt;=3,$C42&lt;&gt;0),0,IF($C42=4,OFFSET(H42,-1,0)+1,OFFSET(H42,-1,0)))</f>
        <v>0</v>
      </c>
      <c r="I42">
        <f ca="1">IF(AND($C42&lt;=4,$C42&lt;&gt;0),0,IF(AND($C42="S",$X42&gt;0),OFFSET(I42,-1,0)+1,OFFSET(I42,-1,0)))</f>
        <v>0</v>
      </c>
      <c r="J42">
        <f t="shared" ca="1" si="9"/>
        <v>0</v>
      </c>
      <c r="K42">
        <f ca="1">IF(OR($C42="S",$C42=0),0,MATCH(OFFSET($D42,0,$C42)+IF($C42&lt;&gt;1,1,COUNTIF(QCI!$A$13:$A$24,ORÇAMENTO!E42)),OFFSET($D42,1,$C42,ROW($C$162)-ROW($C42)),0))</f>
        <v>0</v>
      </c>
      <c r="L42" s="114" t="str">
        <f ca="1">IF(OR($X42&gt;0,$C42=1,$C42=2,$C42=3,$C42=4),"F","")</f>
        <v/>
      </c>
      <c r="M42" s="115" t="s">
        <v>705</v>
      </c>
      <c r="N42" s="116" t="str">
        <f ca="1">CHOOSE(1+LOG(1+2*(C42=1)+4*(C42=2)+8*(C42=3)+16*(C42=4)+32*(C42="S"),2),"","Meta","Nível 2","Nível 3","Nível 4","Serviço")</f>
        <v>Serviço</v>
      </c>
      <c r="O42" s="117" t="str">
        <f ca="1">IF(OR($C42=0,$L42=""),"-",CONCATENATE(E42&amp;".",IF(AND($A$5&gt;=2,$C42&gt;=2),F42&amp;".",""),IF(AND($A$5&gt;=3,$C42&gt;=3),G42&amp;".",""),IF(AND($A$5&gt;=4,$C42&gt;=4),H42&amp;".",""),IF($C42="S",I42&amp;".","")))</f>
        <v>-</v>
      </c>
      <c r="P42" s="118" t="s">
        <v>750</v>
      </c>
      <c r="Q42" s="119">
        <v>96385</v>
      </c>
      <c r="R42" s="120" t="str" cm="1">
        <f t="array" aca="1" ref="R42" ca="1">IF($C42="S",REFERENCIA.Descricao,"(digite a descrição aqui)")</f>
        <v>(Código não identificado nas referências)</v>
      </c>
      <c r="S42" s="121" t="str" cm="1">
        <f t="array" aca="1" ref="S42" ca="1">REFERENCIA.Unidade</f>
        <v>-</v>
      </c>
      <c r="T42" s="122">
        <f ca="1">OFFSET(CÁLCULO!H$15,ROW($T42)-ROW(T$15),0)</f>
        <v>237.03</v>
      </c>
      <c r="U42" s="123">
        <f t="shared" ca="1" si="16"/>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ca="1">IF(AND($C42="S",$X42&gt;0),IF(ISBLANK($Y42),"RA",LEFT($Y42,2)),"")</f>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96385</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ca="1">ROUND(IF(ISNUMBER(ORÇAMENTO.OpcaoBDI),ORÇAMENTO.OpcaoBDI,IF(LEFT(ORÇAMENTO.OpcaoBDI,3)="BDI",HLOOKUP(ORÇAMENTO.OpcaoBDI,$F$4:$H$5,2,FALSE),0)),15-11*$AF$9)</f>
        <v>0.22</v>
      </c>
      <c r="AJ42" s="431">
        <f>236.62+0.41</f>
        <v>237.03</v>
      </c>
      <c r="AL42" s="439"/>
      <c r="AM42" s="336">
        <f t="shared" ca="1" si="0"/>
        <v>0</v>
      </c>
      <c r="AN42" s="470" cm="1">
        <f t="array" aca="1" ref="AN42" ca="1">ROUND(ORÇAMENTO.CustoUnitario*(1+$AH42),2)</f>
        <v>0</v>
      </c>
    </row>
    <row r="43" spans="1:40" ht="38.25" x14ac:dyDescent="0.2">
      <c r="A43" t="str">
        <f>CHOOSE(1+LOG(1+2*(ORÇAMENTO.Nivel="Meta")+4*(ORÇAMENTO.Nivel="Nível 2")+8*(ORÇAMENTO.Nivel="Nível 3")+16*(ORÇAMENTO.Nivel="Nível 4")+32*(ORÇAMENTO.Nivel="Serviço"),2),0,1,2,3,4,"S")</f>
        <v>S</v>
      </c>
      <c r="B43">
        <f ca="1">IF(OR(C43="s",C43=0),OFFSET(B43,-1,0),C43)</f>
        <v>2</v>
      </c>
      <c r="C43" t="str">
        <f ca="1">IF(OFFSET(C43,-1,0)="L",1,IF(OFFSET(C43,-1,0)=1,2,IF(OR(A43="s",A43=0),"S",IF(AND(OFFSET(C43,-1,0)=2,A43=4),3,IF(AND(OR(OFFSET(C43,-1,0)="s",OFFSET(C43,-1,0)=0),A43&lt;&gt;"s",A43&gt;OFFSET(B43,-1,0)),OFFSET(B43,-1,0),A43)))))</f>
        <v>S</v>
      </c>
      <c r="D43">
        <f ca="1">IF(OR(C43="S",C43=0),0,IF(ISERROR(K43),J43,SMALL(J43:K43,1)))</f>
        <v>0</v>
      </c>
      <c r="E43">
        <f ca="1">IF($C43=1,OFFSET(E43,-1,0)+MAX(1,COUNTIF(QCI!$A$13:$A$24,OFFSET(ORÇAMENTO!E43,-1,0))),OFFSET(E43,-1,0))</f>
        <v>3</v>
      </c>
      <c r="F43">
        <f ca="1">IF($C43=1,0,IF($C43=2,OFFSET(F43,-1,0)+1,OFFSET(F43,-1,0)))</f>
        <v>2</v>
      </c>
      <c r="G43">
        <f ca="1">IF(AND($C43&lt;=2,$C43&lt;&gt;0),0,IF($C43=3,OFFSET(G43,-1,0)+1,OFFSET(G43,-1,0)))</f>
        <v>0</v>
      </c>
      <c r="H43">
        <f ca="1">IF(AND($C43&lt;=3,$C43&lt;&gt;0),0,IF($C43=4,OFFSET(H43,-1,0)+1,OFFSET(H43,-1,0)))</f>
        <v>0</v>
      </c>
      <c r="I43">
        <f ca="1">IF(AND($C43&lt;=4,$C43&lt;&gt;0),0,IF(AND($C43="S",$X43&gt;0),OFFSET(I43,-1,0)+1,OFFSET(I43,-1,0)))</f>
        <v>0</v>
      </c>
      <c r="J43">
        <f t="shared" ca="1" si="9"/>
        <v>0</v>
      </c>
      <c r="K43">
        <f ca="1">IF(OR($C43="S",$C43=0),0,MATCH(OFFSET($D43,0,$C43)+IF($C43&lt;&gt;1,1,COUNTIF(QCI!$A$13:$A$24,ORÇAMENTO!E43)),OFFSET($D43,1,$C43,ROW($C$162)-ROW($C43)),0))</f>
        <v>0</v>
      </c>
      <c r="L43" s="114" t="str">
        <f ca="1">IF(OR($X43&gt;0,$C43=1,$C43=2,$C43=3,$C43=4),"F","")</f>
        <v/>
      </c>
      <c r="M43" s="115" t="s">
        <v>705</v>
      </c>
      <c r="N43" s="116" t="str">
        <f ca="1">CHOOSE(1+LOG(1+2*(C43=1)+4*(C43=2)+8*(C43=3)+16*(C43=4)+32*(C43="S"),2),"","Meta","Nível 2","Nível 3","Nível 4","Serviço")</f>
        <v>Serviço</v>
      </c>
      <c r="O43" s="117" t="str">
        <f ca="1">IF(OR($C43=0,$L43=""),"-",CONCATENATE(E43&amp;".",IF(AND($A$5&gt;=2,$C43&gt;=2),F43&amp;".",""),IF(AND($A$5&gt;=3,$C43&gt;=3),G43&amp;".",""),IF(AND($A$5&gt;=4,$C43&gt;=4),H43&amp;".",""),IF($C43="S",I43&amp;".","")))</f>
        <v>-</v>
      </c>
      <c r="P43" s="118" t="s">
        <v>956</v>
      </c>
      <c r="Q43" s="119" t="s">
        <v>1077</v>
      </c>
      <c r="R43" s="120" t="str" cm="1">
        <f t="array" aca="1" ref="R43" ca="1">IF($C43="S",REFERENCIA.Descricao,"(digite a descrição aqui)")</f>
        <v>(Código não identificado nas referências)</v>
      </c>
      <c r="S43" s="121" t="str" cm="1">
        <f t="array" aca="1" ref="S43" ca="1">REFERENCIA.Unidade</f>
        <v>-</v>
      </c>
      <c r="T43" s="122">
        <f ca="1">OFFSET(CÁLCULO!H$15,ROW($T43)-ROW(T$15),0)</f>
        <v>37.53</v>
      </c>
      <c r="U43" s="123">
        <f t="shared" ca="1" si="16"/>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ca="1">IF(AND($C43="S",$X43&gt;0),IF(ISBLANK($Y43),"RA",LEFT($Y43,2)),"")</f>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Composição CPU-001</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ca="1">ROUND(IF(ISNUMBER(ORÇAMENTO.OpcaoBDI),ORÇAMENTO.OpcaoBDI,IF(LEFT(ORÇAMENTO.OpcaoBDI,3)="BDI",HLOOKUP(ORÇAMENTO.OpcaoBDI,$F$4:$H$5,2,FALSE),0)),15-11*$AF$9)</f>
        <v>0.22</v>
      </c>
      <c r="AJ43" s="431">
        <f>AJ42-AJ40</f>
        <v>37.53</v>
      </c>
      <c r="AL43" s="439"/>
      <c r="AM43" s="336">
        <f t="shared" ca="1" si="0"/>
        <v>0</v>
      </c>
      <c r="AN43" s="470" cm="1">
        <f t="array" aca="1" ref="AN43" ca="1">ROUND(ORÇAMENTO.CustoUnitario*(1+$AH43),2)</f>
        <v>0</v>
      </c>
    </row>
    <row r="44" spans="1:40" ht="51" x14ac:dyDescent="0.2">
      <c r="A44" t="str">
        <f t="shared" si="1"/>
        <v>S</v>
      </c>
      <c r="B44">
        <f t="shared" ca="1" si="2"/>
        <v>2</v>
      </c>
      <c r="C44" t="str">
        <f t="shared" ca="1" si="3"/>
        <v>S</v>
      </c>
      <c r="D44">
        <f t="shared" ca="1" si="4"/>
        <v>0</v>
      </c>
      <c r="E44">
        <f ca="1">IF($C44=1,OFFSET(E44,-1,0)+MAX(1,COUNTIF(QCI!$A$13:$A$24,OFFSET(ORÇAMENTO!E44,-1,0))),OFFSET(E44,-1,0))</f>
        <v>3</v>
      </c>
      <c r="F44">
        <f t="shared" ca="1" si="5"/>
        <v>2</v>
      </c>
      <c r="G44">
        <f t="shared" ca="1" si="6"/>
        <v>0</v>
      </c>
      <c r="H44">
        <f t="shared" ca="1" si="7"/>
        <v>0</v>
      </c>
      <c r="I44">
        <f t="shared" ca="1" si="8"/>
        <v>0</v>
      </c>
      <c r="J44">
        <f t="shared" ca="1" si="9"/>
        <v>0</v>
      </c>
      <c r="K44">
        <f ca="1">IF(OR($C44="S",$C44=0),0,MATCH(OFFSET($D44,0,$C44)+IF($C44&lt;&gt;1,1,COUNTIF(QCI!$A$13:$A$24,ORÇAMENTO!E44)),OFFSET($D44,1,$C44,ROW($C$162)-ROW($C44)),0))</f>
        <v>0</v>
      </c>
      <c r="L44" s="114" t="str">
        <f t="shared" ca="1" si="10"/>
        <v/>
      </c>
      <c r="M44" s="115" t="s">
        <v>705</v>
      </c>
      <c r="N44" s="116" t="str">
        <f t="shared" ca="1" si="11"/>
        <v>Serviço</v>
      </c>
      <c r="O44" s="117" t="str">
        <f t="shared" ca="1" si="12"/>
        <v>-</v>
      </c>
      <c r="P44" s="118" t="s">
        <v>750</v>
      </c>
      <c r="Q44" s="119">
        <v>100983</v>
      </c>
      <c r="R44" s="120" t="str" cm="1">
        <f t="array" aca="1" ref="R44" ca="1">IF($C44="S",REFERENCIA.Descricao,"(digite a descrição aqui)")</f>
        <v>(Código não identificado nas referências)</v>
      </c>
      <c r="S44" s="121" t="str" cm="1">
        <f t="array" aca="1" ref="S44" ca="1">REFERENCIA.Unidade</f>
        <v>-</v>
      </c>
      <c r="T44" s="122">
        <f ca="1">OFFSET(CÁLCULO!H$15,ROW($T44)-ROW(T$15),0)</f>
        <v>119.64</v>
      </c>
      <c r="U44" s="123">
        <f t="shared" ca="1" si="16"/>
        <v>0</v>
      </c>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100983</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4"/>
        <v>0.22</v>
      </c>
      <c r="AJ44" s="431">
        <f>AJ41+AJ43</f>
        <v>119.64</v>
      </c>
      <c r="AL44" s="439"/>
      <c r="AM44" s="336">
        <f t="shared" ca="1" si="0"/>
        <v>0</v>
      </c>
      <c r="AN44" s="470" cm="1">
        <f t="array" aca="1" ref="AN44" ca="1">ROUND(ORÇAMENTO.CustoUnitario*(1+$AH44),2)</f>
        <v>0</v>
      </c>
    </row>
    <row r="45" spans="1:40" ht="38.25" x14ac:dyDescent="0.2">
      <c r="A45" t="str">
        <f>CHOOSE(1+LOG(1+2*(ORÇAMENTO.Nivel="Meta")+4*(ORÇAMENTO.Nivel="Nível 2")+8*(ORÇAMENTO.Nivel="Nível 3")+16*(ORÇAMENTO.Nivel="Nível 4")+32*(ORÇAMENTO.Nivel="Serviço"),2),0,1,2,3,4,"S")</f>
        <v>S</v>
      </c>
      <c r="B45">
        <f ca="1">IF(OR(C45="s",C45=0),OFFSET(B45,-1,0),C45)</f>
        <v>2</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3</v>
      </c>
      <c r="F45">
        <f ca="1">IF($C45=1,0,IF($C45=2,OFFSET(F45,-1,0)+1,OFFSET(F45,-1,0)))</f>
        <v>2</v>
      </c>
      <c r="G45">
        <f ca="1">IF(AND($C45&lt;=2,$C45&lt;&gt;0),0,IF($C45=3,OFFSET(G45,-1,0)+1,OFFSET(G45,-1,0)))</f>
        <v>0</v>
      </c>
      <c r="H45">
        <f ca="1">IF(AND($C45&lt;=3,$C45&lt;&gt;0),0,IF($C45=4,OFFSET(H45,-1,0)+1,OFFSET(H45,-1,0)))</f>
        <v>0</v>
      </c>
      <c r="I45">
        <f ca="1">IF(AND($C45&lt;=4,$C45&lt;&gt;0),0,IF(AND($C45="S",$X45&gt;0),OFFSET(I45,-1,0)+1,OFFSET(I45,-1,0)))</f>
        <v>0</v>
      </c>
      <c r="J45">
        <f t="shared" ca="1" si="9"/>
        <v>0</v>
      </c>
      <c r="K45">
        <f ca="1">IF(OR($C45="S",$C45=0),0,MATCH(OFFSET($D45,0,$C45)+IF($C45&lt;&gt;1,1,COUNTIF(QCI!$A$13:$A$24,ORÇAMENTO!E45)),OFFSET($D45,1,$C45,ROW($C$162)-ROW($C45)),0))</f>
        <v>0</v>
      </c>
      <c r="L45" s="114" t="str">
        <f ca="1">IF(OR($X45&gt;0,$C45=1,$C45=2,$C45=3,$C45=4),"F","")</f>
        <v/>
      </c>
      <c r="M45" s="115" t="s">
        <v>705</v>
      </c>
      <c r="N45" s="116" t="str">
        <f ca="1">CHOOSE(1+LOG(1+2*(C45=1)+4*(C45=2)+8*(C45=3)+16*(C45=4)+32*(C45="S"),2),"","Meta","Nível 2","Nível 3","Nível 4","Serviço")</f>
        <v>Serviço</v>
      </c>
      <c r="O45" s="117" t="str">
        <f ca="1">IF(OR($C45=0,$L45=""),"-",CONCATENATE(E45&amp;".",IF(AND($A$5&gt;=2,$C45&gt;=2),F45&amp;".",""),IF(AND($A$5&gt;=3,$C45&gt;=3),G45&amp;".",""),IF(AND($A$5&gt;=4,$C45&gt;=4),H45&amp;".",""),IF($C45="S",I45&amp;".","")))</f>
        <v>-</v>
      </c>
      <c r="P45" s="118" t="s">
        <v>750</v>
      </c>
      <c r="Q45" s="119" t="s">
        <v>1030</v>
      </c>
      <c r="R45" s="120" t="str" cm="1">
        <f t="array" aca="1" ref="R45" ca="1">IF($C45="S",REFERENCIA.Descricao,"(digite a descrição aqui)")</f>
        <v>(Código não identificado nas referências)</v>
      </c>
      <c r="S45" s="121" t="str" cm="1">
        <f t="array" aca="1" ref="S45" ca="1">REFERENCIA.Unidade</f>
        <v>-</v>
      </c>
      <c r="T45" s="122">
        <f ca="1">OFFSET(CÁLCULO!H$15,ROW($T45)-ROW(T$15),0)</f>
        <v>1196.4000000000001</v>
      </c>
      <c r="U45" s="123">
        <f t="shared" ca="1" si="16"/>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ca="1">IF(AND($C45="S",$X45&gt;0),IF(ISBLANK($Y45),"RA",LEFT($Y45,2)),"")</f>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CÓDIGO N/ID</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93592</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ca="1">ROUND(IF(ISNUMBER(ORÇAMENTO.OpcaoBDI),ORÇAMENTO.OpcaoBDI,IF(LEFT(ORÇAMENTO.OpcaoBDI,3)="BDI",HLOOKUP(ORÇAMENTO.OpcaoBDI,$F$4:$H$5,2,FALSE),0)),15-11*$AF$9)</f>
        <v>0.22</v>
      </c>
      <c r="AJ45" s="431">
        <f>AJ44*10</f>
        <v>1196.4000000000001</v>
      </c>
      <c r="AL45" s="439"/>
      <c r="AM45" s="336">
        <f t="shared" ca="1" si="0"/>
        <v>0</v>
      </c>
      <c r="AN45" s="470" cm="1">
        <f t="array" aca="1" ref="AN45" ca="1">ROUND(ORÇAMENTO.CustoUnitario*(1+$AH45),2)</f>
        <v>0</v>
      </c>
    </row>
    <row r="46" spans="1:40" x14ac:dyDescent="0.2">
      <c r="A46">
        <f t="shared" si="1"/>
        <v>1</v>
      </c>
      <c r="B46">
        <f t="shared" ca="1" si="2"/>
        <v>1</v>
      </c>
      <c r="C46">
        <f t="shared" ca="1" si="3"/>
        <v>1</v>
      </c>
      <c r="D46">
        <f t="shared" ca="1" si="4"/>
        <v>5</v>
      </c>
      <c r="E46">
        <f ca="1">IF($C46=1,OFFSET(E46,-1,0)+MAX(1,COUNTIF(QCI!$A$13:$A$24,OFFSET(ORÇAMENTO!E46,-1,0))),OFFSET(E46,-1,0))</f>
        <v>4</v>
      </c>
      <c r="F46">
        <f t="shared" ca="1" si="5"/>
        <v>0</v>
      </c>
      <c r="G46">
        <f t="shared" ca="1" si="6"/>
        <v>0</v>
      </c>
      <c r="H46">
        <f t="shared" ca="1" si="7"/>
        <v>0</v>
      </c>
      <c r="I46">
        <f t="shared" ca="1" si="8"/>
        <v>0</v>
      </c>
      <c r="J46">
        <f t="shared" ca="1" si="9"/>
        <v>116</v>
      </c>
      <c r="K46">
        <f ca="1">IF(OR($C46="S",$C46=0),0,MATCH(OFFSET($D46,0,$C46)+IF($C46&lt;&gt;1,1,COUNTIF(QCI!$A$13:$A$24,ORÇAMENTO!E46)),OFFSET($D46,1,$C46,ROW($C$162)-ROW($C46)),0))</f>
        <v>5</v>
      </c>
      <c r="L46" s="114" t="str">
        <f t="shared" ca="1" si="10"/>
        <v>F</v>
      </c>
      <c r="M46" s="115" t="s">
        <v>701</v>
      </c>
      <c r="N46" s="116" t="str">
        <f t="shared" ca="1" si="11"/>
        <v>Meta</v>
      </c>
      <c r="O46" s="117" t="str">
        <f t="shared" ca="1" si="12"/>
        <v>4.</v>
      </c>
      <c r="P46" s="118" t="s">
        <v>750</v>
      </c>
      <c r="Q46" s="119"/>
      <c r="R46" s="120" t="s">
        <v>1028</v>
      </c>
      <c r="S46" s="121" t="str" cm="1">
        <f t="array" aca="1" ref="S46" ca="1">REFERENCIA.Unidade</f>
        <v>-</v>
      </c>
      <c r="T46" s="122">
        <f ca="1">OFFSET(CÁLCULO!H$15,ROW($T46)-ROW(T$15),0)</f>
        <v>0</v>
      </c>
      <c r="U46" s="123">
        <f t="shared" ca="1" si="16"/>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f ca="1">IF(C46&lt;=CRONO.NivelExibicao,MAX($AD$15:OFFSET(AD46,-1,0))+IF($C46&lt;&gt;1,1,MAX(1,COUNTIF(QCI!$A$13:$A$24,OFFSET($E46,-1,0)))),"")</f>
        <v>9</v>
      </c>
      <c r="AE46" s="7" t="b" cm="1">
        <f t="array" aca="1" ref="AE46" ca="1">IF(AND($C46="S",ORÇAMENTO.CodBarra&lt;&gt;""),IF(ORÇAMENTO.Fonte="",ORÇAMENTO.CodBarra,CONCATENATE(ORÇAMENTO.Fonte," ",ORÇAMENTO.CodBarra)))</f>
        <v>0</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(Sem Código)</v>
      </c>
      <c r="AG46" s="428" cm="1">
        <f t="array" aca="1" ref="AG46" ca="1">ROUND(IF(DESONERACAO="sim",REFERENCIA.Desonerado,REFERENCIA.NaoDesonerado),2)</f>
        <v>0</v>
      </c>
      <c r="AH46" s="429">
        <f t="shared" ca="1" si="14"/>
        <v>0.22</v>
      </c>
      <c r="AJ46" s="431"/>
      <c r="AL46" s="439"/>
      <c r="AM46" s="336">
        <f t="shared" ca="1" si="0"/>
        <v>0</v>
      </c>
      <c r="AN46" s="470" cm="1">
        <f t="array" aca="1" ref="AN46" ca="1">ROUND(ORÇAMENTO.CustoUnitario*(1+$AH46),2)</f>
        <v>0</v>
      </c>
    </row>
    <row r="47" spans="1:40" x14ac:dyDescent="0.2">
      <c r="A47">
        <f t="shared" si="1"/>
        <v>2</v>
      </c>
      <c r="B47">
        <f t="shared" ca="1" si="2"/>
        <v>2</v>
      </c>
      <c r="C47">
        <f t="shared" ca="1" si="3"/>
        <v>2</v>
      </c>
      <c r="D47">
        <f t="shared" ca="1" si="4"/>
        <v>4</v>
      </c>
      <c r="E47">
        <f ca="1">IF($C47=1,OFFSET(E47,-1,0)+MAX(1,COUNTIF(QCI!$A$13:$A$24,OFFSET(ORÇAMENTO!E47,-1,0))),OFFSET(E47,-1,0))</f>
        <v>4</v>
      </c>
      <c r="F47">
        <f t="shared" ca="1" si="5"/>
        <v>1</v>
      </c>
      <c r="G47">
        <f t="shared" ca="1" si="6"/>
        <v>0</v>
      </c>
      <c r="H47">
        <f t="shared" ca="1" si="7"/>
        <v>0</v>
      </c>
      <c r="I47">
        <f t="shared" ca="1" si="8"/>
        <v>0</v>
      </c>
      <c r="J47">
        <f t="shared" ca="1" si="9"/>
        <v>4</v>
      </c>
      <c r="K47">
        <f ca="1">IF(OR($C47="S",$C47=0),0,MATCH(OFFSET($D47,0,$C47)+IF($C47&lt;&gt;1,1,COUNTIF(QCI!$A$13:$A$24,ORÇAMENTO!E47)),OFFSET($D47,1,$C47,ROW($C$162)-ROW($C47)),0))</f>
        <v>7</v>
      </c>
      <c r="L47" s="114" t="str">
        <f t="shared" ca="1" si="10"/>
        <v>F</v>
      </c>
      <c r="M47" s="115" t="s">
        <v>702</v>
      </c>
      <c r="N47" s="116" t="str">
        <f t="shared" ca="1" si="11"/>
        <v>Nível 2</v>
      </c>
      <c r="O47" s="117" t="str">
        <f t="shared" ca="1" si="12"/>
        <v>4.1.</v>
      </c>
      <c r="P47" s="118" t="s">
        <v>750</v>
      </c>
      <c r="Q47" s="119">
        <v>100576</v>
      </c>
      <c r="R47" s="120" t="s">
        <v>1028</v>
      </c>
      <c r="S47" s="121" t="str" cm="1">
        <f t="array" aca="1" ref="S47" ca="1">REFERENCIA.Unidade</f>
        <v>-</v>
      </c>
      <c r="T47" s="122">
        <f ca="1">OFFSET(CÁLCULO!H$15,ROW($T47)-ROW(T$15),0)</f>
        <v>0</v>
      </c>
      <c r="U47" s="123">
        <f t="shared" ca="1" si="16"/>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10</v>
      </c>
      <c r="AE47" s="7" t="b" cm="1">
        <f t="array" aca="1" ref="AE47" ca="1">IF(AND($C47="S",ORÇAMENTO.CodBarra&lt;&gt;""),IF(ORÇAMENTO.Fonte="",ORÇAMENTO.CodBarra,CONCATENATE(ORÇAMENTO.Fonte," ",ORÇAMENTO.CodBarra)))</f>
        <v>0</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0.22</v>
      </c>
      <c r="AJ47" s="431"/>
      <c r="AL47" s="439"/>
      <c r="AM47" s="336">
        <f t="shared" ca="1" si="0"/>
        <v>0</v>
      </c>
      <c r="AN47" s="470" cm="1">
        <f t="array" aca="1" ref="AN47" ca="1">ROUND(ORÇAMENTO.CustoUnitario*(1+$AH47),2)</f>
        <v>0</v>
      </c>
    </row>
    <row r="48" spans="1:40" ht="25.5" x14ac:dyDescent="0.2">
      <c r="A48" t="str">
        <f t="shared" si="1"/>
        <v>S</v>
      </c>
      <c r="B48">
        <f t="shared" ca="1" si="2"/>
        <v>2</v>
      </c>
      <c r="C48" t="str">
        <f t="shared" ca="1" si="3"/>
        <v>S</v>
      </c>
      <c r="D48">
        <f t="shared" ca="1" si="4"/>
        <v>0</v>
      </c>
      <c r="E48">
        <f ca="1">IF($C48=1,OFFSET(E48,-1,0)+MAX(1,COUNTIF(QCI!$A$13:$A$24,OFFSET(ORÇAMENTO!E48,-1,0))),OFFSET(E48,-1,0))</f>
        <v>4</v>
      </c>
      <c r="F48">
        <f t="shared" ca="1" si="5"/>
        <v>1</v>
      </c>
      <c r="G48">
        <f t="shared" ca="1" si="6"/>
        <v>0</v>
      </c>
      <c r="H48">
        <f t="shared" ca="1" si="7"/>
        <v>0</v>
      </c>
      <c r="I48">
        <f t="shared" ca="1" si="8"/>
        <v>0</v>
      </c>
      <c r="J48">
        <f t="shared" ref="J48:J79" ca="1" si="28">IF(OR($C48="S",$C48=0),0,MATCH(0,OFFSET($D48,1,$C48,ROW($C$162)-ROW($C48)),0))</f>
        <v>0</v>
      </c>
      <c r="K48">
        <f ca="1">IF(OR($C48="S",$C48=0),0,MATCH(OFFSET($D48,0,$C48)+IF($C48&lt;&gt;1,1,COUNTIF(QCI!$A$13:$A$24,ORÇAMENTO!E48)),OFFSET($D48,1,$C48,ROW($C$162)-ROW($C48)),0))</f>
        <v>0</v>
      </c>
      <c r="L48" s="114" t="str">
        <f t="shared" ca="1" si="10"/>
        <v/>
      </c>
      <c r="M48" s="115" t="s">
        <v>705</v>
      </c>
      <c r="N48" s="116" t="str">
        <f t="shared" ca="1" si="11"/>
        <v>Serviço</v>
      </c>
      <c r="O48" s="117" t="str">
        <f t="shared" ca="1" si="12"/>
        <v>-</v>
      </c>
      <c r="P48" s="118" t="s">
        <v>955</v>
      </c>
      <c r="Q48" s="119" t="s">
        <v>1053</v>
      </c>
      <c r="R48" s="120" t="str" cm="1">
        <f t="array" aca="1" ref="R48" ca="1">IF($C48="S",REFERENCIA.Descricao,"(digite a descrição aqui)")</f>
        <v>(Código não identificado nas referências)</v>
      </c>
      <c r="S48" s="121" t="str" cm="1">
        <f t="array" aca="1" ref="S48" ca="1">REFERENCIA.Unidade</f>
        <v>-</v>
      </c>
      <c r="T48" s="122">
        <f ca="1">OFFSET(CÁLCULO!H$15,ROW($T48)-ROW(T$15),0)</f>
        <v>82.11</v>
      </c>
      <c r="U48" s="123">
        <f t="shared" ca="1" si="16"/>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SICRO 1505860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4"/>
        <v>0.22</v>
      </c>
      <c r="AJ48" s="431">
        <f>(11*3.5)+(43.61)</f>
        <v>82.11</v>
      </c>
      <c r="AL48" s="439"/>
      <c r="AM48" s="336">
        <f t="shared" ca="1" si="0"/>
        <v>0</v>
      </c>
      <c r="AN48" s="470" cm="1">
        <f t="array" aca="1" ref="AN48" ca="1">ROUND(ORÇAMENTO.CustoUnitario*(1+$AH48),2)</f>
        <v>0</v>
      </c>
    </row>
    <row r="49" spans="1:40" ht="25.5" x14ac:dyDescent="0.2">
      <c r="A49" t="str">
        <f t="shared" si="1"/>
        <v>S</v>
      </c>
      <c r="B49">
        <f t="shared" ca="1" si="2"/>
        <v>2</v>
      </c>
      <c r="C49" t="str">
        <f t="shared" ca="1" si="3"/>
        <v>S</v>
      </c>
      <c r="D49">
        <f t="shared" ca="1" si="4"/>
        <v>0</v>
      </c>
      <c r="E49">
        <f ca="1">IF($C49=1,OFFSET(E49,-1,0)+MAX(1,COUNTIF(QCI!$A$13:$A$24,OFFSET(ORÇAMENTO!E49,-1,0))),OFFSET(E49,-1,0))</f>
        <v>4</v>
      </c>
      <c r="F49">
        <f t="shared" ca="1" si="5"/>
        <v>1</v>
      </c>
      <c r="G49">
        <f t="shared" ca="1" si="6"/>
        <v>0</v>
      </c>
      <c r="H49">
        <f t="shared" ca="1" si="7"/>
        <v>0</v>
      </c>
      <c r="I49">
        <f t="shared" ca="1" si="8"/>
        <v>0</v>
      </c>
      <c r="J49">
        <f t="shared" ca="1" si="28"/>
        <v>0</v>
      </c>
      <c r="K49">
        <f ca="1">IF(OR($C49="S",$C49=0),0,MATCH(OFFSET($D49,0,$C49)+IF($C49&lt;&gt;1,1,COUNTIF(QCI!$A$13:$A$24,ORÇAMENTO!E49)),OFFSET($D49,1,$C49,ROW($C$162)-ROW($C49)),0))</f>
        <v>0</v>
      </c>
      <c r="L49" s="114" t="str">
        <f t="shared" ca="1" si="10"/>
        <v/>
      </c>
      <c r="M49" s="115" t="s">
        <v>705</v>
      </c>
      <c r="N49" s="116" t="str">
        <f t="shared" ca="1" si="11"/>
        <v>Serviço</v>
      </c>
      <c r="O49" s="117" t="str">
        <f t="shared" ca="1" si="12"/>
        <v>-</v>
      </c>
      <c r="P49" s="118" t="s">
        <v>955</v>
      </c>
      <c r="Q49" s="119" t="s">
        <v>1029</v>
      </c>
      <c r="R49" s="120" t="str" cm="1">
        <f t="array" aca="1" ref="R49" ca="1">IF($C49="S",REFERENCIA.Descricao,"(digite a descrição aqui)")</f>
        <v>(Código não identificado nas referências)</v>
      </c>
      <c r="S49" s="121" t="str" cm="1">
        <f t="array" aca="1" ref="S49" ca="1">REFERENCIA.Unidade</f>
        <v>-</v>
      </c>
      <c r="T49" s="122">
        <f ca="1">OFFSET(CÁLCULO!H$15,ROW($T49)-ROW(T$15),0)</f>
        <v>205.28</v>
      </c>
      <c r="U49" s="123">
        <f t="shared" ca="1" si="16"/>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SICRO 5915405</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4"/>
        <v>0.22</v>
      </c>
      <c r="AJ49" s="431">
        <f>AJ48*2.5</f>
        <v>205.27500000000001</v>
      </c>
      <c r="AL49" s="439"/>
      <c r="AM49" s="336">
        <f t="shared" ca="1" si="0"/>
        <v>0</v>
      </c>
      <c r="AN49" s="470" cm="1">
        <f t="array" aca="1" ref="AN49" ca="1">ROUND(ORÇAMENTO.CustoUnitario*(1+$AH49),2)</f>
        <v>0</v>
      </c>
    </row>
    <row r="50" spans="1:40" ht="38.25" x14ac:dyDescent="0.2">
      <c r="A50" t="str">
        <f>CHOOSE(1+LOG(1+2*(ORÇAMENTO.Nivel="Meta")+4*(ORÇAMENTO.Nivel="Nível 2")+8*(ORÇAMENTO.Nivel="Nível 3")+16*(ORÇAMENTO.Nivel="Nível 4")+32*(ORÇAMENTO.Nivel="Serviço"),2),0,1,2,3,4,"S")</f>
        <v>S</v>
      </c>
      <c r="B50">
        <f ca="1">IF(OR(C50="s",C50=0),OFFSET(B50,-1,0),C50)</f>
        <v>2</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4</v>
      </c>
      <c r="F50">
        <f ca="1">IF($C50=1,0,IF($C50=2,OFFSET(F50,-1,0)+1,OFFSET(F50,-1,0)))</f>
        <v>1</v>
      </c>
      <c r="G50">
        <f ca="1">IF(AND($C50&lt;=2,$C50&lt;&gt;0),0,IF($C50=3,OFFSET(G50,-1,0)+1,OFFSET(G50,-1,0)))</f>
        <v>0</v>
      </c>
      <c r="H50">
        <f ca="1">IF(AND($C50&lt;=3,$C50&lt;&gt;0),0,IF($C50=4,OFFSET(H50,-1,0)+1,OFFSET(H50,-1,0)))</f>
        <v>0</v>
      </c>
      <c r="I50">
        <f ca="1">IF(AND($C50&lt;=4,$C50&lt;&gt;0),0,IF(AND($C50="S",$X50&gt;0),OFFSET(I50,-1,0)+1,OFFSET(I50,-1,0)))</f>
        <v>0</v>
      </c>
      <c r="J50">
        <f t="shared" ca="1" si="28"/>
        <v>0</v>
      </c>
      <c r="K50">
        <f ca="1">IF(OR($C50="S",$C50=0),0,MATCH(OFFSET($D50,0,$C50)+IF($C50&lt;&gt;1,1,COUNTIF(QCI!$A$13:$A$24,ORÇAMENTO!E50)),OFFSET($D50,1,$C50,ROW($C$162)-ROW($C50)),0))</f>
        <v>0</v>
      </c>
      <c r="L50" s="114" t="str">
        <f ca="1">IF(OR($X50&gt;0,$C50=1,$C50=2,$C50=3,$C50=4),"F","")</f>
        <v/>
      </c>
      <c r="M50" s="115" t="s">
        <v>705</v>
      </c>
      <c r="N50" s="116" t="str">
        <f ca="1">CHOOSE(1+LOG(1+2*(C50=1)+4*(C50=2)+8*(C50=3)+16*(C50=4)+32*(C50="S"),2),"","Meta","Nível 2","Nível 3","Nível 4","Serviço")</f>
        <v>Serviço</v>
      </c>
      <c r="O50" s="117" t="str">
        <f ca="1">IF(OR($C50=0,$L50=""),"-",CONCATENATE(E50&amp;".",IF(AND($A$5&gt;=2,$C50&gt;=2),F50&amp;".",""),IF(AND($A$5&gt;=3,$C50&gt;=3),G50&amp;".",""),IF(AND($A$5&gt;=4,$C50&gt;=4),H50&amp;".",""),IF($C50="S",I50&amp;".","")))</f>
        <v>-</v>
      </c>
      <c r="P50" s="118" t="s">
        <v>750</v>
      </c>
      <c r="Q50" s="119" t="s">
        <v>1030</v>
      </c>
      <c r="R50" s="120" t="str" cm="1">
        <f t="array" aca="1" ref="R50" ca="1">IF($C50="S",REFERENCIA.Descricao,"(digite a descrição aqui)")</f>
        <v>(Código não identificado nas referências)</v>
      </c>
      <c r="S50" s="121" t="str" cm="1">
        <f t="array" aca="1" ref="S50" ca="1">REFERENCIA.Unidade</f>
        <v>-</v>
      </c>
      <c r="T50" s="122">
        <f ca="1">OFFSET(CÁLCULO!H$15,ROW($T50)-ROW(T$15),0)</f>
        <v>1642.2</v>
      </c>
      <c r="U50" s="123">
        <f t="shared" ca="1" si="16"/>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ca="1">IF(AND($C50="S",$X50&gt;0),IF(ISBLANK($Y50),"RA",LEFT($Y50,2)),"")</f>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CÓDIGO N/ID</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93592</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ca="1">ROUND(IF(ISNUMBER(ORÇAMENTO.OpcaoBDI),ORÇAMENTO.OpcaoBDI,IF(LEFT(ORÇAMENTO.OpcaoBDI,3)="BDI",HLOOKUP(ORÇAMENTO.OpcaoBDI,$F$4:$H$5,2,FALSE),0)),15-11*$AF$9)</f>
        <v>0.22</v>
      </c>
      <c r="AJ50" s="431">
        <f>AJ48*20</f>
        <v>1642.2</v>
      </c>
      <c r="AL50" s="439"/>
      <c r="AM50" s="336">
        <f t="shared" ref="AM50" ca="1" si="29">$X50</f>
        <v>0</v>
      </c>
      <c r="AN50" s="470" cm="1">
        <f t="array" aca="1" ref="AN50" ca="1">ROUND(ORÇAMENTO.CustoUnitario*(1+$AH50),2)</f>
        <v>0</v>
      </c>
    </row>
    <row r="51" spans="1:40" x14ac:dyDescent="0.2">
      <c r="A51">
        <f t="shared" si="1"/>
        <v>1</v>
      </c>
      <c r="B51">
        <f t="shared" ca="1" si="2"/>
        <v>1</v>
      </c>
      <c r="C51">
        <f t="shared" ca="1" si="3"/>
        <v>1</v>
      </c>
      <c r="D51">
        <f t="shared" ca="1" si="4"/>
        <v>13</v>
      </c>
      <c r="E51">
        <f ca="1">IF($C51=1,OFFSET(E51,-1,0)+MAX(1,COUNTIF(QCI!$A$13:$A$24,OFFSET(ORÇAMENTO!E51,-1,0))),OFFSET(E51,-1,0))</f>
        <v>5</v>
      </c>
      <c r="F51">
        <f t="shared" ca="1" si="5"/>
        <v>0</v>
      </c>
      <c r="G51">
        <f t="shared" ca="1" si="6"/>
        <v>0</v>
      </c>
      <c r="H51">
        <f t="shared" ca="1" si="7"/>
        <v>0</v>
      </c>
      <c r="I51">
        <f t="shared" ca="1" si="8"/>
        <v>0</v>
      </c>
      <c r="J51">
        <f t="shared" ca="1" si="28"/>
        <v>111</v>
      </c>
      <c r="K51">
        <f ca="1">IF(OR($C51="S",$C51=0),0,MATCH(OFFSET($D51,0,$C51)+IF($C51&lt;&gt;1,1,COUNTIF(QCI!$A$13:$A$24,ORÇAMENTO!E51)),OFFSET($D51,1,$C51,ROW($C$162)-ROW($C51)),0))</f>
        <v>13</v>
      </c>
      <c r="L51" s="114" t="str">
        <f t="shared" ca="1" si="10"/>
        <v>F</v>
      </c>
      <c r="M51" s="115" t="s">
        <v>701</v>
      </c>
      <c r="N51" s="116" t="str">
        <f t="shared" ca="1" si="11"/>
        <v>Meta</v>
      </c>
      <c r="O51" s="117" t="str">
        <f t="shared" ca="1" si="12"/>
        <v>5.</v>
      </c>
      <c r="P51" s="118" t="s">
        <v>750</v>
      </c>
      <c r="Q51" s="119"/>
      <c r="R51" s="120" t="s">
        <v>1014</v>
      </c>
      <c r="S51" s="121" t="str" cm="1">
        <f t="array" aca="1" ref="S51" ca="1">REFERENCIA.Unidade</f>
        <v>-</v>
      </c>
      <c r="T51" s="122">
        <f ca="1">OFFSET(CÁLCULO!H$15,ROW($T51)-ROW(T$15),0)</f>
        <v>0</v>
      </c>
      <c r="U51" s="123">
        <f t="shared" ca="1" si="16"/>
        <v>0</v>
      </c>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t="shared" ca="1" si="13"/>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f ca="1">IF(C51&lt;=CRONO.NivelExibicao,MAX($AD$15:OFFSET(AD51,-1,0))+IF($C51&lt;&gt;1,1,MAX(1,COUNTIF(QCI!$A$13:$A$24,OFFSET($E51,-1,0)))),"")</f>
        <v>11</v>
      </c>
      <c r="AE51" s="7" t="b" cm="1">
        <f t="array" aca="1" ref="AE51" ca="1">IF(AND($C51="S",ORÇAMENTO.CodBarra&lt;&gt;""),IF(ORÇAMENTO.Fonte="",ORÇAMENTO.CodBarra,CONCATENATE(ORÇAMENTO.Fonte," ",ORÇAMENTO.CodBarra)))</f>
        <v>0</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14"/>
        <v>0.22</v>
      </c>
      <c r="AJ51" s="431"/>
      <c r="AL51" s="439"/>
      <c r="AM51" s="336">
        <f t="shared" ca="1" si="0"/>
        <v>0</v>
      </c>
      <c r="AN51" s="470" cm="1">
        <f t="array" aca="1" ref="AN51" ca="1">ROUND(ORÇAMENTO.CustoUnitario*(1+$AH51),2)</f>
        <v>0</v>
      </c>
    </row>
    <row r="52" spans="1:40" x14ac:dyDescent="0.2">
      <c r="A52">
        <f t="shared" si="1"/>
        <v>2</v>
      </c>
      <c r="B52">
        <f t="shared" ca="1" si="2"/>
        <v>2</v>
      </c>
      <c r="C52">
        <f t="shared" ca="1" si="3"/>
        <v>2</v>
      </c>
      <c r="D52">
        <f t="shared" ca="1" si="4"/>
        <v>2</v>
      </c>
      <c r="E52">
        <f ca="1">IF($C52=1,OFFSET(E52,-1,0)+MAX(1,COUNTIF(QCI!$A$13:$A$24,OFFSET(ORÇAMENTO!E52,-1,0))),OFFSET(E52,-1,0))</f>
        <v>5</v>
      </c>
      <c r="F52">
        <f t="shared" ca="1" si="5"/>
        <v>1</v>
      </c>
      <c r="G52">
        <f t="shared" ca="1" si="6"/>
        <v>0</v>
      </c>
      <c r="H52">
        <f t="shared" ca="1" si="7"/>
        <v>0</v>
      </c>
      <c r="I52">
        <f t="shared" ca="1" si="8"/>
        <v>0</v>
      </c>
      <c r="J52">
        <f t="shared" ca="1" si="28"/>
        <v>12</v>
      </c>
      <c r="K52">
        <f ca="1">IF(OR($C52="S",$C52=0),0,MATCH(OFFSET($D52,0,$C52)+IF($C52&lt;&gt;1,1,COUNTIF(QCI!$A$13:$A$24,ORÇAMENTO!E52)),OFFSET($D52,1,$C52,ROW($C$162)-ROW($C52)),0))</f>
        <v>2</v>
      </c>
      <c r="L52" s="114" t="str">
        <f t="shared" ca="1" si="10"/>
        <v>F</v>
      </c>
      <c r="M52" s="115" t="s">
        <v>702</v>
      </c>
      <c r="N52" s="116" t="str">
        <f t="shared" ca="1" si="11"/>
        <v>Nível 2</v>
      </c>
      <c r="O52" s="117" t="str">
        <f t="shared" ca="1" si="12"/>
        <v>5.1.</v>
      </c>
      <c r="P52" s="118" t="s">
        <v>750</v>
      </c>
      <c r="Q52" s="119">
        <v>101570</v>
      </c>
      <c r="R52" s="120" t="s">
        <v>1015</v>
      </c>
      <c r="S52" s="121" t="str" cm="1">
        <f t="array" aca="1" ref="S52" ca="1">REFERENCIA.Unidade</f>
        <v>-</v>
      </c>
      <c r="T52" s="122">
        <f ca="1">OFFSET(CÁLCULO!H$15,ROW($T52)-ROW(T$15),0)</f>
        <v>0</v>
      </c>
      <c r="U52" s="123">
        <f t="shared" ca="1" si="16"/>
        <v>0</v>
      </c>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t="shared" ca="1" si="13"/>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IF(C52&lt;=CRONO.NivelExibicao,MAX($AD$15:OFFSET(AD52,-1,0))+IF($C52&lt;&gt;1,1,MAX(1,COUNTIF(QCI!$A$13:$A$24,OFFSET($E52,-1,0)))),"")</f>
        <v>12</v>
      </c>
      <c r="AE52" s="7" t="b" cm="1">
        <f t="array" aca="1" ref="AE52" ca="1">IF(AND($C52="S",ORÇAMENTO.CodBarra&lt;&gt;""),IF(ORÇAMENTO.Fonte="",ORÇAMENTO.CodBarra,CONCATENATE(ORÇAMENTO.Fonte," ",ORÇAMENTO.CodBarra)))</f>
        <v>0</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(Sem Código)</v>
      </c>
      <c r="AG52" s="428" cm="1">
        <f t="array" aca="1" ref="AG52" ca="1">ROUND(IF(DESONERACAO="sim",REFERENCIA.Desonerado,REFERENCIA.NaoDesonerado),2)</f>
        <v>0</v>
      </c>
      <c r="AH52" s="429">
        <f t="shared" ca="1" si="14"/>
        <v>0.22</v>
      </c>
      <c r="AJ52" s="431"/>
      <c r="AL52" s="439"/>
      <c r="AM52" s="336">
        <f t="shared" ca="1" si="0"/>
        <v>0</v>
      </c>
      <c r="AN52" s="470" cm="1">
        <f t="array" aca="1" ref="AN52" ca="1">ROUND(ORÇAMENTO.CustoUnitario*(1+$AH52),2)</f>
        <v>0</v>
      </c>
    </row>
    <row r="53" spans="1:40" ht="38.25" x14ac:dyDescent="0.2">
      <c r="A53" t="str">
        <f t="shared" si="1"/>
        <v>S</v>
      </c>
      <c r="B53">
        <f t="shared" ca="1" si="2"/>
        <v>2</v>
      </c>
      <c r="C53" t="str">
        <f t="shared" ca="1" si="3"/>
        <v>S</v>
      </c>
      <c r="D53">
        <f t="shared" ca="1" si="4"/>
        <v>0</v>
      </c>
      <c r="E53">
        <f ca="1">IF($C53=1,OFFSET(E53,-1,0)+MAX(1,COUNTIF(QCI!$A$13:$A$24,OFFSET(ORÇAMENTO!E53,-1,0))),OFFSET(E53,-1,0))</f>
        <v>5</v>
      </c>
      <c r="F53">
        <f t="shared" ca="1" si="5"/>
        <v>1</v>
      </c>
      <c r="G53">
        <f t="shared" ca="1" si="6"/>
        <v>0</v>
      </c>
      <c r="H53">
        <f t="shared" ca="1" si="7"/>
        <v>0</v>
      </c>
      <c r="I53">
        <f t="shared" ca="1" si="8"/>
        <v>0</v>
      </c>
      <c r="J53">
        <f t="shared" ca="1" si="28"/>
        <v>0</v>
      </c>
      <c r="K53">
        <f ca="1">IF(OR($C53="S",$C53=0),0,MATCH(OFFSET($D53,0,$C53)+IF($C53&lt;&gt;1,1,COUNTIF(QCI!$A$13:$A$24,ORÇAMENTO!E53)),OFFSET($D53,1,$C53,ROW($C$162)-ROW($C53)),0))</f>
        <v>0</v>
      </c>
      <c r="L53" s="114" t="str">
        <f t="shared" ca="1" si="10"/>
        <v/>
      </c>
      <c r="M53" s="115" t="s">
        <v>705</v>
      </c>
      <c r="N53" s="116" t="str">
        <f t="shared" ca="1" si="11"/>
        <v>Serviço</v>
      </c>
      <c r="O53" s="117" t="str">
        <f t="shared" ca="1" si="12"/>
        <v>-</v>
      </c>
      <c r="P53" s="118" t="s">
        <v>955</v>
      </c>
      <c r="Q53" s="119" t="s">
        <v>1039</v>
      </c>
      <c r="R53" s="120" t="str" cm="1">
        <f t="array" aca="1" ref="R53" ca="1">IF($C53="S",REFERENCIA.Descricao,"(digite a descrição aqui)")</f>
        <v>(Código não identificado nas referências)</v>
      </c>
      <c r="S53" s="121" t="str" cm="1">
        <f t="array" aca="1" ref="S53" ca="1">REFERENCIA.Unidade</f>
        <v>-</v>
      </c>
      <c r="T53" s="122">
        <f ca="1">OFFSET(CÁLCULO!H$15,ROW($T53)-ROW(T$15),0)</f>
        <v>66</v>
      </c>
      <c r="U53" s="123">
        <f t="shared" ca="1" si="16"/>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13"/>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IF(C53&lt;=CRONO.NivelExibicao,MAX($AD$15:OFFSET(AD53,-1,0))+IF($C53&lt;&gt;1,1,MAX(1,COUNTIF(QCI!$A$13:$A$24,OFFSET($E53,-1,0)))),"")</f>
        <v/>
      </c>
      <c r="AE53" s="7" t="str" cm="1">
        <f t="array" aca="1" ref="AE53" ca="1">IF(AND($C53="S",ORÇAMENTO.CodBarra&lt;&gt;""),IF(ORÇAMENTO.Fonte="",ORÇAMENTO.CodBarra,CONCATENATE(ORÇAMENTO.Fonte," ",ORÇAMENTO.CodBarra)))</f>
        <v>SICRO 2106292</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4"/>
        <v>0.22</v>
      </c>
      <c r="AJ53" s="431">
        <f>11*2*3</f>
        <v>66</v>
      </c>
      <c r="AL53" s="439"/>
      <c r="AM53" s="336">
        <f t="shared" ca="1" si="0"/>
        <v>0</v>
      </c>
      <c r="AN53" s="470" cm="1">
        <f t="array" aca="1" ref="AN53" ca="1">ROUND(ORÇAMENTO.CustoUnitario*(1+$AH53),2)</f>
        <v>0</v>
      </c>
    </row>
    <row r="54" spans="1:40" x14ac:dyDescent="0.2">
      <c r="A54">
        <f t="shared" ref="A54:A69" si="30">CHOOSE(1+LOG(1+2*(ORÇAMENTO.Nivel="Meta")+4*(ORÇAMENTO.Nivel="Nível 2")+8*(ORÇAMENTO.Nivel="Nível 3")+16*(ORÇAMENTO.Nivel="Nível 4")+32*(ORÇAMENTO.Nivel="Serviço"),2),0,1,2,3,4,"S")</f>
        <v>2</v>
      </c>
      <c r="B54">
        <f t="shared" ref="B54:B69" ca="1" si="31">IF(OR(C54="s",C54=0),OFFSET(B54,-1,0),C54)</f>
        <v>2</v>
      </c>
      <c r="C54">
        <f t="shared" ref="C54:C69" ca="1" si="32">IF(OFFSET(C54,-1,0)="L",1,IF(OFFSET(C54,-1,0)=1,2,IF(OR(A54="s",A54=0),"S",IF(AND(OFFSET(C54,-1,0)=2,A54=4),3,IF(AND(OR(OFFSET(C54,-1,0)="s",OFFSET(C54,-1,0)=0),A54&lt;&gt;"s",A54&gt;OFFSET(B54,-1,0)),OFFSET(B54,-1,0),A54)))))</f>
        <v>2</v>
      </c>
      <c r="D54">
        <f t="shared" ref="D54:D69" ca="1" si="33">IF(OR(C54="S",C54=0),0,IF(ISERROR(K54),J54,SMALL(J54:K54,1)))</f>
        <v>4</v>
      </c>
      <c r="E54">
        <f ca="1">IF($C54=1,OFFSET(E54,-1,0)+MAX(1,COUNTIF(QCI!$A$13:$A$24,OFFSET(ORÇAMENTO!E54,-1,0))),OFFSET(E54,-1,0))</f>
        <v>5</v>
      </c>
      <c r="F54">
        <f t="shared" ref="F54:F69" ca="1" si="34">IF($C54=1,0,IF($C54=2,OFFSET(F54,-1,0)+1,OFFSET(F54,-1,0)))</f>
        <v>2</v>
      </c>
      <c r="G54">
        <f t="shared" ref="G54:G69" ca="1" si="35">IF(AND($C54&lt;=2,$C54&lt;&gt;0),0,IF($C54=3,OFFSET(G54,-1,0)+1,OFFSET(G54,-1,0)))</f>
        <v>0</v>
      </c>
      <c r="H54">
        <f t="shared" ref="H54:H69" ca="1" si="36">IF(AND($C54&lt;=3,$C54&lt;&gt;0),0,IF($C54=4,OFFSET(H54,-1,0)+1,OFFSET(H54,-1,0)))</f>
        <v>0</v>
      </c>
      <c r="I54">
        <f t="shared" ref="I54:I69" ca="1" si="37">IF(AND($C54&lt;=4,$C54&lt;&gt;0),0,IF(AND($C54="S",$X54&gt;0),OFFSET(I54,-1,0)+1,OFFSET(I54,-1,0)))</f>
        <v>0</v>
      </c>
      <c r="J54">
        <f t="shared" ca="1" si="28"/>
        <v>10</v>
      </c>
      <c r="K54">
        <f ca="1">IF(OR($C54="S",$C54=0),0,MATCH(OFFSET($D54,0,$C54)+IF($C54&lt;&gt;1,1,COUNTIF(QCI!$A$13:$A$24,ORÇAMENTO!E54)),OFFSET($D54,1,$C54,ROW($C$162)-ROW($C54)),0))</f>
        <v>4</v>
      </c>
      <c r="L54" s="114" t="str">
        <f t="shared" ref="L54:L69" ca="1" si="38">IF(OR($X54&gt;0,$C54=1,$C54=2,$C54=3,$C54=4),"F","")</f>
        <v>F</v>
      </c>
      <c r="M54" s="115" t="s">
        <v>702</v>
      </c>
      <c r="N54" s="116" t="str">
        <f t="shared" ref="N54:N69" ca="1" si="39">CHOOSE(1+LOG(1+2*(C54=1)+4*(C54=2)+8*(C54=3)+16*(C54=4)+32*(C54="S"),2),"","Meta","Nível 2","Nível 3","Nível 4","Serviço")</f>
        <v>Nível 2</v>
      </c>
      <c r="O54" s="117" t="str">
        <f t="shared" ref="O54:O69" ca="1" si="40">IF(OR($C54=0,$L54=""),"-",CONCATENATE(E54&amp;".",IF(AND($A$5&gt;=2,$C54&gt;=2),F54&amp;".",""),IF(AND($A$5&gt;=3,$C54&gt;=3),G54&amp;".",""),IF(AND($A$5&gt;=4,$C54&gt;=4),H54&amp;".",""),IF($C54="S",I54&amp;".","")))</f>
        <v>5.2.</v>
      </c>
      <c r="P54" s="118" t="s">
        <v>750</v>
      </c>
      <c r="Q54" s="119">
        <v>2003626</v>
      </c>
      <c r="R54" s="120" t="s">
        <v>1016</v>
      </c>
      <c r="S54" s="121" t="str" cm="1">
        <f t="array" aca="1" ref="S54" ca="1">REFERENCIA.Unidade</f>
        <v>-</v>
      </c>
      <c r="T54" s="122">
        <f ca="1">OFFSET(CÁLCULO!H$15,ROW($T54)-ROW(T$15),0)</f>
        <v>0</v>
      </c>
      <c r="U54" s="123">
        <f t="shared" ca="1" si="16"/>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t="shared" ref="Z54:Z69" ca="1" si="41">IF(AND($C54="S",$X54&gt;0),IF(ISBLANK($Y54),"RA",LEFT($Y54,2)),"")</f>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f ca="1">IF(C54&lt;=CRONO.NivelExibicao,MAX($AD$15:OFFSET(AD54,-1,0))+IF($C54&lt;&gt;1,1,MAX(1,COUNTIF(QCI!$A$13:$A$24,OFFSET($E54,-1,0)))),"")</f>
        <v>13</v>
      </c>
      <c r="AE54" s="7" t="b" cm="1">
        <f t="array" aca="1" ref="AE54" ca="1">IF(AND($C54="S",ORÇAMENTO.CodBarra&lt;&gt;""),IF(ORÇAMENTO.Fonte="",ORÇAMENTO.CodBarra,CONCATENATE(ORÇAMENTO.Fonte," ",ORÇAMENTO.CodBarra)))</f>
        <v>0</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ref="AH54:AH69" ca="1" si="42">ROUND(IF(ISNUMBER(ORÇAMENTO.OpcaoBDI),ORÇAMENTO.OpcaoBDI,IF(LEFT(ORÇAMENTO.OpcaoBDI,3)="BDI",HLOOKUP(ORÇAMENTO.OpcaoBDI,$F$4:$H$5,2,FALSE),0)),15-11*$AF$9)</f>
        <v>0.22</v>
      </c>
      <c r="AJ54" s="431"/>
      <c r="AL54" s="439"/>
      <c r="AM54" s="336">
        <f t="shared" ca="1" si="0"/>
        <v>0</v>
      </c>
      <c r="AN54" s="470" cm="1">
        <f t="array" aca="1" ref="AN54" ca="1">ROUND(ORÇAMENTO.CustoUnitario*(1+$AH54),2)</f>
        <v>0</v>
      </c>
    </row>
    <row r="55" spans="1:40" ht="25.5" x14ac:dyDescent="0.2">
      <c r="A55" t="str">
        <f t="shared" si="30"/>
        <v>S</v>
      </c>
      <c r="B55">
        <f t="shared" ca="1" si="31"/>
        <v>2</v>
      </c>
      <c r="C55" t="str">
        <f t="shared" ca="1" si="32"/>
        <v>S</v>
      </c>
      <c r="D55">
        <f t="shared" ca="1" si="33"/>
        <v>0</v>
      </c>
      <c r="E55">
        <f ca="1">IF($C55=1,OFFSET(E55,-1,0)+MAX(1,COUNTIF(QCI!$A$13:$A$24,OFFSET(ORÇAMENTO!E55,-1,0))),OFFSET(E55,-1,0))</f>
        <v>5</v>
      </c>
      <c r="F55">
        <f t="shared" ca="1" si="34"/>
        <v>2</v>
      </c>
      <c r="G55">
        <f t="shared" ca="1" si="35"/>
        <v>0</v>
      </c>
      <c r="H55">
        <f t="shared" ca="1" si="36"/>
        <v>0</v>
      </c>
      <c r="I55">
        <f t="shared" ca="1" si="37"/>
        <v>0</v>
      </c>
      <c r="J55">
        <f t="shared" ca="1" si="28"/>
        <v>0</v>
      </c>
      <c r="K55">
        <f ca="1">IF(OR($C55="S",$C55=0),0,MATCH(OFFSET($D55,0,$C55)+IF($C55&lt;&gt;1,1,COUNTIF(QCI!$A$13:$A$24,ORÇAMENTO!E55)),OFFSET($D55,1,$C55,ROW($C$162)-ROW($C55)),0))</f>
        <v>0</v>
      </c>
      <c r="L55" s="114" t="str">
        <f t="shared" ca="1" si="38"/>
        <v/>
      </c>
      <c r="M55" s="115" t="s">
        <v>705</v>
      </c>
      <c r="N55" s="116" t="str">
        <f t="shared" ca="1" si="39"/>
        <v>Serviço</v>
      </c>
      <c r="O55" s="117" t="str">
        <f t="shared" ca="1" si="40"/>
        <v>-</v>
      </c>
      <c r="P55" s="118" t="s">
        <v>955</v>
      </c>
      <c r="Q55" s="119">
        <v>2003269</v>
      </c>
      <c r="R55" s="120" t="str" cm="1">
        <f t="array" aca="1" ref="R55" ca="1">IF($C55="S",REFERENCIA.Descricao,"(digite a descrição aqui)")</f>
        <v>(Código não identificado nas referências)</v>
      </c>
      <c r="S55" s="121" t="str" cm="1">
        <f t="array" aca="1" ref="S55" ca="1">REFERENCIA.Unidade</f>
        <v>-</v>
      </c>
      <c r="T55" s="122">
        <f ca="1">OFFSET(CÁLCULO!H$15,ROW($T55)-ROW(T$15),0)</f>
        <v>78.83</v>
      </c>
      <c r="U55" s="123">
        <f t="shared" ref="U55:U72" ca="1" si="43">AG55</f>
        <v>0</v>
      </c>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41"/>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SICRO 2003269</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42"/>
        <v>0.22</v>
      </c>
      <c r="AJ55" s="431">
        <f>16.76+20.27+15.27+26.53</f>
        <v>78.83</v>
      </c>
      <c r="AL55" s="439"/>
      <c r="AM55" s="336">
        <f t="shared" ca="1" si="0"/>
        <v>0</v>
      </c>
      <c r="AN55" s="470" cm="1">
        <f t="array" aca="1" ref="AN55" ca="1">ROUND(ORÇAMENTO.CustoUnitario*(1+$AH55),2)</f>
        <v>0</v>
      </c>
    </row>
    <row r="56" spans="1:40" x14ac:dyDescent="0.2">
      <c r="A56" t="str">
        <f>CHOOSE(1+LOG(1+2*(ORÇAMENTO.Nivel="Meta")+4*(ORÇAMENTO.Nivel="Nível 2")+8*(ORÇAMENTO.Nivel="Nível 3")+16*(ORÇAMENTO.Nivel="Nível 4")+32*(ORÇAMENTO.Nivel="Serviço"),2),0,1,2,3,4,"S")</f>
        <v>S</v>
      </c>
      <c r="B56">
        <f ca="1">IF(OR(C56="s",C56=0),OFFSET(B56,-1,0),C56)</f>
        <v>2</v>
      </c>
      <c r="C56" t="str">
        <f ca="1">IF(OFFSET(C56,-1,0)="L",1,IF(OFFSET(C56,-1,0)=1,2,IF(OR(A56="s",A56=0),"S",IF(AND(OFFSET(C56,-1,0)=2,A56=4),3,IF(AND(OR(OFFSET(C56,-1,0)="s",OFFSET(C56,-1,0)=0),A56&lt;&gt;"s",A56&gt;OFFSET(B56,-1,0)),OFFSET(B56,-1,0),A56)))))</f>
        <v>S</v>
      </c>
      <c r="D56">
        <f ca="1">IF(OR(C56="S",C56=0),0,IF(ISERROR(K56),J56,SMALL(J56:K56,1)))</f>
        <v>0</v>
      </c>
      <c r="E56">
        <f ca="1">IF($C56=1,OFFSET(E56,-1,0)+MAX(1,COUNTIF(QCI!$A$13:$A$24,OFFSET(ORÇAMENTO!E56,-1,0))),OFFSET(E56,-1,0))</f>
        <v>5</v>
      </c>
      <c r="F56">
        <f ca="1">IF($C56=1,0,IF($C56=2,OFFSET(F56,-1,0)+1,OFFSET(F56,-1,0)))</f>
        <v>2</v>
      </c>
      <c r="G56">
        <f ca="1">IF(AND($C56&lt;=2,$C56&lt;&gt;0),0,IF($C56=3,OFFSET(G56,-1,0)+1,OFFSET(G56,-1,0)))</f>
        <v>0</v>
      </c>
      <c r="H56">
        <f ca="1">IF(AND($C56&lt;=3,$C56&lt;&gt;0),0,IF($C56=4,OFFSET(H56,-1,0)+1,OFFSET(H56,-1,0)))</f>
        <v>0</v>
      </c>
      <c r="I56">
        <f ca="1">IF(AND($C56&lt;=4,$C56&lt;&gt;0),0,IF(AND($C56="S",$X56&gt;0),OFFSET(I56,-1,0)+1,OFFSET(I56,-1,0)))</f>
        <v>0</v>
      </c>
      <c r="J56">
        <f t="shared" ca="1" si="28"/>
        <v>0</v>
      </c>
      <c r="K56">
        <f ca="1">IF(OR($C56="S",$C56=0),0,MATCH(OFFSET($D56,0,$C56)+IF($C56&lt;&gt;1,1,COUNTIF(QCI!$A$13:$A$24,ORÇAMENTO!E56)),OFFSET($D56,1,$C56,ROW($C$162)-ROW($C56)),0))</f>
        <v>0</v>
      </c>
      <c r="L56" s="114" t="str">
        <f ca="1">IF(OR($X56&gt;0,$C56=1,$C56=2,$C56=3,$C56=4),"F","")</f>
        <v/>
      </c>
      <c r="M56" s="115" t="s">
        <v>705</v>
      </c>
      <c r="N56" s="116" t="str">
        <f ca="1">CHOOSE(1+LOG(1+2*(C56=1)+4*(C56=2)+8*(C56=3)+16*(C56=4)+32*(C56="S"),2),"","Meta","Nível 2","Nível 3","Nível 4","Serviço")</f>
        <v>Serviço</v>
      </c>
      <c r="O56" s="117" t="str">
        <f ca="1">IF(OR($C56=0,$L56=""),"-",CONCATENATE(E56&amp;".",IF(AND($A$5&gt;=2,$C56&gt;=2),F56&amp;".",""),IF(AND($A$5&gt;=3,$C56&gt;=3),G56&amp;".",""),IF(AND($A$5&gt;=4,$C56&gt;=4),H56&amp;".",""),IF($C56="S",I56&amp;".","")))</f>
        <v>-</v>
      </c>
      <c r="P56" s="118" t="s">
        <v>955</v>
      </c>
      <c r="Q56" s="119" t="s">
        <v>1037</v>
      </c>
      <c r="R56" s="120" t="str" cm="1">
        <f t="array" aca="1" ref="R56" ca="1">IF($C56="S",REFERENCIA.Descricao,"(digite a descrição aqui)")</f>
        <v>(Código não identificado nas referências)</v>
      </c>
      <c r="S56" s="121" t="str" cm="1">
        <f t="array" aca="1" ref="S56" ca="1">REFERENCIA.Unidade</f>
        <v>-</v>
      </c>
      <c r="T56" s="122">
        <f ca="1">OFFSET(CÁLCULO!H$15,ROW($T56)-ROW(T$15),0)</f>
        <v>4</v>
      </c>
      <c r="U56" s="123">
        <f t="shared" ca="1" si="43"/>
        <v>0</v>
      </c>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ca="1">IF(AND($C56="S",$X56&gt;0),IF(ISBLANK($Y56),"RA",LEFT($Y56,2)),"")</f>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IF(C56&lt;=CRONO.NivelExibicao,MAX($AD$15:OFFSET(AD56,-1,0))+IF($C56&lt;&gt;1,1,MAX(1,COUNTIF(QCI!$A$13:$A$24,OFFSET($E56,-1,0)))),"")</f>
        <v/>
      </c>
      <c r="AE56" s="7" t="str" cm="1">
        <f t="array" aca="1" ref="AE56" ca="1">IF(AND($C56="S",ORÇAMENTO.CodBarra&lt;&gt;""),IF(ORÇAMENTO.Fonte="",ORÇAMENTO.CodBarra,CONCATENATE(ORÇAMENTO.Fonte," ",ORÇAMENTO.CodBarra)))</f>
        <v>SICRO 2003147</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ca="1">ROUND(IF(ISNUMBER(ORÇAMENTO.OpcaoBDI),ORÇAMENTO.OpcaoBDI,IF(LEFT(ORÇAMENTO.OpcaoBDI,3)="BDI",HLOOKUP(ORÇAMENTO.OpcaoBDI,$F$4:$H$5,2,FALSE),0)),15-11*$AF$9)</f>
        <v>0.22</v>
      </c>
      <c r="AJ56" s="431">
        <v>4</v>
      </c>
      <c r="AL56" s="439"/>
      <c r="AM56" s="336">
        <f t="shared" ca="1" si="0"/>
        <v>0</v>
      </c>
      <c r="AN56" s="470" cm="1">
        <f t="array" aca="1" ref="AN56" ca="1">ROUND(ORÇAMENTO.CustoUnitario*(1+$AH56),2)</f>
        <v>0</v>
      </c>
    </row>
    <row r="57" spans="1:40" ht="25.5" x14ac:dyDescent="0.2">
      <c r="A57" t="str">
        <f>CHOOSE(1+LOG(1+2*(ORÇAMENTO.Nivel="Meta")+4*(ORÇAMENTO.Nivel="Nível 2")+8*(ORÇAMENTO.Nivel="Nível 3")+16*(ORÇAMENTO.Nivel="Nível 4")+32*(ORÇAMENTO.Nivel="Serviço"),2),0,1,2,3,4,"S")</f>
        <v>S</v>
      </c>
      <c r="B57">
        <f ca="1">IF(OR(C57="s",C57=0),OFFSET(B57,-1,0),C57)</f>
        <v>2</v>
      </c>
      <c r="C57" t="str">
        <f ca="1">IF(OFFSET(C57,-1,0)="L",1,IF(OFFSET(C57,-1,0)=1,2,IF(OR(A57="s",A57=0),"S",IF(AND(OFFSET(C57,-1,0)=2,A57=4),3,IF(AND(OR(OFFSET(C57,-1,0)="s",OFFSET(C57,-1,0)=0),A57&lt;&gt;"s",A57&gt;OFFSET(B57,-1,0)),OFFSET(B57,-1,0),A57)))))</f>
        <v>S</v>
      </c>
      <c r="D57">
        <f ca="1">IF(OR(C57="S",C57=0),0,IF(ISERROR(K57),J57,SMALL(J57:K57,1)))</f>
        <v>0</v>
      </c>
      <c r="E57">
        <f ca="1">IF($C57=1,OFFSET(E57,-1,0)+MAX(1,COUNTIF(QCI!$A$13:$A$24,OFFSET(ORÇAMENTO!E57,-1,0))),OFFSET(E57,-1,0))</f>
        <v>5</v>
      </c>
      <c r="F57">
        <f ca="1">IF($C57=1,0,IF($C57=2,OFFSET(F57,-1,0)+1,OFFSET(F57,-1,0)))</f>
        <v>2</v>
      </c>
      <c r="G57">
        <f ca="1">IF(AND($C57&lt;=2,$C57&lt;&gt;0),0,IF($C57=3,OFFSET(G57,-1,0)+1,OFFSET(G57,-1,0)))</f>
        <v>0</v>
      </c>
      <c r="H57">
        <f ca="1">IF(AND($C57&lt;=3,$C57&lt;&gt;0),0,IF($C57=4,OFFSET(H57,-1,0)+1,OFFSET(H57,-1,0)))</f>
        <v>0</v>
      </c>
      <c r="I57">
        <f ca="1">IF(AND($C57&lt;=4,$C57&lt;&gt;0),0,IF(AND($C57="S",$X57&gt;0),OFFSET(I57,-1,0)+1,OFFSET(I57,-1,0)))</f>
        <v>0</v>
      </c>
      <c r="J57">
        <f t="shared" ca="1" si="28"/>
        <v>0</v>
      </c>
      <c r="K57">
        <f ca="1">IF(OR($C57="S",$C57=0),0,MATCH(OFFSET($D57,0,$C57)+IF($C57&lt;&gt;1,1,COUNTIF(QCI!$A$13:$A$24,ORÇAMENTO!E57)),OFFSET($D57,1,$C57,ROW($C$162)-ROW($C57)),0))</f>
        <v>0</v>
      </c>
      <c r="L57" s="114" t="str">
        <f ca="1">IF(OR($X57&gt;0,$C57=1,$C57=2,$C57=3,$C57=4),"F","")</f>
        <v/>
      </c>
      <c r="M57" s="115" t="s">
        <v>705</v>
      </c>
      <c r="N57" s="116" t="str">
        <f ca="1">CHOOSE(1+LOG(1+2*(C57=1)+4*(C57=2)+8*(C57=3)+16*(C57=4)+32*(C57="S"),2),"","Meta","Nível 2","Nível 3","Nível 4","Serviço")</f>
        <v>Serviço</v>
      </c>
      <c r="O57" s="117" t="str">
        <f ca="1">IF(OR($C57=0,$L57=""),"-",CONCATENATE(E57&amp;".",IF(AND($A$5&gt;=2,$C57&gt;=2),F57&amp;".",""),IF(AND($A$5&gt;=3,$C57&gt;=3),G57&amp;".",""),IF(AND($A$5&gt;=4,$C57&gt;=4),H57&amp;".",""),IF($C57="S",I57&amp;".","")))</f>
        <v>-</v>
      </c>
      <c r="P57" s="118" t="s">
        <v>955</v>
      </c>
      <c r="Q57" s="119" t="s">
        <v>1032</v>
      </c>
      <c r="R57" s="120" t="str" cm="1">
        <f t="array" aca="1" ref="R57" ca="1">IF($C57="S",REFERENCIA.Descricao,"(digite a descrição aqui)")</f>
        <v>(Código não identificado nas referências)</v>
      </c>
      <c r="S57" s="121" t="str" cm="1">
        <f t="array" aca="1" ref="S57" ca="1">REFERENCIA.Unidade</f>
        <v>-</v>
      </c>
      <c r="T57" s="122">
        <f ca="1">OFFSET(CÁLCULO!H$15,ROW($T57)-ROW(T$15),0)</f>
        <v>18.43</v>
      </c>
      <c r="U57" s="123">
        <f t="shared" ca="1" si="43"/>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t="str">
        <f ca="1">IF(AND($C57="S",$X57&gt;0),IF(ISBLANK($Y57),"RA",LEFT($Y57,2)),"")</f>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CÓDIGO N/ID</v>
      </c>
      <c r="AD57" t="str">
        <f ca="1">IF(C57&lt;=CRONO.NivelExibicao,MAX($AD$15:OFFSET(AD57,-1,0))+IF($C57&lt;&gt;1,1,MAX(1,COUNTIF(QCI!$A$13:$A$24,OFFSET($E57,-1,0)))),"")</f>
        <v/>
      </c>
      <c r="AE57" s="7" t="str" cm="1">
        <f t="array" aca="1" ref="AE57" ca="1">IF(AND($C57="S",ORÇAMENTO.CodBarra&lt;&gt;""),IF(ORÇAMENTO.Fonte="",ORÇAMENTO.CodBarra,CONCATENATE(ORÇAMENTO.Fonte," ",ORÇAMENTO.CodBarra)))</f>
        <v>SICRO 2003403</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(Código não identificado nas referências)</v>
      </c>
      <c r="AG57" s="428" cm="1">
        <f t="array" aca="1" ref="AG57" ca="1">ROUND(IF(DESONERACAO="sim",REFERENCIA.Desonerado,REFERENCIA.NaoDesonerado),2)</f>
        <v>0</v>
      </c>
      <c r="AH57" s="429">
        <f ca="1">ROUND(IF(ISNUMBER(ORÇAMENTO.OpcaoBDI),ORÇAMENTO.OpcaoBDI,IF(LEFT(ORÇAMENTO.OpcaoBDI,3)="BDI",HLOOKUP(ORÇAMENTO.OpcaoBDI,$F$4:$H$5,2,FALSE),0)),15-11*$AF$9)</f>
        <v>0.22</v>
      </c>
      <c r="AJ57" s="431">
        <f>4.13+6.31+5.39+2.6</f>
        <v>18.43</v>
      </c>
      <c r="AL57" s="439"/>
      <c r="AM57" s="336">
        <f t="shared" ca="1" si="0"/>
        <v>0</v>
      </c>
      <c r="AN57" s="470" cm="1">
        <f t="array" aca="1" ref="AN57" ca="1">ROUND(ORÇAMENTO.CustoUnitario*(1+$AH57),2)</f>
        <v>0</v>
      </c>
    </row>
    <row r="58" spans="1:40" x14ac:dyDescent="0.2">
      <c r="A58">
        <f t="shared" si="30"/>
        <v>2</v>
      </c>
      <c r="B58">
        <f t="shared" ca="1" si="31"/>
        <v>2</v>
      </c>
      <c r="C58">
        <f t="shared" ca="1" si="32"/>
        <v>2</v>
      </c>
      <c r="D58">
        <f t="shared" ca="1" si="33"/>
        <v>6</v>
      </c>
      <c r="E58">
        <f ca="1">IF($C58=1,OFFSET(E58,-1,0)+MAX(1,COUNTIF(QCI!$A$13:$A$24,OFFSET(ORÇAMENTO!E58,-1,0))),OFFSET(E58,-1,0))</f>
        <v>5</v>
      </c>
      <c r="F58">
        <f t="shared" ca="1" si="34"/>
        <v>3</v>
      </c>
      <c r="G58">
        <f t="shared" ca="1" si="35"/>
        <v>0</v>
      </c>
      <c r="H58">
        <f t="shared" ca="1" si="36"/>
        <v>0</v>
      </c>
      <c r="I58">
        <f t="shared" ca="1" si="37"/>
        <v>0</v>
      </c>
      <c r="J58">
        <f t="shared" ca="1" si="28"/>
        <v>6</v>
      </c>
      <c r="K58" t="e">
        <f ca="1">IF(OR($C58="S",$C58=0),0,MATCH(OFFSET($D58,0,$C58)+IF($C58&lt;&gt;1,1,COUNTIF(QCI!$A$13:$A$24,ORÇAMENTO!E58)),OFFSET($D58,1,$C58,ROW($C$162)-ROW($C58)),0))</f>
        <v>#N/A</v>
      </c>
      <c r="L58" s="114" t="str">
        <f t="shared" ca="1" si="38"/>
        <v>F</v>
      </c>
      <c r="M58" s="115" t="s">
        <v>702</v>
      </c>
      <c r="N58" s="116" t="str">
        <f t="shared" ca="1" si="39"/>
        <v>Nível 2</v>
      </c>
      <c r="O58" s="117" t="str">
        <f t="shared" ca="1" si="40"/>
        <v>5.3.</v>
      </c>
      <c r="P58" s="118" t="s">
        <v>750</v>
      </c>
      <c r="Q58" s="119" t="s">
        <v>1008</v>
      </c>
      <c r="R58" s="120" t="s">
        <v>1017</v>
      </c>
      <c r="S58" s="121" t="str" cm="1">
        <f t="array" aca="1" ref="S58" ca="1">REFERENCIA.Unidade</f>
        <v>-</v>
      </c>
      <c r="T58" s="122">
        <f ca="1">OFFSET(CÁLCULO!H$15,ROW($T58)-ROW(T$15),0)</f>
        <v>0</v>
      </c>
      <c r="U58" s="123">
        <f t="shared" ca="1" si="43"/>
        <v>0</v>
      </c>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t="str">
        <f t="shared" ca="1" si="41"/>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f ca="1">IF(C58&lt;=CRONO.NivelExibicao,MAX($AD$15:OFFSET(AD58,-1,0))+IF($C58&lt;&gt;1,1,MAX(1,COUNTIF(QCI!$A$13:$A$24,OFFSET($E58,-1,0)))),"")</f>
        <v>14</v>
      </c>
      <c r="AE58" s="7" t="b" cm="1">
        <f t="array" aca="1" ref="AE58" ca="1">IF(AND($C58="S",ORÇAMENTO.CodBarra&lt;&gt;""),IF(ORÇAMENTO.Fonte="",ORÇAMENTO.CodBarra,CONCATENATE(ORÇAMENTO.Fonte," ",ORÇAMENTO.CodBarra)))</f>
        <v>0</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(Sem Código)</v>
      </c>
      <c r="AG58" s="428" cm="1">
        <f t="array" aca="1" ref="AG58" ca="1">ROUND(IF(DESONERACAO="sim",REFERENCIA.Desonerado,REFERENCIA.NaoDesonerado),2)</f>
        <v>0</v>
      </c>
      <c r="AH58" s="429">
        <f t="shared" ca="1" si="42"/>
        <v>0.22</v>
      </c>
      <c r="AJ58" s="431"/>
      <c r="AL58" s="439"/>
      <c r="AM58" s="336">
        <f t="shared" ca="1" si="0"/>
        <v>0</v>
      </c>
      <c r="AN58" s="470" cm="1">
        <f t="array" aca="1" ref="AN58" ca="1">ROUND(ORÇAMENTO.CustoUnitario*(1+$AH58),2)</f>
        <v>0</v>
      </c>
    </row>
    <row r="59" spans="1:40" ht="25.5" x14ac:dyDescent="0.2">
      <c r="A59" t="str">
        <f t="shared" si="30"/>
        <v>S</v>
      </c>
      <c r="B59">
        <f t="shared" ca="1" si="31"/>
        <v>2</v>
      </c>
      <c r="C59" t="str">
        <f t="shared" ca="1" si="32"/>
        <v>S</v>
      </c>
      <c r="D59">
        <f t="shared" ca="1" si="33"/>
        <v>0</v>
      </c>
      <c r="E59">
        <f ca="1">IF($C59=1,OFFSET(E59,-1,0)+MAX(1,COUNTIF(QCI!$A$13:$A$24,OFFSET(ORÇAMENTO!E59,-1,0))),OFFSET(E59,-1,0))</f>
        <v>5</v>
      </c>
      <c r="F59">
        <f t="shared" ca="1" si="34"/>
        <v>3</v>
      </c>
      <c r="G59">
        <f t="shared" ca="1" si="35"/>
        <v>0</v>
      </c>
      <c r="H59">
        <f t="shared" ca="1" si="36"/>
        <v>0</v>
      </c>
      <c r="I59">
        <f t="shared" ca="1" si="37"/>
        <v>0</v>
      </c>
      <c r="J59">
        <f t="shared" ca="1" si="28"/>
        <v>0</v>
      </c>
      <c r="K59">
        <f ca="1">IF(OR($C59="S",$C59=0),0,MATCH(OFFSET($D59,0,$C59)+IF($C59&lt;&gt;1,1,COUNTIF(QCI!$A$13:$A$24,ORÇAMENTO!E59)),OFFSET($D59,1,$C59,ROW($C$162)-ROW($C59)),0))</f>
        <v>0</v>
      </c>
      <c r="L59" s="114" t="str">
        <f t="shared" ca="1" si="38"/>
        <v/>
      </c>
      <c r="M59" s="115" t="s">
        <v>705</v>
      </c>
      <c r="N59" s="116" t="str">
        <f t="shared" ca="1" si="39"/>
        <v>Serviço</v>
      </c>
      <c r="O59" s="117" t="str">
        <f t="shared" ca="1" si="40"/>
        <v>-</v>
      </c>
      <c r="P59" s="118" t="s">
        <v>955</v>
      </c>
      <c r="Q59" s="119" t="s">
        <v>1022</v>
      </c>
      <c r="R59" s="120" t="str" cm="1">
        <f t="array" aca="1" ref="R59" ca="1">IF($C59="S",REFERENCIA.Descricao,"(digite a descrição aqui)")</f>
        <v>(Código não identificado nas referências)</v>
      </c>
      <c r="S59" s="121" t="str" cm="1">
        <f t="array" aca="1" ref="S59" ca="1">REFERENCIA.Unidade</f>
        <v>-</v>
      </c>
      <c r="T59" s="122">
        <f ca="1">OFFSET(CÁLCULO!H$15,ROW($T59)-ROW(T$15),0)</f>
        <v>11</v>
      </c>
      <c r="U59" s="123">
        <f t="shared" ca="1" si="43"/>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t="str">
        <f t="shared" ca="1" si="41"/>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IF(C59&lt;=CRONO.NivelExibicao,MAX($AD$15:OFFSET(AD59,-1,0))+IF($C59&lt;&gt;1,1,MAX(1,COUNTIF(QCI!$A$13:$A$24,OFFSET($E59,-1,0)))),"")</f>
        <v/>
      </c>
      <c r="AE59" s="7" t="str" cm="1">
        <f t="array" aca="1" ref="AE59" ca="1">IF(AND($C59="S",ORÇAMENTO.CodBarra&lt;&gt;""),IF(ORÇAMENTO.Fonte="",ORÇAMENTO.CodBarra,CONCATENATE(ORÇAMENTO.Fonte," ",ORÇAMENTO.CodBarra)))</f>
        <v>SICRO 6817873</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42"/>
        <v>0.22</v>
      </c>
      <c r="AJ59" s="431">
        <v>11</v>
      </c>
      <c r="AL59" s="439"/>
      <c r="AM59" s="336">
        <f t="shared" ca="1" si="0"/>
        <v>0</v>
      </c>
      <c r="AN59" s="470" cm="1">
        <f t="array" aca="1" ref="AN59" ca="1">ROUND(ORÇAMENTO.CustoUnitario*(1+$AH59),2)</f>
        <v>0</v>
      </c>
    </row>
    <row r="60" spans="1:40" ht="25.5" x14ac:dyDescent="0.2">
      <c r="A60" t="str">
        <f>CHOOSE(1+LOG(1+2*(ORÇAMENTO.Nivel="Meta")+4*(ORÇAMENTO.Nivel="Nível 2")+8*(ORÇAMENTO.Nivel="Nível 3")+16*(ORÇAMENTO.Nivel="Nível 4")+32*(ORÇAMENTO.Nivel="Serviço"),2),0,1,2,3,4,"S")</f>
        <v>S</v>
      </c>
      <c r="B60">
        <f ca="1">IF(OR(C60="s",C60=0),OFFSET(B60,-1,0),C60)</f>
        <v>2</v>
      </c>
      <c r="C60" t="str">
        <f ca="1">IF(OFFSET(C60,-1,0)="L",1,IF(OFFSET(C60,-1,0)=1,2,IF(OR(A60="s",A60=0),"S",IF(AND(OFFSET(C60,-1,0)=2,A60=4),3,IF(AND(OR(OFFSET(C60,-1,0)="s",OFFSET(C60,-1,0)=0),A60&lt;&gt;"s",A60&gt;OFFSET(B60,-1,0)),OFFSET(B60,-1,0),A60)))))</f>
        <v>S</v>
      </c>
      <c r="D60">
        <f ca="1">IF(OR(C60="S",C60=0),0,IF(ISERROR(K60),J60,SMALL(J60:K60,1)))</f>
        <v>0</v>
      </c>
      <c r="E60">
        <f ca="1">IF($C60=1,OFFSET(E60,-1,0)+MAX(1,COUNTIF(QCI!$A$13:$A$24,OFFSET(ORÇAMENTO!E60,-1,0))),OFFSET(E60,-1,0))</f>
        <v>5</v>
      </c>
      <c r="F60">
        <f ca="1">IF($C60=1,0,IF($C60=2,OFFSET(F60,-1,0)+1,OFFSET(F60,-1,0)))</f>
        <v>3</v>
      </c>
      <c r="G60">
        <f ca="1">IF(AND($C60&lt;=2,$C60&lt;&gt;0),0,IF($C60=3,OFFSET(G60,-1,0)+1,OFFSET(G60,-1,0)))</f>
        <v>0</v>
      </c>
      <c r="H60">
        <f ca="1">IF(AND($C60&lt;=3,$C60&lt;&gt;0),0,IF($C60=4,OFFSET(H60,-1,0)+1,OFFSET(H60,-1,0)))</f>
        <v>0</v>
      </c>
      <c r="I60">
        <f ca="1">IF(AND($C60&lt;=4,$C60&lt;&gt;0),0,IF(AND($C60="S",$X60&gt;0),OFFSET(I60,-1,0)+1,OFFSET(I60,-1,0)))</f>
        <v>0</v>
      </c>
      <c r="J60">
        <f t="shared" ca="1" si="28"/>
        <v>0</v>
      </c>
      <c r="K60">
        <f ca="1">IF(OR($C60="S",$C60=0),0,MATCH(OFFSET($D60,0,$C60)+IF($C60&lt;&gt;1,1,COUNTIF(QCI!$A$13:$A$24,ORÇAMENTO!E60)),OFFSET($D60,1,$C60,ROW($C$162)-ROW($C60)),0))</f>
        <v>0</v>
      </c>
      <c r="L60" s="114" t="str">
        <f ca="1">IF(OR($X60&gt;0,$C60=1,$C60=2,$C60=3,$C60=4),"F","")</f>
        <v/>
      </c>
      <c r="M60" s="115" t="s">
        <v>705</v>
      </c>
      <c r="N60" s="116" t="str">
        <f ca="1">CHOOSE(1+LOG(1+2*(C60=1)+4*(C60=2)+8*(C60=3)+16*(C60=4)+32*(C60="S"),2),"","Meta","Nível 2","Nível 3","Nível 4","Serviço")</f>
        <v>Serviço</v>
      </c>
      <c r="O60" s="117" t="str">
        <f ca="1">IF(OR($C60=0,$L60=""),"-",CONCATENATE(E60&amp;".",IF(AND($A$5&gt;=2,$C60&gt;=2),F60&amp;".",""),IF(AND($A$5&gt;=3,$C60&gt;=3),G60&amp;".",""),IF(AND($A$5&gt;=4,$C60&gt;=4),H60&amp;".",""),IF($C60="S",I60&amp;".","")))</f>
        <v>-</v>
      </c>
      <c r="P60" s="118" t="s">
        <v>955</v>
      </c>
      <c r="Q60" s="119" t="s">
        <v>1035</v>
      </c>
      <c r="R60" s="120" t="str" cm="1">
        <f t="array" aca="1" ref="R60" ca="1">IF($C60="S",REFERENCIA.Descricao,"(digite a descrição aqui)")</f>
        <v>(Código não identificado nas referências)</v>
      </c>
      <c r="S60" s="121" t="str" cm="1">
        <f t="array" aca="1" ref="S60" ca="1">REFERENCIA.Unidade</f>
        <v>-</v>
      </c>
      <c r="T60" s="122">
        <f ca="1">OFFSET(CÁLCULO!H$15,ROW($T60)-ROW(T$15),0)</f>
        <v>1</v>
      </c>
      <c r="U60" s="123">
        <f t="shared" ca="1" si="43"/>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t="str">
        <f ca="1">IF(AND($C60="S",$X60&gt;0),IF(ISBLANK($Y60),"RA",LEFT($Y60,2)),"")</f>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IF(C60&lt;=CRONO.NivelExibicao,MAX($AD$15:OFFSET(AD60,-1,0))+IF($C60&lt;&gt;1,1,MAX(1,COUNTIF(QCI!$A$13:$A$24,OFFSET($E60,-1,0)))),"")</f>
        <v/>
      </c>
      <c r="AE60" s="7" t="str" cm="1">
        <f t="array" aca="1" ref="AE60" ca="1">IF(AND($C60="S",ORÇAMENTO.CodBarra&lt;&gt;""),IF(ORÇAMENTO.Fonte="",ORÇAMENTO.CodBarra,CONCATENATE(ORÇAMENTO.Fonte," ",ORÇAMENTO.CodBarra)))</f>
        <v>SICRO 0705248</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ca="1">ROUND(IF(ISNUMBER(ORÇAMENTO.OpcaoBDI),ORÇAMENTO.OpcaoBDI,IF(LEFT(ORÇAMENTO.OpcaoBDI,3)="BDI",HLOOKUP(ORÇAMENTO.OpcaoBDI,$F$4:$H$5,2,FALSE),0)),15-11*$AF$9)</f>
        <v>0.22</v>
      </c>
      <c r="AJ60" s="431">
        <v>1</v>
      </c>
      <c r="AL60" s="439"/>
      <c r="AM60" s="336">
        <f t="shared" ca="1" si="0"/>
        <v>0</v>
      </c>
      <c r="AN60" s="470" cm="1">
        <f t="array" aca="1" ref="AN60" ca="1">ROUND(ORÇAMENTO.CustoUnitario*(1+$AH60),2)</f>
        <v>0</v>
      </c>
    </row>
    <row r="61" spans="1:40" x14ac:dyDescent="0.2">
      <c r="A61" t="str">
        <f>CHOOSE(1+LOG(1+2*(ORÇAMENTO.Nivel="Meta")+4*(ORÇAMENTO.Nivel="Nível 2")+8*(ORÇAMENTO.Nivel="Nível 3")+16*(ORÇAMENTO.Nivel="Nível 4")+32*(ORÇAMENTO.Nivel="Serviço"),2),0,1,2,3,4,"S")</f>
        <v>S</v>
      </c>
      <c r="B61">
        <f ca="1">IF(OR(C61="s",C61=0),OFFSET(B61,-1,0),C61)</f>
        <v>2</v>
      </c>
      <c r="C61" t="str">
        <f ca="1">IF(OFFSET(C61,-1,0)="L",1,IF(OFFSET(C61,-1,0)=1,2,IF(OR(A61="s",A61=0),"S",IF(AND(OFFSET(C61,-1,0)=2,A61=4),3,IF(AND(OR(OFFSET(C61,-1,0)="s",OFFSET(C61,-1,0)=0),A61&lt;&gt;"s",A61&gt;OFFSET(B61,-1,0)),OFFSET(B61,-1,0),A61)))))</f>
        <v>S</v>
      </c>
      <c r="D61">
        <f ca="1">IF(OR(C61="S",C61=0),0,IF(ISERROR(K61),J61,SMALL(J61:K61,1)))</f>
        <v>0</v>
      </c>
      <c r="E61">
        <f ca="1">IF($C61=1,OFFSET(E61,-1,0)+MAX(1,COUNTIF(QCI!$A$13:$A$24,OFFSET(ORÇAMENTO!E61,-1,0))),OFFSET(E61,-1,0))</f>
        <v>5</v>
      </c>
      <c r="F61">
        <f ca="1">IF($C61=1,0,IF($C61=2,OFFSET(F61,-1,0)+1,OFFSET(F61,-1,0)))</f>
        <v>3</v>
      </c>
      <c r="G61">
        <f ca="1">IF(AND($C61&lt;=2,$C61&lt;&gt;0),0,IF($C61=3,OFFSET(G61,-1,0)+1,OFFSET(G61,-1,0)))</f>
        <v>0</v>
      </c>
      <c r="H61">
        <f ca="1">IF(AND($C61&lt;=3,$C61&lt;&gt;0),0,IF($C61=4,OFFSET(H61,-1,0)+1,OFFSET(H61,-1,0)))</f>
        <v>0</v>
      </c>
      <c r="I61">
        <f ca="1">IF(AND($C61&lt;=4,$C61&lt;&gt;0),0,IF(AND($C61="S",$X61&gt;0),OFFSET(I61,-1,0)+1,OFFSET(I61,-1,0)))</f>
        <v>0</v>
      </c>
      <c r="J61">
        <f t="shared" ca="1" si="28"/>
        <v>0</v>
      </c>
      <c r="K61">
        <f ca="1">IF(OR($C61="S",$C61=0),0,MATCH(OFFSET($D61,0,$C61)+IF($C61&lt;&gt;1,1,COUNTIF(QCI!$A$13:$A$24,ORÇAMENTO!E61)),OFFSET($D61,1,$C61,ROW($C$162)-ROW($C61)),0))</f>
        <v>0</v>
      </c>
      <c r="L61" s="114" t="str">
        <f ca="1">IF(OR($X61&gt;0,$C61=1,$C61=2,$C61=3,$C61=4),"F","")</f>
        <v/>
      </c>
      <c r="M61" s="115" t="s">
        <v>705</v>
      </c>
      <c r="N61" s="116" t="str">
        <f ca="1">CHOOSE(1+LOG(1+2*(C61=1)+4*(C61=2)+8*(C61=3)+16*(C61=4)+32*(C61="S"),2),"","Meta","Nível 2","Nível 3","Nível 4","Serviço")</f>
        <v>Serviço</v>
      </c>
      <c r="O61" s="117" t="str">
        <f ca="1">IF(OR($C61=0,$L61=""),"-",CONCATENATE(E61&amp;".",IF(AND($A$5&gt;=2,$C61&gt;=2),F61&amp;".",""),IF(AND($A$5&gt;=3,$C61&gt;=3),G61&amp;".",""),IF(AND($A$5&gt;=4,$C61&gt;=4),H61&amp;".",""),IF($C61="S",I61&amp;".","")))</f>
        <v>-</v>
      </c>
      <c r="P61" s="118" t="s">
        <v>955</v>
      </c>
      <c r="Q61" s="119" t="s">
        <v>1063</v>
      </c>
      <c r="R61" s="120" t="str" cm="1">
        <f t="array" aca="1" ref="R61" ca="1">IF($C61="S",REFERENCIA.Descricao,"(digite a descrição aqui)")</f>
        <v>(Código não identificado nas referências)</v>
      </c>
      <c r="S61" s="121" t="str" cm="1">
        <f t="array" aca="1" ref="S61" ca="1">REFERENCIA.Unidade</f>
        <v>-</v>
      </c>
      <c r="T61" s="122">
        <f ca="1">OFFSET(CÁLCULO!H$15,ROW($T61)-ROW(T$15),0)</f>
        <v>1</v>
      </c>
      <c r="U61" s="123">
        <f t="shared" ca="1" si="43"/>
        <v>0</v>
      </c>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t="str">
        <f ca="1">IF(AND($C61="S",$X61&gt;0),IF(ISBLANK($Y61),"RA",LEFT($Y61,2)),"")</f>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CÓDIGO N/ID</v>
      </c>
      <c r="AD61" t="str">
        <f ca="1">IF(C61&lt;=CRONO.NivelExibicao,MAX($AD$15:OFFSET(AD61,-1,0))+IF($C61&lt;&gt;1,1,MAX(1,COUNTIF(QCI!$A$13:$A$24,OFFSET($E61,-1,0)))),"")</f>
        <v/>
      </c>
      <c r="AE61" s="7" t="str" cm="1">
        <f t="array" aca="1" ref="AE61" ca="1">IF(AND($C61="S",ORÇAMENTO.CodBarra&lt;&gt;""),IF(ORÇAMENTO.Fonte="",ORÇAMENTO.CodBarra,CONCATENATE(ORÇAMENTO.Fonte," ",ORÇAMENTO.CodBarra)))</f>
        <v>SICRO 0705253</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(Código não identificado nas referências)</v>
      </c>
      <c r="AG61" s="428" cm="1">
        <f t="array" aca="1" ref="AG61" ca="1">ROUND(IF(DESONERACAO="sim",REFERENCIA.Desonerado,REFERENCIA.NaoDesonerado),2)</f>
        <v>0</v>
      </c>
      <c r="AH61" s="429">
        <f ca="1">ROUND(IF(ISNUMBER(ORÇAMENTO.OpcaoBDI),ORÇAMENTO.OpcaoBDI,IF(LEFT(ORÇAMENTO.OpcaoBDI,3)="BDI",HLOOKUP(ORÇAMENTO.OpcaoBDI,$F$4:$H$5,2,FALSE),0)),15-11*$AF$9)</f>
        <v>0.22</v>
      </c>
      <c r="AJ61" s="431">
        <v>1</v>
      </c>
      <c r="AL61" s="439"/>
      <c r="AM61" s="336">
        <f t="shared" ca="1" si="0"/>
        <v>0</v>
      </c>
      <c r="AN61" s="470" cm="1">
        <f t="array" aca="1" ref="AN61" ca="1">ROUND(ORÇAMENTO.CustoUnitario*(1+$AH61),2)</f>
        <v>0</v>
      </c>
    </row>
    <row r="62" spans="1:40" ht="25.5" x14ac:dyDescent="0.2">
      <c r="A62" t="str">
        <f t="shared" si="30"/>
        <v>S</v>
      </c>
      <c r="B62">
        <f t="shared" ca="1" si="31"/>
        <v>2</v>
      </c>
      <c r="C62" t="str">
        <f t="shared" ca="1" si="32"/>
        <v>S</v>
      </c>
      <c r="D62">
        <f t="shared" ca="1" si="33"/>
        <v>0</v>
      </c>
      <c r="E62">
        <f ca="1">IF($C62=1,OFFSET(E62,-1,0)+MAX(1,COUNTIF(QCI!$A$13:$A$24,OFFSET(ORÇAMENTO!E62,-1,0))),OFFSET(E62,-1,0))</f>
        <v>5</v>
      </c>
      <c r="F62">
        <f t="shared" ca="1" si="34"/>
        <v>3</v>
      </c>
      <c r="G62">
        <f t="shared" ca="1" si="35"/>
        <v>0</v>
      </c>
      <c r="H62">
        <f t="shared" ca="1" si="36"/>
        <v>0</v>
      </c>
      <c r="I62">
        <f t="shared" ca="1" si="37"/>
        <v>0</v>
      </c>
      <c r="J62">
        <f t="shared" ca="1" si="28"/>
        <v>0</v>
      </c>
      <c r="K62">
        <f ca="1">IF(OR($C62="S",$C62=0),0,MATCH(OFFSET($D62,0,$C62)+IF($C62&lt;&gt;1,1,COUNTIF(QCI!$A$13:$A$24,ORÇAMENTO!E62)),OFFSET($D62,1,$C62,ROW($C$162)-ROW($C62)),0))</f>
        <v>0</v>
      </c>
      <c r="L62" s="114" t="str">
        <f t="shared" ca="1" si="38"/>
        <v/>
      </c>
      <c r="M62" s="115" t="s">
        <v>705</v>
      </c>
      <c r="N62" s="116" t="str">
        <f t="shared" ca="1" si="39"/>
        <v>Serviço</v>
      </c>
      <c r="O62" s="117" t="str">
        <f t="shared" ca="1" si="40"/>
        <v>-</v>
      </c>
      <c r="P62" s="118" t="s">
        <v>750</v>
      </c>
      <c r="Q62" s="119" t="s">
        <v>1038</v>
      </c>
      <c r="R62" s="120" t="str" cm="1">
        <f t="array" aca="1" ref="R62" ca="1">IF($C62="S",REFERENCIA.Descricao,"(digite a descrição aqui)")</f>
        <v>(Código não identificado nas referências)</v>
      </c>
      <c r="S62" s="121" t="str" cm="1">
        <f t="array" aca="1" ref="S62" ca="1">REFERENCIA.Unidade</f>
        <v>-</v>
      </c>
      <c r="T62" s="122">
        <f ca="1">OFFSET(CÁLCULO!H$15,ROW($T62)-ROW(T$15),0)</f>
        <v>44</v>
      </c>
      <c r="U62" s="123">
        <f t="shared" ca="1" si="43"/>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t="str">
        <f t="shared" ca="1" si="41"/>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CÓDIGO N/ID</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102724</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(Código não identificado nas referências)</v>
      </c>
      <c r="AG62" s="428" cm="1">
        <f t="array" aca="1" ref="AG62" ca="1">ROUND(IF(DESONERACAO="sim",REFERENCIA.Desonerado,REFERENCIA.NaoDesonerado),2)</f>
        <v>0</v>
      </c>
      <c r="AH62" s="429">
        <f t="shared" ca="1" si="42"/>
        <v>0.22</v>
      </c>
      <c r="AJ62" s="431">
        <f>11*2*2</f>
        <v>44</v>
      </c>
      <c r="AL62" s="439"/>
      <c r="AM62" s="336">
        <f t="shared" ca="1" si="0"/>
        <v>0</v>
      </c>
      <c r="AN62" s="470" cm="1">
        <f t="array" aca="1" ref="AN62" ca="1">ROUND(ORÇAMENTO.CustoUnitario*(1+$AH62),2)</f>
        <v>0</v>
      </c>
    </row>
    <row r="63" spans="1:40" ht="38.25" x14ac:dyDescent="0.2">
      <c r="A63" t="str">
        <f t="shared" si="30"/>
        <v>S</v>
      </c>
      <c r="B63">
        <f t="shared" ca="1" si="31"/>
        <v>2</v>
      </c>
      <c r="C63" t="str">
        <f t="shared" ca="1" si="32"/>
        <v>S</v>
      </c>
      <c r="D63">
        <f t="shared" ca="1" si="33"/>
        <v>0</v>
      </c>
      <c r="E63">
        <f ca="1">IF($C63=1,OFFSET(E63,-1,0)+MAX(1,COUNTIF(QCI!$A$13:$A$24,OFFSET(ORÇAMENTO!E63,-1,0))),OFFSET(E63,-1,0))</f>
        <v>5</v>
      </c>
      <c r="F63">
        <f t="shared" ca="1" si="34"/>
        <v>3</v>
      </c>
      <c r="G63">
        <f t="shared" ca="1" si="35"/>
        <v>0</v>
      </c>
      <c r="H63">
        <f t="shared" ca="1" si="36"/>
        <v>0</v>
      </c>
      <c r="I63">
        <f t="shared" ca="1" si="37"/>
        <v>0</v>
      </c>
      <c r="J63">
        <f t="shared" ca="1" si="28"/>
        <v>0</v>
      </c>
      <c r="K63">
        <f ca="1">IF(OR($C63="S",$C63=0),0,MATCH(OFFSET($D63,0,$C63)+IF($C63&lt;&gt;1,1,COUNTIF(QCI!$A$13:$A$24,ORÇAMENTO!E63)),OFFSET($D63,1,$C63,ROW($C$162)-ROW($C63)),0))</f>
        <v>0</v>
      </c>
      <c r="L63" s="114" t="str">
        <f t="shared" ca="1" si="38"/>
        <v/>
      </c>
      <c r="M63" s="115" t="s">
        <v>705</v>
      </c>
      <c r="N63" s="116" t="str">
        <f t="shared" ca="1" si="39"/>
        <v>Serviço</v>
      </c>
      <c r="O63" s="117" t="str">
        <f t="shared" ca="1" si="40"/>
        <v>-</v>
      </c>
      <c r="P63" s="118" t="s">
        <v>750</v>
      </c>
      <c r="Q63" s="119" t="s">
        <v>1036</v>
      </c>
      <c r="R63" s="120" t="str" cm="1">
        <f t="array" aca="1" ref="R63" ca="1">IF($C63="S",REFERENCIA.Descricao,"(digite a descrição aqui)")</f>
        <v>(Código não identificado nas referências)</v>
      </c>
      <c r="S63" s="121" t="str" cm="1">
        <f t="array" aca="1" ref="S63" ca="1">REFERENCIA.Unidade</f>
        <v>-</v>
      </c>
      <c r="T63" s="122">
        <f ca="1">OFFSET(CÁLCULO!H$15,ROW($T63)-ROW(T$15),0)</f>
        <v>21.81</v>
      </c>
      <c r="U63" s="123">
        <f t="shared" ca="1" si="43"/>
        <v>0</v>
      </c>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t="str">
        <f t="shared" ca="1" si="41"/>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CÓDIGO N/ID</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103798</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(Código não identificado nas referências)</v>
      </c>
      <c r="AG63" s="428" cm="1">
        <f t="array" aca="1" ref="AG63" ca="1">ROUND(IF(DESONERACAO="sim",REFERENCIA.Desonerado,REFERENCIA.NaoDesonerado),2)</f>
        <v>0</v>
      </c>
      <c r="AH63" s="429">
        <f t="shared" ca="1" si="42"/>
        <v>0.22</v>
      </c>
      <c r="AJ63" s="431">
        <f>43.61*0.5</f>
        <v>21.805</v>
      </c>
      <c r="AL63" s="439"/>
      <c r="AM63" s="336">
        <f t="shared" ca="1" si="0"/>
        <v>0</v>
      </c>
      <c r="AN63" s="470" cm="1">
        <f t="array" aca="1" ref="AN63" ca="1">ROUND(ORÇAMENTO.CustoUnitario*(1+$AH63),2)</f>
        <v>0</v>
      </c>
    </row>
    <row r="64" spans="1:40" x14ac:dyDescent="0.2">
      <c r="A64">
        <f t="shared" si="30"/>
        <v>1</v>
      </c>
      <c r="B64">
        <f t="shared" ca="1" si="31"/>
        <v>1</v>
      </c>
      <c r="C64">
        <f t="shared" ca="1" si="32"/>
        <v>1</v>
      </c>
      <c r="D64">
        <f t="shared" ca="1" si="33"/>
        <v>9</v>
      </c>
      <c r="E64">
        <f ca="1">IF($C64=1,OFFSET(E64,-1,0)+MAX(1,COUNTIF(QCI!$A$13:$A$24,OFFSET(ORÇAMENTO!E64,-1,0))),OFFSET(E64,-1,0))</f>
        <v>6</v>
      </c>
      <c r="F64">
        <f t="shared" ca="1" si="34"/>
        <v>0</v>
      </c>
      <c r="G64">
        <f t="shared" ca="1" si="35"/>
        <v>0</v>
      </c>
      <c r="H64">
        <f t="shared" ca="1" si="36"/>
        <v>0</v>
      </c>
      <c r="I64">
        <f t="shared" ca="1" si="37"/>
        <v>0</v>
      </c>
      <c r="J64">
        <f t="shared" ca="1" si="28"/>
        <v>98</v>
      </c>
      <c r="K64">
        <f ca="1">IF(OR($C64="S",$C64=0),0,MATCH(OFFSET($D64,0,$C64)+IF($C64&lt;&gt;1,1,COUNTIF(QCI!$A$13:$A$24,ORÇAMENTO!E64)),OFFSET($D64,1,$C64,ROW($C$162)-ROW($C64)),0))</f>
        <v>9</v>
      </c>
      <c r="L64" s="114" t="str">
        <f t="shared" ca="1" si="38"/>
        <v>F</v>
      </c>
      <c r="M64" s="115" t="s">
        <v>701</v>
      </c>
      <c r="N64" s="116" t="str">
        <f t="shared" ca="1" si="39"/>
        <v>Meta</v>
      </c>
      <c r="O64" s="117" t="str">
        <f t="shared" ca="1" si="40"/>
        <v>6.</v>
      </c>
      <c r="P64" s="118" t="s">
        <v>750</v>
      </c>
      <c r="Q64" s="119"/>
      <c r="R64" s="120" t="s">
        <v>1018</v>
      </c>
      <c r="S64" s="121" t="str" cm="1">
        <f t="array" aca="1" ref="S64" ca="1">REFERENCIA.Unidade</f>
        <v>-</v>
      </c>
      <c r="T64" s="122">
        <f ca="1">OFFSET(CÁLCULO!H$15,ROW($T64)-ROW(T$15),0)</f>
        <v>0</v>
      </c>
      <c r="U64" s="123">
        <f t="shared" ca="1" si="43"/>
        <v>0</v>
      </c>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t="str">
        <f t="shared" ca="1" si="41"/>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f ca="1">IF(C64&lt;=CRONO.NivelExibicao,MAX($AD$15:OFFSET(AD64,-1,0))+IF($C64&lt;&gt;1,1,MAX(1,COUNTIF(QCI!$A$13:$A$24,OFFSET($E64,-1,0)))),"")</f>
        <v>15</v>
      </c>
      <c r="AE64" s="7" t="b" cm="1">
        <f t="array" aca="1" ref="AE64" ca="1">IF(AND($C64="S",ORÇAMENTO.CodBarra&lt;&gt;""),IF(ORÇAMENTO.Fonte="",ORÇAMENTO.CodBarra,CONCATENATE(ORÇAMENTO.Fonte," ",ORÇAMENTO.CodBarra)))</f>
        <v>0</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(Sem Código)</v>
      </c>
      <c r="AG64" s="428" cm="1">
        <f t="array" aca="1" ref="AG64" ca="1">ROUND(IF(DESONERACAO="sim",REFERENCIA.Desonerado,REFERENCIA.NaoDesonerado),2)</f>
        <v>0</v>
      </c>
      <c r="AH64" s="429">
        <f t="shared" ca="1" si="42"/>
        <v>0.22</v>
      </c>
      <c r="AJ64" s="431"/>
      <c r="AL64" s="439"/>
      <c r="AM64" s="336">
        <f t="shared" ca="1" si="0"/>
        <v>0</v>
      </c>
      <c r="AN64" s="470" cm="1">
        <f t="array" aca="1" ref="AN64" ca="1">ROUND(ORÇAMENTO.CustoUnitario*(1+$AH64),2)</f>
        <v>0</v>
      </c>
    </row>
    <row r="65" spans="1:40" x14ac:dyDescent="0.2">
      <c r="A65">
        <f t="shared" si="30"/>
        <v>2</v>
      </c>
      <c r="B65">
        <f t="shared" ca="1" si="31"/>
        <v>2</v>
      </c>
      <c r="C65">
        <f t="shared" ca="1" si="32"/>
        <v>2</v>
      </c>
      <c r="D65">
        <f t="shared" ca="1" si="33"/>
        <v>3</v>
      </c>
      <c r="E65">
        <f ca="1">IF($C65=1,OFFSET(E65,-1,0)+MAX(1,COUNTIF(QCI!$A$13:$A$24,OFFSET(ORÇAMENTO!E65,-1,0))),OFFSET(E65,-1,0))</f>
        <v>6</v>
      </c>
      <c r="F65">
        <f t="shared" ca="1" si="34"/>
        <v>1</v>
      </c>
      <c r="G65">
        <f t="shared" ca="1" si="35"/>
        <v>0</v>
      </c>
      <c r="H65">
        <f t="shared" ca="1" si="36"/>
        <v>0</v>
      </c>
      <c r="I65">
        <f t="shared" ca="1" si="37"/>
        <v>0</v>
      </c>
      <c r="J65">
        <f t="shared" ca="1" si="28"/>
        <v>8</v>
      </c>
      <c r="K65">
        <f ca="1">IF(OR($C65="S",$C65=0),0,MATCH(OFFSET($D65,0,$C65)+IF($C65&lt;&gt;1,1,COUNTIF(QCI!$A$13:$A$24,ORÇAMENTO!E65)),OFFSET($D65,1,$C65,ROW($C$162)-ROW($C65)),0))</f>
        <v>3</v>
      </c>
      <c r="L65" s="114" t="str">
        <f t="shared" ca="1" si="38"/>
        <v>F</v>
      </c>
      <c r="M65" s="115" t="s">
        <v>702</v>
      </c>
      <c r="N65" s="116" t="str">
        <f t="shared" ca="1" si="39"/>
        <v>Nível 2</v>
      </c>
      <c r="O65" s="117" t="str">
        <f t="shared" ca="1" si="40"/>
        <v>6.1.</v>
      </c>
      <c r="P65" s="118" t="s">
        <v>750</v>
      </c>
      <c r="Q65" s="119">
        <v>5213570</v>
      </c>
      <c r="R65" s="120" t="s">
        <v>1019</v>
      </c>
      <c r="S65" s="121" t="str" cm="1">
        <f t="array" aca="1" ref="S65" ca="1">REFERENCIA.Unidade</f>
        <v>-</v>
      </c>
      <c r="T65" s="122">
        <f ca="1">OFFSET(CÁLCULO!H$15,ROW($T65)-ROW(T$15),0)</f>
        <v>0</v>
      </c>
      <c r="U65" s="123">
        <f t="shared" ca="1" si="43"/>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t="str">
        <f t="shared" ca="1" si="41"/>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f ca="1">IF(C65&lt;=CRONO.NivelExibicao,MAX($AD$15:OFFSET(AD65,-1,0))+IF($C65&lt;&gt;1,1,MAX(1,COUNTIF(QCI!$A$13:$A$24,OFFSET($E65,-1,0)))),"")</f>
        <v>16</v>
      </c>
      <c r="AE65" s="7" t="b" cm="1">
        <f t="array" aca="1" ref="AE65" ca="1">IF(AND($C65="S",ORÇAMENTO.CodBarra&lt;&gt;""),IF(ORÇAMENTO.Fonte="",ORÇAMENTO.CodBarra,CONCATENATE(ORÇAMENTO.Fonte," ",ORÇAMENTO.CodBarra)))</f>
        <v>0</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42"/>
        <v>0.22</v>
      </c>
      <c r="AJ65" s="431"/>
      <c r="AL65" s="439"/>
      <c r="AM65" s="336">
        <f t="shared" ca="1" si="0"/>
        <v>0</v>
      </c>
      <c r="AN65" s="470" cm="1">
        <f t="array" aca="1" ref="AN65" ca="1">ROUND(ORÇAMENTO.CustoUnitario*(1+$AH65),2)</f>
        <v>0</v>
      </c>
    </row>
    <row r="66" spans="1:40" x14ac:dyDescent="0.2">
      <c r="A66" t="str">
        <f t="shared" si="30"/>
        <v>S</v>
      </c>
      <c r="B66">
        <f t="shared" ca="1" si="31"/>
        <v>2</v>
      </c>
      <c r="C66" t="str">
        <f t="shared" ca="1" si="32"/>
        <v>S</v>
      </c>
      <c r="D66">
        <f t="shared" ca="1" si="33"/>
        <v>0</v>
      </c>
      <c r="E66">
        <f ca="1">IF($C66=1,OFFSET(E66,-1,0)+MAX(1,COUNTIF(QCI!$A$13:$A$24,OFFSET(ORÇAMENTO!E66,-1,0))),OFFSET(E66,-1,0))</f>
        <v>6</v>
      </c>
      <c r="F66">
        <f t="shared" ca="1" si="34"/>
        <v>1</v>
      </c>
      <c r="G66">
        <f t="shared" ca="1" si="35"/>
        <v>0</v>
      </c>
      <c r="H66">
        <f t="shared" ca="1" si="36"/>
        <v>0</v>
      </c>
      <c r="I66">
        <f t="shared" ca="1" si="37"/>
        <v>0</v>
      </c>
      <c r="J66">
        <f t="shared" ca="1" si="28"/>
        <v>0</v>
      </c>
      <c r="K66">
        <f ca="1">IF(OR($C66="S",$C66=0),0,MATCH(OFFSET($D66,0,$C66)+IF($C66&lt;&gt;1,1,COUNTIF(QCI!$A$13:$A$24,ORÇAMENTO!E66)),OFFSET($D66,1,$C66,ROW($C$162)-ROW($C66)),0))</f>
        <v>0</v>
      </c>
      <c r="L66" s="114" t="str">
        <f t="shared" ca="1" si="38"/>
        <v/>
      </c>
      <c r="M66" s="115" t="s">
        <v>705</v>
      </c>
      <c r="N66" s="116" t="str">
        <f t="shared" ca="1" si="39"/>
        <v>Serviço</v>
      </c>
      <c r="O66" s="117" t="str">
        <f t="shared" ca="1" si="40"/>
        <v>-</v>
      </c>
      <c r="P66" s="118" t="s">
        <v>955</v>
      </c>
      <c r="Q66" s="119">
        <v>5213570</v>
      </c>
      <c r="R66" s="120" t="str" cm="1">
        <f t="array" aca="1" ref="R66" ca="1">IF($C66="S",REFERENCIA.Descricao,"(digite a descrição aqui)")</f>
        <v>(Código não identificado nas referências)</v>
      </c>
      <c r="S66" s="121" t="s">
        <v>623</v>
      </c>
      <c r="T66" s="122">
        <f ca="1">OFFSET(CÁLCULO!H$15,ROW($T66)-ROW(T$15),0)</f>
        <v>0.72</v>
      </c>
      <c r="U66" s="123">
        <f t="shared" ca="1" si="43"/>
        <v>0</v>
      </c>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t="str">
        <f t="shared" ca="1" si="41"/>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CÓDIGO N/ID</v>
      </c>
      <c r="AD66" t="str">
        <f ca="1">IF(C66&lt;=CRONO.NivelExibicao,MAX($AD$15:OFFSET(AD66,-1,0))+IF($C66&lt;&gt;1,1,MAX(1,COUNTIF(QCI!$A$13:$A$24,OFFSET($E66,-1,0)))),"")</f>
        <v/>
      </c>
      <c r="AE66" s="7" t="str" cm="1">
        <f t="array" aca="1" ref="AE66" ca="1">IF(AND($C66="S",ORÇAMENTO.CodBarra&lt;&gt;""),IF(ORÇAMENTO.Fonte="",ORÇAMENTO.CodBarra,CONCATENATE(ORÇAMENTO.Fonte," ",ORÇAMENTO.CodBarra)))</f>
        <v>SICRO 5213570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(Código não identificado nas referências)</v>
      </c>
      <c r="AG66" s="428" cm="1">
        <f t="array" aca="1" ref="AG66" ca="1">ROUND(IF(DESONERACAO="sim",REFERENCIA.Desonerado,REFERENCIA.NaoDesonerado),2)</f>
        <v>0</v>
      </c>
      <c r="AH66" s="429">
        <f t="shared" ca="1" si="42"/>
        <v>0.22</v>
      </c>
      <c r="AJ66" s="431">
        <f>0.6*0.6*2</f>
        <v>0.72</v>
      </c>
      <c r="AL66" s="439"/>
      <c r="AM66" s="336">
        <f t="shared" ca="1" si="0"/>
        <v>0</v>
      </c>
      <c r="AN66" s="470" cm="1">
        <f t="array" aca="1" ref="AN66" ca="1">ROUND(ORÇAMENTO.CustoUnitario*(1+$AH66),2)</f>
        <v>0</v>
      </c>
    </row>
    <row r="67" spans="1:40" ht="25.5" x14ac:dyDescent="0.2">
      <c r="A67" t="str">
        <f t="shared" si="30"/>
        <v>S</v>
      </c>
      <c r="B67">
        <f t="shared" ca="1" si="31"/>
        <v>2</v>
      </c>
      <c r="C67" t="str">
        <f t="shared" ca="1" si="32"/>
        <v>S</v>
      </c>
      <c r="D67">
        <f t="shared" ca="1" si="33"/>
        <v>0</v>
      </c>
      <c r="E67">
        <f ca="1">IF($C67=1,OFFSET(E67,-1,0)+MAX(1,COUNTIF(QCI!$A$13:$A$24,OFFSET(ORÇAMENTO!E67,-1,0))),OFFSET(E67,-1,0))</f>
        <v>6</v>
      </c>
      <c r="F67">
        <f t="shared" ca="1" si="34"/>
        <v>1</v>
      </c>
      <c r="G67">
        <f t="shared" ca="1" si="35"/>
        <v>0</v>
      </c>
      <c r="H67">
        <f t="shared" ca="1" si="36"/>
        <v>0</v>
      </c>
      <c r="I67">
        <f t="shared" ca="1" si="37"/>
        <v>0</v>
      </c>
      <c r="J67">
        <f t="shared" ca="1" si="28"/>
        <v>0</v>
      </c>
      <c r="K67">
        <f ca="1">IF(OR($C67="S",$C67=0),0,MATCH(OFFSET($D67,0,$C67)+IF($C67&lt;&gt;1,1,COUNTIF(QCI!$A$13:$A$24,ORÇAMENTO!E67)),OFFSET($D67,1,$C67,ROW($C$162)-ROW($C67)),0))</f>
        <v>0</v>
      </c>
      <c r="L67" s="114" t="str">
        <f t="shared" ca="1" si="38"/>
        <v/>
      </c>
      <c r="M67" s="115" t="s">
        <v>705</v>
      </c>
      <c r="N67" s="116" t="str">
        <f t="shared" ca="1" si="39"/>
        <v>Serviço</v>
      </c>
      <c r="O67" s="117" t="str">
        <f t="shared" ca="1" si="40"/>
        <v>-</v>
      </c>
      <c r="P67" s="118" t="s">
        <v>955</v>
      </c>
      <c r="Q67" s="119">
        <v>5213863</v>
      </c>
      <c r="R67" s="120" t="str" cm="1">
        <f t="array" aca="1" ref="R67" ca="1">IF($C67="S",REFERENCIA.Descricao,"(digite a descrição aqui)")</f>
        <v>(Código não identificado nas referências)</v>
      </c>
      <c r="S67" s="121" t="str" cm="1">
        <f t="array" aca="1" ref="S67" ca="1">REFERENCIA.Unidade</f>
        <v>-</v>
      </c>
      <c r="T67" s="122">
        <f ca="1">OFFSET(CÁLCULO!H$15,ROW($T67)-ROW(T$15),0)</f>
        <v>2</v>
      </c>
      <c r="U67" s="123">
        <f t="shared" ca="1" si="43"/>
        <v>0</v>
      </c>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t="str">
        <f t="shared" ca="1" si="41"/>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IF(C67&lt;=CRONO.NivelExibicao,MAX($AD$15:OFFSET(AD67,-1,0))+IF($C67&lt;&gt;1,1,MAX(1,COUNTIF(QCI!$A$13:$A$24,OFFSET($E67,-1,0)))),"")</f>
        <v/>
      </c>
      <c r="AE67" s="7" t="str" cm="1">
        <f t="array" aca="1" ref="AE67" ca="1">IF(AND($C67="S",ORÇAMENTO.CodBarra&lt;&gt;""),IF(ORÇAMENTO.Fonte="",ORÇAMENTO.CodBarra,CONCATENATE(ORÇAMENTO.Fonte," ",ORÇAMENTO.CodBarra)))</f>
        <v>SICRO 5213863</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42"/>
        <v>0.22</v>
      </c>
      <c r="AJ67" s="431">
        <v>2</v>
      </c>
      <c r="AL67" s="439"/>
      <c r="AM67" s="336">
        <f t="shared" ca="1" si="0"/>
        <v>0</v>
      </c>
      <c r="AN67" s="470" cm="1">
        <f t="array" aca="1" ref="AN67" ca="1">ROUND(ORÇAMENTO.CustoUnitario*(1+$AH67),2)</f>
        <v>0</v>
      </c>
    </row>
    <row r="68" spans="1:40" x14ac:dyDescent="0.2">
      <c r="A68">
        <f t="shared" si="30"/>
        <v>2</v>
      </c>
      <c r="B68">
        <f t="shared" ca="1" si="31"/>
        <v>2</v>
      </c>
      <c r="C68">
        <f t="shared" ca="1" si="32"/>
        <v>2</v>
      </c>
      <c r="D68">
        <f t="shared" ca="1" si="33"/>
        <v>5</v>
      </c>
      <c r="E68">
        <f ca="1">IF($C68=1,OFFSET(E68,-1,0)+MAX(1,COUNTIF(QCI!$A$13:$A$24,OFFSET(ORÇAMENTO!E68,-1,0))),OFFSET(E68,-1,0))</f>
        <v>6</v>
      </c>
      <c r="F68">
        <f t="shared" ca="1" si="34"/>
        <v>2</v>
      </c>
      <c r="G68">
        <f t="shared" ca="1" si="35"/>
        <v>0</v>
      </c>
      <c r="H68">
        <f t="shared" ca="1" si="36"/>
        <v>0</v>
      </c>
      <c r="I68">
        <f t="shared" ca="1" si="37"/>
        <v>0</v>
      </c>
      <c r="J68">
        <f t="shared" ca="1" si="28"/>
        <v>5</v>
      </c>
      <c r="K68" t="e">
        <f ca="1">IF(OR($C68="S",$C68=0),0,MATCH(OFFSET($D68,0,$C68)+IF($C68&lt;&gt;1,1,COUNTIF(QCI!$A$13:$A$24,ORÇAMENTO!E68)),OFFSET($D68,1,$C68,ROW($C$162)-ROW($C68)),0))</f>
        <v>#N/A</v>
      </c>
      <c r="L68" s="114" t="str">
        <f t="shared" ca="1" si="38"/>
        <v>F</v>
      </c>
      <c r="M68" s="115" t="s">
        <v>702</v>
      </c>
      <c r="N68" s="116" t="str">
        <f t="shared" ca="1" si="39"/>
        <v>Nível 2</v>
      </c>
      <c r="O68" s="117" t="str">
        <f t="shared" ca="1" si="40"/>
        <v>6.2.</v>
      </c>
      <c r="P68" s="118" t="s">
        <v>750</v>
      </c>
      <c r="Q68" s="119" t="s">
        <v>1009</v>
      </c>
      <c r="R68" s="120" t="s">
        <v>1020</v>
      </c>
      <c r="S68" s="121" t="str" cm="1">
        <f t="array" aca="1" ref="S68" ca="1">REFERENCIA.Unidade</f>
        <v>-</v>
      </c>
      <c r="T68" s="122">
        <f ca="1">OFFSET(CÁLCULO!H$15,ROW($T68)-ROW(T$15),0)</f>
        <v>0</v>
      </c>
      <c r="U68" s="123">
        <f t="shared" ca="1" si="43"/>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t="str">
        <f t="shared" ca="1" si="41"/>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f ca="1">IF(C68&lt;=CRONO.NivelExibicao,MAX($AD$15:OFFSET(AD68,-1,0))+IF($C68&lt;&gt;1,1,MAX(1,COUNTIF(QCI!$A$13:$A$24,OFFSET($E68,-1,0)))),"")</f>
        <v>17</v>
      </c>
      <c r="AE68" s="7" t="b" cm="1">
        <f t="array" aca="1" ref="AE68" ca="1">IF(AND($C68="S",ORÇAMENTO.CodBarra&lt;&gt;""),IF(ORÇAMENTO.Fonte="",ORÇAMENTO.CodBarra,CONCATENATE(ORÇAMENTO.Fonte," ",ORÇAMENTO.CodBarra)))</f>
        <v>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42"/>
        <v>0.22</v>
      </c>
      <c r="AJ68" s="431"/>
      <c r="AL68" s="439"/>
      <c r="AM68" s="336">
        <f t="shared" ca="1" si="0"/>
        <v>0</v>
      </c>
      <c r="AN68" s="470" cm="1">
        <f t="array" aca="1" ref="AN68" ca="1">ROUND(ORÇAMENTO.CustoUnitario*(1+$AH68),2)</f>
        <v>0</v>
      </c>
    </row>
    <row r="69" spans="1:40" ht="25.5" x14ac:dyDescent="0.2">
      <c r="A69" t="str">
        <f t="shared" si="30"/>
        <v>S</v>
      </c>
      <c r="B69">
        <f t="shared" ca="1" si="31"/>
        <v>2</v>
      </c>
      <c r="C69" t="str">
        <f t="shared" ca="1" si="32"/>
        <v>S</v>
      </c>
      <c r="D69">
        <f t="shared" ca="1" si="33"/>
        <v>0</v>
      </c>
      <c r="E69">
        <f ca="1">IF($C69=1,OFFSET(E69,-1,0)+MAX(1,COUNTIF(QCI!$A$13:$A$24,OFFSET(ORÇAMENTO!E69,-1,0))),OFFSET(E69,-1,0))</f>
        <v>6</v>
      </c>
      <c r="F69">
        <f t="shared" ca="1" si="34"/>
        <v>2</v>
      </c>
      <c r="G69">
        <f t="shared" ca="1" si="35"/>
        <v>0</v>
      </c>
      <c r="H69">
        <f t="shared" ca="1" si="36"/>
        <v>0</v>
      </c>
      <c r="I69">
        <f t="shared" ca="1" si="37"/>
        <v>0</v>
      </c>
      <c r="J69">
        <f t="shared" ca="1" si="28"/>
        <v>0</v>
      </c>
      <c r="K69">
        <f ca="1">IF(OR($C69="S",$C69=0),0,MATCH(OFFSET($D69,0,$C69)+IF($C69&lt;&gt;1,1,COUNTIF(QCI!$A$13:$A$24,ORÇAMENTO!E69)),OFFSET($D69,1,$C69,ROW($C$162)-ROW($C69)),0))</f>
        <v>0</v>
      </c>
      <c r="L69" s="114" t="str">
        <f t="shared" ca="1" si="38"/>
        <v/>
      </c>
      <c r="M69" s="115" t="s">
        <v>705</v>
      </c>
      <c r="N69" s="116" t="str">
        <f t="shared" ca="1" si="39"/>
        <v>Serviço</v>
      </c>
      <c r="O69" s="117" t="str">
        <f t="shared" ca="1" si="40"/>
        <v>-</v>
      </c>
      <c r="P69" s="118" t="s">
        <v>955</v>
      </c>
      <c r="Q69" s="119" t="s">
        <v>1033</v>
      </c>
      <c r="R69" s="120" t="str" cm="1">
        <f t="array" aca="1" ref="R69" ca="1">IF($C69="S",REFERENCIA.Descricao,"(digite a descrição aqui)")</f>
        <v>(Código não identificado nas referências)</v>
      </c>
      <c r="S69" s="121" t="str" cm="1">
        <f t="array" aca="1" ref="S69" ca="1">REFERENCIA.Unidade</f>
        <v>-</v>
      </c>
      <c r="T69" s="122">
        <f ca="1">OFFSET(CÁLCULO!H$15,ROW($T69)-ROW(T$15),0)</f>
        <v>20.09</v>
      </c>
      <c r="U69" s="123">
        <f t="shared" ca="1" si="43"/>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t="str">
        <f t="shared" ca="1" si="41"/>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IF(C69&lt;=CRONO.NivelExibicao,MAX($AD$15:OFFSET(AD69,-1,0))+IF($C69&lt;&gt;1,1,MAX(1,COUNTIF(QCI!$A$13:$A$24,OFFSET($E69,-1,0)))),"")</f>
        <v/>
      </c>
      <c r="AE69" s="7" t="str" cm="1">
        <f t="array" aca="1" ref="AE69" ca="1">IF(AND($C69="S",ORÇAMENTO.CodBarra&lt;&gt;""),IF(ORÇAMENTO.Fonte="",ORÇAMENTO.CodBarra,CONCATENATE(ORÇAMENTO.Fonte," ",ORÇAMENTO.CodBarra)))</f>
        <v>SICRO 3719529</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42"/>
        <v>0.22</v>
      </c>
      <c r="AJ69" s="431">
        <f>10+8.2+1.89</f>
        <v>20.09</v>
      </c>
      <c r="AL69" s="439"/>
      <c r="AM69" s="336">
        <f t="shared" ca="1" si="0"/>
        <v>0</v>
      </c>
      <c r="AN69" s="470" cm="1">
        <f t="array" aca="1" ref="AN69" ca="1">ROUND(ORÇAMENTO.CustoUnitario*(1+$AH69),2)</f>
        <v>0</v>
      </c>
    </row>
    <row r="70" spans="1:40" ht="25.5" x14ac:dyDescent="0.2">
      <c r="A70" t="str">
        <f>CHOOSE(1+LOG(1+2*(ORÇAMENTO.Nivel="Meta")+4*(ORÇAMENTO.Nivel="Nível 2")+8*(ORÇAMENTO.Nivel="Nível 3")+16*(ORÇAMENTO.Nivel="Nível 4")+32*(ORÇAMENTO.Nivel="Serviço"),2),0,1,2,3,4,"S")</f>
        <v>S</v>
      </c>
      <c r="B70">
        <f ca="1">IF(OR(C70="s",C70=0),OFFSET(B70,-1,0),C70)</f>
        <v>2</v>
      </c>
      <c r="C70" t="str">
        <f ca="1">IF(OFFSET(C70,-1,0)="L",1,IF(OFFSET(C70,-1,0)=1,2,IF(OR(A70="s",A70=0),"S",IF(AND(OFFSET(C70,-1,0)=2,A70=4),3,IF(AND(OR(OFFSET(C70,-1,0)="s",OFFSET(C70,-1,0)=0),A70&lt;&gt;"s",A70&gt;OFFSET(B70,-1,0)),OFFSET(B70,-1,0),A70)))))</f>
        <v>S</v>
      </c>
      <c r="D70">
        <f ca="1">IF(OR(C70="S",C70=0),0,IF(ISERROR(K70),J70,SMALL(J70:K70,1)))</f>
        <v>0</v>
      </c>
      <c r="E70">
        <f ca="1">IF($C70=1,OFFSET(E70,-1,0)+MAX(1,COUNTIF(QCI!$A$13:$A$24,OFFSET(ORÇAMENTO!E70,-1,0))),OFFSET(E70,-1,0))</f>
        <v>6</v>
      </c>
      <c r="F70">
        <f ca="1">IF($C70=1,0,IF($C70=2,OFFSET(F70,-1,0)+1,OFFSET(F70,-1,0)))</f>
        <v>2</v>
      </c>
      <c r="G70">
        <f ca="1">IF(AND($C70&lt;=2,$C70&lt;&gt;0),0,IF($C70=3,OFFSET(G70,-1,0)+1,OFFSET(G70,-1,0)))</f>
        <v>0</v>
      </c>
      <c r="H70">
        <f ca="1">IF(AND($C70&lt;=3,$C70&lt;&gt;0),0,IF($C70=4,OFFSET(H70,-1,0)+1,OFFSET(H70,-1,0)))</f>
        <v>0</v>
      </c>
      <c r="I70">
        <f ca="1">IF(AND($C70&lt;=4,$C70&lt;&gt;0),0,IF(AND($C70="S",$X70&gt;0),OFFSET(I70,-1,0)+1,OFFSET(I70,-1,0)))</f>
        <v>0</v>
      </c>
      <c r="J70">
        <f t="shared" ca="1" si="28"/>
        <v>0</v>
      </c>
      <c r="K70">
        <f ca="1">IF(OR($C70="S",$C70=0),0,MATCH(OFFSET($D70,0,$C70)+IF($C70&lt;&gt;1,1,COUNTIF(QCI!$A$13:$A$24,ORÇAMENTO!E70)),OFFSET($D70,1,$C70,ROW($C$162)-ROW($C70)),0))</f>
        <v>0</v>
      </c>
      <c r="L70" s="114" t="str">
        <f ca="1">IF(OR($X70&gt;0,$C70=1,$C70=2,$C70=3,$C70=4),"F","")</f>
        <v/>
      </c>
      <c r="M70" s="115" t="s">
        <v>705</v>
      </c>
      <c r="N70" s="116" t="str">
        <f ca="1">CHOOSE(1+LOG(1+2*(C70=1)+4*(C70=2)+8*(C70=3)+16*(C70=4)+32*(C70="S"),2),"","Meta","Nível 2","Nível 3","Nível 4","Serviço")</f>
        <v>Serviço</v>
      </c>
      <c r="O70" s="117" t="str">
        <f ca="1">IF(OR($C70=0,$L70=""),"-",CONCATENATE(E70&amp;".",IF(AND($A$5&gt;=2,$C70&gt;=2),F70&amp;".",""),IF(AND($A$5&gt;=3,$C70&gt;=3),G70&amp;".",""),IF(AND($A$5&gt;=4,$C70&gt;=4),H70&amp;".",""),IF($C70="S",I70&amp;".","")))</f>
        <v>-</v>
      </c>
      <c r="P70" s="118" t="s">
        <v>750</v>
      </c>
      <c r="Q70" s="119" t="s">
        <v>1078</v>
      </c>
      <c r="R70" s="120" t="str" cm="1">
        <f t="array" aca="1" ref="R70" ca="1">IF($C70="S",REFERENCIA.Descricao,"(digite a descrição aqui)")</f>
        <v>(Código não identificado nas referências)</v>
      </c>
      <c r="S70" s="121" t="str" cm="1">
        <f t="array" aca="1" ref="S70" ca="1">REFERENCIA.Unidade</f>
        <v>-</v>
      </c>
      <c r="T70" s="122">
        <f ca="1">OFFSET(CÁLCULO!H$15,ROW($T70)-ROW(T$15),0)</f>
        <v>178.63</v>
      </c>
      <c r="U70" s="123">
        <f t="shared" ca="1" si="43"/>
        <v>0</v>
      </c>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t="str">
        <f ca="1">IF(AND($C70="S",$X70&gt;0),IF(ISBLANK($Y70),"RA",LEFT($Y70,2)),"")</f>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CÓDIGO N/ID</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103946</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(Código não identificado nas referências)</v>
      </c>
      <c r="AG70" s="428" cm="1">
        <f t="array" aca="1" ref="AG70" ca="1">ROUND(IF(DESONERACAO="sim",REFERENCIA.Desonerado,REFERENCIA.NaoDesonerado),2)</f>
        <v>0</v>
      </c>
      <c r="AH70" s="429">
        <f ca="1">ROUND(IF(ISNUMBER(ORÇAMENTO.OpcaoBDI),ORÇAMENTO.OpcaoBDI,IF(LEFT(ORÇAMENTO.OpcaoBDI,3)="BDI",HLOOKUP(ORÇAMENTO.OpcaoBDI,$F$4:$H$5,2,FALSE),0)),15-11*$AF$9)</f>
        <v>0.22</v>
      </c>
      <c r="AJ70" s="431">
        <v>178.63</v>
      </c>
      <c r="AL70" s="439"/>
      <c r="AM70" s="336">
        <f t="shared" ca="1" si="0"/>
        <v>0</v>
      </c>
      <c r="AN70" s="470" cm="1">
        <f t="array" aca="1" ref="AN70" ca="1">ROUND(ORÇAMENTO.CustoUnitario*(1+$AH70),2)</f>
        <v>0</v>
      </c>
    </row>
    <row r="71" spans="1:40" ht="25.5" x14ac:dyDescent="0.2">
      <c r="A71" t="str">
        <f>CHOOSE(1+LOG(1+2*(ORÇAMENTO.Nivel="Meta")+4*(ORÇAMENTO.Nivel="Nível 2")+8*(ORÇAMENTO.Nivel="Nível 3")+16*(ORÇAMENTO.Nivel="Nível 4")+32*(ORÇAMENTO.Nivel="Serviço"),2),0,1,2,3,4,"S")</f>
        <v>S</v>
      </c>
      <c r="B71">
        <f ca="1">IF(OR(C71="s",C71=0),OFFSET(B71,-1,0),C71)</f>
        <v>2</v>
      </c>
      <c r="C71" t="str">
        <f ca="1">IF(OFFSET(C71,-1,0)="L",1,IF(OFFSET(C71,-1,0)=1,2,IF(OR(A71="s",A71=0),"S",IF(AND(OFFSET(C71,-1,0)=2,A71=4),3,IF(AND(OR(OFFSET(C71,-1,0)="s",OFFSET(C71,-1,0)=0),A71&lt;&gt;"s",A71&gt;OFFSET(B71,-1,0)),OFFSET(B71,-1,0),A71)))))</f>
        <v>S</v>
      </c>
      <c r="D71">
        <f ca="1">IF(OR(C71="S",C71=0),0,IF(ISERROR(K71),J71,SMALL(J71:K71,1)))</f>
        <v>0</v>
      </c>
      <c r="E71">
        <f ca="1">IF($C71=1,OFFSET(E71,-1,0)+MAX(1,COUNTIF(QCI!$A$13:$A$24,OFFSET(ORÇAMENTO!E71,-1,0))),OFFSET(E71,-1,0))</f>
        <v>6</v>
      </c>
      <c r="F71">
        <f ca="1">IF($C71=1,0,IF($C71=2,OFFSET(F71,-1,0)+1,OFFSET(F71,-1,0)))</f>
        <v>2</v>
      </c>
      <c r="G71">
        <f ca="1">IF(AND($C71&lt;=2,$C71&lt;&gt;0),0,IF($C71=3,OFFSET(G71,-1,0)+1,OFFSET(G71,-1,0)))</f>
        <v>0</v>
      </c>
      <c r="H71">
        <f ca="1">IF(AND($C71&lt;=3,$C71&lt;&gt;0),0,IF($C71=4,OFFSET(H71,-1,0)+1,OFFSET(H71,-1,0)))</f>
        <v>0</v>
      </c>
      <c r="I71">
        <f ca="1">IF(AND($C71&lt;=4,$C71&lt;&gt;0),0,IF(AND($C71="S",$X71&gt;0),OFFSET(I71,-1,0)+1,OFFSET(I71,-1,0)))</f>
        <v>0</v>
      </c>
      <c r="J71">
        <f t="shared" ca="1" si="28"/>
        <v>0</v>
      </c>
      <c r="K71">
        <f ca="1">IF(OR($C71="S",$C71=0),0,MATCH(OFFSET($D71,0,$C71)+IF($C71&lt;&gt;1,1,COUNTIF(QCI!$A$13:$A$24,ORÇAMENTO!E71)),OFFSET($D71,1,$C71,ROW($C$162)-ROW($C71)),0))</f>
        <v>0</v>
      </c>
      <c r="L71" s="114" t="str">
        <f ca="1">IF(OR($X71&gt;0,$C71=1,$C71=2,$C71=3,$C71=4),"F","")</f>
        <v/>
      </c>
      <c r="M71" s="115" t="s">
        <v>705</v>
      </c>
      <c r="N71" s="116" t="str">
        <f ca="1">CHOOSE(1+LOG(1+2*(C71=1)+4*(C71=2)+8*(C71=3)+16*(C71=4)+32*(C71="S"),2),"","Meta","Nível 2","Nível 3","Nível 4","Serviço")</f>
        <v>Serviço</v>
      </c>
      <c r="O71" s="117" t="str">
        <f ca="1">IF(OR($C71=0,$L71=""),"-",CONCATENATE(E71&amp;".",IF(AND($A$5&gt;=2,$C71&gt;=2),F71&amp;".",""),IF(AND($A$5&gt;=3,$C71&gt;=3),G71&amp;".",""),IF(AND($A$5&gt;=4,$C71&gt;=4),H71&amp;".",""),IF($C71="S",I71&amp;".","")))</f>
        <v>-</v>
      </c>
      <c r="P71" s="118" t="s">
        <v>750</v>
      </c>
      <c r="Q71" s="119" t="s">
        <v>1079</v>
      </c>
      <c r="R71" s="120" t="str" cm="1">
        <f t="array" aca="1" ref="R71" ca="1">IF($C71="S",REFERENCIA.Descricao,"(digite a descrição aqui)")</f>
        <v>(Código não identificado nas referências)</v>
      </c>
      <c r="S71" s="121" t="str" cm="1">
        <f t="array" aca="1" ref="S71" ca="1">REFERENCIA.Unidade</f>
        <v>-</v>
      </c>
      <c r="T71" s="122">
        <f ca="1">OFFSET(CÁLCULO!H$15,ROW($T71)-ROW(T$15),0)</f>
        <v>16.04</v>
      </c>
      <c r="U71" s="123">
        <f t="shared" ca="1" si="43"/>
        <v>0</v>
      </c>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0</v>
      </c>
      <c r="Y71" s="126" t="s">
        <v>751</v>
      </c>
      <c r="Z71" t="str">
        <f ca="1">IF(AND($C71="S",$X71&gt;0),IF(ISBLANK($Y71),"RA",LEFT($Y71,2)),"")</f>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CÓDIGO N/ID</v>
      </c>
      <c r="AD71" t="str">
        <f ca="1">IF(C71&lt;=CRONO.NivelExibicao,MAX($AD$15:OFFSET(AD71,-1,0))+IF($C71&lt;&gt;1,1,MAX(1,COUNTIF(QCI!$A$13:$A$24,OFFSET($E71,-1,0)))),"")</f>
        <v/>
      </c>
      <c r="AE71" s="7" t="str" cm="1">
        <f t="array" aca="1" ref="AE71" ca="1">IF(AND($C71="S",ORÇAMENTO.CodBarra&lt;&gt;""),IF(ORÇAMENTO.Fonte="",ORÇAMENTO.CodBarra,CONCATENATE(ORÇAMENTO.Fonte," ",ORÇAMENTO.CodBarra)))</f>
        <v>SINAPI 104800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(Código não identificado nas referências)</v>
      </c>
      <c r="AG71" s="428" cm="1">
        <f t="array" aca="1" ref="AG71" ca="1">ROUND(IF(DESONERACAO="sim",REFERENCIA.Desonerado,REFERENCIA.NaoDesonerado),2)</f>
        <v>0</v>
      </c>
      <c r="AH71" s="429">
        <f ca="1">ROUND(IF(ISNUMBER(ORÇAMENTO.OpcaoBDI),ORÇAMENTO.OpcaoBDI,IF(LEFT(ORÇAMENTO.OpcaoBDI,3)="BDI",HLOOKUP(ORÇAMENTO.OpcaoBDI,$F$4:$H$5,2,FALSE),0)),15-11*$AF$9)</f>
        <v>0.22</v>
      </c>
      <c r="AJ71" s="431">
        <v>16.04</v>
      </c>
      <c r="AL71" s="439"/>
      <c r="AM71" s="336">
        <f t="shared" ca="1" si="0"/>
        <v>0</v>
      </c>
      <c r="AN71" s="470" cm="1">
        <f t="array" aca="1" ref="AN71" ca="1">ROUND(ORÇAMENTO.CustoUnitario*(1+$AH71),2)</f>
        <v>0</v>
      </c>
    </row>
    <row r="72" spans="1:40" x14ac:dyDescent="0.2">
      <c r="A72" t="str">
        <f>CHOOSE(1+LOG(1+2*(ORÇAMENTO.Nivel="Meta")+4*(ORÇAMENTO.Nivel="Nível 2")+8*(ORÇAMENTO.Nivel="Nível 3")+16*(ORÇAMENTO.Nivel="Nível 4")+32*(ORÇAMENTO.Nivel="Serviço"),2),0,1,2,3,4,"S")</f>
        <v>S</v>
      </c>
      <c r="B72">
        <f ca="1">IF(OR(C72="s",C72=0),OFFSET(B72,-1,0),C72)</f>
        <v>2</v>
      </c>
      <c r="C72" t="str">
        <f ca="1">IF(OFFSET(C72,-1,0)="L",1,IF(OFFSET(C72,-1,0)=1,2,IF(OR(A72="s",A72=0),"S",IF(AND(OFFSET(C72,-1,0)=2,A72=4),3,IF(AND(OR(OFFSET(C72,-1,0)="s",OFFSET(C72,-1,0)=0),A72&lt;&gt;"s",A72&gt;OFFSET(B72,-1,0)),OFFSET(B72,-1,0),A72)))))</f>
        <v>S</v>
      </c>
      <c r="D72">
        <f ca="1">IF(OR(C72="S",C72=0),0,IF(ISERROR(K72),J72,SMALL(J72:K72,1)))</f>
        <v>0</v>
      </c>
      <c r="E72">
        <f ca="1">IF($C72=1,OFFSET(E72,-1,0)+MAX(1,COUNTIF(QCI!$A$13:$A$24,OFFSET(ORÇAMENTO!E72,-1,0))),OFFSET(E72,-1,0))</f>
        <v>6</v>
      </c>
      <c r="F72">
        <f ca="1">IF($C72=1,0,IF($C72=2,OFFSET(F72,-1,0)+1,OFFSET(F72,-1,0)))</f>
        <v>2</v>
      </c>
      <c r="G72">
        <f ca="1">IF(AND($C72&lt;=2,$C72&lt;&gt;0),0,IF($C72=3,OFFSET(G72,-1,0)+1,OFFSET(G72,-1,0)))</f>
        <v>0</v>
      </c>
      <c r="H72">
        <f ca="1">IF(AND($C72&lt;=3,$C72&lt;&gt;0),0,IF($C72=4,OFFSET(H72,-1,0)+1,OFFSET(H72,-1,0)))</f>
        <v>0</v>
      </c>
      <c r="I72">
        <f ca="1">IF(AND($C72&lt;=4,$C72&lt;&gt;0),0,IF(AND($C72="S",$X72&gt;0),OFFSET(I72,-1,0)+1,OFFSET(I72,-1,0)))</f>
        <v>0</v>
      </c>
      <c r="J72">
        <f t="shared" ca="1" si="28"/>
        <v>0</v>
      </c>
      <c r="K72">
        <f ca="1">IF(OR($C72="S",$C72=0),0,MATCH(OFFSET($D72,0,$C72)+IF($C72&lt;&gt;1,1,COUNTIF(QCI!$A$13:$A$24,ORÇAMENTO!E72)),OFFSET($D72,1,$C72,ROW($C$162)-ROW($C72)),0))</f>
        <v>0</v>
      </c>
      <c r="L72" s="114" t="str">
        <f ca="1">IF(OR($X72&gt;0,$C72=1,$C72=2,$C72=3,$C72=4),"F","")</f>
        <v/>
      </c>
      <c r="M72" s="115" t="s">
        <v>705</v>
      </c>
      <c r="N72" s="116" t="str">
        <f ca="1">CHOOSE(1+LOG(1+2*(C72=1)+4*(C72=2)+8*(C72=3)+16*(C72=4)+32*(C72="S"),2),"","Meta","Nível 2","Nível 3","Nível 4","Serviço")</f>
        <v>Serviço</v>
      </c>
      <c r="O72" s="117" t="str">
        <f ca="1">IF(OR($C72=0,$L72=""),"-",CONCATENATE(E72&amp;".",IF(AND($A$5&gt;=2,$C72&gt;=2),F72&amp;".",""),IF(AND($A$5&gt;=3,$C72&gt;=3),G72&amp;".",""),IF(AND($A$5&gt;=4,$C72&gt;=4),H72&amp;".",""),IF($C72="S",I72&amp;".","")))</f>
        <v>-</v>
      </c>
      <c r="P72" s="118" t="s">
        <v>955</v>
      </c>
      <c r="Q72" s="119" t="s">
        <v>1064</v>
      </c>
      <c r="R72" s="120" t="str" cm="1">
        <f t="array" aca="1" ref="R72" ca="1">IF($C72="S",REFERENCIA.Descricao,"(digite a descrição aqui)")</f>
        <v>(Código não identificado nas referências)</v>
      </c>
      <c r="S72" s="121" t="str" cm="1">
        <f t="array" aca="1" ref="S72" ca="1">REFERENCIA.Unidade</f>
        <v>-</v>
      </c>
      <c r="T72" s="122">
        <f ca="1">OFFSET(CÁLCULO!H$15,ROW($T72)-ROW(T$15),0)</f>
        <v>16.04</v>
      </c>
      <c r="U72" s="123">
        <f t="shared" ca="1" si="43"/>
        <v>0</v>
      </c>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0</v>
      </c>
      <c r="Y72" s="126" t="s">
        <v>751</v>
      </c>
      <c r="Z72" t="str">
        <f ca="1">IF(AND($C72="S",$X72&gt;0),IF(ISBLANK($Y72),"RA",LEFT($Y72,2)),"")</f>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CÓDIGO N/ID</v>
      </c>
      <c r="AD72" t="str">
        <f ca="1">IF(C72&lt;=CRONO.NivelExibicao,MAX($AD$15:OFFSET(AD72,-1,0))+IF($C72&lt;&gt;1,1,MAX(1,COUNTIF(QCI!$A$13:$A$24,OFFSET($E72,-1,0)))),"")</f>
        <v/>
      </c>
      <c r="AE72" s="7" t="str" cm="1">
        <f t="array" aca="1" ref="AE72" ca="1">IF(AND($C72="S",ORÇAMENTO.CodBarra&lt;&gt;""),IF(ORÇAMENTO.Fonte="",ORÇAMENTO.CodBarra,CONCATENATE(ORÇAMENTO.Fonte," ",ORÇAMENTO.CodBarra)))</f>
        <v>SICRO 4915730</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ca="1">ROUND(IF(ISNUMBER(ORÇAMENTO.OpcaoBDI),ORÇAMENTO.OpcaoBDI,IF(LEFT(ORÇAMENTO.OpcaoBDI,3)="BDI",HLOOKUP(ORÇAMENTO.OpcaoBDI,$F$4:$H$5,2,FALSE),0)),15-11*$AF$9)</f>
        <v>0.22</v>
      </c>
      <c r="AJ72" s="431">
        <v>16.04</v>
      </c>
      <c r="AL72" s="439"/>
      <c r="AM72" s="336">
        <f t="shared" ca="1" si="0"/>
        <v>0</v>
      </c>
      <c r="AN72" s="470" cm="1">
        <f t="array" aca="1" ref="AN72" ca="1">ROUND(ORÇAMENTO.CustoUnitario*(1+$AH72),2)</f>
        <v>0</v>
      </c>
    </row>
    <row r="73" spans="1:40" x14ac:dyDescent="0.2">
      <c r="A73">
        <f t="shared" ref="A73:A103" si="44">CHOOSE(1+LOG(1+2*(ORÇAMENTO.Nivel="Meta")+4*(ORÇAMENTO.Nivel="Nível 2")+8*(ORÇAMENTO.Nivel="Nível 3")+16*(ORÇAMENTO.Nivel="Nível 4")+32*(ORÇAMENTO.Nivel="Serviço"),2),0,1,2,3,4,"S")</f>
        <v>1</v>
      </c>
      <c r="B73">
        <f t="shared" ref="B73:B103" ca="1" si="45">IF(OR(C73="s",C73=0),OFFSET(B73,-1,0),C73)</f>
        <v>1</v>
      </c>
      <c r="C73">
        <f t="shared" ref="C73:C103" ca="1" si="46">IF(OFFSET(C73,-1,0)="L",1,IF(OFFSET(C73,-1,0)=1,2,IF(OR(A73="s",A73=0),"S",IF(AND(OFFSET(C73,-1,0)=2,A73=4),3,IF(AND(OR(OFFSET(C73,-1,0)="s",OFFSET(C73,-1,0)=0),A73&lt;&gt;"s",A73&gt;OFFSET(B73,-1,0)),OFFSET(B73,-1,0),A73)))))</f>
        <v>1</v>
      </c>
      <c r="D73">
        <f t="shared" ref="D73:D103" ca="1" si="47">IF(OR(C73="S",C73=0),0,IF(ISERROR(K73),J73,SMALL(J73:K73,1)))</f>
        <v>89</v>
      </c>
      <c r="E73">
        <f ca="1">IF($C73=1,OFFSET(E73,-1,0)+MAX(1,COUNTIF(QCI!$A$13:$A$24,OFFSET(ORÇAMENTO!E73,-1,0))),OFFSET(E73,-1,0))</f>
        <v>7</v>
      </c>
      <c r="F73">
        <f t="shared" ref="F73:F103" ca="1" si="48">IF($C73=1,0,IF($C73=2,OFFSET(F73,-1,0)+1,OFFSET(F73,-1,0)))</f>
        <v>0</v>
      </c>
      <c r="G73">
        <f t="shared" ref="G73:G103" ca="1" si="49">IF(AND($C73&lt;=2,$C73&lt;&gt;0),0,IF($C73=3,OFFSET(G73,-1,0)+1,OFFSET(G73,-1,0)))</f>
        <v>0</v>
      </c>
      <c r="H73">
        <f t="shared" ref="H73:H103" ca="1" si="50">IF(AND($C73&lt;=3,$C73&lt;&gt;0),0,IF($C73=4,OFFSET(H73,-1,0)+1,OFFSET(H73,-1,0)))</f>
        <v>0</v>
      </c>
      <c r="I73">
        <f t="shared" ref="I73:I103" ca="1" si="51">IF(AND($C73&lt;=4,$C73&lt;&gt;0),0,IF(AND($C73="S",$X73&gt;0),OFFSET(I73,-1,0)+1,OFFSET(I73,-1,0)))</f>
        <v>0</v>
      </c>
      <c r="J73">
        <f t="shared" ca="1" si="28"/>
        <v>89</v>
      </c>
      <c r="K73" t="e">
        <f ca="1">IF(OR($C73="S",$C73=0),0,MATCH(OFFSET($D73,0,$C73)+IF($C73&lt;&gt;1,1,COUNTIF(QCI!$A$13:$A$24,ORÇAMENTO!E73)),OFFSET($D73,1,$C73,ROW($C$162)-ROW($C73)),0))</f>
        <v>#N/A</v>
      </c>
      <c r="L73" s="114" t="str">
        <f t="shared" ref="L73:L103" ca="1" si="52">IF(OR($X73&gt;0,$C73=1,$C73=2,$C73=3,$C73=4),"F","")</f>
        <v>F</v>
      </c>
      <c r="M73" s="115" t="s">
        <v>701</v>
      </c>
      <c r="N73" s="116" t="str">
        <f t="shared" ref="N73:N103" ca="1" si="53">CHOOSE(1+LOG(1+2*(C73=1)+4*(C73=2)+8*(C73=3)+16*(C73=4)+32*(C73="S"),2),"","Meta","Nível 2","Nível 3","Nível 4","Serviço")</f>
        <v>Meta</v>
      </c>
      <c r="O73" s="117" t="str">
        <f t="shared" ref="O73:O103" ca="1" si="54">IF(OR($C73=0,$L73=""),"-",CONCATENATE(E73&amp;".",IF(AND($A$5&gt;=2,$C73&gt;=2),F73&amp;".",""),IF(AND($A$5&gt;=3,$C73&gt;=3),G73&amp;".",""),IF(AND($A$5&gt;=4,$C73&gt;=4),H73&amp;".",""),IF($C73="S",I73&amp;".","")))</f>
        <v>7.</v>
      </c>
      <c r="P73" s="118" t="s">
        <v>750</v>
      </c>
      <c r="Q73" s="119"/>
      <c r="R73" s="120" t="s">
        <v>1021</v>
      </c>
      <c r="S73" s="121" t="str" cm="1">
        <f t="array" aca="1" ref="S73" ca="1">REFERENCIA.Unidade</f>
        <v>-</v>
      </c>
      <c r="T73" s="122">
        <f ca="1">OFFSET(CÁLCULO!H$15,ROW($T73)-ROW(T$15),0)</f>
        <v>0</v>
      </c>
      <c r="U73" s="123">
        <f t="shared" ref="U73:U107" ca="1" si="55">AG73</f>
        <v>0</v>
      </c>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IF($C73="S",IF(OR(Import.TipoArredondamento&lt;&gt;"TransfereGOV",ACOMPANHAMENTO="BM"),VTOTAL1,SUM(OFFSET(CÁLCULO!$AA$15,ROW($X73)-ROW($X$15),1):OFFSET(CÁLCULO!$AL$15,ROW($X73)-ROW($X$15),-1))),IF($C73=0,0,ROUND(SomaAgrup,15-13*$AF$11)))</f>
        <v>0</v>
      </c>
      <c r="Y73" s="126" t="s">
        <v>751</v>
      </c>
      <c r="Z73" t="str">
        <f t="shared" ref="Z73:Z103" ca="1" si="56">IF(AND($C73="S",$X73&gt;0),IF(ISBLANK($Y73),"RA",LEFT($Y73,2)),"")</f>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f ca="1">IF(C73&lt;=CRONO.NivelExibicao,MAX($AD$15:OFFSET(AD73,-1,0))+IF($C73&lt;&gt;1,1,MAX(1,COUNTIF(QCI!$A$13:$A$24,OFFSET($E73,-1,0)))),"")</f>
        <v>18</v>
      </c>
      <c r="AE73" s="7" t="b" cm="1">
        <f t="array" aca="1" ref="AE73" ca="1">IF(AND($C73="S",ORÇAMENTO.CodBarra&lt;&gt;""),IF(ORÇAMENTO.Fonte="",ORÇAMENTO.CodBarra,CONCATENATE(ORÇAMENTO.Fonte," ",ORÇAMENTO.CodBarra)))</f>
        <v>0</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ref="AH73:AH103" ca="1" si="57">ROUND(IF(ISNUMBER(ORÇAMENTO.OpcaoBDI),ORÇAMENTO.OpcaoBDI,IF(LEFT(ORÇAMENTO.OpcaoBDI,3)="BDI",HLOOKUP(ORÇAMENTO.OpcaoBDI,$F$4:$H$5,2,FALSE),0)),15-11*$AF$9)</f>
        <v>0.22</v>
      </c>
      <c r="AJ73" s="431"/>
      <c r="AL73" s="439"/>
      <c r="AM73" s="336">
        <f t="shared" ca="1" si="0"/>
        <v>0</v>
      </c>
      <c r="AN73" s="470" cm="1">
        <f t="array" aca="1" ref="AN73" ca="1">ROUND(ORÇAMENTO.CustoUnitario*(1+$AH73),2)</f>
        <v>0</v>
      </c>
    </row>
    <row r="74" spans="1:40" x14ac:dyDescent="0.2">
      <c r="A74">
        <f t="shared" si="44"/>
        <v>2</v>
      </c>
      <c r="B74">
        <f t="shared" ca="1" si="45"/>
        <v>2</v>
      </c>
      <c r="C74">
        <f t="shared" ca="1" si="46"/>
        <v>2</v>
      </c>
      <c r="D74">
        <f t="shared" ca="1" si="47"/>
        <v>88</v>
      </c>
      <c r="E74">
        <f ca="1">IF($C74=1,OFFSET(E74,-1,0)+MAX(1,COUNTIF(QCI!$A$13:$A$24,OFFSET(ORÇAMENTO!E74,-1,0))),OFFSET(E74,-1,0))</f>
        <v>7</v>
      </c>
      <c r="F74">
        <f t="shared" ca="1" si="48"/>
        <v>1</v>
      </c>
      <c r="G74">
        <f t="shared" ca="1" si="49"/>
        <v>0</v>
      </c>
      <c r="H74">
        <f t="shared" ca="1" si="50"/>
        <v>0</v>
      </c>
      <c r="I74">
        <f t="shared" ca="1" si="51"/>
        <v>0</v>
      </c>
      <c r="J74">
        <f t="shared" ca="1" si="28"/>
        <v>88</v>
      </c>
      <c r="K74" t="e">
        <f ca="1">IF(OR($C74="S",$C74=0),0,MATCH(OFFSET($D74,0,$C74)+IF($C74&lt;&gt;1,1,COUNTIF(QCI!$A$13:$A$24,ORÇAMENTO!E74)),OFFSET($D74,1,$C74,ROW($C$162)-ROW($C74)),0))</f>
        <v>#N/A</v>
      </c>
      <c r="L74" s="114" t="str">
        <f t="shared" ca="1" si="52"/>
        <v>F</v>
      </c>
      <c r="M74" s="115" t="s">
        <v>702</v>
      </c>
      <c r="N74" s="116" t="str">
        <f t="shared" ca="1" si="53"/>
        <v>Nível 2</v>
      </c>
      <c r="O74" s="117" t="str">
        <f t="shared" ca="1" si="54"/>
        <v>7.1.</v>
      </c>
      <c r="P74" s="118" t="s">
        <v>750</v>
      </c>
      <c r="Q74" s="119"/>
      <c r="R74" s="120" t="s">
        <v>1021</v>
      </c>
      <c r="S74" s="121" t="str" cm="1">
        <f t="array" aca="1" ref="S74" ca="1">REFERENCIA.Unidade</f>
        <v>-</v>
      </c>
      <c r="T74" s="122">
        <f ca="1">OFFSET(CÁLCULO!H$15,ROW($T74)-ROW(T$15),0)</f>
        <v>0</v>
      </c>
      <c r="U74" s="123">
        <f t="shared" ca="1" si="55"/>
        <v>0</v>
      </c>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0</v>
      </c>
      <c r="Y74" s="126" t="s">
        <v>751</v>
      </c>
      <c r="Z74" t="str">
        <f t="shared" ca="1" si="56"/>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f ca="1">IF(C74&lt;=CRONO.NivelExibicao,MAX($AD$15:OFFSET(AD74,-1,0))+IF($C74&lt;&gt;1,1,MAX(1,COUNTIF(QCI!$A$13:$A$24,OFFSET($E74,-1,0)))),"")</f>
        <v>19</v>
      </c>
      <c r="AE74" s="7" t="b" cm="1">
        <f t="array" aca="1" ref="AE74" ca="1">IF(AND($C74="S",ORÇAMENTO.CodBarra&lt;&gt;""),IF(ORÇAMENTO.Fonte="",ORÇAMENTO.CodBarra,CONCATENATE(ORÇAMENTO.Fonte," ",ORÇAMENTO.CodBarra)))</f>
        <v>0</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57"/>
        <v>0.22</v>
      </c>
      <c r="AJ74" s="431"/>
      <c r="AL74" s="439"/>
      <c r="AM74" s="336">
        <f t="shared" ca="1" si="0"/>
        <v>0</v>
      </c>
      <c r="AN74" s="470" cm="1">
        <f t="array" aca="1" ref="AN74" ca="1">ROUND(ORÇAMENTO.CustoUnitario*(1+$AH74),2)</f>
        <v>0</v>
      </c>
    </row>
    <row r="75" spans="1:40" x14ac:dyDescent="0.2">
      <c r="A75" t="str">
        <f t="shared" si="44"/>
        <v>S</v>
      </c>
      <c r="B75">
        <f t="shared" ca="1" si="45"/>
        <v>2</v>
      </c>
      <c r="C75" t="str">
        <f t="shared" ca="1" si="46"/>
        <v>S</v>
      </c>
      <c r="D75">
        <f t="shared" ca="1" si="47"/>
        <v>0</v>
      </c>
      <c r="E75">
        <f ca="1">IF($C75=1,OFFSET(E75,-1,0)+MAX(1,COUNTIF(QCI!$A$13:$A$24,OFFSET(ORÇAMENTO!E75,-1,0))),OFFSET(E75,-1,0))</f>
        <v>7</v>
      </c>
      <c r="F75">
        <f t="shared" ca="1" si="48"/>
        <v>1</v>
      </c>
      <c r="G75">
        <f t="shared" ca="1" si="49"/>
        <v>0</v>
      </c>
      <c r="H75">
        <f t="shared" ca="1" si="50"/>
        <v>0</v>
      </c>
      <c r="I75">
        <f t="shared" ca="1" si="51"/>
        <v>0</v>
      </c>
      <c r="J75">
        <f t="shared" ca="1" si="28"/>
        <v>0</v>
      </c>
      <c r="K75">
        <f ca="1">IF(OR($C75="S",$C75=0),0,MATCH(OFFSET($D75,0,$C75)+IF($C75&lt;&gt;1,1,COUNTIF(QCI!$A$13:$A$24,ORÇAMENTO!E75)),OFFSET($D75,1,$C75,ROW($C$162)-ROW($C75)),0))</f>
        <v>0</v>
      </c>
      <c r="L75" s="114" t="str">
        <f t="shared" ca="1" si="52"/>
        <v/>
      </c>
      <c r="M75" s="115" t="s">
        <v>705</v>
      </c>
      <c r="N75" s="116" t="str">
        <f t="shared" ca="1" si="53"/>
        <v>Serviço</v>
      </c>
      <c r="O75" s="117" t="str">
        <f t="shared" ca="1" si="54"/>
        <v>-</v>
      </c>
      <c r="P75" s="118" t="s">
        <v>956</v>
      </c>
      <c r="Q75" s="119" t="s">
        <v>1085</v>
      </c>
      <c r="R75" s="120" t="str" cm="1">
        <f t="array" aca="1" ref="R75" ca="1">IF($C75="S",REFERENCIA.Descricao,"(digite a descrição aqui)")</f>
        <v>(Código não identificado nas referências)</v>
      </c>
      <c r="S75" s="121" t="str" cm="1">
        <f t="array" aca="1" ref="S75" ca="1">REFERENCIA.Unidade</f>
        <v>-</v>
      </c>
      <c r="T75" s="122">
        <f ca="1">OFFSET(CÁLCULO!H$15,ROW($T75)-ROW(T$15),0)</f>
        <v>3</v>
      </c>
      <c r="U75" s="123">
        <f t="shared" ca="1" si="55"/>
        <v>0</v>
      </c>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0</v>
      </c>
      <c r="Y75" s="126" t="s">
        <v>751</v>
      </c>
      <c r="Z75" t="str">
        <f t="shared" ca="1" si="56"/>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CÓDIGO N/ID</v>
      </c>
      <c r="AD75" t="str">
        <f ca="1">IF(C75&lt;=CRONO.NivelExibicao,MAX($AD$15:OFFSET(AD75,-1,0))+IF($C75&lt;&gt;1,1,MAX(1,COUNTIF(QCI!$A$13:$A$24,OFFSET($E75,-1,0)))),"")</f>
        <v/>
      </c>
      <c r="AE75" s="7" t="str" cm="1">
        <f t="array" aca="1" ref="AE75" ca="1">IF(AND($C75="S",ORÇAMENTO.CodBarra&lt;&gt;""),IF(ORÇAMENTO.Fonte="",ORÇAMENTO.CodBarra,CONCATENATE(ORÇAMENTO.Fonte," ",ORÇAMENTO.CodBarra)))</f>
        <v xml:space="preserve">Composição CPU-002 </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(Código não identificado nas referências)</v>
      </c>
      <c r="AG75" s="428" cm="1">
        <f t="array" aca="1" ref="AG75" ca="1">ROUND(IF(DESONERACAO="sim",REFERENCIA.Desonerado,REFERENCIA.NaoDesonerado),2)</f>
        <v>0</v>
      </c>
      <c r="AH75" s="429">
        <f t="shared" ca="1" si="57"/>
        <v>0.22</v>
      </c>
      <c r="AJ75" s="431">
        <v>3</v>
      </c>
      <c r="AL75" s="439"/>
      <c r="AM75" s="336">
        <f t="shared" ca="1" si="0"/>
        <v>0</v>
      </c>
      <c r="AN75" s="470" cm="1">
        <f t="array" aca="1" ref="AN75" ca="1">ROUND(ORÇAMENTO.CustoUnitario*(1+$AH75),2)</f>
        <v>0</v>
      </c>
    </row>
    <row r="76" spans="1:40" hidden="1" x14ac:dyDescent="0.2">
      <c r="A76" t="str">
        <f t="shared" si="44"/>
        <v>S</v>
      </c>
      <c r="B76">
        <f t="shared" ca="1" si="45"/>
        <v>2</v>
      </c>
      <c r="C76" t="str">
        <f t="shared" ca="1" si="46"/>
        <v>S</v>
      </c>
      <c r="D76">
        <f t="shared" ca="1" si="47"/>
        <v>0</v>
      </c>
      <c r="E76">
        <f ca="1">IF($C76=1,OFFSET(E76,-1,0)+MAX(1,COUNTIF(QCI!$A$13:$A$24,OFFSET(ORÇAMENTO!E76,-1,0))),OFFSET(E76,-1,0))</f>
        <v>7</v>
      </c>
      <c r="F76">
        <f t="shared" ca="1" si="48"/>
        <v>1</v>
      </c>
      <c r="G76">
        <f t="shared" ca="1" si="49"/>
        <v>0</v>
      </c>
      <c r="H76">
        <f t="shared" ca="1" si="50"/>
        <v>0</v>
      </c>
      <c r="I76">
        <f t="shared" ca="1" si="51"/>
        <v>0</v>
      </c>
      <c r="J76">
        <f t="shared" ca="1" si="28"/>
        <v>0</v>
      </c>
      <c r="K76">
        <f ca="1">IF(OR($C76="S",$C76=0),0,MATCH(OFFSET($D76,0,$C76)+IF($C76&lt;&gt;1,1,COUNTIF(QCI!$A$13:$A$24,ORÇAMENTO!E76)),OFFSET($D76,1,$C76,ROW($C$162)-ROW($C76)),0))</f>
        <v>0</v>
      </c>
      <c r="L76" s="114" t="str">
        <f t="shared" ca="1" si="52"/>
        <v/>
      </c>
      <c r="M76" s="115" t="s">
        <v>705</v>
      </c>
      <c r="N76" s="116" t="str">
        <f t="shared" ca="1" si="53"/>
        <v>Serviço</v>
      </c>
      <c r="O76" s="117" t="str">
        <f t="shared" ca="1" si="54"/>
        <v>-</v>
      </c>
      <c r="P76" s="118" t="s">
        <v>750</v>
      </c>
      <c r="Q76" s="119"/>
      <c r="R76" s="120" t="str" cm="1">
        <f t="array" aca="1" ref="R76" ca="1">IF($C76="S",REFERENCIA.Descricao,"(digite a descrição aqui)")</f>
        <v>(Sem Código)</v>
      </c>
      <c r="S76" s="121" t="str" cm="1">
        <f t="array" aca="1" ref="S76" ca="1">REFERENCIA.Unidade</f>
        <v>-</v>
      </c>
      <c r="T76" s="122">
        <f ca="1">OFFSET(CÁLCULO!H$15,ROW($T76)-ROW(T$15),0)</f>
        <v>0</v>
      </c>
      <c r="U76" s="123">
        <f t="shared" ca="1" si="55"/>
        <v>0</v>
      </c>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IF($C76="S",IF(OR(Import.TipoArredondamento&lt;&gt;"TransfereGOV",ACOMPANHAMENTO="BM"),VTOTAL1,SUM(OFFSET(CÁLCULO!$AA$15,ROW($X76)-ROW($X$15),1):OFFSET(CÁLCULO!$AL$15,ROW($X76)-ROW($X$15),-1))),IF($C76=0,0,ROUND(SomaAgrup,15-13*$AF$11)))</f>
        <v>0</v>
      </c>
      <c r="Y76" s="126" t="s">
        <v>751</v>
      </c>
      <c r="Z76" t="str">
        <f t="shared" ca="1" si="56"/>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b" cm="1">
        <f t="array" aca="1" ref="AE76" ca="1">IF(AND($C76="S",ORÇAMENTO.CodBarra&lt;&gt;""),IF(ORÇAMENTO.Fonte="",ORÇAMENTO.CodBarra,CONCATENATE(ORÇAMENTO.Fonte," ",ORÇAMENTO.CodBarra)))</f>
        <v>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cm="1">
        <f t="array" aca="1" ref="AG76" ca="1">ROUND(IF(DESONERACAO="sim",REFERENCIA.Desonerado,REFERENCIA.NaoDesonerado),2)</f>
        <v>0</v>
      </c>
      <c r="AH76" s="429">
        <f t="shared" ca="1" si="57"/>
        <v>0.22</v>
      </c>
      <c r="AJ76" s="431"/>
      <c r="AL76" s="439"/>
      <c r="AM76" s="336">
        <f t="shared" ca="1" si="0"/>
        <v>0</v>
      </c>
      <c r="AN76" s="470" cm="1">
        <f t="array" aca="1" ref="AN76" ca="1">ROUND(ORÇAMENTO.CustoUnitario*(1+$AH76),2)</f>
        <v>0</v>
      </c>
    </row>
    <row r="77" spans="1:40" hidden="1" x14ac:dyDescent="0.2">
      <c r="A77" t="str">
        <f t="shared" si="44"/>
        <v>S</v>
      </c>
      <c r="B77">
        <f t="shared" ca="1" si="45"/>
        <v>2</v>
      </c>
      <c r="C77" t="str">
        <f t="shared" ca="1" si="46"/>
        <v>S</v>
      </c>
      <c r="D77">
        <f t="shared" ca="1" si="47"/>
        <v>0</v>
      </c>
      <c r="E77">
        <f ca="1">IF($C77=1,OFFSET(E77,-1,0)+MAX(1,COUNTIF(QCI!$A$13:$A$24,OFFSET(ORÇAMENTO!E77,-1,0))),OFFSET(E77,-1,0))</f>
        <v>7</v>
      </c>
      <c r="F77">
        <f t="shared" ca="1" si="48"/>
        <v>1</v>
      </c>
      <c r="G77">
        <f t="shared" ca="1" si="49"/>
        <v>0</v>
      </c>
      <c r="H77">
        <f t="shared" ca="1" si="50"/>
        <v>0</v>
      </c>
      <c r="I77">
        <f t="shared" ca="1" si="51"/>
        <v>0</v>
      </c>
      <c r="J77">
        <f t="shared" ca="1" si="28"/>
        <v>0</v>
      </c>
      <c r="K77">
        <f ca="1">IF(OR($C77="S",$C77=0),0,MATCH(OFFSET($D77,0,$C77)+IF($C77&lt;&gt;1,1,COUNTIF(QCI!$A$13:$A$24,ORÇAMENTO!E77)),OFFSET($D77,1,$C77,ROW($C$162)-ROW($C77)),0))</f>
        <v>0</v>
      </c>
      <c r="L77" s="114" t="str">
        <f t="shared" ca="1" si="52"/>
        <v/>
      </c>
      <c r="M77" s="115" t="s">
        <v>705</v>
      </c>
      <c r="N77" s="116" t="str">
        <f t="shared" ca="1" si="53"/>
        <v>Serviço</v>
      </c>
      <c r="O77" s="117" t="str">
        <f t="shared" ca="1" si="54"/>
        <v>-</v>
      </c>
      <c r="P77" s="118" t="s">
        <v>750</v>
      </c>
      <c r="Q77" s="119"/>
      <c r="R77" s="120" t="str" cm="1">
        <f t="array" aca="1" ref="R77" ca="1">IF($C77="S",REFERENCIA.Descricao,"(digite a descrição aqui)")</f>
        <v>(Sem Código)</v>
      </c>
      <c r="S77" s="121" t="str" cm="1">
        <f t="array" aca="1" ref="S77" ca="1">REFERENCIA.Unidade</f>
        <v>-</v>
      </c>
      <c r="T77" s="122">
        <f ca="1">OFFSET(CÁLCULO!H$15,ROW($T77)-ROW(T$15),0)</f>
        <v>0</v>
      </c>
      <c r="U77" s="123">
        <f t="shared" ca="1" si="55"/>
        <v>0</v>
      </c>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IF($C77="S",IF(OR(Import.TipoArredondamento&lt;&gt;"TransfereGOV",ACOMPANHAMENTO="BM"),VTOTAL1,SUM(OFFSET(CÁLCULO!$AA$15,ROW($X77)-ROW($X$15),1):OFFSET(CÁLCULO!$AL$15,ROW($X77)-ROW($X$15),-1))),IF($C77=0,0,ROUND(SomaAgrup,15-13*$AF$11)))</f>
        <v>0</v>
      </c>
      <c r="Y77" s="126" t="s">
        <v>751</v>
      </c>
      <c r="Z77" t="str">
        <f t="shared" ca="1" si="56"/>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cm="1">
        <f t="array" aca="1" ref="AE77" ca="1">IF(AND($C77="S",ORÇAMENTO.CodBarra&lt;&gt;""),IF(ORÇAMENTO.Fonte="",ORÇAMENTO.CodBarra,CONCATENATE(ORÇAMENTO.Fonte," ",ORÇAMENTO.CodBarra)))</f>
        <v>0</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(Sem Código)</v>
      </c>
      <c r="AG77" s="428" cm="1">
        <f t="array" aca="1" ref="AG77" ca="1">ROUND(IF(DESONERACAO="sim",REFERENCIA.Desonerado,REFERENCIA.NaoDesonerado),2)</f>
        <v>0</v>
      </c>
      <c r="AH77" s="429">
        <f t="shared" ca="1" si="57"/>
        <v>0.22</v>
      </c>
      <c r="AJ77" s="431"/>
      <c r="AL77" s="439"/>
      <c r="AM77" s="336">
        <f t="shared" ca="1" si="0"/>
        <v>0</v>
      </c>
      <c r="AN77" s="470" cm="1">
        <f t="array" aca="1" ref="AN77" ca="1">ROUND(ORÇAMENTO.CustoUnitario*(1+$AH77),2)</f>
        <v>0</v>
      </c>
    </row>
    <row r="78" spans="1:40" hidden="1" x14ac:dyDescent="0.2">
      <c r="A78" t="str">
        <f t="shared" si="44"/>
        <v>S</v>
      </c>
      <c r="B78">
        <f t="shared" ca="1" si="45"/>
        <v>2</v>
      </c>
      <c r="C78" t="str">
        <f t="shared" ca="1" si="46"/>
        <v>S</v>
      </c>
      <c r="D78">
        <f t="shared" ca="1" si="47"/>
        <v>0</v>
      </c>
      <c r="E78">
        <f ca="1">IF($C78=1,OFFSET(E78,-1,0)+MAX(1,COUNTIF(QCI!$A$13:$A$24,OFFSET(ORÇAMENTO!E78,-1,0))),OFFSET(E78,-1,0))</f>
        <v>7</v>
      </c>
      <c r="F78">
        <f t="shared" ca="1" si="48"/>
        <v>1</v>
      </c>
      <c r="G78">
        <f t="shared" ca="1" si="49"/>
        <v>0</v>
      </c>
      <c r="H78">
        <f t="shared" ca="1" si="50"/>
        <v>0</v>
      </c>
      <c r="I78">
        <f t="shared" ca="1" si="51"/>
        <v>0</v>
      </c>
      <c r="J78">
        <f t="shared" ca="1" si="28"/>
        <v>0</v>
      </c>
      <c r="K78">
        <f ca="1">IF(OR($C78="S",$C78=0),0,MATCH(OFFSET($D78,0,$C78)+IF($C78&lt;&gt;1,1,COUNTIF(QCI!$A$13:$A$24,ORÇAMENTO!E78)),OFFSET($D78,1,$C78,ROW($C$162)-ROW($C78)),0))</f>
        <v>0</v>
      </c>
      <c r="L78" s="114" t="str">
        <f t="shared" ca="1" si="52"/>
        <v/>
      </c>
      <c r="M78" s="115" t="s">
        <v>705</v>
      </c>
      <c r="N78" s="116" t="str">
        <f t="shared" ca="1" si="53"/>
        <v>Serviço</v>
      </c>
      <c r="O78" s="117" t="str">
        <f t="shared" ca="1" si="54"/>
        <v>-</v>
      </c>
      <c r="P78" s="118" t="s">
        <v>750</v>
      </c>
      <c r="Q78" s="119"/>
      <c r="R78" s="120" t="str" cm="1">
        <f t="array" aca="1" ref="R78" ca="1">IF($C78="S",REFERENCIA.Descricao,"(digite a descrição aqui)")</f>
        <v>(Sem Código)</v>
      </c>
      <c r="S78" s="121" t="str" cm="1">
        <f t="array" aca="1" ref="S78" ca="1">REFERENCIA.Unidade</f>
        <v>-</v>
      </c>
      <c r="T78" s="122">
        <f ca="1">OFFSET(CÁLCULO!H$15,ROW($T78)-ROW(T$15),0)</f>
        <v>0</v>
      </c>
      <c r="U78" s="123">
        <f t="shared" ca="1" si="55"/>
        <v>0</v>
      </c>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IF($C78="S",IF(OR(Import.TipoArredondamento&lt;&gt;"TransfereGOV",ACOMPANHAMENTO="BM"),VTOTAL1,SUM(OFFSET(CÁLCULO!$AA$15,ROW($X78)-ROW($X$15),1):OFFSET(CÁLCULO!$AL$15,ROW($X78)-ROW($X$15),-1))),IF($C78=0,0,ROUND(SomaAgrup,15-13*$AF$11)))</f>
        <v>0</v>
      </c>
      <c r="Y78" s="126" t="s">
        <v>751</v>
      </c>
      <c r="Z78" t="str">
        <f t="shared" ca="1" si="56"/>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b" cm="1">
        <f t="array" aca="1" ref="AE78" ca="1">IF(AND($C78="S",ORÇAMENTO.CodBarra&lt;&gt;""),IF(ORÇAMENTO.Fonte="",ORÇAMENTO.CodBarra,CONCATENATE(ORÇAMENTO.Fonte," ",ORÇAMENTO.CodBarra)))</f>
        <v>0</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(Sem Código)</v>
      </c>
      <c r="AG78" s="428" cm="1">
        <f t="array" aca="1" ref="AG78" ca="1">ROUND(IF(DESONERACAO="sim",REFERENCIA.Desonerado,REFERENCIA.NaoDesonerado),2)</f>
        <v>0</v>
      </c>
      <c r="AH78" s="429">
        <f t="shared" ca="1" si="57"/>
        <v>0.22</v>
      </c>
      <c r="AJ78" s="431"/>
      <c r="AL78" s="439"/>
      <c r="AM78" s="336">
        <f t="shared" ca="1" si="0"/>
        <v>0</v>
      </c>
      <c r="AN78" s="470" cm="1">
        <f t="array" aca="1" ref="AN78" ca="1">ROUND(ORÇAMENTO.CustoUnitario*(1+$AH78),2)</f>
        <v>0</v>
      </c>
    </row>
    <row r="79" spans="1:40" hidden="1" x14ac:dyDescent="0.2">
      <c r="A79" t="str">
        <f t="shared" si="44"/>
        <v>S</v>
      </c>
      <c r="B79">
        <f t="shared" ca="1" si="45"/>
        <v>2</v>
      </c>
      <c r="C79" t="str">
        <f t="shared" ca="1" si="46"/>
        <v>S</v>
      </c>
      <c r="D79">
        <f t="shared" ca="1" si="47"/>
        <v>0</v>
      </c>
      <c r="E79">
        <f ca="1">IF($C79=1,OFFSET(E79,-1,0)+MAX(1,COUNTIF(QCI!$A$13:$A$24,OFFSET(ORÇAMENTO!E79,-1,0))),OFFSET(E79,-1,0))</f>
        <v>7</v>
      </c>
      <c r="F79">
        <f t="shared" ca="1" si="48"/>
        <v>1</v>
      </c>
      <c r="G79">
        <f t="shared" ca="1" si="49"/>
        <v>0</v>
      </c>
      <c r="H79">
        <f t="shared" ca="1" si="50"/>
        <v>0</v>
      </c>
      <c r="I79">
        <f t="shared" ca="1" si="51"/>
        <v>0</v>
      </c>
      <c r="J79">
        <f t="shared" ca="1" si="28"/>
        <v>0</v>
      </c>
      <c r="K79">
        <f ca="1">IF(OR($C79="S",$C79=0),0,MATCH(OFFSET($D79,0,$C79)+IF($C79&lt;&gt;1,1,COUNTIF(QCI!$A$13:$A$24,ORÇAMENTO!E79)),OFFSET($D79,1,$C79,ROW($C$162)-ROW($C79)),0))</f>
        <v>0</v>
      </c>
      <c r="L79" s="114" t="str">
        <f t="shared" ca="1" si="52"/>
        <v/>
      </c>
      <c r="M79" s="115" t="s">
        <v>705</v>
      </c>
      <c r="N79" s="116" t="str">
        <f t="shared" ca="1" si="53"/>
        <v>Serviço</v>
      </c>
      <c r="O79" s="117" t="str">
        <f t="shared" ca="1" si="54"/>
        <v>-</v>
      </c>
      <c r="P79" s="118" t="s">
        <v>750</v>
      </c>
      <c r="Q79" s="119"/>
      <c r="R79" s="120" t="str" cm="1">
        <f t="array" aca="1" ref="R79" ca="1">IF($C79="S",REFERENCIA.Descricao,"(digite a descrição aqui)")</f>
        <v>(Sem Código)</v>
      </c>
      <c r="S79" s="121" t="str" cm="1">
        <f t="array" aca="1" ref="S79" ca="1">REFERENCIA.Unidade</f>
        <v>-</v>
      </c>
      <c r="T79" s="122">
        <f ca="1">OFFSET(CÁLCULO!H$15,ROW($T79)-ROW(T$15),0)</f>
        <v>0</v>
      </c>
      <c r="U79" s="123">
        <f t="shared" ca="1" si="55"/>
        <v>0</v>
      </c>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0</v>
      </c>
      <c r="Y79" s="126" t="s">
        <v>751</v>
      </c>
      <c r="Z79" t="str">
        <f t="shared" ca="1" si="56"/>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b" cm="1">
        <f t="array" aca="1" ref="AE79" ca="1">IF(AND($C79="S",ORÇAMENTO.CodBarra&lt;&gt;""),IF(ORÇAMENTO.Fonte="",ORÇAMENTO.CodBarra,CONCATENATE(ORÇAMENTO.Fonte," ",ORÇAMENTO.CodBarra)))</f>
        <v>0</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8" cm="1">
        <f t="array" aca="1" ref="AG79" ca="1">ROUND(IF(DESONERACAO="sim",REFERENCIA.Desonerado,REFERENCIA.NaoDesonerado),2)</f>
        <v>0</v>
      </c>
      <c r="AH79" s="429">
        <f t="shared" ca="1" si="57"/>
        <v>0.22</v>
      </c>
      <c r="AJ79" s="431"/>
      <c r="AL79" s="439"/>
      <c r="AM79" s="336">
        <f t="shared" ca="1" si="0"/>
        <v>0</v>
      </c>
      <c r="AN79" s="470" cm="1">
        <f t="array" aca="1" ref="AN79" ca="1">ROUND(ORÇAMENTO.CustoUnitario*(1+$AH79),2)</f>
        <v>0</v>
      </c>
    </row>
    <row r="80" spans="1:40" hidden="1" x14ac:dyDescent="0.2">
      <c r="A80" t="str">
        <f t="shared" si="44"/>
        <v>S</v>
      </c>
      <c r="B80">
        <f t="shared" ca="1" si="45"/>
        <v>2</v>
      </c>
      <c r="C80" t="str">
        <f t="shared" ca="1" si="46"/>
        <v>S</v>
      </c>
      <c r="D80">
        <f t="shared" ca="1" si="47"/>
        <v>0</v>
      </c>
      <c r="E80">
        <f ca="1">IF($C80=1,OFFSET(E80,-1,0)+MAX(1,COUNTIF(QCI!$A$13:$A$24,OFFSET(ORÇAMENTO!E80,-1,0))),OFFSET(E80,-1,0))</f>
        <v>7</v>
      </c>
      <c r="F80">
        <f t="shared" ca="1" si="48"/>
        <v>1</v>
      </c>
      <c r="G80">
        <f t="shared" ca="1" si="49"/>
        <v>0</v>
      </c>
      <c r="H80">
        <f t="shared" ca="1" si="50"/>
        <v>0</v>
      </c>
      <c r="I80">
        <f t="shared" ca="1" si="51"/>
        <v>0</v>
      </c>
      <c r="J80">
        <f t="shared" ref="J80:J87" ca="1" si="58">IF(OR($C80="S",$C80=0),0,MATCH(0,OFFSET($D80,1,$C80,ROW($C$162)-ROW($C80)),0))</f>
        <v>0</v>
      </c>
      <c r="K80">
        <f ca="1">IF(OR($C80="S",$C80=0),0,MATCH(OFFSET($D80,0,$C80)+IF($C80&lt;&gt;1,1,COUNTIF(QCI!$A$13:$A$24,ORÇAMENTO!E80)),OFFSET($D80,1,$C80,ROW($C$162)-ROW($C80)),0))</f>
        <v>0</v>
      </c>
      <c r="L80" s="114" t="str">
        <f t="shared" ca="1" si="52"/>
        <v/>
      </c>
      <c r="M80" s="115" t="s">
        <v>705</v>
      </c>
      <c r="N80" s="116" t="str">
        <f t="shared" ca="1" si="53"/>
        <v>Serviço</v>
      </c>
      <c r="O80" s="117" t="str">
        <f t="shared" ca="1" si="54"/>
        <v>-</v>
      </c>
      <c r="P80" s="118" t="s">
        <v>750</v>
      </c>
      <c r="Q80" s="119"/>
      <c r="R80" s="120" t="str" cm="1">
        <f t="array" aca="1" ref="R80" ca="1">IF($C80="S",REFERENCIA.Descricao,"(digite a descrição aqui)")</f>
        <v>(Sem Código)</v>
      </c>
      <c r="S80" s="121" t="str" cm="1">
        <f t="array" aca="1" ref="S80" ca="1">REFERENCIA.Unidade</f>
        <v>-</v>
      </c>
      <c r="T80" s="122">
        <f ca="1">OFFSET(CÁLCULO!H$15,ROW($T80)-ROW(T$15),0)</f>
        <v>0</v>
      </c>
      <c r="U80" s="123">
        <f t="shared" ca="1" si="55"/>
        <v>0</v>
      </c>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0</v>
      </c>
      <c r="Y80" s="126" t="s">
        <v>751</v>
      </c>
      <c r="Z80" t="str">
        <f t="shared" ca="1" si="56"/>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b" cm="1">
        <f t="array" aca="1" ref="AE80" ca="1">IF(AND($C80="S",ORÇAMENTO.CodBarra&lt;&gt;""),IF(ORÇAMENTO.Fonte="",ORÇAMENTO.CodBarra,CONCATENATE(ORÇAMENTO.Fonte," ",ORÇAMENTO.CodBarra)))</f>
        <v>0</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(Sem Código)</v>
      </c>
      <c r="AG80" s="428" cm="1">
        <f t="array" aca="1" ref="AG80" ca="1">ROUND(IF(DESONERACAO="sim",REFERENCIA.Desonerado,REFERENCIA.NaoDesonerado),2)</f>
        <v>0</v>
      </c>
      <c r="AH80" s="429">
        <f t="shared" ca="1" si="57"/>
        <v>0.22</v>
      </c>
      <c r="AJ80" s="431"/>
      <c r="AL80" s="439"/>
      <c r="AM80" s="336">
        <f t="shared" ca="1" si="0"/>
        <v>0</v>
      </c>
      <c r="AN80" s="470" cm="1">
        <f t="array" aca="1" ref="AN80" ca="1">ROUND(ORÇAMENTO.CustoUnitario*(1+$AH80),2)</f>
        <v>0</v>
      </c>
    </row>
    <row r="81" spans="1:40" hidden="1" x14ac:dyDescent="0.2">
      <c r="A81" t="str">
        <f t="shared" si="44"/>
        <v>S</v>
      </c>
      <c r="B81">
        <f t="shared" ca="1" si="45"/>
        <v>2</v>
      </c>
      <c r="C81" t="str">
        <f t="shared" ca="1" si="46"/>
        <v>S</v>
      </c>
      <c r="D81">
        <f t="shared" ca="1" si="47"/>
        <v>0</v>
      </c>
      <c r="E81">
        <f ca="1">IF($C81=1,OFFSET(E81,-1,0)+MAX(1,COUNTIF(QCI!$A$13:$A$24,OFFSET(ORÇAMENTO!E81,-1,0))),OFFSET(E81,-1,0))</f>
        <v>7</v>
      </c>
      <c r="F81">
        <f t="shared" ca="1" si="48"/>
        <v>1</v>
      </c>
      <c r="G81">
        <f t="shared" ca="1" si="49"/>
        <v>0</v>
      </c>
      <c r="H81">
        <f t="shared" ca="1" si="50"/>
        <v>0</v>
      </c>
      <c r="I81">
        <f t="shared" ca="1" si="51"/>
        <v>0</v>
      </c>
      <c r="J81">
        <f t="shared" ca="1" si="58"/>
        <v>0</v>
      </c>
      <c r="K81">
        <f ca="1">IF(OR($C81="S",$C81=0),0,MATCH(OFFSET($D81,0,$C81)+IF($C81&lt;&gt;1,1,COUNTIF(QCI!$A$13:$A$24,ORÇAMENTO!E81)),OFFSET($D81,1,$C81,ROW($C$162)-ROW($C81)),0))</f>
        <v>0</v>
      </c>
      <c r="L81" s="114" t="str">
        <f t="shared" ca="1" si="52"/>
        <v/>
      </c>
      <c r="M81" s="115" t="s">
        <v>705</v>
      </c>
      <c r="N81" s="116" t="str">
        <f t="shared" ca="1" si="53"/>
        <v>Serviço</v>
      </c>
      <c r="O81" s="117" t="str">
        <f t="shared" ca="1" si="54"/>
        <v>-</v>
      </c>
      <c r="P81" s="118" t="s">
        <v>750</v>
      </c>
      <c r="Q81" s="119"/>
      <c r="R81" s="120" t="str" cm="1">
        <f t="array" aca="1" ref="R81" ca="1">IF($C81="S",REFERENCIA.Descricao,"(digite a descrição aqui)")</f>
        <v>(Sem Código)</v>
      </c>
      <c r="S81" s="121" t="str" cm="1">
        <f t="array" aca="1" ref="S81" ca="1">REFERENCIA.Unidade</f>
        <v>-</v>
      </c>
      <c r="T81" s="122">
        <f ca="1">OFFSET(CÁLCULO!H$15,ROW($T81)-ROW(T$15),0)</f>
        <v>0</v>
      </c>
      <c r="U81" s="123">
        <f t="shared" ca="1" si="55"/>
        <v>0</v>
      </c>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0</v>
      </c>
      <c r="Y81" s="126" t="s">
        <v>751</v>
      </c>
      <c r="Z81" t="str">
        <f t="shared" ca="1" si="56"/>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cm="1">
        <f t="array" aca="1" ref="AE81" ca="1">IF(AND($C81="S",ORÇAMENTO.CodBarra&lt;&gt;""),IF(ORÇAMENTO.Fonte="",ORÇAMENTO.CodBarra,CONCATENATE(ORÇAMENTO.Fonte," ",ORÇAMENTO.CodBarra)))</f>
        <v>0</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57"/>
        <v>0.22</v>
      </c>
      <c r="AJ81" s="431"/>
      <c r="AL81" s="439"/>
      <c r="AM81" s="336">
        <f t="shared" ca="1" si="0"/>
        <v>0</v>
      </c>
      <c r="AN81" s="470" cm="1">
        <f t="array" aca="1" ref="AN81" ca="1">ROUND(ORÇAMENTO.CustoUnitario*(1+$AH81),2)</f>
        <v>0</v>
      </c>
    </row>
    <row r="82" spans="1:40" hidden="1" x14ac:dyDescent="0.2">
      <c r="A82" t="str">
        <f t="shared" si="44"/>
        <v>S</v>
      </c>
      <c r="B82">
        <f t="shared" ca="1" si="45"/>
        <v>2</v>
      </c>
      <c r="C82" t="str">
        <f t="shared" ca="1" si="46"/>
        <v>S</v>
      </c>
      <c r="D82">
        <f t="shared" ca="1" si="47"/>
        <v>0</v>
      </c>
      <c r="E82">
        <f ca="1">IF($C82=1,OFFSET(E82,-1,0)+MAX(1,COUNTIF(QCI!$A$13:$A$24,OFFSET(ORÇAMENTO!E82,-1,0))),OFFSET(E82,-1,0))</f>
        <v>7</v>
      </c>
      <c r="F82">
        <f t="shared" ca="1" si="48"/>
        <v>1</v>
      </c>
      <c r="G82">
        <f t="shared" ca="1" si="49"/>
        <v>0</v>
      </c>
      <c r="H82">
        <f t="shared" ca="1" si="50"/>
        <v>0</v>
      </c>
      <c r="I82">
        <f t="shared" ca="1" si="51"/>
        <v>0</v>
      </c>
      <c r="J82">
        <f t="shared" ca="1" si="58"/>
        <v>0</v>
      </c>
      <c r="K82">
        <f ca="1">IF(OR($C82="S",$C82=0),0,MATCH(OFFSET($D82,0,$C82)+IF($C82&lt;&gt;1,1,COUNTIF(QCI!$A$13:$A$24,ORÇAMENTO!E82)),OFFSET($D82,1,$C82,ROW($C$162)-ROW($C82)),0))</f>
        <v>0</v>
      </c>
      <c r="L82" s="114" t="str">
        <f t="shared" ca="1" si="52"/>
        <v/>
      </c>
      <c r="M82" s="115" t="s">
        <v>705</v>
      </c>
      <c r="N82" s="116" t="str">
        <f t="shared" ca="1" si="53"/>
        <v>Serviço</v>
      </c>
      <c r="O82" s="117" t="str">
        <f t="shared" ca="1" si="54"/>
        <v>-</v>
      </c>
      <c r="P82" s="118" t="s">
        <v>750</v>
      </c>
      <c r="Q82" s="119"/>
      <c r="R82" s="120" t="str" cm="1">
        <f t="array" aca="1" ref="R82" ca="1">IF($C82="S",REFERENCIA.Descricao,"(digite a descrição aqui)")</f>
        <v>(Sem Código)</v>
      </c>
      <c r="S82" s="121" t="str" cm="1">
        <f t="array" aca="1" ref="S82" ca="1">REFERENCIA.Unidade</f>
        <v>-</v>
      </c>
      <c r="T82" s="122">
        <f ca="1">OFFSET(CÁLCULO!H$15,ROW($T82)-ROW(T$15),0)</f>
        <v>0</v>
      </c>
      <c r="U82" s="123">
        <f t="shared" ca="1" si="55"/>
        <v>0</v>
      </c>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0</v>
      </c>
      <c r="Y82" s="126" t="s">
        <v>751</v>
      </c>
      <c r="Z82" t="str">
        <f t="shared" ca="1" si="56"/>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b" cm="1">
        <f t="array" aca="1" ref="AE82" ca="1">IF(AND($C82="S",ORÇAMENTO.CodBarra&lt;&gt;""),IF(ORÇAMENTO.Fonte="",ORÇAMENTO.CodBarra,CONCATENATE(ORÇAMENTO.Fonte," ",ORÇAMENTO.CodBarra)))</f>
        <v>0</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(Sem Código)</v>
      </c>
      <c r="AG82" s="428" cm="1">
        <f t="array" aca="1" ref="AG82" ca="1">ROUND(IF(DESONERACAO="sim",REFERENCIA.Desonerado,REFERENCIA.NaoDesonerado),2)</f>
        <v>0</v>
      </c>
      <c r="AH82" s="429">
        <f t="shared" ca="1" si="57"/>
        <v>0.22</v>
      </c>
      <c r="AJ82" s="431"/>
      <c r="AL82" s="439"/>
      <c r="AM82" s="336">
        <f t="shared" ca="1" si="0"/>
        <v>0</v>
      </c>
      <c r="AN82" s="470" cm="1">
        <f t="array" aca="1" ref="AN82" ca="1">ROUND(ORÇAMENTO.CustoUnitario*(1+$AH82),2)</f>
        <v>0</v>
      </c>
    </row>
    <row r="83" spans="1:40" hidden="1" x14ac:dyDescent="0.2">
      <c r="A83" t="str">
        <f t="shared" si="44"/>
        <v>S</v>
      </c>
      <c r="B83">
        <f t="shared" ca="1" si="45"/>
        <v>2</v>
      </c>
      <c r="C83" t="str">
        <f t="shared" ca="1" si="46"/>
        <v>S</v>
      </c>
      <c r="D83">
        <f t="shared" ca="1" si="47"/>
        <v>0</v>
      </c>
      <c r="E83">
        <f ca="1">IF($C83=1,OFFSET(E83,-1,0)+MAX(1,COUNTIF(QCI!$A$13:$A$24,OFFSET(ORÇAMENTO!E83,-1,0))),OFFSET(E83,-1,0))</f>
        <v>7</v>
      </c>
      <c r="F83">
        <f t="shared" ca="1" si="48"/>
        <v>1</v>
      </c>
      <c r="G83">
        <f t="shared" ca="1" si="49"/>
        <v>0</v>
      </c>
      <c r="H83">
        <f t="shared" ca="1" si="50"/>
        <v>0</v>
      </c>
      <c r="I83">
        <f t="shared" ca="1" si="51"/>
        <v>0</v>
      </c>
      <c r="J83">
        <f t="shared" ca="1" si="58"/>
        <v>0</v>
      </c>
      <c r="K83">
        <f ca="1">IF(OR($C83="S",$C83=0),0,MATCH(OFFSET($D83,0,$C83)+IF($C83&lt;&gt;1,1,COUNTIF(QCI!$A$13:$A$24,ORÇAMENTO!E83)),OFFSET($D83,1,$C83,ROW($C$162)-ROW($C83)),0))</f>
        <v>0</v>
      </c>
      <c r="L83" s="114" t="str">
        <f t="shared" ca="1" si="52"/>
        <v/>
      </c>
      <c r="M83" s="115" t="s">
        <v>705</v>
      </c>
      <c r="N83" s="116" t="str">
        <f t="shared" ca="1" si="53"/>
        <v>Serviço</v>
      </c>
      <c r="O83" s="117" t="str">
        <f t="shared" ca="1" si="54"/>
        <v>-</v>
      </c>
      <c r="P83" s="118" t="s">
        <v>750</v>
      </c>
      <c r="Q83" s="119"/>
      <c r="R83" s="120" t="str" cm="1">
        <f t="array" aca="1" ref="R83" ca="1">IF($C83="S",REFERENCIA.Descricao,"(digite a descrição aqui)")</f>
        <v>(Sem Código)</v>
      </c>
      <c r="S83" s="121" t="str" cm="1">
        <f t="array" aca="1" ref="S83" ca="1">REFERENCIA.Unidade</f>
        <v>-</v>
      </c>
      <c r="T83" s="122">
        <f ca="1">OFFSET(CÁLCULO!H$15,ROW($T83)-ROW(T$15),0)</f>
        <v>0</v>
      </c>
      <c r="U83" s="123">
        <f t="shared" ca="1" si="55"/>
        <v>0</v>
      </c>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0</v>
      </c>
      <c r="Y83" s="126" t="s">
        <v>751</v>
      </c>
      <c r="Z83" t="str">
        <f t="shared" ca="1" si="56"/>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57"/>
        <v>0.22</v>
      </c>
      <c r="AJ83" s="431"/>
      <c r="AL83" s="439"/>
      <c r="AM83" s="336">
        <f t="shared" ca="1" si="0"/>
        <v>0</v>
      </c>
      <c r="AN83" s="470" cm="1">
        <f t="array" aca="1" ref="AN83" ca="1">ROUND(ORÇAMENTO.CustoUnitario*(1+$AH83),2)</f>
        <v>0</v>
      </c>
    </row>
    <row r="84" spans="1:40" hidden="1" x14ac:dyDescent="0.2">
      <c r="A84" t="str">
        <f t="shared" si="44"/>
        <v>S</v>
      </c>
      <c r="B84">
        <f t="shared" ca="1" si="45"/>
        <v>2</v>
      </c>
      <c r="C84" t="str">
        <f t="shared" ca="1" si="46"/>
        <v>S</v>
      </c>
      <c r="D84">
        <f t="shared" ca="1" si="47"/>
        <v>0</v>
      </c>
      <c r="E84">
        <f ca="1">IF($C84=1,OFFSET(E84,-1,0)+MAX(1,COUNTIF(QCI!$A$13:$A$24,OFFSET(ORÇAMENTO!E84,-1,0))),OFFSET(E84,-1,0))</f>
        <v>7</v>
      </c>
      <c r="F84">
        <f t="shared" ca="1" si="48"/>
        <v>1</v>
      </c>
      <c r="G84">
        <f t="shared" ca="1" si="49"/>
        <v>0</v>
      </c>
      <c r="H84">
        <f t="shared" ca="1" si="50"/>
        <v>0</v>
      </c>
      <c r="I84">
        <f t="shared" ca="1" si="51"/>
        <v>0</v>
      </c>
      <c r="J84">
        <f t="shared" ca="1" si="58"/>
        <v>0</v>
      </c>
      <c r="K84">
        <f ca="1">IF(OR($C84="S",$C84=0),0,MATCH(OFFSET($D84,0,$C84)+IF($C84&lt;&gt;1,1,COUNTIF(QCI!$A$13:$A$24,ORÇAMENTO!E84)),OFFSET($D84,1,$C84,ROW($C$162)-ROW($C84)),0))</f>
        <v>0</v>
      </c>
      <c r="L84" s="114" t="str">
        <f t="shared" ca="1" si="52"/>
        <v/>
      </c>
      <c r="M84" s="115" t="s">
        <v>705</v>
      </c>
      <c r="N84" s="116" t="str">
        <f t="shared" ca="1" si="53"/>
        <v>Serviço</v>
      </c>
      <c r="O84" s="117" t="str">
        <f t="shared" ca="1" si="54"/>
        <v>-</v>
      </c>
      <c r="P84" s="118" t="s">
        <v>750</v>
      </c>
      <c r="Q84" s="119"/>
      <c r="R84" s="120" t="str" cm="1">
        <f t="array" aca="1" ref="R84" ca="1">IF($C84="S",REFERENCIA.Descricao,"(digite a descrição aqui)")</f>
        <v>(Sem Código)</v>
      </c>
      <c r="S84" s="121" t="str" cm="1">
        <f t="array" aca="1" ref="S84" ca="1">REFERENCIA.Unidade</f>
        <v>-</v>
      </c>
      <c r="T84" s="122">
        <f ca="1">OFFSET(CÁLCULO!H$15,ROW($T84)-ROW(T$15),0)</f>
        <v>0</v>
      </c>
      <c r="U84" s="123">
        <f t="shared" ca="1" si="55"/>
        <v>0</v>
      </c>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IF($C84="S",IF(OR(Import.TipoArredondamento&lt;&gt;"TransfereGOV",ACOMPANHAMENTO="BM"),VTOTAL1,SUM(OFFSET(CÁLCULO!$AA$15,ROW($X84)-ROW($X$15),1):OFFSET(CÁLCULO!$AL$15,ROW($X84)-ROW($X$15),-1))),IF($C84=0,0,ROUND(SomaAgrup,15-13*$AF$11)))</f>
        <v>0</v>
      </c>
      <c r="Y84" s="126" t="s">
        <v>751</v>
      </c>
      <c r="Z84" t="str">
        <f t="shared" ca="1" si="56"/>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b" cm="1">
        <f t="array" aca="1" ref="AE84" ca="1">IF(AND($C84="S",ORÇAMENTO.CodBarra&lt;&gt;""),IF(ORÇAMENTO.Fonte="",ORÇAMENTO.CodBarra,CONCATENATE(ORÇAMENTO.Fonte," ",ORÇAMENTO.CodBarra)))</f>
        <v>0</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cm="1">
        <f t="array" aca="1" ref="AG84" ca="1">ROUND(IF(DESONERACAO="sim",REFERENCIA.Desonerado,REFERENCIA.NaoDesonerado),2)</f>
        <v>0</v>
      </c>
      <c r="AH84" s="429">
        <f t="shared" ca="1" si="57"/>
        <v>0.22</v>
      </c>
      <c r="AJ84" s="431"/>
      <c r="AL84" s="439"/>
      <c r="AM84" s="336">
        <f t="shared" ca="1" si="0"/>
        <v>0</v>
      </c>
      <c r="AN84" s="470" cm="1">
        <f t="array" aca="1" ref="AN84" ca="1">ROUND(ORÇAMENTO.CustoUnitario*(1+$AH84),2)</f>
        <v>0</v>
      </c>
    </row>
    <row r="85" spans="1:40" hidden="1" x14ac:dyDescent="0.2">
      <c r="A85" t="str">
        <f t="shared" si="44"/>
        <v>S</v>
      </c>
      <c r="B85">
        <f t="shared" ca="1" si="45"/>
        <v>2</v>
      </c>
      <c r="C85" t="str">
        <f t="shared" ca="1" si="46"/>
        <v>S</v>
      </c>
      <c r="D85">
        <f t="shared" ca="1" si="47"/>
        <v>0</v>
      </c>
      <c r="E85">
        <f ca="1">IF($C85=1,OFFSET(E85,-1,0)+MAX(1,COUNTIF(QCI!$A$13:$A$24,OFFSET(ORÇAMENTO!E85,-1,0))),OFFSET(E85,-1,0))</f>
        <v>7</v>
      </c>
      <c r="F85">
        <f t="shared" ca="1" si="48"/>
        <v>1</v>
      </c>
      <c r="G85">
        <f t="shared" ca="1" si="49"/>
        <v>0</v>
      </c>
      <c r="H85">
        <f t="shared" ca="1" si="50"/>
        <v>0</v>
      </c>
      <c r="I85">
        <f t="shared" ca="1" si="51"/>
        <v>0</v>
      </c>
      <c r="J85">
        <f t="shared" ca="1" si="58"/>
        <v>0</v>
      </c>
      <c r="K85">
        <f ca="1">IF(OR($C85="S",$C85=0),0,MATCH(OFFSET($D85,0,$C85)+IF($C85&lt;&gt;1,1,COUNTIF(QCI!$A$13:$A$24,ORÇAMENTO!E85)),OFFSET($D85,1,$C85,ROW($C$162)-ROW($C85)),0))</f>
        <v>0</v>
      </c>
      <c r="L85" s="114" t="str">
        <f t="shared" ca="1" si="52"/>
        <v/>
      </c>
      <c r="M85" s="115" t="s">
        <v>705</v>
      </c>
      <c r="N85" s="116" t="str">
        <f t="shared" ca="1" si="53"/>
        <v>Serviço</v>
      </c>
      <c r="O85" s="117" t="str">
        <f t="shared" ca="1" si="54"/>
        <v>-</v>
      </c>
      <c r="P85" s="118" t="s">
        <v>750</v>
      </c>
      <c r="Q85" s="119"/>
      <c r="R85" s="120" t="str" cm="1">
        <f t="array" aca="1" ref="R85" ca="1">IF($C85="S",REFERENCIA.Descricao,"(digite a descrição aqui)")</f>
        <v>(Sem Código)</v>
      </c>
      <c r="S85" s="121" t="str" cm="1">
        <f t="array" aca="1" ref="S85" ca="1">REFERENCIA.Unidade</f>
        <v>-</v>
      </c>
      <c r="T85" s="122">
        <f ca="1">OFFSET(CÁLCULO!H$15,ROW($T85)-ROW(T$15),0)</f>
        <v>0</v>
      </c>
      <c r="U85" s="123">
        <f t="shared" ca="1" si="55"/>
        <v>0</v>
      </c>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0</v>
      </c>
      <c r="Y85" s="126" t="s">
        <v>751</v>
      </c>
      <c r="Z85" t="str">
        <f t="shared" ca="1" si="56"/>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b" cm="1">
        <f t="array" aca="1" ref="AE85" ca="1">IF(AND($C85="S",ORÇAMENTO.CodBarra&lt;&gt;""),IF(ORÇAMENTO.Fonte="",ORÇAMENTO.CodBarra,CONCATENATE(ORÇAMENTO.Fonte," ",ORÇAMENTO.CodBarra)))</f>
        <v>0</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(Sem Código)</v>
      </c>
      <c r="AG85" s="428" cm="1">
        <f t="array" aca="1" ref="AG85" ca="1">ROUND(IF(DESONERACAO="sim",REFERENCIA.Desonerado,REFERENCIA.NaoDesonerado),2)</f>
        <v>0</v>
      </c>
      <c r="AH85" s="429">
        <f t="shared" ca="1" si="57"/>
        <v>0.22</v>
      </c>
      <c r="AJ85" s="431"/>
      <c r="AL85" s="439"/>
      <c r="AM85" s="336">
        <f t="shared" ca="1" si="0"/>
        <v>0</v>
      </c>
      <c r="AN85" s="470" cm="1">
        <f t="array" aca="1" ref="AN85" ca="1">ROUND(ORÇAMENTO.CustoUnitario*(1+$AH85),2)</f>
        <v>0</v>
      </c>
    </row>
    <row r="86" spans="1:40" hidden="1" x14ac:dyDescent="0.2">
      <c r="A86" t="str">
        <f t="shared" si="44"/>
        <v>S</v>
      </c>
      <c r="B86">
        <f t="shared" ca="1" si="45"/>
        <v>2</v>
      </c>
      <c r="C86" t="str">
        <f t="shared" ca="1" si="46"/>
        <v>S</v>
      </c>
      <c r="D86">
        <f t="shared" ca="1" si="47"/>
        <v>0</v>
      </c>
      <c r="E86">
        <f ca="1">IF($C86=1,OFFSET(E86,-1,0)+MAX(1,COUNTIF(QCI!$A$13:$A$24,OFFSET(ORÇAMENTO!E86,-1,0))),OFFSET(E86,-1,0))</f>
        <v>7</v>
      </c>
      <c r="F86">
        <f t="shared" ca="1" si="48"/>
        <v>1</v>
      </c>
      <c r="G86">
        <f t="shared" ca="1" si="49"/>
        <v>0</v>
      </c>
      <c r="H86">
        <f t="shared" ca="1" si="50"/>
        <v>0</v>
      </c>
      <c r="I86">
        <f t="shared" ca="1" si="51"/>
        <v>0</v>
      </c>
      <c r="J86">
        <f t="shared" ca="1" si="58"/>
        <v>0</v>
      </c>
      <c r="K86">
        <f ca="1">IF(OR($C86="S",$C86=0),0,MATCH(OFFSET($D86,0,$C86)+IF($C86&lt;&gt;1,1,COUNTIF(QCI!$A$13:$A$24,ORÇAMENTO!E86)),OFFSET($D86,1,$C86,ROW($C$162)-ROW($C86)),0))</f>
        <v>0</v>
      </c>
      <c r="L86" s="114" t="str">
        <f t="shared" ca="1" si="52"/>
        <v/>
      </c>
      <c r="M86" s="115" t="s">
        <v>705</v>
      </c>
      <c r="N86" s="116" t="str">
        <f t="shared" ca="1" si="53"/>
        <v>Serviço</v>
      </c>
      <c r="O86" s="117" t="str">
        <f t="shared" ca="1" si="54"/>
        <v>-</v>
      </c>
      <c r="P86" s="118" t="s">
        <v>750</v>
      </c>
      <c r="Q86" s="119"/>
      <c r="R86" s="120" t="str" cm="1">
        <f t="array" aca="1" ref="R86" ca="1">IF($C86="S",REFERENCIA.Descricao,"(digite a descrição aqui)")</f>
        <v>(Sem Código)</v>
      </c>
      <c r="S86" s="121" t="str" cm="1">
        <f t="array" aca="1" ref="S86" ca="1">REFERENCIA.Unidade</f>
        <v>-</v>
      </c>
      <c r="T86" s="122">
        <f ca="1">OFFSET(CÁLCULO!H$15,ROW($T86)-ROW(T$15),0)</f>
        <v>0</v>
      </c>
      <c r="U86" s="123">
        <f t="shared" ca="1" si="55"/>
        <v>0</v>
      </c>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IF($C86="S",IF(OR(Import.TipoArredondamento&lt;&gt;"TransfereGOV",ACOMPANHAMENTO="BM"),VTOTAL1,SUM(OFFSET(CÁLCULO!$AA$15,ROW($X86)-ROW($X$15),1):OFFSET(CÁLCULO!$AL$15,ROW($X86)-ROW($X$15),-1))),IF($C86=0,0,ROUND(SomaAgrup,15-13*$AF$11)))</f>
        <v>0</v>
      </c>
      <c r="Y86" s="126" t="s">
        <v>751</v>
      </c>
      <c r="Z86" t="str">
        <f t="shared" ca="1" si="56"/>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b" cm="1">
        <f t="array" aca="1" ref="AE86" ca="1">IF(AND($C86="S",ORÇAMENTO.CodBarra&lt;&gt;""),IF(ORÇAMENTO.Fonte="",ORÇAMENTO.CodBarra,CONCATENATE(ORÇAMENTO.Fonte," ",ORÇAMENTO.CodBarra)))</f>
        <v>0</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cm="1">
        <f t="array" aca="1" ref="AG86" ca="1">ROUND(IF(DESONERACAO="sim",REFERENCIA.Desonerado,REFERENCIA.NaoDesonerado),2)</f>
        <v>0</v>
      </c>
      <c r="AH86" s="429">
        <f t="shared" ca="1" si="57"/>
        <v>0.22</v>
      </c>
      <c r="AJ86" s="431"/>
      <c r="AL86" s="439"/>
      <c r="AM86" s="336">
        <f t="shared" ca="1" si="0"/>
        <v>0</v>
      </c>
      <c r="AN86" s="470" cm="1">
        <f t="array" aca="1" ref="AN86" ca="1">ROUND(ORÇAMENTO.CustoUnitario*(1+$AH86),2)</f>
        <v>0</v>
      </c>
    </row>
    <row r="87" spans="1:40" hidden="1" x14ac:dyDescent="0.2">
      <c r="A87" t="str">
        <f t="shared" si="44"/>
        <v>S</v>
      </c>
      <c r="B87">
        <f t="shared" ca="1" si="45"/>
        <v>2</v>
      </c>
      <c r="C87" t="str">
        <f t="shared" ca="1" si="46"/>
        <v>S</v>
      </c>
      <c r="D87">
        <f t="shared" ca="1" si="47"/>
        <v>0</v>
      </c>
      <c r="E87">
        <f ca="1">IF($C87=1,OFFSET(E87,-1,0)+MAX(1,COUNTIF(QCI!$A$13:$A$24,OFFSET(ORÇAMENTO!E87,-1,0))),OFFSET(E87,-1,0))</f>
        <v>7</v>
      </c>
      <c r="F87">
        <f t="shared" ca="1" si="48"/>
        <v>1</v>
      </c>
      <c r="G87">
        <f t="shared" ca="1" si="49"/>
        <v>0</v>
      </c>
      <c r="H87">
        <f t="shared" ca="1" si="50"/>
        <v>0</v>
      </c>
      <c r="I87">
        <f t="shared" ca="1" si="51"/>
        <v>0</v>
      </c>
      <c r="J87">
        <f t="shared" ca="1" si="58"/>
        <v>0</v>
      </c>
      <c r="K87">
        <f ca="1">IF(OR($C87="S",$C87=0),0,MATCH(OFFSET($D87,0,$C87)+IF($C87&lt;&gt;1,1,COUNTIF(QCI!$A$13:$A$24,ORÇAMENTO!E87)),OFFSET($D87,1,$C87,ROW($C$162)-ROW($C87)),0))</f>
        <v>0</v>
      </c>
      <c r="L87" s="114" t="str">
        <f t="shared" ca="1" si="52"/>
        <v/>
      </c>
      <c r="M87" s="115" t="s">
        <v>705</v>
      </c>
      <c r="N87" s="116" t="str">
        <f t="shared" ca="1" si="53"/>
        <v>Serviço</v>
      </c>
      <c r="O87" s="117" t="str">
        <f t="shared" ca="1" si="54"/>
        <v>-</v>
      </c>
      <c r="P87" s="118" t="s">
        <v>750</v>
      </c>
      <c r="Q87" s="119"/>
      <c r="R87" s="120" t="str" cm="1">
        <f t="array" aca="1" ref="R87" ca="1">IF($C87="S",REFERENCIA.Descricao,"(digite a descrição aqui)")</f>
        <v>(Sem Código)</v>
      </c>
      <c r="S87" s="121" t="str" cm="1">
        <f t="array" aca="1" ref="S87" ca="1">REFERENCIA.Unidade</f>
        <v>-</v>
      </c>
      <c r="T87" s="122">
        <f ca="1">OFFSET(CÁLCULO!H$15,ROW($T87)-ROW(T$15),0)</f>
        <v>0</v>
      </c>
      <c r="U87" s="123">
        <f t="shared" ca="1" si="55"/>
        <v>0</v>
      </c>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IF($C87="S",IF(OR(Import.TipoArredondamento&lt;&gt;"TransfereGOV",ACOMPANHAMENTO="BM"),VTOTAL1,SUM(OFFSET(CÁLCULO!$AA$15,ROW($X87)-ROW($X$15),1):OFFSET(CÁLCULO!$AL$15,ROW($X87)-ROW($X$15),-1))),IF($C87=0,0,ROUND(SomaAgrup,15-13*$AF$11)))</f>
        <v>0</v>
      </c>
      <c r="Y87" s="126" t="s">
        <v>751</v>
      </c>
      <c r="Z87" t="str">
        <f t="shared" ca="1" si="56"/>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cm="1">
        <f t="array" aca="1" ref="AE87" ca="1">IF(AND($C87="S",ORÇAMENTO.CodBarra&lt;&gt;""),IF(ORÇAMENTO.Fonte="",ORÇAMENTO.CodBarra,CONCATENATE(ORÇAMENTO.Fonte," ",ORÇAMENTO.CodBarra)))</f>
        <v>0</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(Sem Código)</v>
      </c>
      <c r="AG87" s="428" cm="1">
        <f t="array" aca="1" ref="AG87" ca="1">ROUND(IF(DESONERACAO="sim",REFERENCIA.Desonerado,REFERENCIA.NaoDesonerado),2)</f>
        <v>0</v>
      </c>
      <c r="AH87" s="429">
        <f t="shared" ca="1" si="57"/>
        <v>0.22</v>
      </c>
      <c r="AJ87" s="431"/>
      <c r="AL87" s="439"/>
      <c r="AM87" s="336">
        <f t="shared" ca="1" si="0"/>
        <v>0</v>
      </c>
      <c r="AN87" s="470" cm="1">
        <f t="array" aca="1" ref="AN87" ca="1">ROUND(ORÇAMENTO.CustoUnitario*(1+$AH87),2)</f>
        <v>0</v>
      </c>
    </row>
    <row r="88" spans="1:40" hidden="1" x14ac:dyDescent="0.2">
      <c r="A88" t="str">
        <f t="shared" si="44"/>
        <v>S</v>
      </c>
      <c r="B88">
        <f t="shared" ca="1" si="45"/>
        <v>2</v>
      </c>
      <c r="C88" t="str">
        <f t="shared" ca="1" si="46"/>
        <v>S</v>
      </c>
      <c r="D88">
        <f t="shared" ca="1" si="47"/>
        <v>0</v>
      </c>
      <c r="E88">
        <f ca="1">IF($C88=1,OFFSET(E88,-1,0)+MAX(1,COUNTIF(QCI!$A$13:$A$24,OFFSET(ORÇAMENTO!E88,-1,0))),OFFSET(E88,-1,0))</f>
        <v>7</v>
      </c>
      <c r="F88">
        <f t="shared" ca="1" si="48"/>
        <v>1</v>
      </c>
      <c r="G88">
        <f t="shared" ca="1" si="49"/>
        <v>0</v>
      </c>
      <c r="H88">
        <f t="shared" ca="1" si="50"/>
        <v>0</v>
      </c>
      <c r="I88">
        <f t="shared" ca="1" si="51"/>
        <v>0</v>
      </c>
      <c r="J88">
        <f t="shared" ref="J88:J103" ca="1" si="59">IF(OR($C88="S",$C88=0),0,MATCH(0,OFFSET($D88,1,$C88,ROW($C$162)-ROW($C88)),0))</f>
        <v>0</v>
      </c>
      <c r="K88">
        <f ca="1">IF(OR($C88="S",$C88=0),0,MATCH(OFFSET($D88,0,$C88)+IF($C88&lt;&gt;1,1,COUNTIF(QCI!$A$13:$A$24,ORÇAMENTO!E88)),OFFSET($D88,1,$C88,ROW($C$162)-ROW($C88)),0))</f>
        <v>0</v>
      </c>
      <c r="L88" s="114" t="str">
        <f t="shared" ca="1" si="52"/>
        <v/>
      </c>
      <c r="M88" s="115" t="s">
        <v>705</v>
      </c>
      <c r="N88" s="116" t="str">
        <f t="shared" ca="1" si="53"/>
        <v>Serviço</v>
      </c>
      <c r="O88" s="117" t="str">
        <f t="shared" ca="1" si="54"/>
        <v>-</v>
      </c>
      <c r="P88" s="118" t="s">
        <v>750</v>
      </c>
      <c r="Q88" s="119"/>
      <c r="R88" s="120" t="str" cm="1">
        <f t="array" aca="1" ref="R88" ca="1">IF($C88="S",REFERENCIA.Descricao,"(digite a descrição aqui)")</f>
        <v>(Sem Código)</v>
      </c>
      <c r="S88" s="121" t="str" cm="1">
        <f t="array" aca="1" ref="S88" ca="1">REFERENCIA.Unidade</f>
        <v>-</v>
      </c>
      <c r="T88" s="122">
        <f ca="1">OFFSET(CÁLCULO!H$15,ROW($T88)-ROW(T$15),0)</f>
        <v>0</v>
      </c>
      <c r="U88" s="123">
        <f t="shared" ca="1" si="55"/>
        <v>0</v>
      </c>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IF($C88="S",IF(OR(Import.TipoArredondamento&lt;&gt;"TransfereGOV",ACOMPANHAMENTO="BM"),VTOTAL1,SUM(OFFSET(CÁLCULO!$AA$15,ROW($X88)-ROW($X$15),1):OFFSET(CÁLCULO!$AL$15,ROW($X88)-ROW($X$15),-1))),IF($C88=0,0,ROUND(SomaAgrup,15-13*$AF$11)))</f>
        <v>0</v>
      </c>
      <c r="Y88" s="126" t="s">
        <v>751</v>
      </c>
      <c r="Z88" t="str">
        <f t="shared" ca="1" si="56"/>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b" cm="1">
        <f t="array" aca="1" ref="AE88" ca="1">IF(AND($C88="S",ORÇAMENTO.CodBarra&lt;&gt;""),IF(ORÇAMENTO.Fonte="",ORÇAMENTO.CodBarra,CONCATENATE(ORÇAMENTO.Fonte," ",ORÇAMENTO.CodBarra)))</f>
        <v>0</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(Sem Código)</v>
      </c>
      <c r="AG88" s="428" cm="1">
        <f t="array" aca="1" ref="AG88" ca="1">ROUND(IF(DESONERACAO="sim",REFERENCIA.Desonerado,REFERENCIA.NaoDesonerado),2)</f>
        <v>0</v>
      </c>
      <c r="AH88" s="429">
        <f t="shared" ca="1" si="57"/>
        <v>0.22</v>
      </c>
      <c r="AJ88" s="431"/>
      <c r="AL88" s="439"/>
      <c r="AM88" s="336">
        <f t="shared" ca="1" si="0"/>
        <v>0</v>
      </c>
      <c r="AN88" s="470" cm="1">
        <f t="array" aca="1" ref="AN88" ca="1">ROUND(ORÇAMENTO.CustoUnitario*(1+$AH88),2)</f>
        <v>0</v>
      </c>
    </row>
    <row r="89" spans="1:40" hidden="1" x14ac:dyDescent="0.2">
      <c r="A89" t="str">
        <f t="shared" si="44"/>
        <v>S</v>
      </c>
      <c r="B89">
        <f t="shared" ca="1" si="45"/>
        <v>2</v>
      </c>
      <c r="C89" t="str">
        <f t="shared" ca="1" si="46"/>
        <v>S</v>
      </c>
      <c r="D89">
        <f t="shared" ca="1" si="47"/>
        <v>0</v>
      </c>
      <c r="E89">
        <f ca="1">IF($C89=1,OFFSET(E89,-1,0)+MAX(1,COUNTIF(QCI!$A$13:$A$24,OFFSET(ORÇAMENTO!E89,-1,0))),OFFSET(E89,-1,0))</f>
        <v>7</v>
      </c>
      <c r="F89">
        <f t="shared" ca="1" si="48"/>
        <v>1</v>
      </c>
      <c r="G89">
        <f t="shared" ca="1" si="49"/>
        <v>0</v>
      </c>
      <c r="H89">
        <f t="shared" ca="1" si="50"/>
        <v>0</v>
      </c>
      <c r="I89">
        <f t="shared" ca="1" si="51"/>
        <v>0</v>
      </c>
      <c r="J89">
        <f t="shared" ca="1" si="59"/>
        <v>0</v>
      </c>
      <c r="K89">
        <f ca="1">IF(OR($C89="S",$C89=0),0,MATCH(OFFSET($D89,0,$C89)+IF($C89&lt;&gt;1,1,COUNTIF(QCI!$A$13:$A$24,ORÇAMENTO!E89)),OFFSET($D89,1,$C89,ROW($C$162)-ROW($C89)),0))</f>
        <v>0</v>
      </c>
      <c r="L89" s="114" t="str">
        <f t="shared" ca="1" si="52"/>
        <v/>
      </c>
      <c r="M89" s="115" t="s">
        <v>705</v>
      </c>
      <c r="N89" s="116" t="str">
        <f t="shared" ca="1" si="53"/>
        <v>Serviço</v>
      </c>
      <c r="O89" s="117" t="str">
        <f t="shared" ca="1" si="54"/>
        <v>-</v>
      </c>
      <c r="P89" s="118" t="s">
        <v>750</v>
      </c>
      <c r="Q89" s="119"/>
      <c r="R89" s="120" t="str" cm="1">
        <f t="array" aca="1" ref="R89" ca="1">IF($C89="S",REFERENCIA.Descricao,"(digite a descrição aqui)")</f>
        <v>(Sem Código)</v>
      </c>
      <c r="S89" s="121" t="str" cm="1">
        <f t="array" aca="1" ref="S89" ca="1">REFERENCIA.Unidade</f>
        <v>-</v>
      </c>
      <c r="T89" s="122">
        <f ca="1">OFFSET(CÁLCULO!H$15,ROW($T89)-ROW(T$15),0)</f>
        <v>0</v>
      </c>
      <c r="U89" s="123">
        <f t="shared" ca="1" si="55"/>
        <v>0</v>
      </c>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0</v>
      </c>
      <c r="Y89" s="126" t="s">
        <v>751</v>
      </c>
      <c r="Z89" t="str">
        <f t="shared" ca="1" si="56"/>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57"/>
        <v>0.22</v>
      </c>
      <c r="AJ89" s="431"/>
      <c r="AL89" s="439"/>
      <c r="AM89" s="336">
        <f t="shared" ca="1" si="0"/>
        <v>0</v>
      </c>
      <c r="AN89" s="470" cm="1">
        <f t="array" aca="1" ref="AN89" ca="1">ROUND(ORÇAMENTO.CustoUnitario*(1+$AH89),2)</f>
        <v>0</v>
      </c>
    </row>
    <row r="90" spans="1:40" hidden="1" x14ac:dyDescent="0.2">
      <c r="A90" t="str">
        <f t="shared" si="44"/>
        <v>S</v>
      </c>
      <c r="B90">
        <f t="shared" ca="1" si="45"/>
        <v>2</v>
      </c>
      <c r="C90" t="str">
        <f t="shared" ca="1" si="46"/>
        <v>S</v>
      </c>
      <c r="D90">
        <f t="shared" ca="1" si="47"/>
        <v>0</v>
      </c>
      <c r="E90">
        <f ca="1">IF($C90=1,OFFSET(E90,-1,0)+MAX(1,COUNTIF(QCI!$A$13:$A$24,OFFSET(ORÇAMENTO!E90,-1,0))),OFFSET(E90,-1,0))</f>
        <v>7</v>
      </c>
      <c r="F90">
        <f t="shared" ca="1" si="48"/>
        <v>1</v>
      </c>
      <c r="G90">
        <f t="shared" ca="1" si="49"/>
        <v>0</v>
      </c>
      <c r="H90">
        <f t="shared" ca="1" si="50"/>
        <v>0</v>
      </c>
      <c r="I90">
        <f t="shared" ca="1" si="51"/>
        <v>0</v>
      </c>
      <c r="J90">
        <f t="shared" ca="1" si="59"/>
        <v>0</v>
      </c>
      <c r="K90">
        <f ca="1">IF(OR($C90="S",$C90=0),0,MATCH(OFFSET($D90,0,$C90)+IF($C90&lt;&gt;1,1,COUNTIF(QCI!$A$13:$A$24,ORÇAMENTO!E90)),OFFSET($D90,1,$C90,ROW($C$162)-ROW($C90)),0))</f>
        <v>0</v>
      </c>
      <c r="L90" s="114" t="str">
        <f t="shared" ca="1" si="52"/>
        <v/>
      </c>
      <c r="M90" s="115" t="s">
        <v>705</v>
      </c>
      <c r="N90" s="116" t="str">
        <f t="shared" ca="1" si="53"/>
        <v>Serviço</v>
      </c>
      <c r="O90" s="117" t="str">
        <f t="shared" ca="1" si="54"/>
        <v>-</v>
      </c>
      <c r="P90" s="118" t="s">
        <v>750</v>
      </c>
      <c r="Q90" s="119"/>
      <c r="R90" s="120" t="str" cm="1">
        <f t="array" aca="1" ref="R90" ca="1">IF($C90="S",REFERENCIA.Descricao,"(digite a descrição aqui)")</f>
        <v>(Sem Código)</v>
      </c>
      <c r="S90" s="121" t="str" cm="1">
        <f t="array" aca="1" ref="S90" ca="1">REFERENCIA.Unidade</f>
        <v>-</v>
      </c>
      <c r="T90" s="122">
        <f ca="1">OFFSET(CÁLCULO!H$15,ROW($T90)-ROW(T$15),0)</f>
        <v>0</v>
      </c>
      <c r="U90" s="123">
        <f t="shared" ca="1" si="55"/>
        <v>0</v>
      </c>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0</v>
      </c>
      <c r="Y90" s="126" t="s">
        <v>751</v>
      </c>
      <c r="Z90" t="str">
        <f t="shared" ca="1" si="56"/>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cm="1">
        <f t="array" aca="1" ref="AE90" ca="1">IF(AND($C90="S",ORÇAMENTO.CodBarra&lt;&gt;""),IF(ORÇAMENTO.Fonte="",ORÇAMENTO.CodBarra,CONCATENATE(ORÇAMENTO.Fonte," ",ORÇAMENTO.CodBarra)))</f>
        <v>0</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57"/>
        <v>0.22</v>
      </c>
      <c r="AJ90" s="431"/>
      <c r="AL90" s="439"/>
      <c r="AM90" s="336">
        <f t="shared" ca="1" si="0"/>
        <v>0</v>
      </c>
      <c r="AN90" s="470" cm="1">
        <f t="array" aca="1" ref="AN90" ca="1">ROUND(ORÇAMENTO.CustoUnitario*(1+$AH90),2)</f>
        <v>0</v>
      </c>
    </row>
    <row r="91" spans="1:40" hidden="1" x14ac:dyDescent="0.2">
      <c r="A91" t="str">
        <f t="shared" si="44"/>
        <v>S</v>
      </c>
      <c r="B91">
        <f t="shared" ca="1" si="45"/>
        <v>2</v>
      </c>
      <c r="C91" t="str">
        <f t="shared" ca="1" si="46"/>
        <v>S</v>
      </c>
      <c r="D91">
        <f t="shared" ca="1" si="47"/>
        <v>0</v>
      </c>
      <c r="E91">
        <f ca="1">IF($C91=1,OFFSET(E91,-1,0)+MAX(1,COUNTIF(QCI!$A$13:$A$24,OFFSET(ORÇAMENTO!E91,-1,0))),OFFSET(E91,-1,0))</f>
        <v>7</v>
      </c>
      <c r="F91">
        <f t="shared" ca="1" si="48"/>
        <v>1</v>
      </c>
      <c r="G91">
        <f t="shared" ca="1" si="49"/>
        <v>0</v>
      </c>
      <c r="H91">
        <f t="shared" ca="1" si="50"/>
        <v>0</v>
      </c>
      <c r="I91">
        <f t="shared" ca="1" si="51"/>
        <v>0</v>
      </c>
      <c r="J91">
        <f t="shared" ca="1" si="59"/>
        <v>0</v>
      </c>
      <c r="K91">
        <f ca="1">IF(OR($C91="S",$C91=0),0,MATCH(OFFSET($D91,0,$C91)+IF($C91&lt;&gt;1,1,COUNTIF(QCI!$A$13:$A$24,ORÇAMENTO!E91)),OFFSET($D91,1,$C91,ROW($C$162)-ROW($C91)),0))</f>
        <v>0</v>
      </c>
      <c r="L91" s="114" t="str">
        <f t="shared" ca="1" si="52"/>
        <v/>
      </c>
      <c r="M91" s="115" t="s">
        <v>705</v>
      </c>
      <c r="N91" s="116" t="str">
        <f t="shared" ca="1" si="53"/>
        <v>Serviço</v>
      </c>
      <c r="O91" s="117" t="str">
        <f t="shared" ca="1" si="54"/>
        <v>-</v>
      </c>
      <c r="P91" s="118" t="s">
        <v>750</v>
      </c>
      <c r="Q91" s="119"/>
      <c r="R91" s="120" t="str" cm="1">
        <f t="array" aca="1" ref="R91" ca="1">IF($C91="S",REFERENCIA.Descricao,"(digite a descrição aqui)")</f>
        <v>(Sem Código)</v>
      </c>
      <c r="S91" s="121" t="str" cm="1">
        <f t="array" aca="1" ref="S91" ca="1">REFERENCIA.Unidade</f>
        <v>-</v>
      </c>
      <c r="T91" s="122">
        <f ca="1">OFFSET(CÁLCULO!H$15,ROW($T91)-ROW(T$15),0)</f>
        <v>0</v>
      </c>
      <c r="U91" s="123">
        <f t="shared" ca="1" si="55"/>
        <v>0</v>
      </c>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IF($C91="S",IF(OR(Import.TipoArredondamento&lt;&gt;"TransfereGOV",ACOMPANHAMENTO="BM"),VTOTAL1,SUM(OFFSET(CÁLCULO!$AA$15,ROW($X91)-ROW($X$15),1):OFFSET(CÁLCULO!$AL$15,ROW($X91)-ROW($X$15),-1))),IF($C91=0,0,ROUND(SomaAgrup,15-13*$AF$11)))</f>
        <v>0</v>
      </c>
      <c r="Y91" s="126" t="s">
        <v>751</v>
      </c>
      <c r="Z91" t="str">
        <f t="shared" ca="1" si="56"/>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cm="1">
        <f t="array" aca="1" ref="AE91" ca="1">IF(AND($C91="S",ORÇAMENTO.CodBarra&lt;&gt;""),IF(ORÇAMENTO.Fonte="",ORÇAMENTO.CodBarra,CONCATENATE(ORÇAMENTO.Fonte," ",ORÇAMENTO.CodBarra)))</f>
        <v>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57"/>
        <v>0.22</v>
      </c>
      <c r="AJ91" s="431"/>
      <c r="AL91" s="439"/>
      <c r="AM91" s="336">
        <f t="shared" ca="1" si="0"/>
        <v>0</v>
      </c>
      <c r="AN91" s="470" cm="1">
        <f t="array" aca="1" ref="AN91" ca="1">ROUND(ORÇAMENTO.CustoUnitario*(1+$AH91),2)</f>
        <v>0</v>
      </c>
    </row>
    <row r="92" spans="1:40" hidden="1" x14ac:dyDescent="0.2">
      <c r="A92" t="str">
        <f t="shared" si="44"/>
        <v>S</v>
      </c>
      <c r="B92">
        <f t="shared" ca="1" si="45"/>
        <v>2</v>
      </c>
      <c r="C92" t="str">
        <f t="shared" ca="1" si="46"/>
        <v>S</v>
      </c>
      <c r="D92">
        <f t="shared" ca="1" si="47"/>
        <v>0</v>
      </c>
      <c r="E92">
        <f ca="1">IF($C92=1,OFFSET(E92,-1,0)+MAX(1,COUNTIF(QCI!$A$13:$A$24,OFFSET(ORÇAMENTO!E92,-1,0))),OFFSET(E92,-1,0))</f>
        <v>7</v>
      </c>
      <c r="F92">
        <f t="shared" ca="1" si="48"/>
        <v>1</v>
      </c>
      <c r="G92">
        <f t="shared" ca="1" si="49"/>
        <v>0</v>
      </c>
      <c r="H92">
        <f t="shared" ca="1" si="50"/>
        <v>0</v>
      </c>
      <c r="I92">
        <f t="shared" ca="1" si="51"/>
        <v>0</v>
      </c>
      <c r="J92">
        <f t="shared" ca="1" si="59"/>
        <v>0</v>
      </c>
      <c r="K92">
        <f ca="1">IF(OR($C92="S",$C92=0),0,MATCH(OFFSET($D92,0,$C92)+IF($C92&lt;&gt;1,1,COUNTIF(QCI!$A$13:$A$24,ORÇAMENTO!E92)),OFFSET($D92,1,$C92,ROW($C$162)-ROW($C92)),0))</f>
        <v>0</v>
      </c>
      <c r="L92" s="114" t="str">
        <f t="shared" ca="1" si="52"/>
        <v/>
      </c>
      <c r="M92" s="115" t="s">
        <v>705</v>
      </c>
      <c r="N92" s="116" t="str">
        <f t="shared" ca="1" si="53"/>
        <v>Serviço</v>
      </c>
      <c r="O92" s="117" t="str">
        <f t="shared" ca="1" si="54"/>
        <v>-</v>
      </c>
      <c r="P92" s="118" t="s">
        <v>750</v>
      </c>
      <c r="Q92" s="119"/>
      <c r="R92" s="120" t="str" cm="1">
        <f t="array" aca="1" ref="R92" ca="1">IF($C92="S",REFERENCIA.Descricao,"(digite a descrição aqui)")</f>
        <v>(Sem Código)</v>
      </c>
      <c r="S92" s="121" t="str" cm="1">
        <f t="array" aca="1" ref="S92" ca="1">REFERENCIA.Unidade</f>
        <v>-</v>
      </c>
      <c r="T92" s="122">
        <f ca="1">OFFSET(CÁLCULO!H$15,ROW($T92)-ROW(T$15),0)</f>
        <v>0</v>
      </c>
      <c r="U92" s="123">
        <f t="shared" ca="1" si="55"/>
        <v>0</v>
      </c>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IF($C92="S",IF(OR(Import.TipoArredondamento&lt;&gt;"TransfereGOV",ACOMPANHAMENTO="BM"),VTOTAL1,SUM(OFFSET(CÁLCULO!$AA$15,ROW($X92)-ROW($X$15),1):OFFSET(CÁLCULO!$AL$15,ROW($X92)-ROW($X$15),-1))),IF($C92=0,0,ROUND(SomaAgrup,15-13*$AF$11)))</f>
        <v>0</v>
      </c>
      <c r="Y92" s="126" t="s">
        <v>751</v>
      </c>
      <c r="Z92" t="str">
        <f t="shared" ca="1" si="56"/>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cm="1">
        <f t="array" aca="1" ref="AE92" ca="1">IF(AND($C92="S",ORÇAMENTO.CodBarra&lt;&gt;""),IF(ORÇAMENTO.Fonte="",ORÇAMENTO.CodBarra,CONCATENATE(ORÇAMENTO.Fonte," ",ORÇAMENTO.CodBarra)))</f>
        <v>0</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(Sem Código)</v>
      </c>
      <c r="AG92" s="428" cm="1">
        <f t="array" aca="1" ref="AG92" ca="1">ROUND(IF(DESONERACAO="sim",REFERENCIA.Desonerado,REFERENCIA.NaoDesonerado),2)</f>
        <v>0</v>
      </c>
      <c r="AH92" s="429">
        <f t="shared" ca="1" si="57"/>
        <v>0.22</v>
      </c>
      <c r="AJ92" s="431"/>
      <c r="AL92" s="439"/>
      <c r="AM92" s="336">
        <f t="shared" ca="1" si="0"/>
        <v>0</v>
      </c>
      <c r="AN92" s="470" cm="1">
        <f t="array" aca="1" ref="AN92" ca="1">ROUND(ORÇAMENTO.CustoUnitario*(1+$AH92),2)</f>
        <v>0</v>
      </c>
    </row>
    <row r="93" spans="1:40" hidden="1" x14ac:dyDescent="0.2">
      <c r="A93" t="str">
        <f t="shared" si="44"/>
        <v>S</v>
      </c>
      <c r="B93">
        <f t="shared" ca="1" si="45"/>
        <v>2</v>
      </c>
      <c r="C93" t="str">
        <f t="shared" ca="1" si="46"/>
        <v>S</v>
      </c>
      <c r="D93">
        <f t="shared" ca="1" si="47"/>
        <v>0</v>
      </c>
      <c r="E93">
        <f ca="1">IF($C93=1,OFFSET(E93,-1,0)+MAX(1,COUNTIF(QCI!$A$13:$A$24,OFFSET(ORÇAMENTO!E93,-1,0))),OFFSET(E93,-1,0))</f>
        <v>7</v>
      </c>
      <c r="F93">
        <f t="shared" ca="1" si="48"/>
        <v>1</v>
      </c>
      <c r="G93">
        <f t="shared" ca="1" si="49"/>
        <v>0</v>
      </c>
      <c r="H93">
        <f t="shared" ca="1" si="50"/>
        <v>0</v>
      </c>
      <c r="I93">
        <f t="shared" ca="1" si="51"/>
        <v>0</v>
      </c>
      <c r="J93">
        <f t="shared" ca="1" si="59"/>
        <v>0</v>
      </c>
      <c r="K93">
        <f ca="1">IF(OR($C93="S",$C93=0),0,MATCH(OFFSET($D93,0,$C93)+IF($C93&lt;&gt;1,1,COUNTIF(QCI!$A$13:$A$24,ORÇAMENTO!E93)),OFFSET($D93,1,$C93,ROW($C$162)-ROW($C93)),0))</f>
        <v>0</v>
      </c>
      <c r="L93" s="114" t="str">
        <f t="shared" ca="1" si="52"/>
        <v/>
      </c>
      <c r="M93" s="115" t="s">
        <v>705</v>
      </c>
      <c r="N93" s="116" t="str">
        <f t="shared" ca="1" si="53"/>
        <v>Serviço</v>
      </c>
      <c r="O93" s="117" t="str">
        <f t="shared" ca="1" si="54"/>
        <v>-</v>
      </c>
      <c r="P93" s="118" t="s">
        <v>750</v>
      </c>
      <c r="Q93" s="119"/>
      <c r="R93" s="120" t="str" cm="1">
        <f t="array" aca="1" ref="R93" ca="1">IF($C93="S",REFERENCIA.Descricao,"(digite a descrição aqui)")</f>
        <v>(Sem Código)</v>
      </c>
      <c r="S93" s="121" t="str" cm="1">
        <f t="array" aca="1" ref="S93" ca="1">REFERENCIA.Unidade</f>
        <v>-</v>
      </c>
      <c r="T93" s="122">
        <f ca="1">OFFSET(CÁLCULO!H$15,ROW($T93)-ROW(T$15),0)</f>
        <v>0</v>
      </c>
      <c r="U93" s="123">
        <f t="shared" ca="1" si="55"/>
        <v>0</v>
      </c>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IF($C93="S",IF(OR(Import.TipoArredondamento&lt;&gt;"TransfereGOV",ACOMPANHAMENTO="BM"),VTOTAL1,SUM(OFFSET(CÁLCULO!$AA$15,ROW($X93)-ROW($X$15),1):OFFSET(CÁLCULO!$AL$15,ROW($X93)-ROW($X$15),-1))),IF($C93=0,0,ROUND(SomaAgrup,15-13*$AF$11)))</f>
        <v>0</v>
      </c>
      <c r="Y93" s="126" t="s">
        <v>751</v>
      </c>
      <c r="Z93" t="str">
        <f t="shared" ca="1" si="56"/>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b" cm="1">
        <f t="array" aca="1" ref="AE93" ca="1">IF(AND($C93="S",ORÇAMENTO.CodBarra&lt;&gt;""),IF(ORÇAMENTO.Fonte="",ORÇAMENTO.CodBarra,CONCATENATE(ORÇAMENTO.Fonte," ",ORÇAMENTO.CodBarra)))</f>
        <v>0</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(Sem Código)</v>
      </c>
      <c r="AG93" s="428" cm="1">
        <f t="array" aca="1" ref="AG93" ca="1">ROUND(IF(DESONERACAO="sim",REFERENCIA.Desonerado,REFERENCIA.NaoDesonerado),2)</f>
        <v>0</v>
      </c>
      <c r="AH93" s="429">
        <f t="shared" ca="1" si="57"/>
        <v>0.22</v>
      </c>
      <c r="AJ93" s="431"/>
      <c r="AL93" s="439"/>
      <c r="AM93" s="336">
        <f t="shared" ca="1" si="0"/>
        <v>0</v>
      </c>
      <c r="AN93" s="470" cm="1">
        <f t="array" aca="1" ref="AN93" ca="1">ROUND(ORÇAMENTO.CustoUnitario*(1+$AH93),2)</f>
        <v>0</v>
      </c>
    </row>
    <row r="94" spans="1:40" hidden="1" x14ac:dyDescent="0.2">
      <c r="A94" t="str">
        <f t="shared" si="44"/>
        <v>S</v>
      </c>
      <c r="B94">
        <f t="shared" ca="1" si="45"/>
        <v>2</v>
      </c>
      <c r="C94" t="str">
        <f t="shared" ca="1" si="46"/>
        <v>S</v>
      </c>
      <c r="D94">
        <f t="shared" ca="1" si="47"/>
        <v>0</v>
      </c>
      <c r="E94">
        <f ca="1">IF($C94=1,OFFSET(E94,-1,0)+MAX(1,COUNTIF(QCI!$A$13:$A$24,OFFSET(ORÇAMENTO!E94,-1,0))),OFFSET(E94,-1,0))</f>
        <v>7</v>
      </c>
      <c r="F94">
        <f t="shared" ca="1" si="48"/>
        <v>1</v>
      </c>
      <c r="G94">
        <f t="shared" ca="1" si="49"/>
        <v>0</v>
      </c>
      <c r="H94">
        <f t="shared" ca="1" si="50"/>
        <v>0</v>
      </c>
      <c r="I94">
        <f t="shared" ca="1" si="51"/>
        <v>0</v>
      </c>
      <c r="J94">
        <f t="shared" ca="1" si="59"/>
        <v>0</v>
      </c>
      <c r="K94">
        <f ca="1">IF(OR($C94="S",$C94=0),0,MATCH(OFFSET($D94,0,$C94)+IF($C94&lt;&gt;1,1,COUNTIF(QCI!$A$13:$A$24,ORÇAMENTO!E94)),OFFSET($D94,1,$C94,ROW($C$162)-ROW($C94)),0))</f>
        <v>0</v>
      </c>
      <c r="L94" s="114" t="str">
        <f t="shared" ca="1" si="52"/>
        <v/>
      </c>
      <c r="M94" s="115" t="s">
        <v>705</v>
      </c>
      <c r="N94" s="116" t="str">
        <f t="shared" ca="1" si="53"/>
        <v>Serviço</v>
      </c>
      <c r="O94" s="117" t="str">
        <f t="shared" ca="1" si="54"/>
        <v>-</v>
      </c>
      <c r="P94" s="118" t="s">
        <v>750</v>
      </c>
      <c r="Q94" s="119"/>
      <c r="R94" s="120" t="str" cm="1">
        <f t="array" aca="1" ref="R94" ca="1">IF($C94="S",REFERENCIA.Descricao,"(digite a descrição aqui)")</f>
        <v>(Sem Código)</v>
      </c>
      <c r="S94" s="121" t="str" cm="1">
        <f t="array" aca="1" ref="S94" ca="1">REFERENCIA.Unidade</f>
        <v>-</v>
      </c>
      <c r="T94" s="122">
        <f ca="1">OFFSET(CÁLCULO!H$15,ROW($T94)-ROW(T$15),0)</f>
        <v>0</v>
      </c>
      <c r="U94" s="123">
        <f t="shared" ca="1" si="55"/>
        <v>0</v>
      </c>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0</v>
      </c>
      <c r="Y94" s="126" t="s">
        <v>751</v>
      </c>
      <c r="Z94" t="str">
        <f t="shared" ca="1" si="56"/>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cm="1">
        <f t="array" aca="1" ref="AE94" ca="1">IF(AND($C94="S",ORÇAMENTO.CodBarra&lt;&gt;""),IF(ORÇAMENTO.Fonte="",ORÇAMENTO.CodBarra,CONCATENATE(ORÇAMENTO.Fonte," ",ORÇAMENTO.CodBarra)))</f>
        <v>0</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57"/>
        <v>0.22</v>
      </c>
      <c r="AJ94" s="431"/>
      <c r="AL94" s="439"/>
      <c r="AM94" s="336">
        <f t="shared" ca="1" si="0"/>
        <v>0</v>
      </c>
      <c r="AN94" s="470" cm="1">
        <f t="array" aca="1" ref="AN94" ca="1">ROUND(ORÇAMENTO.CustoUnitario*(1+$AH94),2)</f>
        <v>0</v>
      </c>
    </row>
    <row r="95" spans="1:40" hidden="1" x14ac:dyDescent="0.2">
      <c r="A95" t="str">
        <f t="shared" si="44"/>
        <v>S</v>
      </c>
      <c r="B95">
        <f t="shared" ca="1" si="45"/>
        <v>2</v>
      </c>
      <c r="C95" t="str">
        <f t="shared" ca="1" si="46"/>
        <v>S</v>
      </c>
      <c r="D95">
        <f t="shared" ca="1" si="47"/>
        <v>0</v>
      </c>
      <c r="E95">
        <f ca="1">IF($C95=1,OFFSET(E95,-1,0)+MAX(1,COUNTIF(QCI!$A$13:$A$24,OFFSET(ORÇAMENTO!E95,-1,0))),OFFSET(E95,-1,0))</f>
        <v>7</v>
      </c>
      <c r="F95">
        <f t="shared" ca="1" si="48"/>
        <v>1</v>
      </c>
      <c r="G95">
        <f t="shared" ca="1" si="49"/>
        <v>0</v>
      </c>
      <c r="H95">
        <f t="shared" ca="1" si="50"/>
        <v>0</v>
      </c>
      <c r="I95">
        <f t="shared" ca="1" si="51"/>
        <v>0</v>
      </c>
      <c r="J95">
        <f t="shared" ca="1" si="59"/>
        <v>0</v>
      </c>
      <c r="K95">
        <f ca="1">IF(OR($C95="S",$C95=0),0,MATCH(OFFSET($D95,0,$C95)+IF($C95&lt;&gt;1,1,COUNTIF(QCI!$A$13:$A$24,ORÇAMENTO!E95)),OFFSET($D95,1,$C95,ROW($C$162)-ROW($C95)),0))</f>
        <v>0</v>
      </c>
      <c r="L95" s="114" t="str">
        <f t="shared" ca="1" si="52"/>
        <v/>
      </c>
      <c r="M95" s="115" t="s">
        <v>705</v>
      </c>
      <c r="N95" s="116" t="str">
        <f t="shared" ca="1" si="53"/>
        <v>Serviço</v>
      </c>
      <c r="O95" s="117" t="str">
        <f t="shared" ca="1" si="54"/>
        <v>-</v>
      </c>
      <c r="P95" s="118" t="s">
        <v>750</v>
      </c>
      <c r="Q95" s="119"/>
      <c r="R95" s="120" t="str" cm="1">
        <f t="array" aca="1" ref="R95" ca="1">IF($C95="S",REFERENCIA.Descricao,"(digite a descrição aqui)")</f>
        <v>(Sem Código)</v>
      </c>
      <c r="S95" s="121" t="str" cm="1">
        <f t="array" aca="1" ref="S95" ca="1">REFERENCIA.Unidade</f>
        <v>-</v>
      </c>
      <c r="T95" s="122">
        <f ca="1">OFFSET(CÁLCULO!H$15,ROW($T95)-ROW(T$15),0)</f>
        <v>0</v>
      </c>
      <c r="U95" s="123">
        <f t="shared" ca="1" si="55"/>
        <v>0</v>
      </c>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IF($C95="S",IF(OR(Import.TipoArredondamento&lt;&gt;"TransfereGOV",ACOMPANHAMENTO="BM"),VTOTAL1,SUM(OFFSET(CÁLCULO!$AA$15,ROW($X95)-ROW($X$15),1):OFFSET(CÁLCULO!$AL$15,ROW($X95)-ROW($X$15),-1))),IF($C95=0,0,ROUND(SomaAgrup,15-13*$AF$11)))</f>
        <v>0</v>
      </c>
      <c r="Y95" s="126" t="s">
        <v>751</v>
      </c>
      <c r="Z95" t="str">
        <f t="shared" ca="1" si="56"/>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b" cm="1">
        <f t="array" aca="1" ref="AE95" ca="1">IF(AND($C95="S",ORÇAMENTO.CodBarra&lt;&gt;""),IF(ORÇAMENTO.Fonte="",ORÇAMENTO.CodBarra,CONCATENATE(ORÇAMENTO.Fonte," ",ORÇAMENTO.CodBarra)))</f>
        <v>0</v>
      </c>
      <c r="AF95" s="12"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(Sem Código)</v>
      </c>
      <c r="AG95" s="428" cm="1">
        <f t="array" aca="1" ref="AG95" ca="1">ROUND(IF(DESONERACAO="sim",REFERENCIA.Desonerado,REFERENCIA.NaoDesonerado),2)</f>
        <v>0</v>
      </c>
      <c r="AH95" s="429">
        <f t="shared" ca="1" si="57"/>
        <v>0.22</v>
      </c>
      <c r="AJ95" s="431"/>
      <c r="AL95" s="439"/>
      <c r="AM95" s="336">
        <f t="shared" ca="1" si="0"/>
        <v>0</v>
      </c>
      <c r="AN95" s="470" cm="1">
        <f t="array" aca="1" ref="AN95" ca="1">ROUND(ORÇAMENTO.CustoUnitario*(1+$AH95),2)</f>
        <v>0</v>
      </c>
    </row>
    <row r="96" spans="1:40" hidden="1" x14ac:dyDescent="0.2">
      <c r="A96" t="str">
        <f t="shared" si="44"/>
        <v>S</v>
      </c>
      <c r="B96">
        <f t="shared" ca="1" si="45"/>
        <v>2</v>
      </c>
      <c r="C96" t="str">
        <f t="shared" ca="1" si="46"/>
        <v>S</v>
      </c>
      <c r="D96">
        <f t="shared" ca="1" si="47"/>
        <v>0</v>
      </c>
      <c r="E96">
        <f ca="1">IF($C96=1,OFFSET(E96,-1,0)+MAX(1,COUNTIF(QCI!$A$13:$A$24,OFFSET(ORÇAMENTO!E96,-1,0))),OFFSET(E96,-1,0))</f>
        <v>7</v>
      </c>
      <c r="F96">
        <f t="shared" ca="1" si="48"/>
        <v>1</v>
      </c>
      <c r="G96">
        <f t="shared" ca="1" si="49"/>
        <v>0</v>
      </c>
      <c r="H96">
        <f t="shared" ca="1" si="50"/>
        <v>0</v>
      </c>
      <c r="I96">
        <f t="shared" ca="1" si="51"/>
        <v>0</v>
      </c>
      <c r="J96">
        <f t="shared" ca="1" si="59"/>
        <v>0</v>
      </c>
      <c r="K96">
        <f ca="1">IF(OR($C96="S",$C96=0),0,MATCH(OFFSET($D96,0,$C96)+IF($C96&lt;&gt;1,1,COUNTIF(QCI!$A$13:$A$24,ORÇAMENTO!E96)),OFFSET($D96,1,$C96,ROW($C$162)-ROW($C96)),0))</f>
        <v>0</v>
      </c>
      <c r="L96" s="114" t="str">
        <f t="shared" ca="1" si="52"/>
        <v/>
      </c>
      <c r="M96" s="115" t="s">
        <v>705</v>
      </c>
      <c r="N96" s="116" t="str">
        <f t="shared" ca="1" si="53"/>
        <v>Serviço</v>
      </c>
      <c r="O96" s="117" t="str">
        <f t="shared" ca="1" si="54"/>
        <v>-</v>
      </c>
      <c r="P96" s="118" t="s">
        <v>750</v>
      </c>
      <c r="Q96" s="119"/>
      <c r="R96" s="120" t="str" cm="1">
        <f t="array" aca="1" ref="R96" ca="1">IF($C96="S",REFERENCIA.Descricao,"(digite a descrição aqui)")</f>
        <v>(Sem Código)</v>
      </c>
      <c r="S96" s="121" t="str" cm="1">
        <f t="array" aca="1" ref="S96" ca="1">REFERENCIA.Unidade</f>
        <v>-</v>
      </c>
      <c r="T96" s="122">
        <f ca="1">OFFSET(CÁLCULO!H$15,ROW($T96)-ROW(T$15),0)</f>
        <v>0</v>
      </c>
      <c r="U96" s="123">
        <f t="shared" ca="1" si="55"/>
        <v>0</v>
      </c>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IF($C96="S",IF(OR(Import.TipoArredondamento&lt;&gt;"TransfereGOV",ACOMPANHAMENTO="BM"),VTOTAL1,SUM(OFFSET(CÁLCULO!$AA$15,ROW($X96)-ROW($X$15),1):OFFSET(CÁLCULO!$AL$15,ROW($X96)-ROW($X$15),-1))),IF($C96=0,0,ROUND(SomaAgrup,15-13*$AF$11)))</f>
        <v>0</v>
      </c>
      <c r="Y96" s="126" t="s">
        <v>751</v>
      </c>
      <c r="Z96" t="str">
        <f t="shared" ca="1" si="56"/>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b" cm="1">
        <f t="array" aca="1" ref="AE96" ca="1">IF(AND($C96="S",ORÇAMENTO.CodBarra&lt;&gt;""),IF(ORÇAMENTO.Fonte="",ORÇAMENTO.CodBarra,CONCATENATE(ORÇAMENTO.Fonte," ",ORÇAMENTO.CodBarra)))</f>
        <v>0</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(Sem Código)</v>
      </c>
      <c r="AG96" s="428" cm="1">
        <f t="array" aca="1" ref="AG96" ca="1">ROUND(IF(DESONERACAO="sim",REFERENCIA.Desonerado,REFERENCIA.NaoDesonerado),2)</f>
        <v>0</v>
      </c>
      <c r="AH96" s="429">
        <f t="shared" ca="1" si="57"/>
        <v>0.22</v>
      </c>
      <c r="AJ96" s="431"/>
      <c r="AL96" s="439"/>
      <c r="AM96" s="336">
        <f t="shared" ca="1" si="0"/>
        <v>0</v>
      </c>
      <c r="AN96" s="470" cm="1">
        <f t="array" aca="1" ref="AN96" ca="1">ROUND(ORÇAMENTO.CustoUnitario*(1+$AH96),2)</f>
        <v>0</v>
      </c>
    </row>
    <row r="97" spans="1:40" hidden="1" x14ac:dyDescent="0.2">
      <c r="A97" t="str">
        <f t="shared" si="44"/>
        <v>S</v>
      </c>
      <c r="B97">
        <f t="shared" ca="1" si="45"/>
        <v>2</v>
      </c>
      <c r="C97" t="str">
        <f t="shared" ca="1" si="46"/>
        <v>S</v>
      </c>
      <c r="D97">
        <f t="shared" ca="1" si="47"/>
        <v>0</v>
      </c>
      <c r="E97">
        <f ca="1">IF($C97=1,OFFSET(E97,-1,0)+MAX(1,COUNTIF(QCI!$A$13:$A$24,OFFSET(ORÇAMENTO!E97,-1,0))),OFFSET(E97,-1,0))</f>
        <v>7</v>
      </c>
      <c r="F97">
        <f t="shared" ca="1" si="48"/>
        <v>1</v>
      </c>
      <c r="G97">
        <f t="shared" ca="1" si="49"/>
        <v>0</v>
      </c>
      <c r="H97">
        <f t="shared" ca="1" si="50"/>
        <v>0</v>
      </c>
      <c r="I97">
        <f t="shared" ca="1" si="51"/>
        <v>0</v>
      </c>
      <c r="J97">
        <f t="shared" ca="1" si="59"/>
        <v>0</v>
      </c>
      <c r="K97">
        <f ca="1">IF(OR($C97="S",$C97=0),0,MATCH(OFFSET($D97,0,$C97)+IF($C97&lt;&gt;1,1,COUNTIF(QCI!$A$13:$A$24,ORÇAMENTO!E97)),OFFSET($D97,1,$C97,ROW($C$162)-ROW($C97)),0))</f>
        <v>0</v>
      </c>
      <c r="L97" s="114" t="str">
        <f t="shared" ca="1" si="52"/>
        <v/>
      </c>
      <c r="M97" s="115" t="s">
        <v>705</v>
      </c>
      <c r="N97" s="116" t="str">
        <f t="shared" ca="1" si="53"/>
        <v>Serviço</v>
      </c>
      <c r="O97" s="117" t="str">
        <f t="shared" ca="1" si="54"/>
        <v>-</v>
      </c>
      <c r="P97" s="118" t="s">
        <v>750</v>
      </c>
      <c r="Q97" s="119"/>
      <c r="R97" s="120" t="str" cm="1">
        <f t="array" aca="1" ref="R97" ca="1">IF($C97="S",REFERENCIA.Descricao,"(digite a descrição aqui)")</f>
        <v>(Sem Código)</v>
      </c>
      <c r="S97" s="121" t="str" cm="1">
        <f t="array" aca="1" ref="S97" ca="1">REFERENCIA.Unidade</f>
        <v>-</v>
      </c>
      <c r="T97" s="122">
        <f ca="1">OFFSET(CÁLCULO!H$15,ROW($T97)-ROW(T$15),0)</f>
        <v>0</v>
      </c>
      <c r="U97" s="123">
        <f t="shared" ca="1" si="55"/>
        <v>0</v>
      </c>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IF($C97="S",IF(OR(Import.TipoArredondamento&lt;&gt;"TransfereGOV",ACOMPANHAMENTO="BM"),VTOTAL1,SUM(OFFSET(CÁLCULO!$AA$15,ROW($X97)-ROW($X$15),1):OFFSET(CÁLCULO!$AL$15,ROW($X97)-ROW($X$15),-1))),IF($C97=0,0,ROUND(SomaAgrup,15-13*$AF$11)))</f>
        <v>0</v>
      </c>
      <c r="Y97" s="126" t="s">
        <v>751</v>
      </c>
      <c r="Z97" t="str">
        <f t="shared" ca="1" si="56"/>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cm="1">
        <f t="array" aca="1" ref="AE97" ca="1">IF(AND($C97="S",ORÇAMENTO.CodBarra&lt;&gt;""),IF(ORÇAMENTO.Fonte="",ORÇAMENTO.CodBarra,CONCATENATE(ORÇAMENTO.Fonte," ",ORÇAMENTO.CodBarra)))</f>
        <v>0</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(Sem Código)</v>
      </c>
      <c r="AG97" s="428" cm="1">
        <f t="array" aca="1" ref="AG97" ca="1">ROUND(IF(DESONERACAO="sim",REFERENCIA.Desonerado,REFERENCIA.NaoDesonerado),2)</f>
        <v>0</v>
      </c>
      <c r="AH97" s="429">
        <f t="shared" ca="1" si="57"/>
        <v>0.22</v>
      </c>
      <c r="AJ97" s="431"/>
      <c r="AL97" s="439"/>
      <c r="AM97" s="336">
        <f t="shared" ca="1" si="0"/>
        <v>0</v>
      </c>
      <c r="AN97" s="470" cm="1">
        <f t="array" aca="1" ref="AN97" ca="1">ROUND(ORÇAMENTO.CustoUnitario*(1+$AH97),2)</f>
        <v>0</v>
      </c>
    </row>
    <row r="98" spans="1:40" hidden="1" x14ac:dyDescent="0.2">
      <c r="A98" t="str">
        <f t="shared" si="44"/>
        <v>S</v>
      </c>
      <c r="B98">
        <f t="shared" ca="1" si="45"/>
        <v>2</v>
      </c>
      <c r="C98" t="str">
        <f t="shared" ca="1" si="46"/>
        <v>S</v>
      </c>
      <c r="D98">
        <f t="shared" ca="1" si="47"/>
        <v>0</v>
      </c>
      <c r="E98">
        <f ca="1">IF($C98=1,OFFSET(E98,-1,0)+MAX(1,COUNTIF(QCI!$A$13:$A$24,OFFSET(ORÇAMENTO!E98,-1,0))),OFFSET(E98,-1,0))</f>
        <v>7</v>
      </c>
      <c r="F98">
        <f t="shared" ca="1" si="48"/>
        <v>1</v>
      </c>
      <c r="G98">
        <f t="shared" ca="1" si="49"/>
        <v>0</v>
      </c>
      <c r="H98">
        <f t="shared" ca="1" si="50"/>
        <v>0</v>
      </c>
      <c r="I98">
        <f t="shared" ca="1" si="51"/>
        <v>0</v>
      </c>
      <c r="J98">
        <f t="shared" ca="1" si="59"/>
        <v>0</v>
      </c>
      <c r="K98">
        <f ca="1">IF(OR($C98="S",$C98=0),0,MATCH(OFFSET($D98,0,$C98)+IF($C98&lt;&gt;1,1,COUNTIF(QCI!$A$13:$A$24,ORÇAMENTO!E98)),OFFSET($D98,1,$C98,ROW($C$162)-ROW($C98)),0))</f>
        <v>0</v>
      </c>
      <c r="L98" s="114" t="str">
        <f t="shared" ca="1" si="52"/>
        <v/>
      </c>
      <c r="M98" s="115" t="s">
        <v>705</v>
      </c>
      <c r="N98" s="116" t="str">
        <f t="shared" ca="1" si="53"/>
        <v>Serviço</v>
      </c>
      <c r="O98" s="117" t="str">
        <f t="shared" ca="1" si="54"/>
        <v>-</v>
      </c>
      <c r="P98" s="118" t="s">
        <v>750</v>
      </c>
      <c r="Q98" s="119"/>
      <c r="R98" s="120" t="str" cm="1">
        <f t="array" aca="1" ref="R98" ca="1">IF($C98="S",REFERENCIA.Descricao,"(digite a descrição aqui)")</f>
        <v>(Sem Código)</v>
      </c>
      <c r="S98" s="121" t="str" cm="1">
        <f t="array" aca="1" ref="S98" ca="1">REFERENCIA.Unidade</f>
        <v>-</v>
      </c>
      <c r="T98" s="122">
        <f ca="1">OFFSET(CÁLCULO!H$15,ROW($T98)-ROW(T$15),0)</f>
        <v>0</v>
      </c>
      <c r="U98" s="123">
        <f t="shared" ca="1" si="55"/>
        <v>0</v>
      </c>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IF($C98="S",IF(OR(Import.TipoArredondamento&lt;&gt;"TransfereGOV",ACOMPANHAMENTO="BM"),VTOTAL1,SUM(OFFSET(CÁLCULO!$AA$15,ROW($X98)-ROW($X$15),1):OFFSET(CÁLCULO!$AL$15,ROW($X98)-ROW($X$15),-1))),IF($C98=0,0,ROUND(SomaAgrup,15-13*$AF$11)))</f>
        <v>0</v>
      </c>
      <c r="Y98" s="126" t="s">
        <v>751</v>
      </c>
      <c r="Z98" t="str">
        <f t="shared" ca="1" si="56"/>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b" cm="1">
        <f t="array" aca="1" ref="AE98" ca="1">IF(AND($C98="S",ORÇAMENTO.CodBarra&lt;&gt;""),IF(ORÇAMENTO.Fonte="",ORÇAMENTO.CodBarra,CONCATENATE(ORÇAMENTO.Fonte," ",ORÇAMENTO.CodBarra)))</f>
        <v>0</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(Sem Código)</v>
      </c>
      <c r="AG98" s="428" cm="1">
        <f t="array" aca="1" ref="AG98" ca="1">ROUND(IF(DESONERACAO="sim",REFERENCIA.Desonerado,REFERENCIA.NaoDesonerado),2)</f>
        <v>0</v>
      </c>
      <c r="AH98" s="429">
        <f t="shared" ca="1" si="57"/>
        <v>0.22</v>
      </c>
      <c r="AJ98" s="431"/>
      <c r="AL98" s="439"/>
      <c r="AM98" s="336">
        <f t="shared" ca="1" si="0"/>
        <v>0</v>
      </c>
      <c r="AN98" s="470" cm="1">
        <f t="array" aca="1" ref="AN98" ca="1">ROUND(ORÇAMENTO.CustoUnitario*(1+$AH98),2)</f>
        <v>0</v>
      </c>
    </row>
    <row r="99" spans="1:40" hidden="1" x14ac:dyDescent="0.2">
      <c r="A99" t="str">
        <f t="shared" si="44"/>
        <v>S</v>
      </c>
      <c r="B99">
        <f t="shared" ca="1" si="45"/>
        <v>2</v>
      </c>
      <c r="C99" t="str">
        <f t="shared" ca="1" si="46"/>
        <v>S</v>
      </c>
      <c r="D99">
        <f t="shared" ca="1" si="47"/>
        <v>0</v>
      </c>
      <c r="E99">
        <f ca="1">IF($C99=1,OFFSET(E99,-1,0)+MAX(1,COUNTIF(QCI!$A$13:$A$24,OFFSET(ORÇAMENTO!E99,-1,0))),OFFSET(E99,-1,0))</f>
        <v>7</v>
      </c>
      <c r="F99">
        <f t="shared" ca="1" si="48"/>
        <v>1</v>
      </c>
      <c r="G99">
        <f t="shared" ca="1" si="49"/>
        <v>0</v>
      </c>
      <c r="H99">
        <f t="shared" ca="1" si="50"/>
        <v>0</v>
      </c>
      <c r="I99">
        <f t="shared" ca="1" si="51"/>
        <v>0</v>
      </c>
      <c r="J99">
        <f t="shared" ca="1" si="59"/>
        <v>0</v>
      </c>
      <c r="K99">
        <f ca="1">IF(OR($C99="S",$C99=0),0,MATCH(OFFSET($D99,0,$C99)+IF($C99&lt;&gt;1,1,COUNTIF(QCI!$A$13:$A$24,ORÇAMENTO!E99)),OFFSET($D99,1,$C99,ROW($C$162)-ROW($C99)),0))</f>
        <v>0</v>
      </c>
      <c r="L99" s="114" t="str">
        <f t="shared" ca="1" si="52"/>
        <v/>
      </c>
      <c r="M99" s="115" t="s">
        <v>705</v>
      </c>
      <c r="N99" s="116" t="str">
        <f t="shared" ca="1" si="53"/>
        <v>Serviço</v>
      </c>
      <c r="O99" s="117" t="str">
        <f t="shared" ca="1" si="54"/>
        <v>-</v>
      </c>
      <c r="P99" s="118" t="s">
        <v>750</v>
      </c>
      <c r="Q99" s="119"/>
      <c r="R99" s="120" t="str" cm="1">
        <f t="array" aca="1" ref="R99" ca="1">IF($C99="S",REFERENCIA.Descricao,"(digite a descrição aqui)")</f>
        <v>(Sem Código)</v>
      </c>
      <c r="S99" s="121" t="str" cm="1">
        <f t="array" aca="1" ref="S99" ca="1">REFERENCIA.Unidade</f>
        <v>-</v>
      </c>
      <c r="T99" s="122">
        <f ca="1">OFFSET(CÁLCULO!H$15,ROW($T99)-ROW(T$15),0)</f>
        <v>0</v>
      </c>
      <c r="U99" s="123">
        <f t="shared" ca="1" si="55"/>
        <v>0</v>
      </c>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IF($C99="S",IF(OR(Import.TipoArredondamento&lt;&gt;"TransfereGOV",ACOMPANHAMENTO="BM"),VTOTAL1,SUM(OFFSET(CÁLCULO!$AA$15,ROW($X99)-ROW($X$15),1):OFFSET(CÁLCULO!$AL$15,ROW($X99)-ROW($X$15),-1))),IF($C99=0,0,ROUND(SomaAgrup,15-13*$AF$11)))</f>
        <v>0</v>
      </c>
      <c r="Y99" s="126" t="s">
        <v>751</v>
      </c>
      <c r="Z99" t="str">
        <f t="shared" ca="1" si="56"/>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b" cm="1">
        <f t="array" aca="1" ref="AE99" ca="1">IF(AND($C99="S",ORÇAMENTO.CodBarra&lt;&gt;""),IF(ORÇAMENTO.Fonte="",ORÇAMENTO.CodBarra,CONCATENATE(ORÇAMENTO.Fonte," ",ORÇAMENTO.CodBarra)))</f>
        <v>0</v>
      </c>
      <c r="AF99" s="12"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(Sem Código)</v>
      </c>
      <c r="AG99" s="428" cm="1">
        <f t="array" aca="1" ref="AG99" ca="1">ROUND(IF(DESONERACAO="sim",REFERENCIA.Desonerado,REFERENCIA.NaoDesonerado),2)</f>
        <v>0</v>
      </c>
      <c r="AH99" s="429">
        <f t="shared" ca="1" si="57"/>
        <v>0.22</v>
      </c>
      <c r="AJ99" s="431"/>
      <c r="AL99" s="439"/>
      <c r="AM99" s="336">
        <f t="shared" ca="1" si="0"/>
        <v>0</v>
      </c>
      <c r="AN99" s="470" cm="1">
        <f t="array" aca="1" ref="AN99" ca="1">ROUND(ORÇAMENTO.CustoUnitario*(1+$AH99),2)</f>
        <v>0</v>
      </c>
    </row>
    <row r="100" spans="1:40" hidden="1" x14ac:dyDescent="0.2">
      <c r="A100" t="str">
        <f t="shared" si="44"/>
        <v>S</v>
      </c>
      <c r="B100">
        <f t="shared" ca="1" si="45"/>
        <v>2</v>
      </c>
      <c r="C100" t="str">
        <f t="shared" ca="1" si="46"/>
        <v>S</v>
      </c>
      <c r="D100">
        <f t="shared" ca="1" si="47"/>
        <v>0</v>
      </c>
      <c r="E100">
        <f ca="1">IF($C100=1,OFFSET(E100,-1,0)+MAX(1,COUNTIF(QCI!$A$13:$A$24,OFFSET(ORÇAMENTO!E100,-1,0))),OFFSET(E100,-1,0))</f>
        <v>7</v>
      </c>
      <c r="F100">
        <f t="shared" ca="1" si="48"/>
        <v>1</v>
      </c>
      <c r="G100">
        <f t="shared" ca="1" si="49"/>
        <v>0</v>
      </c>
      <c r="H100">
        <f t="shared" ca="1" si="50"/>
        <v>0</v>
      </c>
      <c r="I100">
        <f t="shared" ca="1" si="51"/>
        <v>0</v>
      </c>
      <c r="J100">
        <f t="shared" ca="1" si="59"/>
        <v>0</v>
      </c>
      <c r="K100">
        <f ca="1">IF(OR($C100="S",$C100=0),0,MATCH(OFFSET($D100,0,$C100)+IF($C100&lt;&gt;1,1,COUNTIF(QCI!$A$13:$A$24,ORÇAMENTO!E100)),OFFSET($D100,1,$C100,ROW($C$162)-ROW($C100)),0))</f>
        <v>0</v>
      </c>
      <c r="L100" s="114" t="str">
        <f t="shared" ca="1" si="52"/>
        <v/>
      </c>
      <c r="M100" s="115" t="s">
        <v>705</v>
      </c>
      <c r="N100" s="116" t="str">
        <f t="shared" ca="1" si="53"/>
        <v>Serviço</v>
      </c>
      <c r="O100" s="117" t="str">
        <f t="shared" ca="1" si="54"/>
        <v>-</v>
      </c>
      <c r="P100" s="118" t="s">
        <v>750</v>
      </c>
      <c r="Q100" s="119"/>
      <c r="R100" s="120" t="str" cm="1">
        <f t="array" aca="1" ref="R100" ca="1">IF($C100="S",REFERENCIA.Descricao,"(digite a descrição aqui)")</f>
        <v>(Sem Código)</v>
      </c>
      <c r="S100" s="121" t="str" cm="1">
        <f t="array" aca="1" ref="S100" ca="1">REFERENCIA.Unidade</f>
        <v>-</v>
      </c>
      <c r="T100" s="122">
        <f ca="1">OFFSET(CÁLCULO!H$15,ROW($T100)-ROW(T$15),0)</f>
        <v>0</v>
      </c>
      <c r="U100" s="123">
        <f t="shared" ca="1" si="55"/>
        <v>0</v>
      </c>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IF($C100="S",IF(OR(Import.TipoArredondamento&lt;&gt;"TransfereGOV",ACOMPANHAMENTO="BM"),VTOTAL1,SUM(OFFSET(CÁLCULO!$AA$15,ROW($X100)-ROW($X$15),1):OFFSET(CÁLCULO!$AL$15,ROW($X100)-ROW($X$15),-1))),IF($C100=0,0,ROUND(SomaAgrup,15-13*$AF$11)))</f>
        <v>0</v>
      </c>
      <c r="Y100" s="126" t="s">
        <v>751</v>
      </c>
      <c r="Z100" t="str">
        <f t="shared" ca="1" si="56"/>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cm="1">
        <f t="array" aca="1" ref="AE100" ca="1">IF(AND($C100="S",ORÇAMENTO.CodBarra&lt;&gt;""),IF(ORÇAMENTO.Fonte="",ORÇAMENTO.CodBarra,CONCATENATE(ORÇAMENTO.Fonte," ",ORÇAMENTO.CodBarra)))</f>
        <v>0</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(Sem Código)</v>
      </c>
      <c r="AG100" s="428" cm="1">
        <f t="array" aca="1" ref="AG100" ca="1">ROUND(IF(DESONERACAO="sim",REFERENCIA.Desonerado,REFERENCIA.NaoDesonerado),2)</f>
        <v>0</v>
      </c>
      <c r="AH100" s="429">
        <f t="shared" ca="1" si="57"/>
        <v>0.22</v>
      </c>
      <c r="AJ100" s="431"/>
      <c r="AL100" s="439"/>
      <c r="AM100" s="336">
        <f t="shared" ca="1" si="0"/>
        <v>0</v>
      </c>
      <c r="AN100" s="470" cm="1">
        <f t="array" aca="1" ref="AN100" ca="1">ROUND(ORÇAMENTO.CustoUnitario*(1+$AH100),2)</f>
        <v>0</v>
      </c>
    </row>
    <row r="101" spans="1:40" hidden="1" x14ac:dyDescent="0.2">
      <c r="A101" t="str">
        <f t="shared" si="44"/>
        <v>S</v>
      </c>
      <c r="B101">
        <f t="shared" ca="1" si="45"/>
        <v>2</v>
      </c>
      <c r="C101" t="str">
        <f t="shared" ca="1" si="46"/>
        <v>S</v>
      </c>
      <c r="D101">
        <f t="shared" ca="1" si="47"/>
        <v>0</v>
      </c>
      <c r="E101">
        <f ca="1">IF($C101=1,OFFSET(E101,-1,0)+MAX(1,COUNTIF(QCI!$A$13:$A$24,OFFSET(ORÇAMENTO!E101,-1,0))),OFFSET(E101,-1,0))</f>
        <v>7</v>
      </c>
      <c r="F101">
        <f t="shared" ca="1" si="48"/>
        <v>1</v>
      </c>
      <c r="G101">
        <f t="shared" ca="1" si="49"/>
        <v>0</v>
      </c>
      <c r="H101">
        <f t="shared" ca="1" si="50"/>
        <v>0</v>
      </c>
      <c r="I101">
        <f t="shared" ca="1" si="51"/>
        <v>0</v>
      </c>
      <c r="J101">
        <f t="shared" ca="1" si="59"/>
        <v>0</v>
      </c>
      <c r="K101">
        <f ca="1">IF(OR($C101="S",$C101=0),0,MATCH(OFFSET($D101,0,$C101)+IF($C101&lt;&gt;1,1,COUNTIF(QCI!$A$13:$A$24,ORÇAMENTO!E101)),OFFSET($D101,1,$C101,ROW($C$162)-ROW($C101)),0))</f>
        <v>0</v>
      </c>
      <c r="L101" s="114" t="str">
        <f t="shared" ca="1" si="52"/>
        <v/>
      </c>
      <c r="M101" s="115" t="s">
        <v>705</v>
      </c>
      <c r="N101" s="116" t="str">
        <f t="shared" ca="1" si="53"/>
        <v>Serviço</v>
      </c>
      <c r="O101" s="117" t="str">
        <f t="shared" ca="1" si="54"/>
        <v>-</v>
      </c>
      <c r="P101" s="118" t="s">
        <v>750</v>
      </c>
      <c r="Q101" s="119"/>
      <c r="R101" s="120" t="str" cm="1">
        <f t="array" aca="1" ref="R101" ca="1">IF($C101="S",REFERENCIA.Descricao,"(digite a descrição aqui)")</f>
        <v>(Sem Código)</v>
      </c>
      <c r="S101" s="121" t="str" cm="1">
        <f t="array" aca="1" ref="S101" ca="1">REFERENCIA.Unidade</f>
        <v>-</v>
      </c>
      <c r="T101" s="122">
        <f ca="1">OFFSET(CÁLCULO!H$15,ROW($T101)-ROW(T$15),0)</f>
        <v>0</v>
      </c>
      <c r="U101" s="123">
        <f t="shared" ca="1" si="55"/>
        <v>0</v>
      </c>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IF($C101="S",IF(OR(Import.TipoArredondamento&lt;&gt;"TransfereGOV",ACOMPANHAMENTO="BM"),VTOTAL1,SUM(OFFSET(CÁLCULO!$AA$15,ROW($X101)-ROW($X$15),1):OFFSET(CÁLCULO!$AL$15,ROW($X101)-ROW($X$15),-1))),IF($C101=0,0,ROUND(SomaAgrup,15-13*$AF$11)))</f>
        <v>0</v>
      </c>
      <c r="Y101" s="126" t="s">
        <v>751</v>
      </c>
      <c r="Z101" t="str">
        <f t="shared" ca="1" si="56"/>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b" cm="1">
        <f t="array" aca="1" ref="AE101" ca="1">IF(AND($C101="S",ORÇAMENTO.CodBarra&lt;&gt;""),IF(ORÇAMENTO.Fonte="",ORÇAMENTO.CodBarra,CONCATENATE(ORÇAMENTO.Fonte," ",ORÇAMENTO.CodBarra)))</f>
        <v>0</v>
      </c>
      <c r="AF101" s="12"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428" cm="1">
        <f t="array" aca="1" ref="AG101" ca="1">ROUND(IF(DESONERACAO="sim",REFERENCIA.Desonerado,REFERENCIA.NaoDesonerado),2)</f>
        <v>0</v>
      </c>
      <c r="AH101" s="429">
        <f t="shared" ca="1" si="57"/>
        <v>0.22</v>
      </c>
      <c r="AJ101" s="431"/>
      <c r="AL101" s="439"/>
      <c r="AM101" s="336">
        <f t="shared" ca="1" si="0"/>
        <v>0</v>
      </c>
      <c r="AN101" s="470" cm="1">
        <f t="array" aca="1" ref="AN101" ca="1">ROUND(ORÇAMENTO.CustoUnitario*(1+$AH101),2)</f>
        <v>0</v>
      </c>
    </row>
    <row r="102" spans="1:40" hidden="1" x14ac:dyDescent="0.2">
      <c r="A102" t="str">
        <f t="shared" si="44"/>
        <v>S</v>
      </c>
      <c r="B102">
        <f t="shared" ca="1" si="45"/>
        <v>2</v>
      </c>
      <c r="C102" t="str">
        <f t="shared" ca="1" si="46"/>
        <v>S</v>
      </c>
      <c r="D102">
        <f t="shared" ca="1" si="47"/>
        <v>0</v>
      </c>
      <c r="E102">
        <f ca="1">IF($C102=1,OFFSET(E102,-1,0)+MAX(1,COUNTIF(QCI!$A$13:$A$24,OFFSET(ORÇAMENTO!E102,-1,0))),OFFSET(E102,-1,0))</f>
        <v>7</v>
      </c>
      <c r="F102">
        <f t="shared" ca="1" si="48"/>
        <v>1</v>
      </c>
      <c r="G102">
        <f t="shared" ca="1" si="49"/>
        <v>0</v>
      </c>
      <c r="H102">
        <f t="shared" ca="1" si="50"/>
        <v>0</v>
      </c>
      <c r="I102">
        <f t="shared" ca="1" si="51"/>
        <v>0</v>
      </c>
      <c r="J102">
        <f t="shared" ca="1" si="59"/>
        <v>0</v>
      </c>
      <c r="K102">
        <f ca="1">IF(OR($C102="S",$C102=0),0,MATCH(OFFSET($D102,0,$C102)+IF($C102&lt;&gt;1,1,COUNTIF(QCI!$A$13:$A$24,ORÇAMENTO!E102)),OFFSET($D102,1,$C102,ROW($C$162)-ROW($C102)),0))</f>
        <v>0</v>
      </c>
      <c r="L102" s="114" t="str">
        <f t="shared" ca="1" si="52"/>
        <v/>
      </c>
      <c r="M102" s="115" t="s">
        <v>705</v>
      </c>
      <c r="N102" s="116" t="str">
        <f t="shared" ca="1" si="53"/>
        <v>Serviço</v>
      </c>
      <c r="O102" s="117" t="str">
        <f t="shared" ca="1" si="54"/>
        <v>-</v>
      </c>
      <c r="P102" s="118" t="s">
        <v>750</v>
      </c>
      <c r="Q102" s="119"/>
      <c r="R102" s="120" t="str" cm="1">
        <f t="array" aca="1" ref="R102" ca="1">IF($C102="S",REFERENCIA.Descricao,"(digite a descrição aqui)")</f>
        <v>(Sem Código)</v>
      </c>
      <c r="S102" s="121" t="str" cm="1">
        <f t="array" aca="1" ref="S102" ca="1">REFERENCIA.Unidade</f>
        <v>-</v>
      </c>
      <c r="T102" s="122">
        <f ca="1">OFFSET(CÁLCULO!H$15,ROW($T102)-ROW(T$15),0)</f>
        <v>0</v>
      </c>
      <c r="U102" s="123">
        <f t="shared" ca="1" si="55"/>
        <v>0</v>
      </c>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IF($C102="S",IF(OR(Import.TipoArredondamento&lt;&gt;"TransfereGOV",ACOMPANHAMENTO="BM"),VTOTAL1,SUM(OFFSET(CÁLCULO!$AA$15,ROW($X102)-ROW($X$15),1):OFFSET(CÁLCULO!$AL$15,ROW($X102)-ROW($X$15),-1))),IF($C102=0,0,ROUND(SomaAgrup,15-13*$AF$11)))</f>
        <v>0</v>
      </c>
      <c r="Y102" s="126" t="s">
        <v>751</v>
      </c>
      <c r="Z102" t="str">
        <f t="shared" ca="1" si="56"/>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b" cm="1">
        <f t="array" aca="1" ref="AE102" ca="1">IF(AND($C102="S",ORÇAMENTO.CodBarra&lt;&gt;""),IF(ORÇAMENTO.Fonte="",ORÇAMENTO.CodBarra,CONCATENATE(ORÇAMENTO.Fonte," ",ORÇAMENTO.CodBarra)))</f>
        <v>0</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428" cm="1">
        <f t="array" aca="1" ref="AG102" ca="1">ROUND(IF(DESONERACAO="sim",REFERENCIA.Desonerado,REFERENCIA.NaoDesonerado),2)</f>
        <v>0</v>
      </c>
      <c r="AH102" s="429">
        <f t="shared" ca="1" si="57"/>
        <v>0.22</v>
      </c>
      <c r="AJ102" s="431"/>
      <c r="AL102" s="439"/>
      <c r="AM102" s="336">
        <f t="shared" ca="1" si="0"/>
        <v>0</v>
      </c>
      <c r="AN102" s="470" cm="1">
        <f t="array" aca="1" ref="AN102" ca="1">ROUND(ORÇAMENTO.CustoUnitario*(1+$AH102),2)</f>
        <v>0</v>
      </c>
    </row>
    <row r="103" spans="1:40" hidden="1" x14ac:dyDescent="0.2">
      <c r="A103" t="str">
        <f t="shared" si="44"/>
        <v>S</v>
      </c>
      <c r="B103">
        <f t="shared" ca="1" si="45"/>
        <v>2</v>
      </c>
      <c r="C103" t="str">
        <f t="shared" ca="1" si="46"/>
        <v>S</v>
      </c>
      <c r="D103">
        <f t="shared" ca="1" si="47"/>
        <v>0</v>
      </c>
      <c r="E103">
        <f ca="1">IF($C103=1,OFFSET(E103,-1,0)+MAX(1,COUNTIF(QCI!$A$13:$A$24,OFFSET(ORÇAMENTO!E103,-1,0))),OFFSET(E103,-1,0))</f>
        <v>7</v>
      </c>
      <c r="F103">
        <f t="shared" ca="1" si="48"/>
        <v>1</v>
      </c>
      <c r="G103">
        <f t="shared" ca="1" si="49"/>
        <v>0</v>
      </c>
      <c r="H103">
        <f t="shared" ca="1" si="50"/>
        <v>0</v>
      </c>
      <c r="I103">
        <f t="shared" ca="1" si="51"/>
        <v>0</v>
      </c>
      <c r="J103">
        <f t="shared" ca="1" si="59"/>
        <v>0</v>
      </c>
      <c r="K103">
        <f ca="1">IF(OR($C103="S",$C103=0),0,MATCH(OFFSET($D103,0,$C103)+IF($C103&lt;&gt;1,1,COUNTIF(QCI!$A$13:$A$24,ORÇAMENTO!E103)),OFFSET($D103,1,$C103,ROW($C$162)-ROW($C103)),0))</f>
        <v>0</v>
      </c>
      <c r="L103" s="114" t="str">
        <f t="shared" ca="1" si="52"/>
        <v/>
      </c>
      <c r="M103" s="115" t="s">
        <v>705</v>
      </c>
      <c r="N103" s="116" t="str">
        <f t="shared" ca="1" si="53"/>
        <v>Serviço</v>
      </c>
      <c r="O103" s="117" t="str">
        <f t="shared" ca="1" si="54"/>
        <v>-</v>
      </c>
      <c r="P103" s="118" t="s">
        <v>750</v>
      </c>
      <c r="Q103" s="119"/>
      <c r="R103" s="120" t="str" cm="1">
        <f t="array" aca="1" ref="R103" ca="1">IF($C103="S",REFERENCIA.Descricao,"(digite a descrição aqui)")</f>
        <v>(Sem Código)</v>
      </c>
      <c r="S103" s="121" t="str" cm="1">
        <f t="array" aca="1" ref="S103" ca="1">REFERENCIA.Unidade</f>
        <v>-</v>
      </c>
      <c r="T103" s="122">
        <f ca="1">OFFSET(CÁLCULO!H$15,ROW($T103)-ROW(T$15),0)</f>
        <v>0</v>
      </c>
      <c r="U103" s="123">
        <f t="shared" ca="1" si="55"/>
        <v>0</v>
      </c>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IF($C103="S",IF(OR(Import.TipoArredondamento&lt;&gt;"TransfereGOV",ACOMPANHAMENTO="BM"),VTOTAL1,SUM(OFFSET(CÁLCULO!$AA$15,ROW($X103)-ROW($X$15),1):OFFSET(CÁLCULO!$AL$15,ROW($X103)-ROW($X$15),-1))),IF($C103=0,0,ROUND(SomaAgrup,15-13*$AF$11)))</f>
        <v>0</v>
      </c>
      <c r="Y103" s="126" t="s">
        <v>751</v>
      </c>
      <c r="Z103" t="str">
        <f t="shared" ca="1" si="56"/>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b" cm="1">
        <f t="array" aca="1" ref="AE103" ca="1">IF(AND($C103="S",ORÇAMENTO.CodBarra&lt;&gt;""),IF(ORÇAMENTO.Fonte="",ORÇAMENTO.CodBarra,CONCATENATE(ORÇAMENTO.Fonte," ",ORÇAMENTO.CodBarra)))</f>
        <v>0</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(Sem Código)</v>
      </c>
      <c r="AG103" s="428" cm="1">
        <f t="array" aca="1" ref="AG103" ca="1">ROUND(IF(DESONERACAO="sim",REFERENCIA.Desonerado,REFERENCIA.NaoDesonerado),2)</f>
        <v>0</v>
      </c>
      <c r="AH103" s="429">
        <f t="shared" ca="1" si="57"/>
        <v>0.22</v>
      </c>
      <c r="AJ103" s="431"/>
      <c r="AL103" s="439"/>
      <c r="AM103" s="336">
        <f t="shared" ca="1" si="0"/>
        <v>0</v>
      </c>
      <c r="AN103" s="470" cm="1">
        <f t="array" aca="1" ref="AN103" ca="1">ROUND(ORÇAMENTO.CustoUnitario*(1+$AH103),2)</f>
        <v>0</v>
      </c>
    </row>
    <row r="104" spans="1:40" hidden="1" x14ac:dyDescent="0.2">
      <c r="A104" t="str">
        <f t="shared" ref="A104:A161" si="60">CHOOSE(1+LOG(1+2*(ORÇAMENTO.Nivel="Meta")+4*(ORÇAMENTO.Nivel="Nível 2")+8*(ORÇAMENTO.Nivel="Nível 3")+16*(ORÇAMENTO.Nivel="Nível 4")+32*(ORÇAMENTO.Nivel="Serviço"),2),0,1,2,3,4,"S")</f>
        <v>S</v>
      </c>
      <c r="B104">
        <f t="shared" ref="B104:B161" ca="1" si="61">IF(OR(C104="s",C104=0),OFFSET(B104,-1,0),C104)</f>
        <v>2</v>
      </c>
      <c r="C104" t="str">
        <f t="shared" ref="C104:C161" ca="1" si="62">IF(OFFSET(C104,-1,0)="L",1,IF(OFFSET(C104,-1,0)=1,2,IF(OR(A104="s",A104=0),"S",IF(AND(OFFSET(C104,-1,0)=2,A104=4),3,IF(AND(OR(OFFSET(C104,-1,0)="s",OFFSET(C104,-1,0)=0),A104&lt;&gt;"s",A104&gt;OFFSET(B104,-1,0)),OFFSET(B104,-1,0),A104)))))</f>
        <v>S</v>
      </c>
      <c r="D104">
        <f t="shared" ref="D104:D161" ca="1" si="63">IF(OR(C104="S",C104=0),0,IF(ISERROR(K104),J104,SMALL(J104:K104,1)))</f>
        <v>0</v>
      </c>
      <c r="E104">
        <f ca="1">IF($C104=1,OFFSET(E104,-1,0)+MAX(1,COUNTIF(QCI!$A$13:$A$24,OFFSET(ORÇAMENTO!E104,-1,0))),OFFSET(E104,-1,0))</f>
        <v>7</v>
      </c>
      <c r="F104">
        <f t="shared" ref="F104:F161" ca="1" si="64">IF($C104=1,0,IF($C104=2,OFFSET(F104,-1,0)+1,OFFSET(F104,-1,0)))</f>
        <v>1</v>
      </c>
      <c r="G104">
        <f t="shared" ref="G104:G161" ca="1" si="65">IF(AND($C104&lt;=2,$C104&lt;&gt;0),0,IF($C104=3,OFFSET(G104,-1,0)+1,OFFSET(G104,-1,0)))</f>
        <v>0</v>
      </c>
      <c r="H104">
        <f t="shared" ref="H104:H161" ca="1" si="66">IF(AND($C104&lt;=3,$C104&lt;&gt;0),0,IF($C104=4,OFFSET(H104,-1,0)+1,OFFSET(H104,-1,0)))</f>
        <v>0</v>
      </c>
      <c r="I104">
        <f t="shared" ref="I104:I161" ca="1" si="67">IF(AND($C104&lt;=4,$C104&lt;&gt;0),0,IF(AND($C104="S",$X104&gt;0),OFFSET(I104,-1,0)+1,OFFSET(I104,-1,0)))</f>
        <v>0</v>
      </c>
      <c r="J104">
        <f t="shared" ref="J104:J161" ca="1" si="68">IF(OR($C104="S",$C104=0),0,MATCH(0,OFFSET($D104,1,$C104,ROW($C$162)-ROW($C104)),0))</f>
        <v>0</v>
      </c>
      <c r="K104">
        <f ca="1">IF(OR($C104="S",$C104=0),0,MATCH(OFFSET($D104,0,$C104)+IF($C104&lt;&gt;1,1,COUNTIF(QCI!$A$13:$A$24,ORÇAMENTO!E104)),OFFSET($D104,1,$C104,ROW($C$162)-ROW($C104)),0))</f>
        <v>0</v>
      </c>
      <c r="L104" s="114" t="str">
        <f t="shared" ref="L104:L161" ca="1" si="69">IF(OR($X104&gt;0,$C104=1,$C104=2,$C104=3,$C104=4),"F","")</f>
        <v/>
      </c>
      <c r="M104" s="115" t="s">
        <v>705</v>
      </c>
      <c r="N104" s="116" t="str">
        <f t="shared" ref="N104:N161" ca="1" si="70">CHOOSE(1+LOG(1+2*(C104=1)+4*(C104=2)+8*(C104=3)+16*(C104=4)+32*(C104="S"),2),"","Meta","Nível 2","Nível 3","Nível 4","Serviço")</f>
        <v>Serviço</v>
      </c>
      <c r="O104" s="117" t="str">
        <f t="shared" ref="O104:O161" ca="1" si="71">IF(OR($C104=0,$L104=""),"-",CONCATENATE(E104&amp;".",IF(AND($A$5&gt;=2,$C104&gt;=2),F104&amp;".",""),IF(AND($A$5&gt;=3,$C104&gt;=3),G104&amp;".",""),IF(AND($A$5&gt;=4,$C104&gt;=4),H104&amp;".",""),IF($C104="S",I104&amp;".","")))</f>
        <v>-</v>
      </c>
      <c r="P104" s="118" t="s">
        <v>750</v>
      </c>
      <c r="Q104" s="119"/>
      <c r="R104" s="120" t="str" cm="1">
        <f t="array" aca="1" ref="R104" ca="1">IF($C104="S",REFERENCIA.Descricao,"(digite a descrição aqui)")</f>
        <v>(Sem Código)</v>
      </c>
      <c r="S104" s="121" t="str" cm="1">
        <f t="array" aca="1" ref="S104" ca="1">REFERENCIA.Unidade</f>
        <v>-</v>
      </c>
      <c r="T104" s="122">
        <f ca="1">OFFSET(CÁLCULO!H$15,ROW($T104)-ROW(T$15),0)</f>
        <v>0</v>
      </c>
      <c r="U104" s="123">
        <f t="shared" ca="1" si="55"/>
        <v>0</v>
      </c>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0</v>
      </c>
      <c r="Y104" s="126" t="s">
        <v>751</v>
      </c>
      <c r="Z104" t="str">
        <f t="shared" ref="Z104:Z161" ca="1" si="72">IF(AND($C104="S",$X104&gt;0),IF(ISBLANK($Y104),"RA",LEFT($Y104,2)),"")</f>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ref="AH104:AH161" ca="1" si="73">ROUND(IF(ISNUMBER(ORÇAMENTO.OpcaoBDI),ORÇAMENTO.OpcaoBDI,IF(LEFT(ORÇAMENTO.OpcaoBDI,3)="BDI",HLOOKUP(ORÇAMENTO.OpcaoBDI,$F$4:$H$5,2,FALSE),0)),15-11*$AF$9)</f>
        <v>0.22</v>
      </c>
      <c r="AJ104" s="431"/>
      <c r="AL104" s="439"/>
      <c r="AM104" s="336">
        <f t="shared" ca="1" si="0"/>
        <v>0</v>
      </c>
      <c r="AN104" s="470" cm="1">
        <f t="array" aca="1" ref="AN104" ca="1">ROUND(ORÇAMENTO.CustoUnitario*(1+$AH104),2)</f>
        <v>0</v>
      </c>
    </row>
    <row r="105" spans="1:40" hidden="1" x14ac:dyDescent="0.2">
      <c r="A105" t="str">
        <f t="shared" si="60"/>
        <v>S</v>
      </c>
      <c r="B105">
        <f t="shared" ca="1" si="61"/>
        <v>2</v>
      </c>
      <c r="C105" t="str">
        <f t="shared" ca="1" si="62"/>
        <v>S</v>
      </c>
      <c r="D105">
        <f t="shared" ca="1" si="63"/>
        <v>0</v>
      </c>
      <c r="E105">
        <f ca="1">IF($C105=1,OFFSET(E105,-1,0)+MAX(1,COUNTIF(QCI!$A$13:$A$24,OFFSET(ORÇAMENTO!E105,-1,0))),OFFSET(E105,-1,0))</f>
        <v>7</v>
      </c>
      <c r="F105">
        <f t="shared" ca="1" si="64"/>
        <v>1</v>
      </c>
      <c r="G105">
        <f t="shared" ca="1" si="65"/>
        <v>0</v>
      </c>
      <c r="H105">
        <f t="shared" ca="1" si="66"/>
        <v>0</v>
      </c>
      <c r="I105">
        <f t="shared" ca="1" si="67"/>
        <v>0</v>
      </c>
      <c r="J105">
        <f t="shared" ca="1" si="68"/>
        <v>0</v>
      </c>
      <c r="K105">
        <f ca="1">IF(OR($C105="S",$C105=0),0,MATCH(OFFSET($D105,0,$C105)+IF($C105&lt;&gt;1,1,COUNTIF(QCI!$A$13:$A$24,ORÇAMENTO!E105)),OFFSET($D105,1,$C105,ROW($C$162)-ROW($C105)),0))</f>
        <v>0</v>
      </c>
      <c r="L105" s="114" t="str">
        <f t="shared" ca="1" si="69"/>
        <v/>
      </c>
      <c r="M105" s="115" t="s">
        <v>705</v>
      </c>
      <c r="N105" s="116" t="str">
        <f t="shared" ca="1" si="70"/>
        <v>Serviço</v>
      </c>
      <c r="O105" s="117" t="str">
        <f t="shared" ca="1" si="71"/>
        <v>-</v>
      </c>
      <c r="P105" s="118" t="s">
        <v>750</v>
      </c>
      <c r="Q105" s="119"/>
      <c r="R105" s="120" t="str" cm="1">
        <f t="array" aca="1" ref="R105" ca="1">IF($C105="S",REFERENCIA.Descricao,"(digite a descrição aqui)")</f>
        <v>(Sem Código)</v>
      </c>
      <c r="S105" s="121" t="str" cm="1">
        <f t="array" aca="1" ref="S105" ca="1">REFERENCIA.Unidade</f>
        <v>-</v>
      </c>
      <c r="T105" s="122">
        <f ca="1">OFFSET(CÁLCULO!H$15,ROW($T105)-ROW(T$15),0)</f>
        <v>0</v>
      </c>
      <c r="U105" s="123">
        <f t="shared" ca="1" si="55"/>
        <v>0</v>
      </c>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IF($C105="S",IF(OR(Import.TipoArredondamento&lt;&gt;"TransfereGOV",ACOMPANHAMENTO="BM"),VTOTAL1,SUM(OFFSET(CÁLCULO!$AA$15,ROW($X105)-ROW($X$15),1):OFFSET(CÁLCULO!$AL$15,ROW($X105)-ROW($X$15),-1))),IF($C105=0,0,ROUND(SomaAgrup,15-13*$AF$11)))</f>
        <v>0</v>
      </c>
      <c r="Y105" s="126" t="s">
        <v>751</v>
      </c>
      <c r="Z105" t="str">
        <f t="shared" ca="1" si="72"/>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cm="1">
        <f t="array" aca="1" ref="AE105" ca="1">IF(AND($C105="S",ORÇAMENTO.CodBarra&lt;&gt;""),IF(ORÇAMENTO.Fonte="",ORÇAMENTO.CodBarra,CONCATENATE(ORÇAMENTO.Fonte," ",ORÇAMENTO.CodBarra)))</f>
        <v>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73"/>
        <v>0.22</v>
      </c>
      <c r="AJ105" s="431"/>
      <c r="AL105" s="439"/>
      <c r="AM105" s="336">
        <f t="shared" ca="1" si="0"/>
        <v>0</v>
      </c>
      <c r="AN105" s="470" cm="1">
        <f t="array" aca="1" ref="AN105" ca="1">ROUND(ORÇAMENTO.CustoUnitario*(1+$AH105),2)</f>
        <v>0</v>
      </c>
    </row>
    <row r="106" spans="1:40" hidden="1" x14ac:dyDescent="0.2">
      <c r="A106" t="str">
        <f t="shared" si="60"/>
        <v>S</v>
      </c>
      <c r="B106">
        <f t="shared" ca="1" si="61"/>
        <v>2</v>
      </c>
      <c r="C106" t="str">
        <f t="shared" ca="1" si="62"/>
        <v>S</v>
      </c>
      <c r="D106">
        <f t="shared" ca="1" si="63"/>
        <v>0</v>
      </c>
      <c r="E106">
        <f ca="1">IF($C106=1,OFFSET(E106,-1,0)+MAX(1,COUNTIF(QCI!$A$13:$A$24,OFFSET(ORÇAMENTO!E106,-1,0))),OFFSET(E106,-1,0))</f>
        <v>7</v>
      </c>
      <c r="F106">
        <f t="shared" ca="1" si="64"/>
        <v>1</v>
      </c>
      <c r="G106">
        <f t="shared" ca="1" si="65"/>
        <v>0</v>
      </c>
      <c r="H106">
        <f t="shared" ca="1" si="66"/>
        <v>0</v>
      </c>
      <c r="I106">
        <f t="shared" ca="1" si="67"/>
        <v>0</v>
      </c>
      <c r="J106">
        <f t="shared" ca="1" si="68"/>
        <v>0</v>
      </c>
      <c r="K106">
        <f ca="1">IF(OR($C106="S",$C106=0),0,MATCH(OFFSET($D106,0,$C106)+IF($C106&lt;&gt;1,1,COUNTIF(QCI!$A$13:$A$24,ORÇAMENTO!E106)),OFFSET($D106,1,$C106,ROW($C$162)-ROW($C106)),0))</f>
        <v>0</v>
      </c>
      <c r="L106" s="114" t="str">
        <f t="shared" ca="1" si="69"/>
        <v/>
      </c>
      <c r="M106" s="115" t="s">
        <v>705</v>
      </c>
      <c r="N106" s="116" t="str">
        <f t="shared" ca="1" si="70"/>
        <v>Serviço</v>
      </c>
      <c r="O106" s="117" t="str">
        <f t="shared" ca="1" si="71"/>
        <v>-</v>
      </c>
      <c r="P106" s="118" t="s">
        <v>750</v>
      </c>
      <c r="Q106" s="119"/>
      <c r="R106" s="120" t="str" cm="1">
        <f t="array" aca="1" ref="R106" ca="1">IF($C106="S",REFERENCIA.Descricao,"(digite a descrição aqui)")</f>
        <v>(Sem Código)</v>
      </c>
      <c r="S106" s="121" t="str" cm="1">
        <f t="array" aca="1" ref="S106" ca="1">REFERENCIA.Unidade</f>
        <v>-</v>
      </c>
      <c r="T106" s="122">
        <f ca="1">OFFSET(CÁLCULO!H$15,ROW($T106)-ROW(T$15),0)</f>
        <v>0</v>
      </c>
      <c r="U106" s="123">
        <f t="shared" ca="1" si="55"/>
        <v>0</v>
      </c>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0</v>
      </c>
      <c r="Y106" s="126" t="s">
        <v>751</v>
      </c>
      <c r="Z106" t="str">
        <f t="shared" ca="1" si="72"/>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cm="1">
        <f t="array" aca="1" ref="AE106" ca="1">IF(AND($C106="S",ORÇAMENTO.CodBarra&lt;&gt;""),IF(ORÇAMENTO.Fonte="",ORÇAMENTO.CodBarra,CONCATENATE(ORÇAMENTO.Fonte," ",ORÇAMENTO.CodBarra)))</f>
        <v>0</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73"/>
        <v>0.22</v>
      </c>
      <c r="AJ106" s="431"/>
      <c r="AL106" s="439"/>
      <c r="AM106" s="336">
        <f t="shared" ca="1" si="0"/>
        <v>0</v>
      </c>
      <c r="AN106" s="470" cm="1">
        <f t="array" aca="1" ref="AN106" ca="1">ROUND(ORÇAMENTO.CustoUnitario*(1+$AH106),2)</f>
        <v>0</v>
      </c>
    </row>
    <row r="107" spans="1:40" hidden="1" x14ac:dyDescent="0.2">
      <c r="A107" t="str">
        <f t="shared" si="60"/>
        <v>S</v>
      </c>
      <c r="B107">
        <f t="shared" ca="1" si="61"/>
        <v>2</v>
      </c>
      <c r="C107" t="str">
        <f t="shared" ca="1" si="62"/>
        <v>S</v>
      </c>
      <c r="D107">
        <f t="shared" ca="1" si="63"/>
        <v>0</v>
      </c>
      <c r="E107">
        <f ca="1">IF($C107=1,OFFSET(E107,-1,0)+MAX(1,COUNTIF(QCI!$A$13:$A$24,OFFSET(ORÇAMENTO!E107,-1,0))),OFFSET(E107,-1,0))</f>
        <v>7</v>
      </c>
      <c r="F107">
        <f t="shared" ca="1" si="64"/>
        <v>1</v>
      </c>
      <c r="G107">
        <f t="shared" ca="1" si="65"/>
        <v>0</v>
      </c>
      <c r="H107">
        <f t="shared" ca="1" si="66"/>
        <v>0</v>
      </c>
      <c r="I107">
        <f t="shared" ca="1" si="67"/>
        <v>0</v>
      </c>
      <c r="J107">
        <f t="shared" ca="1" si="68"/>
        <v>0</v>
      </c>
      <c r="K107">
        <f ca="1">IF(OR($C107="S",$C107=0),0,MATCH(OFFSET($D107,0,$C107)+IF($C107&lt;&gt;1,1,COUNTIF(QCI!$A$13:$A$24,ORÇAMENTO!E107)),OFFSET($D107,1,$C107,ROW($C$162)-ROW($C107)),0))</f>
        <v>0</v>
      </c>
      <c r="L107" s="114" t="str">
        <f t="shared" ca="1" si="69"/>
        <v/>
      </c>
      <c r="M107" s="115" t="s">
        <v>705</v>
      </c>
      <c r="N107" s="116" t="str">
        <f t="shared" ca="1" si="70"/>
        <v>Serviço</v>
      </c>
      <c r="O107" s="117" t="str">
        <f t="shared" ca="1" si="71"/>
        <v>-</v>
      </c>
      <c r="P107" s="118" t="s">
        <v>750</v>
      </c>
      <c r="Q107" s="119"/>
      <c r="R107" s="120" t="str" cm="1">
        <f t="array" aca="1" ref="R107" ca="1">IF($C107="S",REFERENCIA.Descricao,"(digite a descrição aqui)")</f>
        <v>(Sem Código)</v>
      </c>
      <c r="S107" s="121" t="str" cm="1">
        <f t="array" aca="1" ref="S107" ca="1">REFERENCIA.Unidade</f>
        <v>-</v>
      </c>
      <c r="T107" s="122">
        <f ca="1">OFFSET(CÁLCULO!H$15,ROW($T107)-ROW(T$15),0)</f>
        <v>0</v>
      </c>
      <c r="U107" s="123">
        <f t="shared" ca="1" si="55"/>
        <v>0</v>
      </c>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IF($C107="S",IF(OR(Import.TipoArredondamento&lt;&gt;"TransfereGOV",ACOMPANHAMENTO="BM"),VTOTAL1,SUM(OFFSET(CÁLCULO!$AA$15,ROW($X107)-ROW($X$15),1):OFFSET(CÁLCULO!$AL$15,ROW($X107)-ROW($X$15),-1))),IF($C107=0,0,ROUND(SomaAgrup,15-13*$AF$11)))</f>
        <v>0</v>
      </c>
      <c r="Y107" s="126" t="s">
        <v>751</v>
      </c>
      <c r="Z107" t="str">
        <f t="shared" ca="1" si="72"/>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b" cm="1">
        <f t="array" aca="1" ref="AE107" ca="1">IF(AND($C107="S",ORÇAMENTO.CodBarra&lt;&gt;""),IF(ORÇAMENTO.Fonte="",ORÇAMENTO.CodBarra,CONCATENATE(ORÇAMENTO.Fonte," ",ORÇAMENTO.CodBarra)))</f>
        <v>0</v>
      </c>
      <c r="AF107" s="12"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(Sem Código)</v>
      </c>
      <c r="AG107" s="428" cm="1">
        <f t="array" aca="1" ref="AG107" ca="1">ROUND(IF(DESONERACAO="sim",REFERENCIA.Desonerado,REFERENCIA.NaoDesonerado),2)</f>
        <v>0</v>
      </c>
      <c r="AH107" s="429">
        <f t="shared" ca="1" si="73"/>
        <v>0.22</v>
      </c>
      <c r="AJ107" s="431"/>
      <c r="AL107" s="439"/>
      <c r="AM107" s="336">
        <f t="shared" ca="1" si="0"/>
        <v>0</v>
      </c>
      <c r="AN107" s="470" cm="1">
        <f t="array" aca="1" ref="AN107" ca="1">ROUND(ORÇAMENTO.CustoUnitario*(1+$AH107),2)</f>
        <v>0</v>
      </c>
    </row>
    <row r="108" spans="1:40" hidden="1" x14ac:dyDescent="0.2">
      <c r="A108" t="str">
        <f t="shared" si="60"/>
        <v>S</v>
      </c>
      <c r="B108">
        <f t="shared" ca="1" si="61"/>
        <v>2</v>
      </c>
      <c r="C108" t="str">
        <f t="shared" ca="1" si="62"/>
        <v>S</v>
      </c>
      <c r="D108">
        <f t="shared" ca="1" si="63"/>
        <v>0</v>
      </c>
      <c r="E108">
        <f ca="1">IF($C108=1,OFFSET(E108,-1,0)+MAX(1,COUNTIF(QCI!$A$13:$A$24,OFFSET(ORÇAMENTO!E108,-1,0))),OFFSET(E108,-1,0))</f>
        <v>7</v>
      </c>
      <c r="F108">
        <f t="shared" ca="1" si="64"/>
        <v>1</v>
      </c>
      <c r="G108">
        <f t="shared" ca="1" si="65"/>
        <v>0</v>
      </c>
      <c r="H108">
        <f t="shared" ca="1" si="66"/>
        <v>0</v>
      </c>
      <c r="I108">
        <f t="shared" ca="1" si="67"/>
        <v>0</v>
      </c>
      <c r="J108">
        <f t="shared" ca="1" si="68"/>
        <v>0</v>
      </c>
      <c r="K108">
        <f ca="1">IF(OR($C108="S",$C108=0),0,MATCH(OFFSET($D108,0,$C108)+IF($C108&lt;&gt;1,1,COUNTIF(QCI!$A$13:$A$24,ORÇAMENTO!E108)),OFFSET($D108,1,$C108,ROW($C$162)-ROW($C108)),0))</f>
        <v>0</v>
      </c>
      <c r="L108" s="114" t="str">
        <f t="shared" ca="1" si="69"/>
        <v/>
      </c>
      <c r="M108" s="115" t="s">
        <v>705</v>
      </c>
      <c r="N108" s="116" t="str">
        <f t="shared" ca="1" si="70"/>
        <v>Serviço</v>
      </c>
      <c r="O108" s="117" t="str">
        <f t="shared" ca="1" si="71"/>
        <v>-</v>
      </c>
      <c r="P108" s="118" t="s">
        <v>750</v>
      </c>
      <c r="Q108" s="119"/>
      <c r="R108" s="120" t="str" cm="1">
        <f t="array" aca="1" ref="R108" ca="1">IF($C108="S",REFERENCIA.Descricao,"(digite a descrição aqui)")</f>
        <v>(Sem Código)</v>
      </c>
      <c r="S108" s="121" t="str" cm="1">
        <f t="array" aca="1" ref="S108" ca="1">REFERENCIA.Unidade</f>
        <v>-</v>
      </c>
      <c r="T108" s="122">
        <f ca="1">OFFSET(CÁLCULO!H$15,ROW($T108)-ROW(T$15),0)</f>
        <v>0</v>
      </c>
      <c r="U108" s="123">
        <f t="shared" ref="U108:U112" ca="1" si="74">AG108</f>
        <v>0</v>
      </c>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0</v>
      </c>
      <c r="Y108" s="126" t="s">
        <v>751</v>
      </c>
      <c r="Z108" t="str">
        <f t="shared" ca="1" si="72"/>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cm="1">
        <f t="array" aca="1" ref="AE108" ca="1">IF(AND($C108="S",ORÇAMENTO.CodBarra&lt;&gt;""),IF(ORÇAMENTO.Fonte="",ORÇAMENTO.CodBarra,CONCATENATE(ORÇAMENTO.Fonte," ",ORÇAMENTO.CodBarra)))</f>
        <v>0</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73"/>
        <v>0.22</v>
      </c>
      <c r="AJ108" s="431"/>
      <c r="AL108" s="439"/>
      <c r="AM108" s="336">
        <f t="shared" ca="1" si="0"/>
        <v>0</v>
      </c>
      <c r="AN108" s="470" cm="1">
        <f t="array" aca="1" ref="AN108" ca="1">ROUND(ORÇAMENTO.CustoUnitario*(1+$AH108),2)</f>
        <v>0</v>
      </c>
    </row>
    <row r="109" spans="1:40" hidden="1" x14ac:dyDescent="0.2">
      <c r="A109" t="str">
        <f t="shared" si="60"/>
        <v>S</v>
      </c>
      <c r="B109">
        <f t="shared" ca="1" si="61"/>
        <v>2</v>
      </c>
      <c r="C109" t="str">
        <f t="shared" ca="1" si="62"/>
        <v>S</v>
      </c>
      <c r="D109">
        <f t="shared" ca="1" si="63"/>
        <v>0</v>
      </c>
      <c r="E109">
        <f ca="1">IF($C109=1,OFFSET(E109,-1,0)+MAX(1,COUNTIF(QCI!$A$13:$A$24,OFFSET(ORÇAMENTO!E109,-1,0))),OFFSET(E109,-1,0))</f>
        <v>7</v>
      </c>
      <c r="F109">
        <f t="shared" ca="1" si="64"/>
        <v>1</v>
      </c>
      <c r="G109">
        <f t="shared" ca="1" si="65"/>
        <v>0</v>
      </c>
      <c r="H109">
        <f t="shared" ca="1" si="66"/>
        <v>0</v>
      </c>
      <c r="I109">
        <f t="shared" ca="1" si="67"/>
        <v>0</v>
      </c>
      <c r="J109">
        <f t="shared" ca="1" si="68"/>
        <v>0</v>
      </c>
      <c r="K109">
        <f ca="1">IF(OR($C109="S",$C109=0),0,MATCH(OFFSET($D109,0,$C109)+IF($C109&lt;&gt;1,1,COUNTIF(QCI!$A$13:$A$24,ORÇAMENTO!E109)),OFFSET($D109,1,$C109,ROW($C$162)-ROW($C109)),0))</f>
        <v>0</v>
      </c>
      <c r="L109" s="114" t="str">
        <f t="shared" ca="1" si="69"/>
        <v/>
      </c>
      <c r="M109" s="115" t="s">
        <v>705</v>
      </c>
      <c r="N109" s="116" t="str">
        <f t="shared" ca="1" si="70"/>
        <v>Serviço</v>
      </c>
      <c r="O109" s="117" t="str">
        <f t="shared" ca="1" si="71"/>
        <v>-</v>
      </c>
      <c r="P109" s="118" t="s">
        <v>750</v>
      </c>
      <c r="Q109" s="119"/>
      <c r="R109" s="120" t="str" cm="1">
        <f t="array" aca="1" ref="R109" ca="1">IF($C109="S",REFERENCIA.Descricao,"(digite a descrição aqui)")</f>
        <v>(Sem Código)</v>
      </c>
      <c r="S109" s="121" t="str" cm="1">
        <f t="array" aca="1" ref="S109" ca="1">REFERENCIA.Unidade</f>
        <v>-</v>
      </c>
      <c r="T109" s="122">
        <f ca="1">OFFSET(CÁLCULO!H$15,ROW($T109)-ROW(T$15),0)</f>
        <v>0</v>
      </c>
      <c r="U109" s="123">
        <f t="shared" ca="1" si="74"/>
        <v>0</v>
      </c>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IF($C109="S",IF(OR(Import.TipoArredondamento&lt;&gt;"TransfereGOV",ACOMPANHAMENTO="BM"),VTOTAL1,SUM(OFFSET(CÁLCULO!$AA$15,ROW($X109)-ROW($X$15),1):OFFSET(CÁLCULO!$AL$15,ROW($X109)-ROW($X$15),-1))),IF($C109=0,0,ROUND(SomaAgrup,15-13*$AF$11)))</f>
        <v>0</v>
      </c>
      <c r="Y109" s="126" t="s">
        <v>751</v>
      </c>
      <c r="Z109" t="str">
        <f t="shared" ca="1" si="72"/>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cm="1">
        <f t="array" aca="1" ref="AE109" ca="1">IF(AND($C109="S",ORÇAMENTO.CodBarra&lt;&gt;""),IF(ORÇAMENTO.Fonte="",ORÇAMENTO.CodBarra,CONCATENATE(ORÇAMENTO.Fonte," ",ORÇAMENTO.CodBarra)))</f>
        <v>0</v>
      </c>
      <c r="AF109" s="12"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aca="1" ref="AG109" ca="1">ROUND(IF(DESONERACAO="sim",REFERENCIA.Desonerado,REFERENCIA.NaoDesonerado),2)</f>
        <v>0</v>
      </c>
      <c r="AH109" s="429">
        <f t="shared" ca="1" si="73"/>
        <v>0.22</v>
      </c>
      <c r="AJ109" s="431"/>
      <c r="AL109" s="439"/>
      <c r="AM109" s="336">
        <f t="shared" ca="1" si="0"/>
        <v>0</v>
      </c>
      <c r="AN109" s="470" cm="1">
        <f t="array" aca="1" ref="AN109" ca="1">ROUND(ORÇAMENTO.CustoUnitario*(1+$AH109),2)</f>
        <v>0</v>
      </c>
    </row>
    <row r="110" spans="1:40" hidden="1" x14ac:dyDescent="0.2">
      <c r="A110" t="str">
        <f t="shared" si="60"/>
        <v>S</v>
      </c>
      <c r="B110">
        <f t="shared" ca="1" si="61"/>
        <v>2</v>
      </c>
      <c r="C110" t="str">
        <f t="shared" ca="1" si="62"/>
        <v>S</v>
      </c>
      <c r="D110">
        <f t="shared" ca="1" si="63"/>
        <v>0</v>
      </c>
      <c r="E110">
        <f ca="1">IF($C110=1,OFFSET(E110,-1,0)+MAX(1,COUNTIF(QCI!$A$13:$A$24,OFFSET(ORÇAMENTO!E110,-1,0))),OFFSET(E110,-1,0))</f>
        <v>7</v>
      </c>
      <c r="F110">
        <f t="shared" ca="1" si="64"/>
        <v>1</v>
      </c>
      <c r="G110">
        <f t="shared" ca="1" si="65"/>
        <v>0</v>
      </c>
      <c r="H110">
        <f t="shared" ca="1" si="66"/>
        <v>0</v>
      </c>
      <c r="I110">
        <f t="shared" ca="1" si="67"/>
        <v>0</v>
      </c>
      <c r="J110">
        <f t="shared" ca="1" si="68"/>
        <v>0</v>
      </c>
      <c r="K110">
        <f ca="1">IF(OR($C110="S",$C110=0),0,MATCH(OFFSET($D110,0,$C110)+IF($C110&lt;&gt;1,1,COUNTIF(QCI!$A$13:$A$24,ORÇAMENTO!E110)),OFFSET($D110,1,$C110,ROW($C$162)-ROW($C110)),0))</f>
        <v>0</v>
      </c>
      <c r="L110" s="114" t="str">
        <f t="shared" ca="1" si="69"/>
        <v/>
      </c>
      <c r="M110" s="115" t="s">
        <v>705</v>
      </c>
      <c r="N110" s="116" t="str">
        <f t="shared" ca="1" si="70"/>
        <v>Serviço</v>
      </c>
      <c r="O110" s="117" t="str">
        <f t="shared" ca="1" si="71"/>
        <v>-</v>
      </c>
      <c r="P110" s="118" t="s">
        <v>750</v>
      </c>
      <c r="Q110" s="119"/>
      <c r="R110" s="120" t="str" cm="1">
        <f t="array" aca="1" ref="R110" ca="1">IF($C110="S",REFERENCIA.Descricao,"(digite a descrição aqui)")</f>
        <v>(Sem Código)</v>
      </c>
      <c r="S110" s="121" t="str" cm="1">
        <f t="array" aca="1" ref="S110" ca="1">REFERENCIA.Unidade</f>
        <v>-</v>
      </c>
      <c r="T110" s="122">
        <f ca="1">OFFSET(CÁLCULO!H$15,ROW($T110)-ROW(T$15),0)</f>
        <v>0</v>
      </c>
      <c r="U110" s="123">
        <f t="shared" ca="1" si="74"/>
        <v>0</v>
      </c>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IF($C110="S",IF(OR(Import.TipoArredondamento&lt;&gt;"TransfereGOV",ACOMPANHAMENTO="BM"),VTOTAL1,SUM(OFFSET(CÁLCULO!$AA$15,ROW($X110)-ROW($X$15),1):OFFSET(CÁLCULO!$AL$15,ROW($X110)-ROW($X$15),-1))),IF($C110=0,0,ROUND(SomaAgrup,15-13*$AF$11)))</f>
        <v>0</v>
      </c>
      <c r="Y110" s="126" t="s">
        <v>751</v>
      </c>
      <c r="Z110" t="str">
        <f t="shared" ca="1" si="72"/>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b" cm="1">
        <f t="array" aca="1" ref="AE110" ca="1">IF(AND($C110="S",ORÇAMENTO.CodBarra&lt;&gt;""),IF(ORÇAMENTO.Fonte="",ORÇAMENTO.CodBarra,CONCATENATE(ORÇAMENTO.Fonte," ",ORÇAMENTO.CodBarra)))</f>
        <v>0</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8" cm="1">
        <f t="array" aca="1" ref="AG110" ca="1">ROUND(IF(DESONERACAO="sim",REFERENCIA.Desonerado,REFERENCIA.NaoDesonerado),2)</f>
        <v>0</v>
      </c>
      <c r="AH110" s="429">
        <f t="shared" ca="1" si="73"/>
        <v>0.22</v>
      </c>
      <c r="AJ110" s="431"/>
      <c r="AL110" s="439"/>
      <c r="AM110" s="336">
        <f t="shared" ca="1" si="0"/>
        <v>0</v>
      </c>
      <c r="AN110" s="470" cm="1">
        <f t="array" aca="1" ref="AN110" ca="1">ROUND(ORÇAMENTO.CustoUnitario*(1+$AH110),2)</f>
        <v>0</v>
      </c>
    </row>
    <row r="111" spans="1:40" hidden="1" x14ac:dyDescent="0.2">
      <c r="A111" t="str">
        <f t="shared" si="60"/>
        <v>S</v>
      </c>
      <c r="B111">
        <f t="shared" ca="1" si="61"/>
        <v>2</v>
      </c>
      <c r="C111" t="str">
        <f t="shared" ca="1" si="62"/>
        <v>S</v>
      </c>
      <c r="D111">
        <f t="shared" ca="1" si="63"/>
        <v>0</v>
      </c>
      <c r="E111">
        <f ca="1">IF($C111=1,OFFSET(E111,-1,0)+MAX(1,COUNTIF(QCI!$A$13:$A$24,OFFSET(ORÇAMENTO!E111,-1,0))),OFFSET(E111,-1,0))</f>
        <v>7</v>
      </c>
      <c r="F111">
        <f t="shared" ca="1" si="64"/>
        <v>1</v>
      </c>
      <c r="G111">
        <f t="shared" ca="1" si="65"/>
        <v>0</v>
      </c>
      <c r="H111">
        <f t="shared" ca="1" si="66"/>
        <v>0</v>
      </c>
      <c r="I111">
        <f t="shared" ca="1" si="67"/>
        <v>0</v>
      </c>
      <c r="J111">
        <f t="shared" ca="1" si="68"/>
        <v>0</v>
      </c>
      <c r="K111">
        <f ca="1">IF(OR($C111="S",$C111=0),0,MATCH(OFFSET($D111,0,$C111)+IF($C111&lt;&gt;1,1,COUNTIF(QCI!$A$13:$A$24,ORÇAMENTO!E111)),OFFSET($D111,1,$C111,ROW($C$162)-ROW($C111)),0))</f>
        <v>0</v>
      </c>
      <c r="L111" s="114" t="str">
        <f t="shared" ca="1" si="69"/>
        <v/>
      </c>
      <c r="M111" s="115" t="s">
        <v>705</v>
      </c>
      <c r="N111" s="116" t="str">
        <f t="shared" ca="1" si="70"/>
        <v>Serviço</v>
      </c>
      <c r="O111" s="117" t="str">
        <f t="shared" ca="1" si="71"/>
        <v>-</v>
      </c>
      <c r="P111" s="118" t="s">
        <v>750</v>
      </c>
      <c r="Q111" s="119"/>
      <c r="R111" s="120" t="str" cm="1">
        <f t="array" aca="1" ref="R111" ca="1">IF($C111="S",REFERENCIA.Descricao,"(digite a descrição aqui)")</f>
        <v>(Sem Código)</v>
      </c>
      <c r="S111" s="121" t="str" cm="1">
        <f t="array" aca="1" ref="S111" ca="1">REFERENCIA.Unidade</f>
        <v>-</v>
      </c>
      <c r="T111" s="122">
        <f ca="1">OFFSET(CÁLCULO!H$15,ROW($T111)-ROW(T$15),0)</f>
        <v>0</v>
      </c>
      <c r="U111" s="123">
        <f t="shared" ca="1" si="74"/>
        <v>0</v>
      </c>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0</v>
      </c>
      <c r="Y111" s="126" t="s">
        <v>751</v>
      </c>
      <c r="Z111" t="str">
        <f t="shared" ca="1" si="72"/>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cm="1">
        <f t="array" aca="1" ref="AE111" ca="1">IF(AND($C111="S",ORÇAMENTO.CodBarra&lt;&gt;""),IF(ORÇAMENTO.Fonte="",ORÇAMENTO.CodBarra,CONCATENATE(ORÇAMENTO.Fonte," ",ORÇAMENTO.CodBarra)))</f>
        <v>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73"/>
        <v>0.22</v>
      </c>
      <c r="AJ111" s="431"/>
      <c r="AL111" s="439"/>
      <c r="AM111" s="336">
        <f t="shared" ca="1" si="0"/>
        <v>0</v>
      </c>
      <c r="AN111" s="470" cm="1">
        <f t="array" aca="1" ref="AN111" ca="1">ROUND(ORÇAMENTO.CustoUnitario*(1+$AH111),2)</f>
        <v>0</v>
      </c>
    </row>
    <row r="112" spans="1:40" hidden="1" x14ac:dyDescent="0.2">
      <c r="A112" t="str">
        <f t="shared" si="60"/>
        <v>S</v>
      </c>
      <c r="B112">
        <f t="shared" ca="1" si="61"/>
        <v>2</v>
      </c>
      <c r="C112" t="str">
        <f t="shared" ca="1" si="62"/>
        <v>S</v>
      </c>
      <c r="D112">
        <f t="shared" ca="1" si="63"/>
        <v>0</v>
      </c>
      <c r="E112">
        <f ca="1">IF($C112=1,OFFSET(E112,-1,0)+MAX(1,COUNTIF(QCI!$A$13:$A$24,OFFSET(ORÇAMENTO!E112,-1,0))),OFFSET(E112,-1,0))</f>
        <v>7</v>
      </c>
      <c r="F112">
        <f t="shared" ca="1" si="64"/>
        <v>1</v>
      </c>
      <c r="G112">
        <f t="shared" ca="1" si="65"/>
        <v>0</v>
      </c>
      <c r="H112">
        <f t="shared" ca="1" si="66"/>
        <v>0</v>
      </c>
      <c r="I112">
        <f t="shared" ca="1" si="67"/>
        <v>0</v>
      </c>
      <c r="J112">
        <f t="shared" ca="1" si="68"/>
        <v>0</v>
      </c>
      <c r="K112">
        <f ca="1">IF(OR($C112="S",$C112=0),0,MATCH(OFFSET($D112,0,$C112)+IF($C112&lt;&gt;1,1,COUNTIF(QCI!$A$13:$A$24,ORÇAMENTO!E112)),OFFSET($D112,1,$C112,ROW($C$162)-ROW($C112)),0))</f>
        <v>0</v>
      </c>
      <c r="L112" s="114" t="str">
        <f t="shared" ca="1" si="69"/>
        <v/>
      </c>
      <c r="M112" s="115" t="s">
        <v>705</v>
      </c>
      <c r="N112" s="116" t="str">
        <f t="shared" ca="1" si="70"/>
        <v>Serviço</v>
      </c>
      <c r="O112" s="117" t="str">
        <f t="shared" ca="1" si="71"/>
        <v>-</v>
      </c>
      <c r="P112" s="118" t="s">
        <v>750</v>
      </c>
      <c r="Q112" s="119"/>
      <c r="R112" s="120" t="str" cm="1">
        <f t="array" aca="1" ref="R112" ca="1">IF($C112="S",REFERENCIA.Descricao,"(digite a descrição aqui)")</f>
        <v>(Sem Código)</v>
      </c>
      <c r="S112" s="121" t="str" cm="1">
        <f t="array" aca="1" ref="S112" ca="1">REFERENCIA.Unidade</f>
        <v>-</v>
      </c>
      <c r="T112" s="122">
        <f ca="1">OFFSET(CÁLCULO!H$15,ROW($T112)-ROW(T$15),0)</f>
        <v>0</v>
      </c>
      <c r="U112" s="123">
        <f t="shared" ca="1" si="74"/>
        <v>0</v>
      </c>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0</v>
      </c>
      <c r="Y112" s="126" t="s">
        <v>751</v>
      </c>
      <c r="Z112" t="str">
        <f t="shared" ca="1" si="72"/>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cm="1">
        <f t="array" aca="1" ref="AE112" ca="1">IF(AND($C112="S",ORÇAMENTO.CodBarra&lt;&gt;""),IF(ORÇAMENTO.Fonte="",ORÇAMENTO.CodBarra,CONCATENATE(ORÇAMENTO.Fonte," ",ORÇAMENTO.CodBarra)))</f>
        <v>0</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ca="1" si="73"/>
        <v>0.22</v>
      </c>
      <c r="AJ112" s="431"/>
      <c r="AL112" s="439"/>
      <c r="AM112" s="336">
        <f t="shared" ca="1" si="0"/>
        <v>0</v>
      </c>
      <c r="AN112" s="470" cm="1">
        <f t="array" aca="1" ref="AN112" ca="1">ROUND(ORÇAMENTO.CustoUnitario*(1+$AH112),2)</f>
        <v>0</v>
      </c>
    </row>
    <row r="113" spans="1:40" hidden="1" x14ac:dyDescent="0.2">
      <c r="A113" t="str">
        <f t="shared" si="60"/>
        <v>S</v>
      </c>
      <c r="B113">
        <f t="shared" ca="1" si="61"/>
        <v>2</v>
      </c>
      <c r="C113" t="str">
        <f t="shared" ca="1" si="62"/>
        <v>S</v>
      </c>
      <c r="D113">
        <f t="shared" ca="1" si="63"/>
        <v>0</v>
      </c>
      <c r="E113">
        <f ca="1">IF($C113=1,OFFSET(E113,-1,0)+MAX(1,COUNTIF(QCI!$A$13:$A$24,OFFSET(ORÇAMENTO!E113,-1,0))),OFFSET(E113,-1,0))</f>
        <v>7</v>
      </c>
      <c r="F113">
        <f t="shared" ca="1" si="64"/>
        <v>1</v>
      </c>
      <c r="G113">
        <f t="shared" ca="1" si="65"/>
        <v>0</v>
      </c>
      <c r="H113">
        <f t="shared" ca="1" si="66"/>
        <v>0</v>
      </c>
      <c r="I113">
        <f t="shared" ca="1" si="67"/>
        <v>0</v>
      </c>
      <c r="J113">
        <f t="shared" ca="1" si="68"/>
        <v>0</v>
      </c>
      <c r="K113">
        <f ca="1">IF(OR($C113="S",$C113=0),0,MATCH(OFFSET($D113,0,$C113)+IF($C113&lt;&gt;1,1,COUNTIF(QCI!$A$13:$A$24,ORÇAMENTO!E113)),OFFSET($D113,1,$C113,ROW($C$162)-ROW($C113)),0))</f>
        <v>0</v>
      </c>
      <c r="L113" s="114" t="str">
        <f t="shared" ca="1" si="69"/>
        <v/>
      </c>
      <c r="M113" s="115" t="s">
        <v>705</v>
      </c>
      <c r="N113" s="116" t="str">
        <f t="shared" ca="1" si="70"/>
        <v>Serviço</v>
      </c>
      <c r="O113" s="117" t="str">
        <f t="shared" ca="1" si="71"/>
        <v>-</v>
      </c>
      <c r="P113" s="118" t="s">
        <v>750</v>
      </c>
      <c r="Q113" s="119"/>
      <c r="R113" s="120" t="str" cm="1">
        <f t="array" aca="1" ref="R113" ca="1">IF($C113="S",REFERENCIA.Descricao,"(digite a descrição aqui)")</f>
        <v>(Sem Código)</v>
      </c>
      <c r="S113" s="121" t="str" cm="1">
        <f t="array" aca="1" ref="S113" ca="1">REFERENCIA.Unidade</f>
        <v>-</v>
      </c>
      <c r="T113" s="122">
        <f ca="1">OFFSET(CÁLCULO!H$15,ROW($T113)-ROW(T$15),0)</f>
        <v>0</v>
      </c>
      <c r="U113" s="123"/>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IF($C113="S",IF(OR(Import.TipoArredondamento&lt;&gt;"TransfereGOV",ACOMPANHAMENTO="BM"),VTOTAL1,SUM(OFFSET(CÁLCULO!$AA$15,ROW($X113)-ROW($X$15),1):OFFSET(CÁLCULO!$AL$15,ROW($X113)-ROW($X$15),-1))),IF($C113=0,0,ROUND(SomaAgrup,15-13*$AF$11)))</f>
        <v>0</v>
      </c>
      <c r="Y113" s="126" t="s">
        <v>751</v>
      </c>
      <c r="Z113" t="str">
        <f t="shared" ca="1" si="72"/>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b" cm="1">
        <f t="array" aca="1" ref="AE113" ca="1">IF(AND($C113="S",ORÇAMENTO.CodBarra&lt;&gt;""),IF(ORÇAMENTO.Fonte="",ORÇAMENTO.CodBarra,CONCATENATE(ORÇAMENTO.Fonte," ",ORÇAMENTO.CodBarra)))</f>
        <v>0</v>
      </c>
      <c r="AF113" s="12"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(Sem Código)</v>
      </c>
      <c r="AG113" s="428" cm="1">
        <f t="array" aca="1" ref="AG113" ca="1">ROUND(IF(DESONERACAO="sim",REFERENCIA.Desonerado,REFERENCIA.NaoDesonerado),2)</f>
        <v>0</v>
      </c>
      <c r="AH113" s="429">
        <f t="shared" ca="1" si="73"/>
        <v>0.22</v>
      </c>
      <c r="AJ113" s="431"/>
      <c r="AL113" s="439"/>
      <c r="AM113" s="336">
        <f t="shared" ca="1" si="0"/>
        <v>0</v>
      </c>
      <c r="AN113" s="470" cm="1">
        <f t="array" aca="1" ref="AN113" ca="1">ROUND(ORÇAMENTO.CustoUnitario*(1+$AH113),2)</f>
        <v>0</v>
      </c>
    </row>
    <row r="114" spans="1:40" hidden="1" x14ac:dyDescent="0.2">
      <c r="A114" t="str">
        <f t="shared" si="60"/>
        <v>S</v>
      </c>
      <c r="B114">
        <f t="shared" ca="1" si="61"/>
        <v>2</v>
      </c>
      <c r="C114" t="str">
        <f t="shared" ca="1" si="62"/>
        <v>S</v>
      </c>
      <c r="D114">
        <f t="shared" ca="1" si="63"/>
        <v>0</v>
      </c>
      <c r="E114">
        <f ca="1">IF($C114=1,OFFSET(E114,-1,0)+MAX(1,COUNTIF(QCI!$A$13:$A$24,OFFSET(ORÇAMENTO!E114,-1,0))),OFFSET(E114,-1,0))</f>
        <v>7</v>
      </c>
      <c r="F114">
        <f t="shared" ca="1" si="64"/>
        <v>1</v>
      </c>
      <c r="G114">
        <f t="shared" ca="1" si="65"/>
        <v>0</v>
      </c>
      <c r="H114">
        <f t="shared" ca="1" si="66"/>
        <v>0</v>
      </c>
      <c r="I114">
        <f t="shared" ca="1" si="67"/>
        <v>0</v>
      </c>
      <c r="J114">
        <f t="shared" ca="1" si="68"/>
        <v>0</v>
      </c>
      <c r="K114">
        <f ca="1">IF(OR($C114="S",$C114=0),0,MATCH(OFFSET($D114,0,$C114)+IF($C114&lt;&gt;1,1,COUNTIF(QCI!$A$13:$A$24,ORÇAMENTO!E114)),OFFSET($D114,1,$C114,ROW($C$162)-ROW($C114)),0))</f>
        <v>0</v>
      </c>
      <c r="L114" s="114" t="str">
        <f t="shared" ca="1" si="69"/>
        <v/>
      </c>
      <c r="M114" s="115" t="s">
        <v>705</v>
      </c>
      <c r="N114" s="116" t="str">
        <f t="shared" ca="1" si="70"/>
        <v>Serviço</v>
      </c>
      <c r="O114" s="117" t="str">
        <f t="shared" ca="1" si="71"/>
        <v>-</v>
      </c>
      <c r="P114" s="118" t="s">
        <v>750</v>
      </c>
      <c r="Q114" s="119"/>
      <c r="R114" s="120" t="str" cm="1">
        <f t="array" aca="1" ref="R114" ca="1">IF($C114="S",REFERENCIA.Descricao,"(digite a descrição aqui)")</f>
        <v>(Sem Código)</v>
      </c>
      <c r="S114" s="121" t="str" cm="1">
        <f t="array" aca="1" ref="S114" ca="1">REFERENCIA.Unidade</f>
        <v>-</v>
      </c>
      <c r="T114" s="122">
        <f ca="1">OFFSET(CÁLCULO!H$15,ROW($T114)-ROW(T$15),0)</f>
        <v>0</v>
      </c>
      <c r="U114" s="123"/>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IF($C114="S",IF(OR(Import.TipoArredondamento&lt;&gt;"TransfereGOV",ACOMPANHAMENTO="BM"),VTOTAL1,SUM(OFFSET(CÁLCULO!$AA$15,ROW($X114)-ROW($X$15),1):OFFSET(CÁLCULO!$AL$15,ROW($X114)-ROW($X$15),-1))),IF($C114=0,0,ROUND(SomaAgrup,15-13*$AF$11)))</f>
        <v>0</v>
      </c>
      <c r="Y114" s="126" t="s">
        <v>751</v>
      </c>
      <c r="Z114" t="str">
        <f t="shared" ca="1" si="72"/>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b" cm="1">
        <f t="array" aca="1" ref="AE114" ca="1">IF(AND($C114="S",ORÇAMENTO.CodBarra&lt;&gt;""),IF(ORÇAMENTO.Fonte="",ORÇAMENTO.CodBarra,CONCATENATE(ORÇAMENTO.Fonte," ",ORÇAMENTO.CodBarra)))</f>
        <v>0</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73"/>
        <v>0.22</v>
      </c>
      <c r="AJ114" s="431"/>
      <c r="AL114" s="439"/>
      <c r="AM114" s="336">
        <f t="shared" ca="1" si="0"/>
        <v>0</v>
      </c>
      <c r="AN114" s="470" cm="1">
        <f t="array" aca="1" ref="AN114" ca="1">ROUND(ORÇAMENTO.CustoUnitario*(1+$AH114),2)</f>
        <v>0</v>
      </c>
    </row>
    <row r="115" spans="1:40" hidden="1" x14ac:dyDescent="0.2">
      <c r="A115" t="str">
        <f t="shared" si="60"/>
        <v>S</v>
      </c>
      <c r="B115">
        <f t="shared" ca="1" si="61"/>
        <v>2</v>
      </c>
      <c r="C115" t="str">
        <f t="shared" ca="1" si="62"/>
        <v>S</v>
      </c>
      <c r="D115">
        <f t="shared" ca="1" si="63"/>
        <v>0</v>
      </c>
      <c r="E115">
        <f ca="1">IF($C115=1,OFFSET(E115,-1,0)+MAX(1,COUNTIF(QCI!$A$13:$A$24,OFFSET(ORÇAMENTO!E115,-1,0))),OFFSET(E115,-1,0))</f>
        <v>7</v>
      </c>
      <c r="F115">
        <f t="shared" ca="1" si="64"/>
        <v>1</v>
      </c>
      <c r="G115">
        <f t="shared" ca="1" si="65"/>
        <v>0</v>
      </c>
      <c r="H115">
        <f t="shared" ca="1" si="66"/>
        <v>0</v>
      </c>
      <c r="I115">
        <f t="shared" ca="1" si="67"/>
        <v>0</v>
      </c>
      <c r="J115">
        <f t="shared" ca="1" si="68"/>
        <v>0</v>
      </c>
      <c r="K115">
        <f ca="1">IF(OR($C115="S",$C115=0),0,MATCH(OFFSET($D115,0,$C115)+IF($C115&lt;&gt;1,1,COUNTIF(QCI!$A$13:$A$24,ORÇAMENTO!E115)),OFFSET($D115,1,$C115,ROW($C$162)-ROW($C115)),0))</f>
        <v>0</v>
      </c>
      <c r="L115" s="114" t="str">
        <f t="shared" ca="1" si="69"/>
        <v/>
      </c>
      <c r="M115" s="115" t="s">
        <v>705</v>
      </c>
      <c r="N115" s="116" t="str">
        <f t="shared" ca="1" si="70"/>
        <v>Serviço</v>
      </c>
      <c r="O115" s="117" t="str">
        <f t="shared" ca="1" si="71"/>
        <v>-</v>
      </c>
      <c r="P115" s="118" t="s">
        <v>750</v>
      </c>
      <c r="Q115" s="119"/>
      <c r="R115" s="120" t="str" cm="1">
        <f t="array" aca="1" ref="R115" ca="1">IF($C115="S",REFERENCIA.Descricao,"(digite a descrição aqui)")</f>
        <v>(Sem Código)</v>
      </c>
      <c r="S115" s="121" t="str" cm="1">
        <f t="array" aca="1" ref="S115" ca="1">REFERENCIA.Unidade</f>
        <v>-</v>
      </c>
      <c r="T115" s="122">
        <f ca="1">OFFSET(CÁLCULO!H$15,ROW($T115)-ROW(T$15),0)</f>
        <v>0</v>
      </c>
      <c r="U115" s="123"/>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IF($C115="S",IF(OR(Import.TipoArredondamento&lt;&gt;"TransfereGOV",ACOMPANHAMENTO="BM"),VTOTAL1,SUM(OFFSET(CÁLCULO!$AA$15,ROW($X115)-ROW($X$15),1):OFFSET(CÁLCULO!$AL$15,ROW($X115)-ROW($X$15),-1))),IF($C115=0,0,ROUND(SomaAgrup,15-13*$AF$11)))</f>
        <v>0</v>
      </c>
      <c r="Y115" s="126" t="s">
        <v>751</v>
      </c>
      <c r="Z115" t="str">
        <f t="shared" ca="1" si="72"/>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b" cm="1">
        <f t="array" aca="1" ref="AE115" ca="1">IF(AND($C115="S",ORÇAMENTO.CodBarra&lt;&gt;""),IF(ORÇAMENTO.Fonte="",ORÇAMENTO.CodBarra,CONCATENATE(ORÇAMENTO.Fonte," ",ORÇAMENTO.CodBarra)))</f>
        <v>0</v>
      </c>
      <c r="AF115" s="12"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(Sem Código)</v>
      </c>
      <c r="AG115" s="428" cm="1">
        <f t="array" aca="1" ref="AG115" ca="1">ROUND(IF(DESONERACAO="sim",REFERENCIA.Desonerado,REFERENCIA.NaoDesonerado),2)</f>
        <v>0</v>
      </c>
      <c r="AH115" s="429">
        <f t="shared" ca="1" si="73"/>
        <v>0.22</v>
      </c>
      <c r="AJ115" s="431"/>
      <c r="AL115" s="439"/>
      <c r="AM115" s="336">
        <f t="shared" ca="1" si="0"/>
        <v>0</v>
      </c>
      <c r="AN115" s="470" cm="1">
        <f t="array" aca="1" ref="AN115" ca="1">ROUND(ORÇAMENTO.CustoUnitario*(1+$AH115),2)</f>
        <v>0</v>
      </c>
    </row>
    <row r="116" spans="1:40" hidden="1" x14ac:dyDescent="0.2">
      <c r="A116" t="str">
        <f t="shared" si="60"/>
        <v>S</v>
      </c>
      <c r="B116">
        <f t="shared" ca="1" si="61"/>
        <v>2</v>
      </c>
      <c r="C116" t="str">
        <f t="shared" ca="1" si="62"/>
        <v>S</v>
      </c>
      <c r="D116">
        <f t="shared" ca="1" si="63"/>
        <v>0</v>
      </c>
      <c r="E116">
        <f ca="1">IF($C116=1,OFFSET(E116,-1,0)+MAX(1,COUNTIF(QCI!$A$13:$A$24,OFFSET(ORÇAMENTO!E116,-1,0))),OFFSET(E116,-1,0))</f>
        <v>7</v>
      </c>
      <c r="F116">
        <f t="shared" ca="1" si="64"/>
        <v>1</v>
      </c>
      <c r="G116">
        <f t="shared" ca="1" si="65"/>
        <v>0</v>
      </c>
      <c r="H116">
        <f t="shared" ca="1" si="66"/>
        <v>0</v>
      </c>
      <c r="I116">
        <f t="shared" ca="1" si="67"/>
        <v>0</v>
      </c>
      <c r="J116">
        <f t="shared" ca="1" si="68"/>
        <v>0</v>
      </c>
      <c r="K116">
        <f ca="1">IF(OR($C116="S",$C116=0),0,MATCH(OFFSET($D116,0,$C116)+IF($C116&lt;&gt;1,1,COUNTIF(QCI!$A$13:$A$24,ORÇAMENTO!E116)),OFFSET($D116,1,$C116,ROW($C$162)-ROW($C116)),0))</f>
        <v>0</v>
      </c>
      <c r="L116" s="114" t="str">
        <f t="shared" ca="1" si="69"/>
        <v/>
      </c>
      <c r="M116" s="115" t="s">
        <v>705</v>
      </c>
      <c r="N116" s="116" t="str">
        <f t="shared" ca="1" si="70"/>
        <v>Serviço</v>
      </c>
      <c r="O116" s="117" t="str">
        <f t="shared" ca="1" si="71"/>
        <v>-</v>
      </c>
      <c r="P116" s="118" t="s">
        <v>750</v>
      </c>
      <c r="Q116" s="119"/>
      <c r="R116" s="120" t="str" cm="1">
        <f t="array" aca="1" ref="R116" ca="1">IF($C116="S",REFERENCIA.Descricao,"(digite a descrição aqui)")</f>
        <v>(Sem Código)</v>
      </c>
      <c r="S116" s="121" t="str" cm="1">
        <f t="array" aca="1" ref="S116" ca="1">REFERENCIA.Unidade</f>
        <v>-</v>
      </c>
      <c r="T116" s="122">
        <f ca="1">OFFSET(CÁLCULO!H$15,ROW($T116)-ROW(T$15),0)</f>
        <v>0</v>
      </c>
      <c r="U116" s="123"/>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IF($C116="S",IF(OR(Import.TipoArredondamento&lt;&gt;"TransfereGOV",ACOMPANHAMENTO="BM"),VTOTAL1,SUM(OFFSET(CÁLCULO!$AA$15,ROW($X116)-ROW($X$15),1):OFFSET(CÁLCULO!$AL$15,ROW($X116)-ROW($X$15),-1))),IF($C116=0,0,ROUND(SomaAgrup,15-13*$AF$11)))</f>
        <v>0</v>
      </c>
      <c r="Y116" s="126" t="s">
        <v>751</v>
      </c>
      <c r="Z116" t="str">
        <f t="shared" ca="1" si="72"/>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cm="1">
        <f t="array" aca="1" ref="AE116" ca="1">IF(AND($C116="S",ORÇAMENTO.CodBarra&lt;&gt;""),IF(ORÇAMENTO.Fonte="",ORÇAMENTO.CodBarra,CONCATENATE(ORÇAMENTO.Fonte," ",ORÇAMENTO.CodBarra)))</f>
        <v>0</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aca="1" ref="AG116" ca="1">ROUND(IF(DESONERACAO="sim",REFERENCIA.Desonerado,REFERENCIA.NaoDesonerado),2)</f>
        <v>0</v>
      </c>
      <c r="AH116" s="429">
        <f t="shared" ca="1" si="73"/>
        <v>0.22</v>
      </c>
      <c r="AJ116" s="431"/>
      <c r="AL116" s="439"/>
      <c r="AM116" s="336">
        <f t="shared" ca="1" si="0"/>
        <v>0</v>
      </c>
      <c r="AN116" s="470" cm="1">
        <f t="array" aca="1" ref="AN116" ca="1">ROUND(ORÇAMENTO.CustoUnitario*(1+$AH116),2)</f>
        <v>0</v>
      </c>
    </row>
    <row r="117" spans="1:40" hidden="1" x14ac:dyDescent="0.2">
      <c r="A117" t="str">
        <f t="shared" si="60"/>
        <v>S</v>
      </c>
      <c r="B117">
        <f t="shared" ca="1" si="61"/>
        <v>2</v>
      </c>
      <c r="C117" t="str">
        <f t="shared" ca="1" si="62"/>
        <v>S</v>
      </c>
      <c r="D117">
        <f t="shared" ca="1" si="63"/>
        <v>0</v>
      </c>
      <c r="E117">
        <f ca="1">IF($C117=1,OFFSET(E117,-1,0)+MAX(1,COUNTIF(QCI!$A$13:$A$24,OFFSET(ORÇAMENTO!E117,-1,0))),OFFSET(E117,-1,0))</f>
        <v>7</v>
      </c>
      <c r="F117">
        <f t="shared" ca="1" si="64"/>
        <v>1</v>
      </c>
      <c r="G117">
        <f t="shared" ca="1" si="65"/>
        <v>0</v>
      </c>
      <c r="H117">
        <f t="shared" ca="1" si="66"/>
        <v>0</v>
      </c>
      <c r="I117">
        <f t="shared" ca="1" si="67"/>
        <v>0</v>
      </c>
      <c r="J117">
        <f t="shared" ca="1" si="68"/>
        <v>0</v>
      </c>
      <c r="K117">
        <f ca="1">IF(OR($C117="S",$C117=0),0,MATCH(OFFSET($D117,0,$C117)+IF($C117&lt;&gt;1,1,COUNTIF(QCI!$A$13:$A$24,ORÇAMENTO!E117)),OFFSET($D117,1,$C117,ROW($C$162)-ROW($C117)),0))</f>
        <v>0</v>
      </c>
      <c r="L117" s="114" t="str">
        <f t="shared" ca="1" si="69"/>
        <v/>
      </c>
      <c r="M117" s="115" t="s">
        <v>705</v>
      </c>
      <c r="N117" s="116" t="str">
        <f t="shared" ca="1" si="70"/>
        <v>Serviço</v>
      </c>
      <c r="O117" s="117" t="str">
        <f t="shared" ca="1" si="71"/>
        <v>-</v>
      </c>
      <c r="P117" s="118" t="s">
        <v>750</v>
      </c>
      <c r="Q117" s="119"/>
      <c r="R117" s="120" t="str" cm="1">
        <f t="array" aca="1" ref="R117" ca="1">IF($C117="S",REFERENCIA.Descricao,"(digite a descrição aqui)")</f>
        <v>(Sem Código)</v>
      </c>
      <c r="S117" s="121" t="str" cm="1">
        <f t="array" aca="1" ref="S117" ca="1">REFERENCIA.Unidade</f>
        <v>-</v>
      </c>
      <c r="T117" s="122">
        <f ca="1">OFFSET(CÁLCULO!H$15,ROW($T117)-ROW(T$15),0)</f>
        <v>0</v>
      </c>
      <c r="U117" s="123"/>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IF($C117="S",IF(OR(Import.TipoArredondamento&lt;&gt;"TransfereGOV",ACOMPANHAMENTO="BM"),VTOTAL1,SUM(OFFSET(CÁLCULO!$AA$15,ROW($X117)-ROW($X$15),1):OFFSET(CÁLCULO!$AL$15,ROW($X117)-ROW($X$15),-1))),IF($C117=0,0,ROUND(SomaAgrup,15-13*$AF$11)))</f>
        <v>0</v>
      </c>
      <c r="Y117" s="126" t="s">
        <v>751</v>
      </c>
      <c r="Z117" t="str">
        <f t="shared" ca="1" si="72"/>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cm="1">
        <f t="array" aca="1" ref="AE117" ca="1">IF(AND($C117="S",ORÇAMENTO.CodBarra&lt;&gt;""),IF(ORÇAMENTO.Fonte="",ORÇAMENTO.CodBarra,CONCATENATE(ORÇAMENTO.Fonte," ",ORÇAMENTO.CodBarra)))</f>
        <v>0</v>
      </c>
      <c r="AF117" s="12"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(Sem Código)</v>
      </c>
      <c r="AG117" s="428" cm="1">
        <f t="array" aca="1" ref="AG117" ca="1">ROUND(IF(DESONERACAO="sim",REFERENCIA.Desonerado,REFERENCIA.NaoDesonerado),2)</f>
        <v>0</v>
      </c>
      <c r="AH117" s="429">
        <f t="shared" ca="1" si="73"/>
        <v>0.22</v>
      </c>
      <c r="AJ117" s="431"/>
      <c r="AL117" s="439"/>
      <c r="AM117" s="336">
        <f t="shared" ca="1" si="0"/>
        <v>0</v>
      </c>
      <c r="AN117" s="470" cm="1">
        <f t="array" aca="1" ref="AN117" ca="1">ROUND(ORÇAMENTO.CustoUnitario*(1+$AH117),2)</f>
        <v>0</v>
      </c>
    </row>
    <row r="118" spans="1:40" hidden="1" x14ac:dyDescent="0.2">
      <c r="A118" t="str">
        <f t="shared" si="60"/>
        <v>S</v>
      </c>
      <c r="B118">
        <f t="shared" ca="1" si="61"/>
        <v>2</v>
      </c>
      <c r="C118" t="str">
        <f t="shared" ca="1" si="62"/>
        <v>S</v>
      </c>
      <c r="D118">
        <f t="shared" ca="1" si="63"/>
        <v>0</v>
      </c>
      <c r="E118">
        <f ca="1">IF($C118=1,OFFSET(E118,-1,0)+MAX(1,COUNTIF(QCI!$A$13:$A$24,OFFSET(ORÇAMENTO!E118,-1,0))),OFFSET(E118,-1,0))</f>
        <v>7</v>
      </c>
      <c r="F118">
        <f t="shared" ca="1" si="64"/>
        <v>1</v>
      </c>
      <c r="G118">
        <f t="shared" ca="1" si="65"/>
        <v>0</v>
      </c>
      <c r="H118">
        <f t="shared" ca="1" si="66"/>
        <v>0</v>
      </c>
      <c r="I118">
        <f t="shared" ca="1" si="67"/>
        <v>0</v>
      </c>
      <c r="J118">
        <f t="shared" ca="1" si="68"/>
        <v>0</v>
      </c>
      <c r="K118">
        <f ca="1">IF(OR($C118="S",$C118=0),0,MATCH(OFFSET($D118,0,$C118)+IF($C118&lt;&gt;1,1,COUNTIF(QCI!$A$13:$A$24,ORÇAMENTO!E118)),OFFSET($D118,1,$C118,ROW($C$162)-ROW($C118)),0))</f>
        <v>0</v>
      </c>
      <c r="L118" s="114" t="str">
        <f t="shared" ca="1" si="69"/>
        <v/>
      </c>
      <c r="M118" s="115" t="s">
        <v>705</v>
      </c>
      <c r="N118" s="116" t="str">
        <f t="shared" ca="1" si="70"/>
        <v>Serviço</v>
      </c>
      <c r="O118" s="117" t="str">
        <f t="shared" ca="1" si="71"/>
        <v>-</v>
      </c>
      <c r="P118" s="118" t="s">
        <v>750</v>
      </c>
      <c r="Q118" s="119"/>
      <c r="R118" s="120" t="str" cm="1">
        <f t="array" aca="1" ref="R118" ca="1">IF($C118="S",REFERENCIA.Descricao,"(digite a descrição aqui)")</f>
        <v>(Sem Código)</v>
      </c>
      <c r="S118" s="121" t="str" cm="1">
        <f t="array" aca="1" ref="S118" ca="1">REFERENCIA.Unidade</f>
        <v>-</v>
      </c>
      <c r="T118" s="122">
        <f ca="1">OFFSET(CÁLCULO!H$15,ROW($T118)-ROW(T$15),0)</f>
        <v>0</v>
      </c>
      <c r="U118" s="123"/>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IF($C118="S",IF(OR(Import.TipoArredondamento&lt;&gt;"TransfereGOV",ACOMPANHAMENTO="BM"),VTOTAL1,SUM(OFFSET(CÁLCULO!$AA$15,ROW($X118)-ROW($X$15),1):OFFSET(CÁLCULO!$AL$15,ROW($X118)-ROW($X$15),-1))),IF($C118=0,0,ROUND(SomaAgrup,15-13*$AF$11)))</f>
        <v>0</v>
      </c>
      <c r="Y118" s="126" t="s">
        <v>751</v>
      </c>
      <c r="Z118" t="str">
        <f t="shared" ca="1" si="72"/>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cm="1">
        <f t="array" aca="1" ref="AE118" ca="1">IF(AND($C118="S",ORÇAMENTO.CodBarra&lt;&gt;""),IF(ORÇAMENTO.Fonte="",ORÇAMENTO.CodBarra,CONCATENATE(ORÇAMENTO.Fonte," ",ORÇAMENTO.CodBarra)))</f>
        <v>0</v>
      </c>
      <c r="AF118" s="12"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(Sem Código)</v>
      </c>
      <c r="AG118" s="428" cm="1">
        <f t="array" aca="1" ref="AG118" ca="1">ROUND(IF(DESONERACAO="sim",REFERENCIA.Desonerado,REFERENCIA.NaoDesonerado),2)</f>
        <v>0</v>
      </c>
      <c r="AH118" s="429">
        <f t="shared" ca="1" si="73"/>
        <v>0.22</v>
      </c>
      <c r="AJ118" s="431"/>
      <c r="AL118" s="439"/>
      <c r="AM118" s="336">
        <f t="shared" ca="1" si="0"/>
        <v>0</v>
      </c>
      <c r="AN118" s="470" cm="1">
        <f t="array" aca="1" ref="AN118" ca="1">ROUND(ORÇAMENTO.CustoUnitario*(1+$AH118),2)</f>
        <v>0</v>
      </c>
    </row>
    <row r="119" spans="1:40" hidden="1" x14ac:dyDescent="0.2">
      <c r="A119" t="str">
        <f t="shared" si="60"/>
        <v>S</v>
      </c>
      <c r="B119">
        <f t="shared" ca="1" si="61"/>
        <v>2</v>
      </c>
      <c r="C119" t="str">
        <f t="shared" ca="1" si="62"/>
        <v>S</v>
      </c>
      <c r="D119">
        <f t="shared" ca="1" si="63"/>
        <v>0</v>
      </c>
      <c r="E119">
        <f ca="1">IF($C119=1,OFFSET(E119,-1,0)+MAX(1,COUNTIF(QCI!$A$13:$A$24,OFFSET(ORÇAMENTO!E119,-1,0))),OFFSET(E119,-1,0))</f>
        <v>7</v>
      </c>
      <c r="F119">
        <f t="shared" ca="1" si="64"/>
        <v>1</v>
      </c>
      <c r="G119">
        <f t="shared" ca="1" si="65"/>
        <v>0</v>
      </c>
      <c r="H119">
        <f t="shared" ca="1" si="66"/>
        <v>0</v>
      </c>
      <c r="I119">
        <f t="shared" ca="1" si="67"/>
        <v>0</v>
      </c>
      <c r="J119">
        <f t="shared" ca="1" si="68"/>
        <v>0</v>
      </c>
      <c r="K119">
        <f ca="1">IF(OR($C119="S",$C119=0),0,MATCH(OFFSET($D119,0,$C119)+IF($C119&lt;&gt;1,1,COUNTIF(QCI!$A$13:$A$24,ORÇAMENTO!E119)),OFFSET($D119,1,$C119,ROW($C$162)-ROW($C119)),0))</f>
        <v>0</v>
      </c>
      <c r="L119" s="114" t="str">
        <f t="shared" ca="1" si="69"/>
        <v/>
      </c>
      <c r="M119" s="115" t="s">
        <v>705</v>
      </c>
      <c r="N119" s="116" t="str">
        <f t="shared" ca="1" si="70"/>
        <v>Serviço</v>
      </c>
      <c r="O119" s="117" t="str">
        <f t="shared" ca="1" si="71"/>
        <v>-</v>
      </c>
      <c r="P119" s="118" t="s">
        <v>750</v>
      </c>
      <c r="Q119" s="119"/>
      <c r="R119" s="120" t="str" cm="1">
        <f t="array" aca="1" ref="R119" ca="1">IF($C119="S",REFERENCIA.Descricao,"(digite a descrição aqui)")</f>
        <v>(Sem Código)</v>
      </c>
      <c r="S119" s="121" t="str" cm="1">
        <f t="array" aca="1" ref="S119" ca="1">REFERENCIA.Unidade</f>
        <v>-</v>
      </c>
      <c r="T119" s="122">
        <f ca="1">OFFSET(CÁLCULO!H$15,ROW($T119)-ROW(T$15),0)</f>
        <v>0</v>
      </c>
      <c r="U119" s="123"/>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IF($C119="S",IF(OR(Import.TipoArredondamento&lt;&gt;"TransfereGOV",ACOMPANHAMENTO="BM"),VTOTAL1,SUM(OFFSET(CÁLCULO!$AA$15,ROW($X119)-ROW($X$15),1):OFFSET(CÁLCULO!$AL$15,ROW($X119)-ROW($X$15),-1))),IF($C119=0,0,ROUND(SomaAgrup,15-13*$AF$11)))</f>
        <v>0</v>
      </c>
      <c r="Y119" s="126" t="s">
        <v>751</v>
      </c>
      <c r="Z119" t="str">
        <f t="shared" ca="1" si="72"/>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b" cm="1">
        <f t="array" aca="1" ref="AE119" ca="1">IF(AND($C119="S",ORÇAMENTO.CodBarra&lt;&gt;""),IF(ORÇAMENTO.Fonte="",ORÇAMENTO.CodBarra,CONCATENATE(ORÇAMENTO.Fonte," ",ORÇAMENTO.CodBarra)))</f>
        <v>0</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(Sem Código)</v>
      </c>
      <c r="AG119" s="428" cm="1">
        <f t="array" aca="1" ref="AG119" ca="1">ROUND(IF(DESONERACAO="sim",REFERENCIA.Desonerado,REFERENCIA.NaoDesonerado),2)</f>
        <v>0</v>
      </c>
      <c r="AH119" s="429">
        <f t="shared" ca="1" si="73"/>
        <v>0.22</v>
      </c>
      <c r="AJ119" s="431"/>
      <c r="AL119" s="439"/>
      <c r="AM119" s="336">
        <f t="shared" ca="1" si="0"/>
        <v>0</v>
      </c>
      <c r="AN119" s="470" cm="1">
        <f t="array" aca="1" ref="AN119" ca="1">ROUND(ORÇAMENTO.CustoUnitario*(1+$AH119),2)</f>
        <v>0</v>
      </c>
    </row>
    <row r="120" spans="1:40" hidden="1" x14ac:dyDescent="0.2">
      <c r="A120" t="str">
        <f t="shared" si="60"/>
        <v>S</v>
      </c>
      <c r="B120">
        <f t="shared" ca="1" si="61"/>
        <v>2</v>
      </c>
      <c r="C120" t="str">
        <f t="shared" ca="1" si="62"/>
        <v>S</v>
      </c>
      <c r="D120">
        <f t="shared" ca="1" si="63"/>
        <v>0</v>
      </c>
      <c r="E120">
        <f ca="1">IF($C120=1,OFFSET(E120,-1,0)+MAX(1,COUNTIF(QCI!$A$13:$A$24,OFFSET(ORÇAMENTO!E120,-1,0))),OFFSET(E120,-1,0))</f>
        <v>7</v>
      </c>
      <c r="F120">
        <f t="shared" ca="1" si="64"/>
        <v>1</v>
      </c>
      <c r="G120">
        <f t="shared" ca="1" si="65"/>
        <v>0</v>
      </c>
      <c r="H120">
        <f t="shared" ca="1" si="66"/>
        <v>0</v>
      </c>
      <c r="I120">
        <f t="shared" ca="1" si="67"/>
        <v>0</v>
      </c>
      <c r="J120">
        <f t="shared" ca="1" si="68"/>
        <v>0</v>
      </c>
      <c r="K120">
        <f ca="1">IF(OR($C120="S",$C120=0),0,MATCH(OFFSET($D120,0,$C120)+IF($C120&lt;&gt;1,1,COUNTIF(QCI!$A$13:$A$24,ORÇAMENTO!E120)),OFFSET($D120,1,$C120,ROW($C$162)-ROW($C120)),0))</f>
        <v>0</v>
      </c>
      <c r="L120" s="114" t="str">
        <f t="shared" ca="1" si="69"/>
        <v/>
      </c>
      <c r="M120" s="115" t="s">
        <v>705</v>
      </c>
      <c r="N120" s="116" t="str">
        <f t="shared" ca="1" si="70"/>
        <v>Serviço</v>
      </c>
      <c r="O120" s="117" t="str">
        <f t="shared" ca="1" si="71"/>
        <v>-</v>
      </c>
      <c r="P120" s="118" t="s">
        <v>750</v>
      </c>
      <c r="Q120" s="119"/>
      <c r="R120" s="120" t="str" cm="1">
        <f t="array" aca="1" ref="R120" ca="1">IF($C120="S",REFERENCIA.Descricao,"(digite a descrição aqui)")</f>
        <v>(Sem Código)</v>
      </c>
      <c r="S120" s="121" t="str" cm="1">
        <f t="array" aca="1" ref="S120" ca="1">REFERENCIA.Unidade</f>
        <v>-</v>
      </c>
      <c r="T120" s="122">
        <f ca="1">OFFSET(CÁLCULO!H$15,ROW($T120)-ROW(T$15),0)</f>
        <v>0</v>
      </c>
      <c r="U120" s="123"/>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IF($C120="S",IF(OR(Import.TipoArredondamento&lt;&gt;"TransfereGOV",ACOMPANHAMENTO="BM"),VTOTAL1,SUM(OFFSET(CÁLCULO!$AA$15,ROW($X120)-ROW($X$15),1):OFFSET(CÁLCULO!$AL$15,ROW($X120)-ROW($X$15),-1))),IF($C120=0,0,ROUND(SomaAgrup,15-13*$AF$11)))</f>
        <v>0</v>
      </c>
      <c r="Y120" s="126" t="s">
        <v>751</v>
      </c>
      <c r="Z120" t="str">
        <f t="shared" ca="1" si="72"/>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cm="1">
        <f t="array" aca="1" ref="AE120" ca="1">IF(AND($C120="S",ORÇAMENTO.CodBarra&lt;&gt;""),IF(ORÇAMENTO.Fonte="",ORÇAMENTO.CodBarra,CONCATENATE(ORÇAMENTO.Fonte," ",ORÇAMENTO.CodBarra)))</f>
        <v>0</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(Sem Código)</v>
      </c>
      <c r="AG120" s="428" cm="1">
        <f t="array" aca="1" ref="AG120" ca="1">ROUND(IF(DESONERACAO="sim",REFERENCIA.Desonerado,REFERENCIA.NaoDesonerado),2)</f>
        <v>0</v>
      </c>
      <c r="AH120" s="429">
        <f t="shared" ca="1" si="73"/>
        <v>0.22</v>
      </c>
      <c r="AJ120" s="431"/>
      <c r="AL120" s="439"/>
      <c r="AM120" s="336">
        <f t="shared" ca="1" si="0"/>
        <v>0</v>
      </c>
      <c r="AN120" s="470" cm="1">
        <f t="array" aca="1" ref="AN120" ca="1">ROUND(ORÇAMENTO.CustoUnitario*(1+$AH120),2)</f>
        <v>0</v>
      </c>
    </row>
    <row r="121" spans="1:40" hidden="1" x14ac:dyDescent="0.2">
      <c r="A121" t="str">
        <f t="shared" si="60"/>
        <v>S</v>
      </c>
      <c r="B121">
        <f t="shared" ca="1" si="61"/>
        <v>2</v>
      </c>
      <c r="C121" t="str">
        <f t="shared" ca="1" si="62"/>
        <v>S</v>
      </c>
      <c r="D121">
        <f t="shared" ca="1" si="63"/>
        <v>0</v>
      </c>
      <c r="E121">
        <f ca="1">IF($C121=1,OFFSET(E121,-1,0)+MAX(1,COUNTIF(QCI!$A$13:$A$24,OFFSET(ORÇAMENTO!E121,-1,0))),OFFSET(E121,-1,0))</f>
        <v>7</v>
      </c>
      <c r="F121">
        <f t="shared" ca="1" si="64"/>
        <v>1</v>
      </c>
      <c r="G121">
        <f t="shared" ca="1" si="65"/>
        <v>0</v>
      </c>
      <c r="H121">
        <f t="shared" ca="1" si="66"/>
        <v>0</v>
      </c>
      <c r="I121">
        <f t="shared" ca="1" si="67"/>
        <v>0</v>
      </c>
      <c r="J121">
        <f t="shared" ca="1" si="68"/>
        <v>0</v>
      </c>
      <c r="K121">
        <f ca="1">IF(OR($C121="S",$C121=0),0,MATCH(OFFSET($D121,0,$C121)+IF($C121&lt;&gt;1,1,COUNTIF(QCI!$A$13:$A$24,ORÇAMENTO!E121)),OFFSET($D121,1,$C121,ROW($C$162)-ROW($C121)),0))</f>
        <v>0</v>
      </c>
      <c r="L121" s="114" t="str">
        <f t="shared" ca="1" si="69"/>
        <v/>
      </c>
      <c r="M121" s="115" t="s">
        <v>705</v>
      </c>
      <c r="N121" s="116" t="str">
        <f t="shared" ca="1" si="70"/>
        <v>Serviço</v>
      </c>
      <c r="O121" s="117" t="str">
        <f t="shared" ca="1" si="71"/>
        <v>-</v>
      </c>
      <c r="P121" s="118" t="s">
        <v>750</v>
      </c>
      <c r="Q121" s="119"/>
      <c r="R121" s="120" t="str" cm="1">
        <f t="array" aca="1" ref="R121" ca="1">IF($C121="S",REFERENCIA.Descricao,"(digite a descrição aqui)")</f>
        <v>(Sem Código)</v>
      </c>
      <c r="S121" s="121" t="str" cm="1">
        <f t="array" aca="1" ref="S121" ca="1">REFERENCIA.Unidade</f>
        <v>-</v>
      </c>
      <c r="T121" s="122">
        <f ca="1">OFFSET(CÁLCULO!H$15,ROW($T121)-ROW(T$15),0)</f>
        <v>0</v>
      </c>
      <c r="U121" s="123"/>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0</v>
      </c>
      <c r="Y121" s="126" t="s">
        <v>751</v>
      </c>
      <c r="Z121" t="str">
        <f t="shared" ca="1" si="72"/>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b" cm="1">
        <f t="array" aca="1" ref="AE121" ca="1">IF(AND($C121="S",ORÇAMENTO.CodBarra&lt;&gt;""),IF(ORÇAMENTO.Fonte="",ORÇAMENTO.CodBarra,CONCATENATE(ORÇAMENTO.Fonte," ",ORÇAMENTO.CodBarra)))</f>
        <v>0</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aca="1" ref="AG121" ca="1">ROUND(IF(DESONERACAO="sim",REFERENCIA.Desonerado,REFERENCIA.NaoDesonerado),2)</f>
        <v>0</v>
      </c>
      <c r="AH121" s="429">
        <f t="shared" ca="1" si="73"/>
        <v>0.22</v>
      </c>
      <c r="AJ121" s="431"/>
      <c r="AL121" s="439"/>
      <c r="AM121" s="336">
        <f t="shared" ca="1" si="0"/>
        <v>0</v>
      </c>
      <c r="AN121" s="470" cm="1">
        <f t="array" aca="1" ref="AN121" ca="1">ROUND(ORÇAMENTO.CustoUnitario*(1+$AH121),2)</f>
        <v>0</v>
      </c>
    </row>
    <row r="122" spans="1:40" hidden="1" x14ac:dyDescent="0.2">
      <c r="A122" t="str">
        <f t="shared" si="60"/>
        <v>S</v>
      </c>
      <c r="B122">
        <f t="shared" ca="1" si="61"/>
        <v>2</v>
      </c>
      <c r="C122" t="str">
        <f t="shared" ca="1" si="62"/>
        <v>S</v>
      </c>
      <c r="D122">
        <f t="shared" ca="1" si="63"/>
        <v>0</v>
      </c>
      <c r="E122">
        <f ca="1">IF($C122=1,OFFSET(E122,-1,0)+MAX(1,COUNTIF(QCI!$A$13:$A$24,OFFSET(ORÇAMENTO!E122,-1,0))),OFFSET(E122,-1,0))</f>
        <v>7</v>
      </c>
      <c r="F122">
        <f t="shared" ca="1" si="64"/>
        <v>1</v>
      </c>
      <c r="G122">
        <f t="shared" ca="1" si="65"/>
        <v>0</v>
      </c>
      <c r="H122">
        <f t="shared" ca="1" si="66"/>
        <v>0</v>
      </c>
      <c r="I122">
        <f t="shared" ca="1" si="67"/>
        <v>0</v>
      </c>
      <c r="J122">
        <f t="shared" ca="1" si="68"/>
        <v>0</v>
      </c>
      <c r="K122">
        <f ca="1">IF(OR($C122="S",$C122=0),0,MATCH(OFFSET($D122,0,$C122)+IF($C122&lt;&gt;1,1,COUNTIF(QCI!$A$13:$A$24,ORÇAMENTO!E122)),OFFSET($D122,1,$C122,ROW($C$162)-ROW($C122)),0))</f>
        <v>0</v>
      </c>
      <c r="L122" s="114" t="str">
        <f t="shared" ca="1" si="69"/>
        <v/>
      </c>
      <c r="M122" s="115" t="s">
        <v>705</v>
      </c>
      <c r="N122" s="116" t="str">
        <f t="shared" ca="1" si="70"/>
        <v>Serviço</v>
      </c>
      <c r="O122" s="117" t="str">
        <f t="shared" ca="1" si="71"/>
        <v>-</v>
      </c>
      <c r="P122" s="118" t="s">
        <v>750</v>
      </c>
      <c r="Q122" s="119"/>
      <c r="R122" s="120" t="str" cm="1">
        <f t="array" aca="1" ref="R122" ca="1">IF($C122="S",REFERENCIA.Descricao,"(digite a descrição aqui)")</f>
        <v>(Sem Código)</v>
      </c>
      <c r="S122" s="121" t="str" cm="1">
        <f t="array" aca="1" ref="S122" ca="1">REFERENCIA.Unidade</f>
        <v>-</v>
      </c>
      <c r="T122" s="122">
        <f ca="1">OFFSET(CÁLCULO!H$15,ROW($T122)-ROW(T$15),0)</f>
        <v>0</v>
      </c>
      <c r="U122" s="123"/>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IF($C122="S",IF(OR(Import.TipoArredondamento&lt;&gt;"TransfereGOV",ACOMPANHAMENTO="BM"),VTOTAL1,SUM(OFFSET(CÁLCULO!$AA$15,ROW($X122)-ROW($X$15),1):OFFSET(CÁLCULO!$AL$15,ROW($X122)-ROW($X$15),-1))),IF($C122=0,0,ROUND(SomaAgrup,15-13*$AF$11)))</f>
        <v>0</v>
      </c>
      <c r="Y122" s="126" t="s">
        <v>751</v>
      </c>
      <c r="Z122" t="str">
        <f t="shared" ca="1" si="72"/>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cm="1">
        <f t="array" aca="1" ref="AE122" ca="1">IF(AND($C122="S",ORÇAMENTO.CodBarra&lt;&gt;""),IF(ORÇAMENTO.Fonte="",ORÇAMENTO.CodBarra,CONCATENATE(ORÇAMENTO.Fonte," ",ORÇAMENTO.CodBarra)))</f>
        <v>0</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(Sem Código)</v>
      </c>
      <c r="AG122" s="428" cm="1">
        <f t="array" aca="1" ref="AG122" ca="1">ROUND(IF(DESONERACAO="sim",REFERENCIA.Desonerado,REFERENCIA.NaoDesonerado),2)</f>
        <v>0</v>
      </c>
      <c r="AH122" s="429">
        <f t="shared" ca="1" si="73"/>
        <v>0.22</v>
      </c>
      <c r="AJ122" s="431"/>
      <c r="AL122" s="439"/>
      <c r="AM122" s="336">
        <f t="shared" ca="1" si="0"/>
        <v>0</v>
      </c>
      <c r="AN122" s="470" cm="1">
        <f t="array" aca="1" ref="AN122" ca="1">ROUND(ORÇAMENTO.CustoUnitario*(1+$AH122),2)</f>
        <v>0</v>
      </c>
    </row>
    <row r="123" spans="1:40" hidden="1" x14ac:dyDescent="0.2">
      <c r="A123" t="str">
        <f t="shared" si="60"/>
        <v>S</v>
      </c>
      <c r="B123">
        <f t="shared" ca="1" si="61"/>
        <v>2</v>
      </c>
      <c r="C123" t="str">
        <f t="shared" ca="1" si="62"/>
        <v>S</v>
      </c>
      <c r="D123">
        <f t="shared" ca="1" si="63"/>
        <v>0</v>
      </c>
      <c r="E123">
        <f ca="1">IF($C123=1,OFFSET(E123,-1,0)+MAX(1,COUNTIF(QCI!$A$13:$A$24,OFFSET(ORÇAMENTO!E123,-1,0))),OFFSET(E123,-1,0))</f>
        <v>7</v>
      </c>
      <c r="F123">
        <f t="shared" ca="1" si="64"/>
        <v>1</v>
      </c>
      <c r="G123">
        <f t="shared" ca="1" si="65"/>
        <v>0</v>
      </c>
      <c r="H123">
        <f t="shared" ca="1" si="66"/>
        <v>0</v>
      </c>
      <c r="I123">
        <f t="shared" ca="1" si="67"/>
        <v>0</v>
      </c>
      <c r="J123">
        <f t="shared" ca="1" si="68"/>
        <v>0</v>
      </c>
      <c r="K123">
        <f ca="1">IF(OR($C123="S",$C123=0),0,MATCH(OFFSET($D123,0,$C123)+IF($C123&lt;&gt;1,1,COUNTIF(QCI!$A$13:$A$24,ORÇAMENTO!E123)),OFFSET($D123,1,$C123,ROW($C$162)-ROW($C123)),0))</f>
        <v>0</v>
      </c>
      <c r="L123" s="114" t="str">
        <f t="shared" ca="1" si="69"/>
        <v/>
      </c>
      <c r="M123" s="115" t="s">
        <v>705</v>
      </c>
      <c r="N123" s="116" t="str">
        <f t="shared" ca="1" si="70"/>
        <v>Serviço</v>
      </c>
      <c r="O123" s="117" t="str">
        <f t="shared" ca="1" si="71"/>
        <v>-</v>
      </c>
      <c r="P123" s="118" t="s">
        <v>750</v>
      </c>
      <c r="Q123" s="119"/>
      <c r="R123" s="120" t="str" cm="1">
        <f t="array" aca="1" ref="R123" ca="1">IF($C123="S",REFERENCIA.Descricao,"(digite a descrição aqui)")</f>
        <v>(Sem Código)</v>
      </c>
      <c r="S123" s="121" t="str" cm="1">
        <f t="array" aca="1" ref="S123" ca="1">REFERENCIA.Unidade</f>
        <v>-</v>
      </c>
      <c r="T123" s="122">
        <f ca="1">OFFSET(CÁLCULO!H$15,ROW($T123)-ROW(T$15),0)</f>
        <v>0</v>
      </c>
      <c r="U123" s="123"/>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IF($C123="S",IF(OR(Import.TipoArredondamento&lt;&gt;"TransfereGOV",ACOMPANHAMENTO="BM"),VTOTAL1,SUM(OFFSET(CÁLCULO!$AA$15,ROW($X123)-ROW($X$15),1):OFFSET(CÁLCULO!$AL$15,ROW($X123)-ROW($X$15),-1))),IF($C123=0,0,ROUND(SomaAgrup,15-13*$AF$11)))</f>
        <v>0</v>
      </c>
      <c r="Y123" s="126" t="s">
        <v>751</v>
      </c>
      <c r="Z123" t="str">
        <f t="shared" ca="1" si="72"/>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b" cm="1">
        <f t="array" aca="1" ref="AE123" ca="1">IF(AND($C123="S",ORÇAMENTO.CodBarra&lt;&gt;""),IF(ORÇAMENTO.Fonte="",ORÇAMENTO.CodBarra,CONCATENATE(ORÇAMENTO.Fonte," ",ORÇAMENTO.CodBarra)))</f>
        <v>0</v>
      </c>
      <c r="AF123" s="12"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(Sem Código)</v>
      </c>
      <c r="AG123" s="428" cm="1">
        <f t="array" aca="1" ref="AG123" ca="1">ROUND(IF(DESONERACAO="sim",REFERENCIA.Desonerado,REFERENCIA.NaoDesonerado),2)</f>
        <v>0</v>
      </c>
      <c r="AH123" s="429">
        <f t="shared" ca="1" si="73"/>
        <v>0.22</v>
      </c>
      <c r="AJ123" s="431"/>
      <c r="AL123" s="439"/>
      <c r="AM123" s="336">
        <f t="shared" ca="1" si="0"/>
        <v>0</v>
      </c>
      <c r="AN123" s="470" cm="1">
        <f t="array" aca="1" ref="AN123" ca="1">ROUND(ORÇAMENTO.CustoUnitario*(1+$AH123),2)</f>
        <v>0</v>
      </c>
    </row>
    <row r="124" spans="1:40" hidden="1" x14ac:dyDescent="0.2">
      <c r="A124" t="str">
        <f t="shared" si="60"/>
        <v>S</v>
      </c>
      <c r="B124">
        <f t="shared" ca="1" si="61"/>
        <v>2</v>
      </c>
      <c r="C124" t="str">
        <f t="shared" ca="1" si="62"/>
        <v>S</v>
      </c>
      <c r="D124">
        <f t="shared" ca="1" si="63"/>
        <v>0</v>
      </c>
      <c r="E124">
        <f ca="1">IF($C124=1,OFFSET(E124,-1,0)+MAX(1,COUNTIF(QCI!$A$13:$A$24,OFFSET(ORÇAMENTO!E124,-1,0))),OFFSET(E124,-1,0))</f>
        <v>7</v>
      </c>
      <c r="F124">
        <f t="shared" ca="1" si="64"/>
        <v>1</v>
      </c>
      <c r="G124">
        <f t="shared" ca="1" si="65"/>
        <v>0</v>
      </c>
      <c r="H124">
        <f t="shared" ca="1" si="66"/>
        <v>0</v>
      </c>
      <c r="I124">
        <f t="shared" ca="1" si="67"/>
        <v>0</v>
      </c>
      <c r="J124">
        <f t="shared" ca="1" si="68"/>
        <v>0</v>
      </c>
      <c r="K124">
        <f ca="1">IF(OR($C124="S",$C124=0),0,MATCH(OFFSET($D124,0,$C124)+IF($C124&lt;&gt;1,1,COUNTIF(QCI!$A$13:$A$24,ORÇAMENTO!E124)),OFFSET($D124,1,$C124,ROW($C$162)-ROW($C124)),0))</f>
        <v>0</v>
      </c>
      <c r="L124" s="114" t="str">
        <f t="shared" ca="1" si="69"/>
        <v/>
      </c>
      <c r="M124" s="115" t="s">
        <v>705</v>
      </c>
      <c r="N124" s="116" t="str">
        <f t="shared" ca="1" si="70"/>
        <v>Serviço</v>
      </c>
      <c r="O124" s="117" t="str">
        <f t="shared" ca="1" si="71"/>
        <v>-</v>
      </c>
      <c r="P124" s="118" t="s">
        <v>750</v>
      </c>
      <c r="Q124" s="119"/>
      <c r="R124" s="120" t="str" cm="1">
        <f t="array" aca="1" ref="R124" ca="1">IF($C124="S",REFERENCIA.Descricao,"(digite a descrição aqui)")</f>
        <v>(Sem Código)</v>
      </c>
      <c r="S124" s="121" t="str" cm="1">
        <f t="array" aca="1" ref="S124" ca="1">REFERENCIA.Unidade</f>
        <v>-</v>
      </c>
      <c r="T124" s="122">
        <f ca="1">OFFSET(CÁLCULO!H$15,ROW($T124)-ROW(T$15),0)</f>
        <v>0</v>
      </c>
      <c r="U124" s="123"/>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0</v>
      </c>
      <c r="Y124" s="126" t="s">
        <v>751</v>
      </c>
      <c r="Z124" t="str">
        <f t="shared" ca="1" si="72"/>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b" cm="1">
        <f t="array" aca="1" ref="AE124" ca="1">IF(AND($C124="S",ORÇAMENTO.CodBarra&lt;&gt;""),IF(ORÇAMENTO.Fonte="",ORÇAMENTO.CodBarra,CONCATENATE(ORÇAMENTO.Fonte," ",ORÇAMENTO.CodBarra)))</f>
        <v>0</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(Sem Código)</v>
      </c>
      <c r="AG124" s="428" cm="1">
        <f t="array" aca="1" ref="AG124" ca="1">ROUND(IF(DESONERACAO="sim",REFERENCIA.Desonerado,REFERENCIA.NaoDesonerado),2)</f>
        <v>0</v>
      </c>
      <c r="AH124" s="429">
        <f t="shared" ca="1" si="73"/>
        <v>0.22</v>
      </c>
      <c r="AJ124" s="431"/>
      <c r="AL124" s="439"/>
      <c r="AM124" s="336">
        <f t="shared" ca="1" si="0"/>
        <v>0</v>
      </c>
      <c r="AN124" s="470" cm="1">
        <f t="array" aca="1" ref="AN124" ca="1">ROUND(ORÇAMENTO.CustoUnitario*(1+$AH124),2)</f>
        <v>0</v>
      </c>
    </row>
    <row r="125" spans="1:40" hidden="1" x14ac:dyDescent="0.2">
      <c r="A125" t="str">
        <f t="shared" si="60"/>
        <v>S</v>
      </c>
      <c r="B125">
        <f t="shared" ca="1" si="61"/>
        <v>2</v>
      </c>
      <c r="C125" t="str">
        <f t="shared" ca="1" si="62"/>
        <v>S</v>
      </c>
      <c r="D125">
        <f t="shared" ca="1" si="63"/>
        <v>0</v>
      </c>
      <c r="E125">
        <f ca="1">IF($C125=1,OFFSET(E125,-1,0)+MAX(1,COUNTIF(QCI!$A$13:$A$24,OFFSET(ORÇAMENTO!E125,-1,0))),OFFSET(E125,-1,0))</f>
        <v>7</v>
      </c>
      <c r="F125">
        <f t="shared" ca="1" si="64"/>
        <v>1</v>
      </c>
      <c r="G125">
        <f t="shared" ca="1" si="65"/>
        <v>0</v>
      </c>
      <c r="H125">
        <f t="shared" ca="1" si="66"/>
        <v>0</v>
      </c>
      <c r="I125">
        <f t="shared" ca="1" si="67"/>
        <v>0</v>
      </c>
      <c r="J125">
        <f t="shared" ca="1" si="68"/>
        <v>0</v>
      </c>
      <c r="K125">
        <f ca="1">IF(OR($C125="S",$C125=0),0,MATCH(OFFSET($D125,0,$C125)+IF($C125&lt;&gt;1,1,COUNTIF(QCI!$A$13:$A$24,ORÇAMENTO!E125)),OFFSET($D125,1,$C125,ROW($C$162)-ROW($C125)),0))</f>
        <v>0</v>
      </c>
      <c r="L125" s="114" t="str">
        <f t="shared" ca="1" si="69"/>
        <v/>
      </c>
      <c r="M125" s="115" t="s">
        <v>705</v>
      </c>
      <c r="N125" s="116" t="str">
        <f t="shared" ca="1" si="70"/>
        <v>Serviço</v>
      </c>
      <c r="O125" s="117" t="str">
        <f t="shared" ca="1" si="71"/>
        <v>-</v>
      </c>
      <c r="P125" s="118" t="s">
        <v>750</v>
      </c>
      <c r="Q125" s="119"/>
      <c r="R125" s="120" t="str" cm="1">
        <f t="array" aca="1" ref="R125" ca="1">IF($C125="S",REFERENCIA.Descricao,"(digite a descrição aqui)")</f>
        <v>(Sem Código)</v>
      </c>
      <c r="S125" s="121" t="str" cm="1">
        <f t="array" aca="1" ref="S125" ca="1">REFERENCIA.Unidade</f>
        <v>-</v>
      </c>
      <c r="T125" s="122">
        <f ca="1">OFFSET(CÁLCULO!H$15,ROW($T125)-ROW(T$15),0)</f>
        <v>0</v>
      </c>
      <c r="U125" s="123"/>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IF($C125="S",IF(OR(Import.TipoArredondamento&lt;&gt;"TransfereGOV",ACOMPANHAMENTO="BM"),VTOTAL1,SUM(OFFSET(CÁLCULO!$AA$15,ROW($X125)-ROW($X$15),1):OFFSET(CÁLCULO!$AL$15,ROW($X125)-ROW($X$15),-1))),IF($C125=0,0,ROUND(SomaAgrup,15-13*$AF$11)))</f>
        <v>0</v>
      </c>
      <c r="Y125" s="126" t="s">
        <v>751</v>
      </c>
      <c r="Z125" t="str">
        <f t="shared" ca="1" si="72"/>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cm="1">
        <f t="array" aca="1" ref="AE125" ca="1">IF(AND($C125="S",ORÇAMENTO.CodBarra&lt;&gt;""),IF(ORÇAMENTO.Fonte="",ORÇAMENTO.CodBarra,CONCATENATE(ORÇAMENTO.Fonte," ",ORÇAMENTO.CodBarra)))</f>
        <v>0</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cm="1">
        <f t="array" aca="1" ref="AG125" ca="1">ROUND(IF(DESONERACAO="sim",REFERENCIA.Desonerado,REFERENCIA.NaoDesonerado),2)</f>
        <v>0</v>
      </c>
      <c r="AH125" s="429">
        <f t="shared" ca="1" si="73"/>
        <v>0.22</v>
      </c>
      <c r="AJ125" s="431"/>
      <c r="AL125" s="439"/>
      <c r="AM125" s="336">
        <f t="shared" ca="1" si="0"/>
        <v>0</v>
      </c>
      <c r="AN125" s="470" cm="1">
        <f t="array" aca="1" ref="AN125" ca="1">ROUND(ORÇAMENTO.CustoUnitario*(1+$AH125),2)</f>
        <v>0</v>
      </c>
    </row>
    <row r="126" spans="1:40" hidden="1" x14ac:dyDescent="0.2">
      <c r="A126" t="str">
        <f t="shared" si="60"/>
        <v>S</v>
      </c>
      <c r="B126">
        <f t="shared" ca="1" si="61"/>
        <v>2</v>
      </c>
      <c r="C126" t="str">
        <f t="shared" ca="1" si="62"/>
        <v>S</v>
      </c>
      <c r="D126">
        <f t="shared" ca="1" si="63"/>
        <v>0</v>
      </c>
      <c r="E126">
        <f ca="1">IF($C126=1,OFFSET(E126,-1,0)+MAX(1,COUNTIF(QCI!$A$13:$A$24,OFFSET(ORÇAMENTO!E126,-1,0))),OFFSET(E126,-1,0))</f>
        <v>7</v>
      </c>
      <c r="F126">
        <f t="shared" ca="1" si="64"/>
        <v>1</v>
      </c>
      <c r="G126">
        <f t="shared" ca="1" si="65"/>
        <v>0</v>
      </c>
      <c r="H126">
        <f t="shared" ca="1" si="66"/>
        <v>0</v>
      </c>
      <c r="I126">
        <f t="shared" ca="1" si="67"/>
        <v>0</v>
      </c>
      <c r="J126">
        <f t="shared" ca="1" si="68"/>
        <v>0</v>
      </c>
      <c r="K126">
        <f ca="1">IF(OR($C126="S",$C126=0),0,MATCH(OFFSET($D126,0,$C126)+IF($C126&lt;&gt;1,1,COUNTIF(QCI!$A$13:$A$24,ORÇAMENTO!E126)),OFFSET($D126,1,$C126,ROW($C$162)-ROW($C126)),0))</f>
        <v>0</v>
      </c>
      <c r="L126" s="114" t="str">
        <f t="shared" ca="1" si="69"/>
        <v/>
      </c>
      <c r="M126" s="115" t="s">
        <v>705</v>
      </c>
      <c r="N126" s="116" t="str">
        <f t="shared" ca="1" si="70"/>
        <v>Serviço</v>
      </c>
      <c r="O126" s="117" t="str">
        <f t="shared" ca="1" si="71"/>
        <v>-</v>
      </c>
      <c r="P126" s="118" t="s">
        <v>750</v>
      </c>
      <c r="Q126" s="119"/>
      <c r="R126" s="120" t="str" cm="1">
        <f t="array" aca="1" ref="R126" ca="1">IF($C126="S",REFERENCIA.Descricao,"(digite a descrição aqui)")</f>
        <v>(Sem Código)</v>
      </c>
      <c r="S126" s="121" t="str" cm="1">
        <f t="array" aca="1" ref="S126" ca="1">REFERENCIA.Unidade</f>
        <v>-</v>
      </c>
      <c r="T126" s="122">
        <f ca="1">OFFSET(CÁLCULO!H$15,ROW($T126)-ROW(T$15),0)</f>
        <v>0</v>
      </c>
      <c r="U126" s="123"/>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IF($C126="S",IF(OR(Import.TipoArredondamento&lt;&gt;"TransfereGOV",ACOMPANHAMENTO="BM"),VTOTAL1,SUM(OFFSET(CÁLCULO!$AA$15,ROW($X126)-ROW($X$15),1):OFFSET(CÁLCULO!$AL$15,ROW($X126)-ROW($X$15),-1))),IF($C126=0,0,ROUND(SomaAgrup,15-13*$AF$11)))</f>
        <v>0</v>
      </c>
      <c r="Y126" s="126" t="s">
        <v>751</v>
      </c>
      <c r="Z126" t="str">
        <f t="shared" ca="1" si="72"/>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b" cm="1">
        <f t="array" aca="1" ref="AE126" ca="1">IF(AND($C126="S",ORÇAMENTO.CodBarra&lt;&gt;""),IF(ORÇAMENTO.Fonte="",ORÇAMENTO.CodBarra,CONCATENATE(ORÇAMENTO.Fonte," ",ORÇAMENTO.CodBarra)))</f>
        <v>0</v>
      </c>
      <c r="AF126" s="12"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(Sem Código)</v>
      </c>
      <c r="AG126" s="428" cm="1">
        <f t="array" aca="1" ref="AG126" ca="1">ROUND(IF(DESONERACAO="sim",REFERENCIA.Desonerado,REFERENCIA.NaoDesonerado),2)</f>
        <v>0</v>
      </c>
      <c r="AH126" s="429">
        <f t="shared" ca="1" si="73"/>
        <v>0.22</v>
      </c>
      <c r="AJ126" s="431"/>
      <c r="AL126" s="439"/>
      <c r="AM126" s="336">
        <f t="shared" ca="1" si="0"/>
        <v>0</v>
      </c>
      <c r="AN126" s="470" cm="1">
        <f t="array" aca="1" ref="AN126" ca="1">ROUND(ORÇAMENTO.CustoUnitario*(1+$AH126),2)</f>
        <v>0</v>
      </c>
    </row>
    <row r="127" spans="1:40" hidden="1" x14ac:dyDescent="0.2">
      <c r="A127" t="str">
        <f t="shared" si="60"/>
        <v>S</v>
      </c>
      <c r="B127">
        <f t="shared" ca="1" si="61"/>
        <v>2</v>
      </c>
      <c r="C127" t="str">
        <f t="shared" ca="1" si="62"/>
        <v>S</v>
      </c>
      <c r="D127">
        <f t="shared" ca="1" si="63"/>
        <v>0</v>
      </c>
      <c r="E127">
        <f ca="1">IF($C127=1,OFFSET(E127,-1,0)+MAX(1,COUNTIF(QCI!$A$13:$A$24,OFFSET(ORÇAMENTO!E127,-1,0))),OFFSET(E127,-1,0))</f>
        <v>7</v>
      </c>
      <c r="F127">
        <f t="shared" ca="1" si="64"/>
        <v>1</v>
      </c>
      <c r="G127">
        <f t="shared" ca="1" si="65"/>
        <v>0</v>
      </c>
      <c r="H127">
        <f t="shared" ca="1" si="66"/>
        <v>0</v>
      </c>
      <c r="I127">
        <f t="shared" ca="1" si="67"/>
        <v>0</v>
      </c>
      <c r="J127">
        <f t="shared" ca="1" si="68"/>
        <v>0</v>
      </c>
      <c r="K127">
        <f ca="1">IF(OR($C127="S",$C127=0),0,MATCH(OFFSET($D127,0,$C127)+IF($C127&lt;&gt;1,1,COUNTIF(QCI!$A$13:$A$24,ORÇAMENTO!E127)),OFFSET($D127,1,$C127,ROW($C$162)-ROW($C127)),0))</f>
        <v>0</v>
      </c>
      <c r="L127" s="114" t="str">
        <f t="shared" ca="1" si="69"/>
        <v/>
      </c>
      <c r="M127" s="115" t="s">
        <v>705</v>
      </c>
      <c r="N127" s="116" t="str">
        <f t="shared" ca="1" si="70"/>
        <v>Serviço</v>
      </c>
      <c r="O127" s="117" t="str">
        <f t="shared" ca="1" si="71"/>
        <v>-</v>
      </c>
      <c r="P127" s="118" t="s">
        <v>750</v>
      </c>
      <c r="Q127" s="119"/>
      <c r="R127" s="120" t="str" cm="1">
        <f t="array" aca="1" ref="R127" ca="1">IF($C127="S",REFERENCIA.Descricao,"(digite a descrição aqui)")</f>
        <v>(Sem Código)</v>
      </c>
      <c r="S127" s="121" t="str" cm="1">
        <f t="array" aca="1" ref="S127" ca="1">REFERENCIA.Unidade</f>
        <v>-</v>
      </c>
      <c r="T127" s="122">
        <f ca="1">OFFSET(CÁLCULO!H$15,ROW($T127)-ROW(T$15),0)</f>
        <v>0</v>
      </c>
      <c r="U127" s="123"/>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IF($C127="S",IF(OR(Import.TipoArredondamento&lt;&gt;"TransfereGOV",ACOMPANHAMENTO="BM"),VTOTAL1,SUM(OFFSET(CÁLCULO!$AA$15,ROW($X127)-ROW($X$15),1):OFFSET(CÁLCULO!$AL$15,ROW($X127)-ROW($X$15),-1))),IF($C127=0,0,ROUND(SomaAgrup,15-13*$AF$11)))</f>
        <v>0</v>
      </c>
      <c r="Y127" s="126" t="s">
        <v>751</v>
      </c>
      <c r="Z127" t="str">
        <f t="shared" ca="1" si="72"/>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cm="1">
        <f t="array" aca="1" ref="AE127" ca="1">IF(AND($C127="S",ORÇAMENTO.CodBarra&lt;&gt;""),IF(ORÇAMENTO.Fonte="",ORÇAMENTO.CodBarra,CONCATENATE(ORÇAMENTO.Fonte," ",ORÇAMENTO.CodBarra)))</f>
        <v>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8" cm="1">
        <f t="array" aca="1" ref="AG127" ca="1">ROUND(IF(DESONERACAO="sim",REFERENCIA.Desonerado,REFERENCIA.NaoDesonerado),2)</f>
        <v>0</v>
      </c>
      <c r="AH127" s="429">
        <f t="shared" ca="1" si="73"/>
        <v>0.22</v>
      </c>
      <c r="AJ127" s="431"/>
      <c r="AL127" s="439"/>
      <c r="AM127" s="336">
        <f t="shared" ca="1" si="0"/>
        <v>0</v>
      </c>
      <c r="AN127" s="470" cm="1">
        <f t="array" aca="1" ref="AN127" ca="1">ROUND(ORÇAMENTO.CustoUnitario*(1+$AH127),2)</f>
        <v>0</v>
      </c>
    </row>
    <row r="128" spans="1:40" hidden="1" x14ac:dyDescent="0.2">
      <c r="A128" t="str">
        <f t="shared" si="60"/>
        <v>S</v>
      </c>
      <c r="B128">
        <f t="shared" ca="1" si="61"/>
        <v>2</v>
      </c>
      <c r="C128" t="str">
        <f t="shared" ca="1" si="62"/>
        <v>S</v>
      </c>
      <c r="D128">
        <f t="shared" ca="1" si="63"/>
        <v>0</v>
      </c>
      <c r="E128">
        <f ca="1">IF($C128=1,OFFSET(E128,-1,0)+MAX(1,COUNTIF(QCI!$A$13:$A$24,OFFSET(ORÇAMENTO!E128,-1,0))),OFFSET(E128,-1,0))</f>
        <v>7</v>
      </c>
      <c r="F128">
        <f t="shared" ca="1" si="64"/>
        <v>1</v>
      </c>
      <c r="G128">
        <f t="shared" ca="1" si="65"/>
        <v>0</v>
      </c>
      <c r="H128">
        <f t="shared" ca="1" si="66"/>
        <v>0</v>
      </c>
      <c r="I128">
        <f t="shared" ca="1" si="67"/>
        <v>0</v>
      </c>
      <c r="J128">
        <f t="shared" ca="1" si="68"/>
        <v>0</v>
      </c>
      <c r="K128">
        <f ca="1">IF(OR($C128="S",$C128=0),0,MATCH(OFFSET($D128,0,$C128)+IF($C128&lt;&gt;1,1,COUNTIF(QCI!$A$13:$A$24,ORÇAMENTO!E128)),OFFSET($D128,1,$C128,ROW($C$162)-ROW($C128)),0))</f>
        <v>0</v>
      </c>
      <c r="L128" s="114" t="str">
        <f t="shared" ca="1" si="69"/>
        <v/>
      </c>
      <c r="M128" s="115" t="s">
        <v>705</v>
      </c>
      <c r="N128" s="116" t="str">
        <f t="shared" ca="1" si="70"/>
        <v>Serviço</v>
      </c>
      <c r="O128" s="117" t="str">
        <f t="shared" ca="1" si="71"/>
        <v>-</v>
      </c>
      <c r="P128" s="118" t="s">
        <v>750</v>
      </c>
      <c r="Q128" s="119"/>
      <c r="R128" s="120" t="str" cm="1">
        <f t="array" aca="1" ref="R128" ca="1">IF($C128="S",REFERENCIA.Descricao,"(digite a descrição aqui)")</f>
        <v>(Sem Código)</v>
      </c>
      <c r="S128" s="121" t="str" cm="1">
        <f t="array" aca="1" ref="S128" ca="1">REFERENCIA.Unidade</f>
        <v>-</v>
      </c>
      <c r="T128" s="122">
        <f ca="1">OFFSET(CÁLCULO!H$15,ROW($T128)-ROW(T$15),0)</f>
        <v>0</v>
      </c>
      <c r="U128" s="123"/>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IF($C128="S",IF(OR(Import.TipoArredondamento&lt;&gt;"TransfereGOV",ACOMPANHAMENTO="BM"),VTOTAL1,SUM(OFFSET(CÁLCULO!$AA$15,ROW($X128)-ROW($X$15),1):OFFSET(CÁLCULO!$AL$15,ROW($X128)-ROW($X$15),-1))),IF($C128=0,0,ROUND(SomaAgrup,15-13*$AF$11)))</f>
        <v>0</v>
      </c>
      <c r="Y128" s="126" t="s">
        <v>751</v>
      </c>
      <c r="Z128" t="str">
        <f t="shared" ca="1" si="72"/>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cm="1">
        <f t="array" aca="1" ref="AE128" ca="1">IF(AND($C128="S",ORÇAMENTO.CodBarra&lt;&gt;""),IF(ORÇAMENTO.Fonte="",ORÇAMENTO.CodBarra,CONCATENATE(ORÇAMENTO.Fonte," ",ORÇAMENTO.CodBarra)))</f>
        <v>0</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428" cm="1">
        <f t="array" aca="1" ref="AG128" ca="1">ROUND(IF(DESONERACAO="sim",REFERENCIA.Desonerado,REFERENCIA.NaoDesonerado),2)</f>
        <v>0</v>
      </c>
      <c r="AH128" s="429">
        <f t="shared" ca="1" si="73"/>
        <v>0.22</v>
      </c>
      <c r="AJ128" s="431"/>
      <c r="AL128" s="439"/>
      <c r="AM128" s="336">
        <f t="shared" ca="1" si="0"/>
        <v>0</v>
      </c>
      <c r="AN128" s="470" cm="1">
        <f t="array" aca="1" ref="AN128" ca="1">ROUND(ORÇAMENTO.CustoUnitario*(1+$AH128),2)</f>
        <v>0</v>
      </c>
    </row>
    <row r="129" spans="1:40" hidden="1" x14ac:dyDescent="0.2">
      <c r="A129" t="str">
        <f t="shared" si="60"/>
        <v>S</v>
      </c>
      <c r="B129">
        <f t="shared" ca="1" si="61"/>
        <v>2</v>
      </c>
      <c r="C129" t="str">
        <f t="shared" ca="1" si="62"/>
        <v>S</v>
      </c>
      <c r="D129">
        <f t="shared" ca="1" si="63"/>
        <v>0</v>
      </c>
      <c r="E129">
        <f ca="1">IF($C129=1,OFFSET(E129,-1,0)+MAX(1,COUNTIF(QCI!$A$13:$A$24,OFFSET(ORÇAMENTO!E129,-1,0))),OFFSET(E129,-1,0))</f>
        <v>7</v>
      </c>
      <c r="F129">
        <f t="shared" ca="1" si="64"/>
        <v>1</v>
      </c>
      <c r="G129">
        <f t="shared" ca="1" si="65"/>
        <v>0</v>
      </c>
      <c r="H129">
        <f t="shared" ca="1" si="66"/>
        <v>0</v>
      </c>
      <c r="I129">
        <f t="shared" ca="1" si="67"/>
        <v>0</v>
      </c>
      <c r="J129">
        <f t="shared" ca="1" si="68"/>
        <v>0</v>
      </c>
      <c r="K129">
        <f ca="1">IF(OR($C129="S",$C129=0),0,MATCH(OFFSET($D129,0,$C129)+IF($C129&lt;&gt;1,1,COUNTIF(QCI!$A$13:$A$24,ORÇAMENTO!E129)),OFFSET($D129,1,$C129,ROW($C$162)-ROW($C129)),0))</f>
        <v>0</v>
      </c>
      <c r="L129" s="114" t="str">
        <f t="shared" ca="1" si="69"/>
        <v/>
      </c>
      <c r="M129" s="115" t="s">
        <v>705</v>
      </c>
      <c r="N129" s="116" t="str">
        <f t="shared" ca="1" si="70"/>
        <v>Serviço</v>
      </c>
      <c r="O129" s="117" t="str">
        <f t="shared" ca="1" si="71"/>
        <v>-</v>
      </c>
      <c r="P129" s="118" t="s">
        <v>750</v>
      </c>
      <c r="Q129" s="119"/>
      <c r="R129" s="120" t="str" cm="1">
        <f t="array" aca="1" ref="R129" ca="1">IF($C129="S",REFERENCIA.Descricao,"(digite a descrição aqui)")</f>
        <v>(Sem Código)</v>
      </c>
      <c r="S129" s="121" t="str" cm="1">
        <f t="array" aca="1" ref="S129" ca="1">REFERENCIA.Unidade</f>
        <v>-</v>
      </c>
      <c r="T129" s="122">
        <f ca="1">OFFSET(CÁLCULO!H$15,ROW($T129)-ROW(T$15),0)</f>
        <v>0</v>
      </c>
      <c r="U129" s="123"/>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IF($C129="S",IF(OR(Import.TipoArredondamento&lt;&gt;"TransfereGOV",ACOMPANHAMENTO="BM"),VTOTAL1,SUM(OFFSET(CÁLCULO!$AA$15,ROW($X129)-ROW($X$15),1):OFFSET(CÁLCULO!$AL$15,ROW($X129)-ROW($X$15),-1))),IF($C129=0,0,ROUND(SomaAgrup,15-13*$AF$11)))</f>
        <v>0</v>
      </c>
      <c r="Y129" s="126" t="s">
        <v>751</v>
      </c>
      <c r="Z129" t="str">
        <f t="shared" ca="1" si="72"/>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b" cm="1">
        <f t="array" aca="1" ref="AE129" ca="1">IF(AND($C129="S",ORÇAMENTO.CodBarra&lt;&gt;""),IF(ORÇAMENTO.Fonte="",ORÇAMENTO.CodBarra,CONCATENATE(ORÇAMENTO.Fonte," ",ORÇAMENTO.CodBarra)))</f>
        <v>0</v>
      </c>
      <c r="AF129" s="12"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(Sem Código)</v>
      </c>
      <c r="AG129" s="428" cm="1">
        <f t="array" aca="1" ref="AG129" ca="1">ROUND(IF(DESONERACAO="sim",REFERENCIA.Desonerado,REFERENCIA.NaoDesonerado),2)</f>
        <v>0</v>
      </c>
      <c r="AH129" s="429">
        <f t="shared" ca="1" si="73"/>
        <v>0.22</v>
      </c>
      <c r="AJ129" s="431"/>
      <c r="AL129" s="439"/>
      <c r="AM129" s="336">
        <f t="shared" ca="1" si="0"/>
        <v>0</v>
      </c>
      <c r="AN129" s="470" cm="1">
        <f t="array" aca="1" ref="AN129" ca="1">ROUND(ORÇAMENTO.CustoUnitario*(1+$AH129),2)</f>
        <v>0</v>
      </c>
    </row>
    <row r="130" spans="1:40" hidden="1" x14ac:dyDescent="0.2">
      <c r="A130" t="str">
        <f t="shared" si="60"/>
        <v>S</v>
      </c>
      <c r="B130">
        <f t="shared" ca="1" si="61"/>
        <v>2</v>
      </c>
      <c r="C130" t="str">
        <f t="shared" ca="1" si="62"/>
        <v>S</v>
      </c>
      <c r="D130">
        <f t="shared" ca="1" si="63"/>
        <v>0</v>
      </c>
      <c r="E130">
        <f ca="1">IF($C130=1,OFFSET(E130,-1,0)+MAX(1,COUNTIF(QCI!$A$13:$A$24,OFFSET(ORÇAMENTO!E130,-1,0))),OFFSET(E130,-1,0))</f>
        <v>7</v>
      </c>
      <c r="F130">
        <f t="shared" ca="1" si="64"/>
        <v>1</v>
      </c>
      <c r="G130">
        <f t="shared" ca="1" si="65"/>
        <v>0</v>
      </c>
      <c r="H130">
        <f t="shared" ca="1" si="66"/>
        <v>0</v>
      </c>
      <c r="I130">
        <f t="shared" ca="1" si="67"/>
        <v>0</v>
      </c>
      <c r="J130">
        <f t="shared" ca="1" si="68"/>
        <v>0</v>
      </c>
      <c r="K130">
        <f ca="1">IF(OR($C130="S",$C130=0),0,MATCH(OFFSET($D130,0,$C130)+IF($C130&lt;&gt;1,1,COUNTIF(QCI!$A$13:$A$24,ORÇAMENTO!E130)),OFFSET($D130,1,$C130,ROW($C$162)-ROW($C130)),0))</f>
        <v>0</v>
      </c>
      <c r="L130" s="114" t="str">
        <f t="shared" ca="1" si="69"/>
        <v/>
      </c>
      <c r="M130" s="115" t="s">
        <v>705</v>
      </c>
      <c r="N130" s="116" t="str">
        <f t="shared" ca="1" si="70"/>
        <v>Serviço</v>
      </c>
      <c r="O130" s="117" t="str">
        <f t="shared" ca="1" si="71"/>
        <v>-</v>
      </c>
      <c r="P130" s="118" t="s">
        <v>750</v>
      </c>
      <c r="Q130" s="119"/>
      <c r="R130" s="120" t="str" cm="1">
        <f t="array" aca="1" ref="R130" ca="1">IF($C130="S",REFERENCIA.Descricao,"(digite a descrição aqui)")</f>
        <v>(Sem Código)</v>
      </c>
      <c r="S130" s="121" t="str" cm="1">
        <f t="array" aca="1" ref="S130" ca="1">REFERENCIA.Unidade</f>
        <v>-</v>
      </c>
      <c r="T130" s="122">
        <f ca="1">OFFSET(CÁLCULO!H$15,ROW($T130)-ROW(T$15),0)</f>
        <v>0</v>
      </c>
      <c r="U130" s="123"/>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IF($C130="S",IF(OR(Import.TipoArredondamento&lt;&gt;"TransfereGOV",ACOMPANHAMENTO="BM"),VTOTAL1,SUM(OFFSET(CÁLCULO!$AA$15,ROW($X130)-ROW($X$15),1):OFFSET(CÁLCULO!$AL$15,ROW($X130)-ROW($X$15),-1))),IF($C130=0,0,ROUND(SomaAgrup,15-13*$AF$11)))</f>
        <v>0</v>
      </c>
      <c r="Y130" s="126" t="s">
        <v>751</v>
      </c>
      <c r="Z130" t="str">
        <f t="shared" ca="1" si="72"/>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cm="1">
        <f t="array" aca="1" ref="AE130" ca="1">IF(AND($C130="S",ORÇAMENTO.CodBarra&lt;&gt;""),IF(ORÇAMENTO.Fonte="",ORÇAMENTO.CodBarra,CONCATENATE(ORÇAMENTO.Fonte," ",ORÇAMENTO.CodBarra)))</f>
        <v>0</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(Sem Código)</v>
      </c>
      <c r="AG130" s="428" cm="1">
        <f t="array" aca="1" ref="AG130" ca="1">ROUND(IF(DESONERACAO="sim",REFERENCIA.Desonerado,REFERENCIA.NaoDesonerado),2)</f>
        <v>0</v>
      </c>
      <c r="AH130" s="429">
        <f t="shared" ca="1" si="73"/>
        <v>0.22</v>
      </c>
      <c r="AJ130" s="431"/>
      <c r="AL130" s="439"/>
      <c r="AM130" s="336">
        <f t="shared" ca="1" si="0"/>
        <v>0</v>
      </c>
      <c r="AN130" s="470" cm="1">
        <f t="array" aca="1" ref="AN130" ca="1">ROUND(ORÇAMENTO.CustoUnitario*(1+$AH130),2)</f>
        <v>0</v>
      </c>
    </row>
    <row r="131" spans="1:40" hidden="1" x14ac:dyDescent="0.2">
      <c r="A131" t="str">
        <f t="shared" si="60"/>
        <v>S</v>
      </c>
      <c r="B131">
        <f t="shared" ca="1" si="61"/>
        <v>2</v>
      </c>
      <c r="C131" t="str">
        <f t="shared" ca="1" si="62"/>
        <v>S</v>
      </c>
      <c r="D131">
        <f t="shared" ca="1" si="63"/>
        <v>0</v>
      </c>
      <c r="E131">
        <f ca="1">IF($C131=1,OFFSET(E131,-1,0)+MAX(1,COUNTIF(QCI!$A$13:$A$24,OFFSET(ORÇAMENTO!E131,-1,0))),OFFSET(E131,-1,0))</f>
        <v>7</v>
      </c>
      <c r="F131">
        <f t="shared" ca="1" si="64"/>
        <v>1</v>
      </c>
      <c r="G131">
        <f t="shared" ca="1" si="65"/>
        <v>0</v>
      </c>
      <c r="H131">
        <f t="shared" ca="1" si="66"/>
        <v>0</v>
      </c>
      <c r="I131">
        <f t="shared" ca="1" si="67"/>
        <v>0</v>
      </c>
      <c r="J131">
        <f t="shared" ca="1" si="68"/>
        <v>0</v>
      </c>
      <c r="K131">
        <f ca="1">IF(OR($C131="S",$C131=0),0,MATCH(OFFSET($D131,0,$C131)+IF($C131&lt;&gt;1,1,COUNTIF(QCI!$A$13:$A$24,ORÇAMENTO!E131)),OFFSET($D131,1,$C131,ROW($C$162)-ROW($C131)),0))</f>
        <v>0</v>
      </c>
      <c r="L131" s="114" t="str">
        <f t="shared" ca="1" si="69"/>
        <v/>
      </c>
      <c r="M131" s="115" t="s">
        <v>705</v>
      </c>
      <c r="N131" s="116" t="str">
        <f t="shared" ca="1" si="70"/>
        <v>Serviço</v>
      </c>
      <c r="O131" s="117" t="str">
        <f t="shared" ca="1" si="71"/>
        <v>-</v>
      </c>
      <c r="P131" s="118" t="s">
        <v>750</v>
      </c>
      <c r="Q131" s="119"/>
      <c r="R131" s="120" t="str" cm="1">
        <f t="array" aca="1" ref="R131" ca="1">IF($C131="S",REFERENCIA.Descricao,"(digite a descrição aqui)")</f>
        <v>(Sem Código)</v>
      </c>
      <c r="S131" s="121" t="str" cm="1">
        <f t="array" aca="1" ref="S131" ca="1">REFERENCIA.Unidade</f>
        <v>-</v>
      </c>
      <c r="T131" s="122">
        <f ca="1">OFFSET(CÁLCULO!H$15,ROW($T131)-ROW(T$15),0)</f>
        <v>0</v>
      </c>
      <c r="U131" s="123"/>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IF($C131="S",IF(OR(Import.TipoArredondamento&lt;&gt;"TransfereGOV",ACOMPANHAMENTO="BM"),VTOTAL1,SUM(OFFSET(CÁLCULO!$AA$15,ROW($X131)-ROW($X$15),1):OFFSET(CÁLCULO!$AL$15,ROW($X131)-ROW($X$15),-1))),IF($C131=0,0,ROUND(SomaAgrup,15-13*$AF$11)))</f>
        <v>0</v>
      </c>
      <c r="Y131" s="126" t="s">
        <v>751</v>
      </c>
      <c r="Z131" t="str">
        <f t="shared" ca="1" si="72"/>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cm="1">
        <f t="array" aca="1" ref="AE131" ca="1">IF(AND($C131="S",ORÇAMENTO.CodBarra&lt;&gt;""),IF(ORÇAMENTO.Fonte="",ORÇAMENTO.CodBarra,CONCATENATE(ORÇAMENTO.Fonte," ",ORÇAMENTO.CodBarra)))</f>
        <v>0</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(Sem Código)</v>
      </c>
      <c r="AG131" s="428" cm="1">
        <f t="array" aca="1" ref="AG131" ca="1">ROUND(IF(DESONERACAO="sim",REFERENCIA.Desonerado,REFERENCIA.NaoDesonerado),2)</f>
        <v>0</v>
      </c>
      <c r="AH131" s="429">
        <f t="shared" ca="1" si="73"/>
        <v>0.22</v>
      </c>
      <c r="AJ131" s="431"/>
      <c r="AL131" s="439"/>
      <c r="AM131" s="336">
        <f t="shared" ca="1" si="0"/>
        <v>0</v>
      </c>
      <c r="AN131" s="470" cm="1">
        <f t="array" aca="1" ref="AN131" ca="1">ROUND(ORÇAMENTO.CustoUnitario*(1+$AH131),2)</f>
        <v>0</v>
      </c>
    </row>
    <row r="132" spans="1:40" hidden="1" x14ac:dyDescent="0.2">
      <c r="A132" t="str">
        <f t="shared" si="60"/>
        <v>S</v>
      </c>
      <c r="B132">
        <f t="shared" ca="1" si="61"/>
        <v>2</v>
      </c>
      <c r="C132" t="str">
        <f t="shared" ca="1" si="62"/>
        <v>S</v>
      </c>
      <c r="D132">
        <f t="shared" ca="1" si="63"/>
        <v>0</v>
      </c>
      <c r="E132">
        <f ca="1">IF($C132=1,OFFSET(E132,-1,0)+MAX(1,COUNTIF(QCI!$A$13:$A$24,OFFSET(ORÇAMENTO!E132,-1,0))),OFFSET(E132,-1,0))</f>
        <v>7</v>
      </c>
      <c r="F132">
        <f t="shared" ca="1" si="64"/>
        <v>1</v>
      </c>
      <c r="G132">
        <f t="shared" ca="1" si="65"/>
        <v>0</v>
      </c>
      <c r="H132">
        <f t="shared" ca="1" si="66"/>
        <v>0</v>
      </c>
      <c r="I132">
        <f t="shared" ca="1" si="67"/>
        <v>0</v>
      </c>
      <c r="J132">
        <f t="shared" ca="1" si="68"/>
        <v>0</v>
      </c>
      <c r="K132">
        <f ca="1">IF(OR($C132="S",$C132=0),0,MATCH(OFFSET($D132,0,$C132)+IF($C132&lt;&gt;1,1,COUNTIF(QCI!$A$13:$A$24,ORÇAMENTO!E132)),OFFSET($D132,1,$C132,ROW($C$162)-ROW($C132)),0))</f>
        <v>0</v>
      </c>
      <c r="L132" s="114" t="str">
        <f t="shared" ca="1" si="69"/>
        <v/>
      </c>
      <c r="M132" s="115" t="s">
        <v>705</v>
      </c>
      <c r="N132" s="116" t="str">
        <f t="shared" ca="1" si="70"/>
        <v>Serviço</v>
      </c>
      <c r="O132" s="117" t="str">
        <f t="shared" ca="1" si="71"/>
        <v>-</v>
      </c>
      <c r="P132" s="118" t="s">
        <v>750</v>
      </c>
      <c r="Q132" s="119"/>
      <c r="R132" s="120" t="str" cm="1">
        <f t="array" aca="1" ref="R132" ca="1">IF($C132="S",REFERENCIA.Descricao,"(digite a descrição aqui)")</f>
        <v>(Sem Código)</v>
      </c>
      <c r="S132" s="121" t="str" cm="1">
        <f t="array" aca="1" ref="S132" ca="1">REFERENCIA.Unidade</f>
        <v>-</v>
      </c>
      <c r="T132" s="122">
        <f ca="1">OFFSET(CÁLCULO!H$15,ROW($T132)-ROW(T$15),0)</f>
        <v>0</v>
      </c>
      <c r="U132" s="123"/>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IF($C132="S",IF(OR(Import.TipoArredondamento&lt;&gt;"TransfereGOV",ACOMPANHAMENTO="BM"),VTOTAL1,SUM(OFFSET(CÁLCULO!$AA$15,ROW($X132)-ROW($X$15),1):OFFSET(CÁLCULO!$AL$15,ROW($X132)-ROW($X$15),-1))),IF($C132=0,0,ROUND(SomaAgrup,15-13*$AF$11)))</f>
        <v>0</v>
      </c>
      <c r="Y132" s="126" t="s">
        <v>751</v>
      </c>
      <c r="Z132" t="str">
        <f t="shared" ca="1" si="72"/>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b" cm="1">
        <f t="array" aca="1" ref="AE132" ca="1">IF(AND($C132="S",ORÇAMENTO.CodBarra&lt;&gt;""),IF(ORÇAMENTO.Fonte="",ORÇAMENTO.CodBarra,CONCATENATE(ORÇAMENTO.Fonte," ",ORÇAMENTO.CodBarra)))</f>
        <v>0</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(Sem Código)</v>
      </c>
      <c r="AG132" s="428" cm="1">
        <f t="array" aca="1" ref="AG132" ca="1">ROUND(IF(DESONERACAO="sim",REFERENCIA.Desonerado,REFERENCIA.NaoDesonerado),2)</f>
        <v>0</v>
      </c>
      <c r="AH132" s="429">
        <f t="shared" ca="1" si="73"/>
        <v>0.22</v>
      </c>
      <c r="AJ132" s="431"/>
      <c r="AL132" s="439"/>
      <c r="AM132" s="336">
        <f t="shared" ca="1" si="0"/>
        <v>0</v>
      </c>
      <c r="AN132" s="470" cm="1">
        <f t="array" aca="1" ref="AN132" ca="1">ROUND(ORÇAMENTO.CustoUnitario*(1+$AH132),2)</f>
        <v>0</v>
      </c>
    </row>
    <row r="133" spans="1:40" hidden="1" x14ac:dyDescent="0.2">
      <c r="A133" t="str">
        <f t="shared" si="60"/>
        <v>S</v>
      </c>
      <c r="B133">
        <f t="shared" ca="1" si="61"/>
        <v>2</v>
      </c>
      <c r="C133" t="str">
        <f t="shared" ca="1" si="62"/>
        <v>S</v>
      </c>
      <c r="D133">
        <f t="shared" ca="1" si="63"/>
        <v>0</v>
      </c>
      <c r="E133">
        <f ca="1">IF($C133=1,OFFSET(E133,-1,0)+MAX(1,COUNTIF(QCI!$A$13:$A$24,OFFSET(ORÇAMENTO!E133,-1,0))),OFFSET(E133,-1,0))</f>
        <v>7</v>
      </c>
      <c r="F133">
        <f t="shared" ca="1" si="64"/>
        <v>1</v>
      </c>
      <c r="G133">
        <f t="shared" ca="1" si="65"/>
        <v>0</v>
      </c>
      <c r="H133">
        <f t="shared" ca="1" si="66"/>
        <v>0</v>
      </c>
      <c r="I133">
        <f t="shared" ca="1" si="67"/>
        <v>0</v>
      </c>
      <c r="J133">
        <f t="shared" ca="1" si="68"/>
        <v>0</v>
      </c>
      <c r="K133">
        <f ca="1">IF(OR($C133="S",$C133=0),0,MATCH(OFFSET($D133,0,$C133)+IF($C133&lt;&gt;1,1,COUNTIF(QCI!$A$13:$A$24,ORÇAMENTO!E133)),OFFSET($D133,1,$C133,ROW($C$162)-ROW($C133)),0))</f>
        <v>0</v>
      </c>
      <c r="L133" s="114" t="str">
        <f t="shared" ca="1" si="69"/>
        <v/>
      </c>
      <c r="M133" s="115" t="s">
        <v>705</v>
      </c>
      <c r="N133" s="116" t="str">
        <f t="shared" ca="1" si="70"/>
        <v>Serviço</v>
      </c>
      <c r="O133" s="117" t="str">
        <f t="shared" ca="1" si="71"/>
        <v>-</v>
      </c>
      <c r="P133" s="118" t="s">
        <v>750</v>
      </c>
      <c r="Q133" s="119"/>
      <c r="R133" s="120" t="str" cm="1">
        <f t="array" aca="1" ref="R133" ca="1">IF($C133="S",REFERENCIA.Descricao,"(digite a descrição aqui)")</f>
        <v>(Sem Código)</v>
      </c>
      <c r="S133" s="121" t="str" cm="1">
        <f t="array" aca="1" ref="S133" ca="1">REFERENCIA.Unidade</f>
        <v>-</v>
      </c>
      <c r="T133" s="122">
        <f ca="1">OFFSET(CÁLCULO!H$15,ROW($T133)-ROW(T$15),0)</f>
        <v>0</v>
      </c>
      <c r="U133" s="123"/>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0</v>
      </c>
      <c r="Y133" s="126" t="s">
        <v>751</v>
      </c>
      <c r="Z133" t="str">
        <f t="shared" ca="1" si="72"/>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cm="1">
        <f t="array" aca="1" ref="AE133" ca="1">IF(AND($C133="S",ORÇAMENTO.CodBarra&lt;&gt;""),IF(ORÇAMENTO.Fonte="",ORÇAMENTO.CodBarra,CONCATENATE(ORÇAMENTO.Fonte," ",ORÇAMENTO.CodBarra)))</f>
        <v>0</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(Sem Código)</v>
      </c>
      <c r="AG133" s="428" cm="1">
        <f t="array" aca="1" ref="AG133" ca="1">ROUND(IF(DESONERACAO="sim",REFERENCIA.Desonerado,REFERENCIA.NaoDesonerado),2)</f>
        <v>0</v>
      </c>
      <c r="AH133" s="429">
        <f t="shared" ca="1" si="73"/>
        <v>0.22</v>
      </c>
      <c r="AJ133" s="431"/>
      <c r="AL133" s="439"/>
      <c r="AM133" s="336">
        <f t="shared" ca="1" si="0"/>
        <v>0</v>
      </c>
      <c r="AN133" s="470" cm="1">
        <f t="array" aca="1" ref="AN133" ca="1">ROUND(ORÇAMENTO.CustoUnitario*(1+$AH133),2)</f>
        <v>0</v>
      </c>
    </row>
    <row r="134" spans="1:40" hidden="1" x14ac:dyDescent="0.2">
      <c r="A134" t="str">
        <f t="shared" si="60"/>
        <v>S</v>
      </c>
      <c r="B134">
        <f t="shared" ca="1" si="61"/>
        <v>2</v>
      </c>
      <c r="C134" t="str">
        <f t="shared" ca="1" si="62"/>
        <v>S</v>
      </c>
      <c r="D134">
        <f t="shared" ca="1" si="63"/>
        <v>0</v>
      </c>
      <c r="E134">
        <f ca="1">IF($C134=1,OFFSET(E134,-1,0)+MAX(1,COUNTIF(QCI!$A$13:$A$24,OFFSET(ORÇAMENTO!E134,-1,0))),OFFSET(E134,-1,0))</f>
        <v>7</v>
      </c>
      <c r="F134">
        <f t="shared" ca="1" si="64"/>
        <v>1</v>
      </c>
      <c r="G134">
        <f t="shared" ca="1" si="65"/>
        <v>0</v>
      </c>
      <c r="H134">
        <f t="shared" ca="1" si="66"/>
        <v>0</v>
      </c>
      <c r="I134">
        <f t="shared" ca="1" si="67"/>
        <v>0</v>
      </c>
      <c r="J134">
        <f t="shared" ca="1" si="68"/>
        <v>0</v>
      </c>
      <c r="K134">
        <f ca="1">IF(OR($C134="S",$C134=0),0,MATCH(OFFSET($D134,0,$C134)+IF($C134&lt;&gt;1,1,COUNTIF(QCI!$A$13:$A$24,ORÇAMENTO!E134)),OFFSET($D134,1,$C134,ROW($C$162)-ROW($C134)),0))</f>
        <v>0</v>
      </c>
      <c r="L134" s="114" t="str">
        <f t="shared" ca="1" si="69"/>
        <v/>
      </c>
      <c r="M134" s="115" t="s">
        <v>705</v>
      </c>
      <c r="N134" s="116" t="str">
        <f t="shared" ca="1" si="70"/>
        <v>Serviço</v>
      </c>
      <c r="O134" s="117" t="str">
        <f t="shared" ca="1" si="71"/>
        <v>-</v>
      </c>
      <c r="P134" s="118" t="s">
        <v>750</v>
      </c>
      <c r="Q134" s="119"/>
      <c r="R134" s="120" t="str" cm="1">
        <f t="array" aca="1" ref="R134" ca="1">IF($C134="S",REFERENCIA.Descricao,"(digite a descrição aqui)")</f>
        <v>(Sem Código)</v>
      </c>
      <c r="S134" s="121" t="str" cm="1">
        <f t="array" aca="1" ref="S134" ca="1">REFERENCIA.Unidade</f>
        <v>-</v>
      </c>
      <c r="T134" s="122">
        <f ca="1">OFFSET(CÁLCULO!H$15,ROW($T134)-ROW(T$15),0)</f>
        <v>0</v>
      </c>
      <c r="U134" s="123"/>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IF($C134="S",IF(OR(Import.TipoArredondamento&lt;&gt;"TransfereGOV",ACOMPANHAMENTO="BM"),VTOTAL1,SUM(OFFSET(CÁLCULO!$AA$15,ROW($X134)-ROW($X$15),1):OFFSET(CÁLCULO!$AL$15,ROW($X134)-ROW($X$15),-1))),IF($C134=0,0,ROUND(SomaAgrup,15-13*$AF$11)))</f>
        <v>0</v>
      </c>
      <c r="Y134" s="126" t="s">
        <v>751</v>
      </c>
      <c r="Z134" t="str">
        <f t="shared" ca="1" si="72"/>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b" cm="1">
        <f t="array" aca="1" ref="AE134" ca="1">IF(AND($C134="S",ORÇAMENTO.CodBarra&lt;&gt;""),IF(ORÇAMENTO.Fonte="",ORÇAMENTO.CodBarra,CONCATENATE(ORÇAMENTO.Fonte," ",ORÇAMENTO.CodBarra)))</f>
        <v>0</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(Sem Código)</v>
      </c>
      <c r="AG134" s="428" cm="1">
        <f t="array" aca="1" ref="AG134" ca="1">ROUND(IF(DESONERACAO="sim",REFERENCIA.Desonerado,REFERENCIA.NaoDesonerado),2)</f>
        <v>0</v>
      </c>
      <c r="AH134" s="429">
        <f t="shared" ca="1" si="73"/>
        <v>0.22</v>
      </c>
      <c r="AJ134" s="431"/>
      <c r="AL134" s="439"/>
      <c r="AM134" s="336">
        <f t="shared" ca="1" si="0"/>
        <v>0</v>
      </c>
      <c r="AN134" s="470" cm="1">
        <f t="array" aca="1" ref="AN134" ca="1">ROUND(ORÇAMENTO.CustoUnitario*(1+$AH134),2)</f>
        <v>0</v>
      </c>
    </row>
    <row r="135" spans="1:40" hidden="1" x14ac:dyDescent="0.2">
      <c r="A135" t="str">
        <f t="shared" si="60"/>
        <v>S</v>
      </c>
      <c r="B135">
        <f t="shared" ca="1" si="61"/>
        <v>2</v>
      </c>
      <c r="C135" t="str">
        <f t="shared" ca="1" si="62"/>
        <v>S</v>
      </c>
      <c r="D135">
        <f t="shared" ca="1" si="63"/>
        <v>0</v>
      </c>
      <c r="E135">
        <f ca="1">IF($C135=1,OFFSET(E135,-1,0)+MAX(1,COUNTIF(QCI!$A$13:$A$24,OFFSET(ORÇAMENTO!E135,-1,0))),OFFSET(E135,-1,0))</f>
        <v>7</v>
      </c>
      <c r="F135">
        <f t="shared" ca="1" si="64"/>
        <v>1</v>
      </c>
      <c r="G135">
        <f t="shared" ca="1" si="65"/>
        <v>0</v>
      </c>
      <c r="H135">
        <f t="shared" ca="1" si="66"/>
        <v>0</v>
      </c>
      <c r="I135">
        <f t="shared" ca="1" si="67"/>
        <v>0</v>
      </c>
      <c r="J135">
        <f t="shared" ca="1" si="68"/>
        <v>0</v>
      </c>
      <c r="K135">
        <f ca="1">IF(OR($C135="S",$C135=0),0,MATCH(OFFSET($D135,0,$C135)+IF($C135&lt;&gt;1,1,COUNTIF(QCI!$A$13:$A$24,ORÇAMENTO!E135)),OFFSET($D135,1,$C135,ROW($C$162)-ROW($C135)),0))</f>
        <v>0</v>
      </c>
      <c r="L135" s="114" t="str">
        <f t="shared" ca="1" si="69"/>
        <v/>
      </c>
      <c r="M135" s="115" t="s">
        <v>705</v>
      </c>
      <c r="N135" s="116" t="str">
        <f t="shared" ca="1" si="70"/>
        <v>Serviço</v>
      </c>
      <c r="O135" s="117" t="str">
        <f t="shared" ca="1" si="71"/>
        <v>-</v>
      </c>
      <c r="P135" s="118" t="s">
        <v>750</v>
      </c>
      <c r="Q135" s="119"/>
      <c r="R135" s="120" t="str" cm="1">
        <f t="array" aca="1" ref="R135" ca="1">IF($C135="S",REFERENCIA.Descricao,"(digite a descrição aqui)")</f>
        <v>(Sem Código)</v>
      </c>
      <c r="S135" s="121" t="str" cm="1">
        <f t="array" aca="1" ref="S135" ca="1">REFERENCIA.Unidade</f>
        <v>-</v>
      </c>
      <c r="T135" s="122">
        <f ca="1">OFFSET(CÁLCULO!H$15,ROW($T135)-ROW(T$15),0)</f>
        <v>0</v>
      </c>
      <c r="U135" s="123"/>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IF($C135="S",IF(OR(Import.TipoArredondamento&lt;&gt;"TransfereGOV",ACOMPANHAMENTO="BM"),VTOTAL1,SUM(OFFSET(CÁLCULO!$AA$15,ROW($X135)-ROW($X$15),1):OFFSET(CÁLCULO!$AL$15,ROW($X135)-ROW($X$15),-1))),IF($C135=0,0,ROUND(SomaAgrup,15-13*$AF$11)))</f>
        <v>0</v>
      </c>
      <c r="Y135" s="126" t="s">
        <v>751</v>
      </c>
      <c r="Z135" t="str">
        <f t="shared" ca="1" si="72"/>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b" cm="1">
        <f t="array" aca="1" ref="AE135" ca="1">IF(AND($C135="S",ORÇAMENTO.CodBarra&lt;&gt;""),IF(ORÇAMENTO.Fonte="",ORÇAMENTO.CodBarra,CONCATENATE(ORÇAMENTO.Fonte," ",ORÇAMENTO.CodBarra)))</f>
        <v>0</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(Sem Código)</v>
      </c>
      <c r="AG135" s="428" cm="1">
        <f t="array" aca="1" ref="AG135" ca="1">ROUND(IF(DESONERACAO="sim",REFERENCIA.Desonerado,REFERENCIA.NaoDesonerado),2)</f>
        <v>0</v>
      </c>
      <c r="AH135" s="429">
        <f t="shared" ca="1" si="73"/>
        <v>0.22</v>
      </c>
      <c r="AJ135" s="431"/>
      <c r="AL135" s="439"/>
      <c r="AM135" s="336">
        <f t="shared" ca="1" si="0"/>
        <v>0</v>
      </c>
      <c r="AN135" s="470" cm="1">
        <f t="array" aca="1" ref="AN135" ca="1">ROUND(ORÇAMENTO.CustoUnitario*(1+$AH135),2)</f>
        <v>0</v>
      </c>
    </row>
    <row r="136" spans="1:40" hidden="1" x14ac:dyDescent="0.2">
      <c r="A136" t="str">
        <f t="shared" si="60"/>
        <v>S</v>
      </c>
      <c r="B136">
        <f t="shared" ca="1" si="61"/>
        <v>2</v>
      </c>
      <c r="C136" t="str">
        <f t="shared" ca="1" si="62"/>
        <v>S</v>
      </c>
      <c r="D136">
        <f t="shared" ca="1" si="63"/>
        <v>0</v>
      </c>
      <c r="E136">
        <f ca="1">IF($C136=1,OFFSET(E136,-1,0)+MAX(1,COUNTIF(QCI!$A$13:$A$24,OFFSET(ORÇAMENTO!E136,-1,0))),OFFSET(E136,-1,0))</f>
        <v>7</v>
      </c>
      <c r="F136">
        <f t="shared" ca="1" si="64"/>
        <v>1</v>
      </c>
      <c r="G136">
        <f t="shared" ca="1" si="65"/>
        <v>0</v>
      </c>
      <c r="H136">
        <f t="shared" ca="1" si="66"/>
        <v>0</v>
      </c>
      <c r="I136">
        <f t="shared" ca="1" si="67"/>
        <v>0</v>
      </c>
      <c r="J136">
        <f t="shared" ca="1" si="68"/>
        <v>0</v>
      </c>
      <c r="K136">
        <f ca="1">IF(OR($C136="S",$C136=0),0,MATCH(OFFSET($D136,0,$C136)+IF($C136&lt;&gt;1,1,COUNTIF(QCI!$A$13:$A$24,ORÇAMENTO!E136)),OFFSET($D136,1,$C136,ROW($C$162)-ROW($C136)),0))</f>
        <v>0</v>
      </c>
      <c r="L136" s="114" t="str">
        <f t="shared" ca="1" si="69"/>
        <v/>
      </c>
      <c r="M136" s="115" t="s">
        <v>705</v>
      </c>
      <c r="N136" s="116" t="str">
        <f t="shared" ca="1" si="70"/>
        <v>Serviço</v>
      </c>
      <c r="O136" s="117" t="str">
        <f t="shared" ca="1" si="71"/>
        <v>-</v>
      </c>
      <c r="P136" s="118" t="s">
        <v>750</v>
      </c>
      <c r="Q136" s="119"/>
      <c r="R136" s="120" t="str" cm="1">
        <f t="array" aca="1" ref="R136" ca="1">IF($C136="S",REFERENCIA.Descricao,"(digite a descrição aqui)")</f>
        <v>(Sem Código)</v>
      </c>
      <c r="S136" s="121" t="str" cm="1">
        <f t="array" aca="1" ref="S136" ca="1">REFERENCIA.Unidade</f>
        <v>-</v>
      </c>
      <c r="T136" s="122">
        <f ca="1">OFFSET(CÁLCULO!H$15,ROW($T136)-ROW(T$15),0)</f>
        <v>0</v>
      </c>
      <c r="U136" s="123"/>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IF($C136="S",IF(OR(Import.TipoArredondamento&lt;&gt;"TransfereGOV",ACOMPANHAMENTO="BM"),VTOTAL1,SUM(OFFSET(CÁLCULO!$AA$15,ROW($X136)-ROW($X$15),1):OFFSET(CÁLCULO!$AL$15,ROW($X136)-ROW($X$15),-1))),IF($C136=0,0,ROUND(SomaAgrup,15-13*$AF$11)))</f>
        <v>0</v>
      </c>
      <c r="Y136" s="126" t="s">
        <v>751</v>
      </c>
      <c r="Z136" t="str">
        <f t="shared" ca="1" si="72"/>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b" cm="1">
        <f t="array" aca="1" ref="AE136" ca="1">IF(AND($C136="S",ORÇAMENTO.CodBarra&lt;&gt;""),IF(ORÇAMENTO.Fonte="",ORÇAMENTO.CodBarra,CONCATENATE(ORÇAMENTO.Fonte," ",ORÇAMENTO.CodBarra)))</f>
        <v>0</v>
      </c>
      <c r="AF136" s="12"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(Sem Código)</v>
      </c>
      <c r="AG136" s="428" cm="1">
        <f t="array" aca="1" ref="AG136" ca="1">ROUND(IF(DESONERACAO="sim",REFERENCIA.Desonerado,REFERENCIA.NaoDesonerado),2)</f>
        <v>0</v>
      </c>
      <c r="AH136" s="429">
        <f t="shared" ca="1" si="73"/>
        <v>0.22</v>
      </c>
      <c r="AJ136" s="431"/>
      <c r="AL136" s="439"/>
      <c r="AM136" s="336">
        <f t="shared" ca="1" si="0"/>
        <v>0</v>
      </c>
      <c r="AN136" s="470" cm="1">
        <f t="array" aca="1" ref="AN136" ca="1">ROUND(ORÇAMENTO.CustoUnitario*(1+$AH136),2)</f>
        <v>0</v>
      </c>
    </row>
    <row r="137" spans="1:40" hidden="1" x14ac:dyDescent="0.2">
      <c r="A137" t="str">
        <f t="shared" si="60"/>
        <v>S</v>
      </c>
      <c r="B137">
        <f t="shared" ca="1" si="61"/>
        <v>2</v>
      </c>
      <c r="C137" t="str">
        <f t="shared" ca="1" si="62"/>
        <v>S</v>
      </c>
      <c r="D137">
        <f t="shared" ca="1" si="63"/>
        <v>0</v>
      </c>
      <c r="E137">
        <f ca="1">IF($C137=1,OFFSET(E137,-1,0)+MAX(1,COUNTIF(QCI!$A$13:$A$24,OFFSET(ORÇAMENTO!E137,-1,0))),OFFSET(E137,-1,0))</f>
        <v>7</v>
      </c>
      <c r="F137">
        <f t="shared" ca="1" si="64"/>
        <v>1</v>
      </c>
      <c r="G137">
        <f t="shared" ca="1" si="65"/>
        <v>0</v>
      </c>
      <c r="H137">
        <f t="shared" ca="1" si="66"/>
        <v>0</v>
      </c>
      <c r="I137">
        <f t="shared" ca="1" si="67"/>
        <v>0</v>
      </c>
      <c r="J137">
        <f t="shared" ca="1" si="68"/>
        <v>0</v>
      </c>
      <c r="K137">
        <f ca="1">IF(OR($C137="S",$C137=0),0,MATCH(OFFSET($D137,0,$C137)+IF($C137&lt;&gt;1,1,COUNTIF(QCI!$A$13:$A$24,ORÇAMENTO!E137)),OFFSET($D137,1,$C137,ROW($C$162)-ROW($C137)),0))</f>
        <v>0</v>
      </c>
      <c r="L137" s="114" t="str">
        <f t="shared" ca="1" si="69"/>
        <v/>
      </c>
      <c r="M137" s="115" t="s">
        <v>705</v>
      </c>
      <c r="N137" s="116" t="str">
        <f t="shared" ca="1" si="70"/>
        <v>Serviço</v>
      </c>
      <c r="O137" s="117" t="str">
        <f t="shared" ca="1" si="71"/>
        <v>-</v>
      </c>
      <c r="P137" s="118" t="s">
        <v>750</v>
      </c>
      <c r="Q137" s="119"/>
      <c r="R137" s="120" t="str" cm="1">
        <f t="array" aca="1" ref="R137" ca="1">IF($C137="S",REFERENCIA.Descricao,"(digite a descrição aqui)")</f>
        <v>(Sem Código)</v>
      </c>
      <c r="S137" s="121" t="str" cm="1">
        <f t="array" aca="1" ref="S137" ca="1">REFERENCIA.Unidade</f>
        <v>-</v>
      </c>
      <c r="T137" s="122">
        <f ca="1">OFFSET(CÁLCULO!H$15,ROW($T137)-ROW(T$15),0)</f>
        <v>0</v>
      </c>
      <c r="U137" s="123"/>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IF($C137="S",IF(OR(Import.TipoArredondamento&lt;&gt;"TransfereGOV",ACOMPANHAMENTO="BM"),VTOTAL1,SUM(OFFSET(CÁLCULO!$AA$15,ROW($X137)-ROW($X$15),1):OFFSET(CÁLCULO!$AL$15,ROW($X137)-ROW($X$15),-1))),IF($C137=0,0,ROUND(SomaAgrup,15-13*$AF$11)))</f>
        <v>0</v>
      </c>
      <c r="Y137" s="126" t="s">
        <v>751</v>
      </c>
      <c r="Z137" t="str">
        <f t="shared" ca="1" si="72"/>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b" cm="1">
        <f t="array" aca="1" ref="AE137" ca="1">IF(AND($C137="S",ORÇAMENTO.CodBarra&lt;&gt;""),IF(ORÇAMENTO.Fonte="",ORÇAMENTO.CodBarra,CONCATENATE(ORÇAMENTO.Fonte," ",ORÇAMENTO.CodBarra)))</f>
        <v>0</v>
      </c>
      <c r="AF137" s="12"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(Sem Código)</v>
      </c>
      <c r="AG137" s="428" cm="1">
        <f t="array" aca="1" ref="AG137" ca="1">ROUND(IF(DESONERACAO="sim",REFERENCIA.Desonerado,REFERENCIA.NaoDesonerado),2)</f>
        <v>0</v>
      </c>
      <c r="AH137" s="429">
        <f t="shared" ca="1" si="73"/>
        <v>0.22</v>
      </c>
      <c r="AJ137" s="431"/>
      <c r="AL137" s="439"/>
      <c r="AM137" s="336">
        <f t="shared" ca="1" si="0"/>
        <v>0</v>
      </c>
      <c r="AN137" s="470" cm="1">
        <f t="array" aca="1" ref="AN137" ca="1">ROUND(ORÇAMENTO.CustoUnitario*(1+$AH137),2)</f>
        <v>0</v>
      </c>
    </row>
    <row r="138" spans="1:40" hidden="1" x14ac:dyDescent="0.2">
      <c r="A138" t="str">
        <f t="shared" si="60"/>
        <v>S</v>
      </c>
      <c r="B138">
        <f t="shared" ca="1" si="61"/>
        <v>2</v>
      </c>
      <c r="C138" t="str">
        <f t="shared" ca="1" si="62"/>
        <v>S</v>
      </c>
      <c r="D138">
        <f t="shared" ca="1" si="63"/>
        <v>0</v>
      </c>
      <c r="E138">
        <f ca="1">IF($C138=1,OFFSET(E138,-1,0)+MAX(1,COUNTIF(QCI!$A$13:$A$24,OFFSET(ORÇAMENTO!E138,-1,0))),OFFSET(E138,-1,0))</f>
        <v>7</v>
      </c>
      <c r="F138">
        <f t="shared" ca="1" si="64"/>
        <v>1</v>
      </c>
      <c r="G138">
        <f t="shared" ca="1" si="65"/>
        <v>0</v>
      </c>
      <c r="H138">
        <f t="shared" ca="1" si="66"/>
        <v>0</v>
      </c>
      <c r="I138">
        <f t="shared" ca="1" si="67"/>
        <v>0</v>
      </c>
      <c r="J138">
        <f t="shared" ca="1" si="68"/>
        <v>0</v>
      </c>
      <c r="K138">
        <f ca="1">IF(OR($C138="S",$C138=0),0,MATCH(OFFSET($D138,0,$C138)+IF($C138&lt;&gt;1,1,COUNTIF(QCI!$A$13:$A$24,ORÇAMENTO!E138)),OFFSET($D138,1,$C138,ROW($C$162)-ROW($C138)),0))</f>
        <v>0</v>
      </c>
      <c r="L138" s="114" t="str">
        <f t="shared" ca="1" si="69"/>
        <v/>
      </c>
      <c r="M138" s="115" t="s">
        <v>705</v>
      </c>
      <c r="N138" s="116" t="str">
        <f t="shared" ca="1" si="70"/>
        <v>Serviço</v>
      </c>
      <c r="O138" s="117" t="str">
        <f t="shared" ca="1" si="71"/>
        <v>-</v>
      </c>
      <c r="P138" s="118" t="s">
        <v>750</v>
      </c>
      <c r="Q138" s="119"/>
      <c r="R138" s="120" t="str" cm="1">
        <f t="array" aca="1" ref="R138" ca="1">IF($C138="S",REFERENCIA.Descricao,"(digite a descrição aqui)")</f>
        <v>(Sem Código)</v>
      </c>
      <c r="S138" s="121" t="str" cm="1">
        <f t="array" aca="1" ref="S138" ca="1">REFERENCIA.Unidade</f>
        <v>-</v>
      </c>
      <c r="T138" s="122">
        <f ca="1">OFFSET(CÁLCULO!H$15,ROW($T138)-ROW(T$15),0)</f>
        <v>0</v>
      </c>
      <c r="U138" s="123"/>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IF($C138="S",IF(OR(Import.TipoArredondamento&lt;&gt;"TransfereGOV",ACOMPANHAMENTO="BM"),VTOTAL1,SUM(OFFSET(CÁLCULO!$AA$15,ROW($X138)-ROW($X$15),1):OFFSET(CÁLCULO!$AL$15,ROW($X138)-ROW($X$15),-1))),IF($C138=0,0,ROUND(SomaAgrup,15-13*$AF$11)))</f>
        <v>0</v>
      </c>
      <c r="Y138" s="126" t="s">
        <v>751</v>
      </c>
      <c r="Z138" t="str">
        <f t="shared" ca="1" si="72"/>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b" cm="1">
        <f t="array" aca="1" ref="AE138" ca="1">IF(AND($C138="S",ORÇAMENTO.CodBarra&lt;&gt;""),IF(ORÇAMENTO.Fonte="",ORÇAMENTO.CodBarra,CONCATENATE(ORÇAMENTO.Fonte," ",ORÇAMENTO.CodBarra)))</f>
        <v>0</v>
      </c>
      <c r="AF138" s="12"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(Sem Código)</v>
      </c>
      <c r="AG138" s="428" cm="1">
        <f t="array" aca="1" ref="AG138" ca="1">ROUND(IF(DESONERACAO="sim",REFERENCIA.Desonerado,REFERENCIA.NaoDesonerado),2)</f>
        <v>0</v>
      </c>
      <c r="AH138" s="429">
        <f t="shared" ca="1" si="73"/>
        <v>0.22</v>
      </c>
      <c r="AJ138" s="431"/>
      <c r="AL138" s="439"/>
      <c r="AM138" s="336">
        <f t="shared" ca="1" si="0"/>
        <v>0</v>
      </c>
      <c r="AN138" s="470" cm="1">
        <f t="array" aca="1" ref="AN138" ca="1">ROUND(ORÇAMENTO.CustoUnitario*(1+$AH138),2)</f>
        <v>0</v>
      </c>
    </row>
    <row r="139" spans="1:40" hidden="1" x14ac:dyDescent="0.2">
      <c r="A139" t="str">
        <f t="shared" si="60"/>
        <v>S</v>
      </c>
      <c r="B139">
        <f t="shared" ca="1" si="61"/>
        <v>2</v>
      </c>
      <c r="C139" t="str">
        <f t="shared" ca="1" si="62"/>
        <v>S</v>
      </c>
      <c r="D139">
        <f t="shared" ca="1" si="63"/>
        <v>0</v>
      </c>
      <c r="E139">
        <f ca="1">IF($C139=1,OFFSET(E139,-1,0)+MAX(1,COUNTIF(QCI!$A$13:$A$24,OFFSET(ORÇAMENTO!E139,-1,0))),OFFSET(E139,-1,0))</f>
        <v>7</v>
      </c>
      <c r="F139">
        <f t="shared" ca="1" si="64"/>
        <v>1</v>
      </c>
      <c r="G139">
        <f t="shared" ca="1" si="65"/>
        <v>0</v>
      </c>
      <c r="H139">
        <f t="shared" ca="1" si="66"/>
        <v>0</v>
      </c>
      <c r="I139">
        <f t="shared" ca="1" si="67"/>
        <v>0</v>
      </c>
      <c r="J139">
        <f t="shared" ca="1" si="68"/>
        <v>0</v>
      </c>
      <c r="K139">
        <f ca="1">IF(OR($C139="S",$C139=0),0,MATCH(OFFSET($D139,0,$C139)+IF($C139&lt;&gt;1,1,COUNTIF(QCI!$A$13:$A$24,ORÇAMENTO!E139)),OFFSET($D139,1,$C139,ROW($C$162)-ROW($C139)),0))</f>
        <v>0</v>
      </c>
      <c r="L139" s="114" t="str">
        <f t="shared" ca="1" si="69"/>
        <v/>
      </c>
      <c r="M139" s="115" t="s">
        <v>705</v>
      </c>
      <c r="N139" s="116" t="str">
        <f t="shared" ca="1" si="70"/>
        <v>Serviço</v>
      </c>
      <c r="O139" s="117" t="str">
        <f t="shared" ca="1" si="71"/>
        <v>-</v>
      </c>
      <c r="P139" s="118" t="s">
        <v>750</v>
      </c>
      <c r="Q139" s="119"/>
      <c r="R139" s="120" t="str" cm="1">
        <f t="array" aca="1" ref="R139" ca="1">IF($C139="S",REFERENCIA.Descricao,"(digite a descrição aqui)")</f>
        <v>(Sem Código)</v>
      </c>
      <c r="S139" s="121" t="str" cm="1">
        <f t="array" aca="1" ref="S139" ca="1">REFERENCIA.Unidade</f>
        <v>-</v>
      </c>
      <c r="T139" s="122">
        <f ca="1">OFFSET(CÁLCULO!H$15,ROW($T139)-ROW(T$15),0)</f>
        <v>0</v>
      </c>
      <c r="U139" s="123"/>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IF($C139="S",IF(OR(Import.TipoArredondamento&lt;&gt;"TransfereGOV",ACOMPANHAMENTO="BM"),VTOTAL1,SUM(OFFSET(CÁLCULO!$AA$15,ROW($X139)-ROW($X$15),1):OFFSET(CÁLCULO!$AL$15,ROW($X139)-ROW($X$15),-1))),IF($C139=0,0,ROUND(SomaAgrup,15-13*$AF$11)))</f>
        <v>0</v>
      </c>
      <c r="Y139" s="126" t="s">
        <v>751</v>
      </c>
      <c r="Z139" t="str">
        <f t="shared" ca="1" si="72"/>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b" cm="1">
        <f t="array" aca="1" ref="AE139" ca="1">IF(AND($C139="S",ORÇAMENTO.CodBarra&lt;&gt;""),IF(ORÇAMENTO.Fonte="",ORÇAMENTO.CodBarra,CONCATENATE(ORÇAMENTO.Fonte," ",ORÇAMENTO.CodBarra)))</f>
        <v>0</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(Sem Código)</v>
      </c>
      <c r="AG139" s="428" cm="1">
        <f t="array" aca="1" ref="AG139" ca="1">ROUND(IF(DESONERACAO="sim",REFERENCIA.Desonerado,REFERENCIA.NaoDesonerado),2)</f>
        <v>0</v>
      </c>
      <c r="AH139" s="429">
        <f t="shared" ca="1" si="73"/>
        <v>0.22</v>
      </c>
      <c r="AJ139" s="431"/>
      <c r="AL139" s="439"/>
      <c r="AM139" s="336">
        <f t="shared" ca="1" si="0"/>
        <v>0</v>
      </c>
      <c r="AN139" s="470" cm="1">
        <f t="array" aca="1" ref="AN139" ca="1">ROUND(ORÇAMENTO.CustoUnitario*(1+$AH139),2)</f>
        <v>0</v>
      </c>
    </row>
    <row r="140" spans="1:40" hidden="1" x14ac:dyDescent="0.2">
      <c r="A140" t="str">
        <f t="shared" si="60"/>
        <v>S</v>
      </c>
      <c r="B140">
        <f t="shared" ca="1" si="61"/>
        <v>2</v>
      </c>
      <c r="C140" t="str">
        <f t="shared" ca="1" si="62"/>
        <v>S</v>
      </c>
      <c r="D140">
        <f t="shared" ca="1" si="63"/>
        <v>0</v>
      </c>
      <c r="E140">
        <f ca="1">IF($C140=1,OFFSET(E140,-1,0)+MAX(1,COUNTIF(QCI!$A$13:$A$24,OFFSET(ORÇAMENTO!E140,-1,0))),OFFSET(E140,-1,0))</f>
        <v>7</v>
      </c>
      <c r="F140">
        <f t="shared" ca="1" si="64"/>
        <v>1</v>
      </c>
      <c r="G140">
        <f t="shared" ca="1" si="65"/>
        <v>0</v>
      </c>
      <c r="H140">
        <f t="shared" ca="1" si="66"/>
        <v>0</v>
      </c>
      <c r="I140">
        <f t="shared" ca="1" si="67"/>
        <v>0</v>
      </c>
      <c r="J140">
        <f t="shared" ca="1" si="68"/>
        <v>0</v>
      </c>
      <c r="K140">
        <f ca="1">IF(OR($C140="S",$C140=0),0,MATCH(OFFSET($D140,0,$C140)+IF($C140&lt;&gt;1,1,COUNTIF(QCI!$A$13:$A$24,ORÇAMENTO!E140)),OFFSET($D140,1,$C140,ROW($C$162)-ROW($C140)),0))</f>
        <v>0</v>
      </c>
      <c r="L140" s="114" t="str">
        <f t="shared" ca="1" si="69"/>
        <v/>
      </c>
      <c r="M140" s="115" t="s">
        <v>705</v>
      </c>
      <c r="N140" s="116" t="str">
        <f t="shared" ca="1" si="70"/>
        <v>Serviço</v>
      </c>
      <c r="O140" s="117" t="str">
        <f t="shared" ca="1" si="71"/>
        <v>-</v>
      </c>
      <c r="P140" s="118" t="s">
        <v>750</v>
      </c>
      <c r="Q140" s="119"/>
      <c r="R140" s="120" t="str" cm="1">
        <f t="array" aca="1" ref="R140" ca="1">IF($C140="S",REFERENCIA.Descricao,"(digite a descrição aqui)")</f>
        <v>(Sem Código)</v>
      </c>
      <c r="S140" s="121" t="str" cm="1">
        <f t="array" aca="1" ref="S140" ca="1">REFERENCIA.Unidade</f>
        <v>-</v>
      </c>
      <c r="T140" s="122">
        <f ca="1">OFFSET(CÁLCULO!H$15,ROW($T140)-ROW(T$15),0)</f>
        <v>0</v>
      </c>
      <c r="U140" s="123"/>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IF($C140="S",IF(OR(Import.TipoArredondamento&lt;&gt;"TransfereGOV",ACOMPANHAMENTO="BM"),VTOTAL1,SUM(OFFSET(CÁLCULO!$AA$15,ROW($X140)-ROW($X$15),1):OFFSET(CÁLCULO!$AL$15,ROW($X140)-ROW($X$15),-1))),IF($C140=0,0,ROUND(SomaAgrup,15-13*$AF$11)))</f>
        <v>0</v>
      </c>
      <c r="Y140" s="126" t="s">
        <v>751</v>
      </c>
      <c r="Z140" t="str">
        <f t="shared" ca="1" si="72"/>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cm="1">
        <f t="array" aca="1" ref="AE140" ca="1">IF(AND($C140="S",ORÇAMENTO.CodBarra&lt;&gt;""),IF(ORÇAMENTO.Fonte="",ORÇAMENTO.CodBarra,CONCATENATE(ORÇAMENTO.Fonte," ",ORÇAMENTO.CodBarra)))</f>
        <v>0</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(Sem Código)</v>
      </c>
      <c r="AG140" s="428" cm="1">
        <f t="array" aca="1" ref="AG140" ca="1">ROUND(IF(DESONERACAO="sim",REFERENCIA.Desonerado,REFERENCIA.NaoDesonerado),2)</f>
        <v>0</v>
      </c>
      <c r="AH140" s="429">
        <f t="shared" ca="1" si="73"/>
        <v>0.22</v>
      </c>
      <c r="AJ140" s="431"/>
      <c r="AL140" s="439"/>
      <c r="AM140" s="336">
        <f t="shared" ca="1" si="0"/>
        <v>0</v>
      </c>
      <c r="AN140" s="470" cm="1">
        <f t="array" aca="1" ref="AN140" ca="1">ROUND(ORÇAMENTO.CustoUnitario*(1+$AH140),2)</f>
        <v>0</v>
      </c>
    </row>
    <row r="141" spans="1:40" hidden="1" x14ac:dyDescent="0.2">
      <c r="A141" t="str">
        <f t="shared" si="60"/>
        <v>S</v>
      </c>
      <c r="B141">
        <f t="shared" ca="1" si="61"/>
        <v>2</v>
      </c>
      <c r="C141" t="str">
        <f t="shared" ca="1" si="62"/>
        <v>S</v>
      </c>
      <c r="D141">
        <f t="shared" ca="1" si="63"/>
        <v>0</v>
      </c>
      <c r="E141">
        <f ca="1">IF($C141=1,OFFSET(E141,-1,0)+MAX(1,COUNTIF(QCI!$A$13:$A$24,OFFSET(ORÇAMENTO!E141,-1,0))),OFFSET(E141,-1,0))</f>
        <v>7</v>
      </c>
      <c r="F141">
        <f t="shared" ca="1" si="64"/>
        <v>1</v>
      </c>
      <c r="G141">
        <f t="shared" ca="1" si="65"/>
        <v>0</v>
      </c>
      <c r="H141">
        <f t="shared" ca="1" si="66"/>
        <v>0</v>
      </c>
      <c r="I141">
        <f t="shared" ca="1" si="67"/>
        <v>0</v>
      </c>
      <c r="J141">
        <f t="shared" ca="1" si="68"/>
        <v>0</v>
      </c>
      <c r="K141">
        <f ca="1">IF(OR($C141="S",$C141=0),0,MATCH(OFFSET($D141,0,$C141)+IF($C141&lt;&gt;1,1,COUNTIF(QCI!$A$13:$A$24,ORÇAMENTO!E141)),OFFSET($D141,1,$C141,ROW($C$162)-ROW($C141)),0))</f>
        <v>0</v>
      </c>
      <c r="L141" s="114" t="str">
        <f t="shared" ca="1" si="69"/>
        <v/>
      </c>
      <c r="M141" s="115" t="s">
        <v>705</v>
      </c>
      <c r="N141" s="116" t="str">
        <f t="shared" ca="1" si="70"/>
        <v>Serviço</v>
      </c>
      <c r="O141" s="117" t="str">
        <f t="shared" ca="1" si="71"/>
        <v>-</v>
      </c>
      <c r="P141" s="118" t="s">
        <v>750</v>
      </c>
      <c r="Q141" s="119"/>
      <c r="R141" s="120" t="str" cm="1">
        <f t="array" aca="1" ref="R141" ca="1">IF($C141="S",REFERENCIA.Descricao,"(digite a descrição aqui)")</f>
        <v>(Sem Código)</v>
      </c>
      <c r="S141" s="121" t="str" cm="1">
        <f t="array" aca="1" ref="S141" ca="1">REFERENCIA.Unidade</f>
        <v>-</v>
      </c>
      <c r="T141" s="122">
        <f ca="1">OFFSET(CÁLCULO!H$15,ROW($T141)-ROW(T$15),0)</f>
        <v>0</v>
      </c>
      <c r="U141" s="123"/>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IF($C141="S",IF(OR(Import.TipoArredondamento&lt;&gt;"TransfereGOV",ACOMPANHAMENTO="BM"),VTOTAL1,SUM(OFFSET(CÁLCULO!$AA$15,ROW($X141)-ROW($X$15),1):OFFSET(CÁLCULO!$AL$15,ROW($X141)-ROW($X$15),-1))),IF($C141=0,0,ROUND(SomaAgrup,15-13*$AF$11)))</f>
        <v>0</v>
      </c>
      <c r="Y141" s="126" t="s">
        <v>751</v>
      </c>
      <c r="Z141" t="str">
        <f t="shared" ca="1" si="72"/>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cm="1">
        <f t="array" aca="1" ref="AE141" ca="1">IF(AND($C141="S",ORÇAMENTO.CodBarra&lt;&gt;""),IF(ORÇAMENTO.Fonte="",ORÇAMENTO.CodBarra,CONCATENATE(ORÇAMENTO.Fonte," ",ORÇAMENTO.CodBarra)))</f>
        <v>0</v>
      </c>
      <c r="AF141" s="12"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(Sem Código)</v>
      </c>
      <c r="AG141" s="428" cm="1">
        <f t="array" aca="1" ref="AG141" ca="1">ROUND(IF(DESONERACAO="sim",REFERENCIA.Desonerado,REFERENCIA.NaoDesonerado),2)</f>
        <v>0</v>
      </c>
      <c r="AH141" s="429">
        <f t="shared" ca="1" si="73"/>
        <v>0.22</v>
      </c>
      <c r="AJ141" s="431"/>
      <c r="AL141" s="439"/>
      <c r="AM141" s="336">
        <f t="shared" ca="1" si="0"/>
        <v>0</v>
      </c>
      <c r="AN141" s="470" cm="1">
        <f t="array" aca="1" ref="AN141" ca="1">ROUND(ORÇAMENTO.CustoUnitario*(1+$AH141),2)</f>
        <v>0</v>
      </c>
    </row>
    <row r="142" spans="1:40" hidden="1" x14ac:dyDescent="0.2">
      <c r="A142" t="str">
        <f t="shared" si="60"/>
        <v>S</v>
      </c>
      <c r="B142">
        <f t="shared" ca="1" si="61"/>
        <v>2</v>
      </c>
      <c r="C142" t="str">
        <f t="shared" ca="1" si="62"/>
        <v>S</v>
      </c>
      <c r="D142">
        <f t="shared" ca="1" si="63"/>
        <v>0</v>
      </c>
      <c r="E142">
        <f ca="1">IF($C142=1,OFFSET(E142,-1,0)+MAX(1,COUNTIF(QCI!$A$13:$A$24,OFFSET(ORÇAMENTO!E142,-1,0))),OFFSET(E142,-1,0))</f>
        <v>7</v>
      </c>
      <c r="F142">
        <f t="shared" ca="1" si="64"/>
        <v>1</v>
      </c>
      <c r="G142">
        <f t="shared" ca="1" si="65"/>
        <v>0</v>
      </c>
      <c r="H142">
        <f t="shared" ca="1" si="66"/>
        <v>0</v>
      </c>
      <c r="I142">
        <f t="shared" ca="1" si="67"/>
        <v>0</v>
      </c>
      <c r="J142">
        <f t="shared" ca="1" si="68"/>
        <v>0</v>
      </c>
      <c r="K142">
        <f ca="1">IF(OR($C142="S",$C142=0),0,MATCH(OFFSET($D142,0,$C142)+IF($C142&lt;&gt;1,1,COUNTIF(QCI!$A$13:$A$24,ORÇAMENTO!E142)),OFFSET($D142,1,$C142,ROW($C$162)-ROW($C142)),0))</f>
        <v>0</v>
      </c>
      <c r="L142" s="114" t="str">
        <f t="shared" ca="1" si="69"/>
        <v/>
      </c>
      <c r="M142" s="115" t="s">
        <v>705</v>
      </c>
      <c r="N142" s="116" t="str">
        <f t="shared" ca="1" si="70"/>
        <v>Serviço</v>
      </c>
      <c r="O142" s="117" t="str">
        <f t="shared" ca="1" si="71"/>
        <v>-</v>
      </c>
      <c r="P142" s="118" t="s">
        <v>750</v>
      </c>
      <c r="Q142" s="119"/>
      <c r="R142" s="120" t="str" cm="1">
        <f t="array" aca="1" ref="R142" ca="1">IF($C142="S",REFERENCIA.Descricao,"(digite a descrição aqui)")</f>
        <v>(Sem Código)</v>
      </c>
      <c r="S142" s="121" t="str" cm="1">
        <f t="array" aca="1" ref="S142" ca="1">REFERENCIA.Unidade</f>
        <v>-</v>
      </c>
      <c r="T142" s="122">
        <f ca="1">OFFSET(CÁLCULO!H$15,ROW($T142)-ROW(T$15),0)</f>
        <v>0</v>
      </c>
      <c r="U142" s="123"/>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IF($C142="S",IF(OR(Import.TipoArredondamento&lt;&gt;"TransfereGOV",ACOMPANHAMENTO="BM"),VTOTAL1,SUM(OFFSET(CÁLCULO!$AA$15,ROW($X142)-ROW($X$15),1):OFFSET(CÁLCULO!$AL$15,ROW($X142)-ROW($X$15),-1))),IF($C142=0,0,ROUND(SomaAgrup,15-13*$AF$11)))</f>
        <v>0</v>
      </c>
      <c r="Y142" s="126" t="s">
        <v>751</v>
      </c>
      <c r="Z142" t="str">
        <f t="shared" ca="1" si="72"/>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b" cm="1">
        <f t="array" aca="1" ref="AE142" ca="1">IF(AND($C142="S",ORÇAMENTO.CodBarra&lt;&gt;""),IF(ORÇAMENTO.Fonte="",ORÇAMENTO.CodBarra,CONCATENATE(ORÇAMENTO.Fonte," ",ORÇAMENTO.CodBarra)))</f>
        <v>0</v>
      </c>
      <c r="AF142" s="12"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(Sem Código)</v>
      </c>
      <c r="AG142" s="428" cm="1">
        <f t="array" aca="1" ref="AG142" ca="1">ROUND(IF(DESONERACAO="sim",REFERENCIA.Desonerado,REFERENCIA.NaoDesonerado),2)</f>
        <v>0</v>
      </c>
      <c r="AH142" s="429">
        <f t="shared" ca="1" si="73"/>
        <v>0.22</v>
      </c>
      <c r="AJ142" s="431"/>
      <c r="AL142" s="439"/>
      <c r="AM142" s="336">
        <f t="shared" ca="1" si="0"/>
        <v>0</v>
      </c>
      <c r="AN142" s="470" cm="1">
        <f t="array" aca="1" ref="AN142" ca="1">ROUND(ORÇAMENTO.CustoUnitario*(1+$AH142),2)</f>
        <v>0</v>
      </c>
    </row>
    <row r="143" spans="1:40" hidden="1" x14ac:dyDescent="0.2">
      <c r="A143" t="str">
        <f t="shared" si="60"/>
        <v>S</v>
      </c>
      <c r="B143">
        <f t="shared" ca="1" si="61"/>
        <v>2</v>
      </c>
      <c r="C143" t="str">
        <f t="shared" ca="1" si="62"/>
        <v>S</v>
      </c>
      <c r="D143">
        <f t="shared" ca="1" si="63"/>
        <v>0</v>
      </c>
      <c r="E143">
        <f ca="1">IF($C143=1,OFFSET(E143,-1,0)+MAX(1,COUNTIF(QCI!$A$13:$A$24,OFFSET(ORÇAMENTO!E143,-1,0))),OFFSET(E143,-1,0))</f>
        <v>7</v>
      </c>
      <c r="F143">
        <f t="shared" ca="1" si="64"/>
        <v>1</v>
      </c>
      <c r="G143">
        <f t="shared" ca="1" si="65"/>
        <v>0</v>
      </c>
      <c r="H143">
        <f t="shared" ca="1" si="66"/>
        <v>0</v>
      </c>
      <c r="I143">
        <f t="shared" ca="1" si="67"/>
        <v>0</v>
      </c>
      <c r="J143">
        <f t="shared" ca="1" si="68"/>
        <v>0</v>
      </c>
      <c r="K143">
        <f ca="1">IF(OR($C143="S",$C143=0),0,MATCH(OFFSET($D143,0,$C143)+IF($C143&lt;&gt;1,1,COUNTIF(QCI!$A$13:$A$24,ORÇAMENTO!E143)),OFFSET($D143,1,$C143,ROW($C$162)-ROW($C143)),0))</f>
        <v>0</v>
      </c>
      <c r="L143" s="114" t="str">
        <f t="shared" ca="1" si="69"/>
        <v/>
      </c>
      <c r="M143" s="115" t="s">
        <v>705</v>
      </c>
      <c r="N143" s="116" t="str">
        <f t="shared" ca="1" si="70"/>
        <v>Serviço</v>
      </c>
      <c r="O143" s="117" t="str">
        <f t="shared" ca="1" si="71"/>
        <v>-</v>
      </c>
      <c r="P143" s="118" t="s">
        <v>750</v>
      </c>
      <c r="Q143" s="119"/>
      <c r="R143" s="120" t="str" cm="1">
        <f t="array" aca="1" ref="R143" ca="1">IF($C143="S",REFERENCIA.Descricao,"(digite a descrição aqui)")</f>
        <v>(Sem Código)</v>
      </c>
      <c r="S143" s="121" t="str" cm="1">
        <f t="array" aca="1" ref="S143" ca="1">REFERENCIA.Unidade</f>
        <v>-</v>
      </c>
      <c r="T143" s="122">
        <f ca="1">OFFSET(CÁLCULO!H$15,ROW($T143)-ROW(T$15),0)</f>
        <v>0</v>
      </c>
      <c r="U143" s="123"/>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IF($C143="S",IF(OR(Import.TipoArredondamento&lt;&gt;"TransfereGOV",ACOMPANHAMENTO="BM"),VTOTAL1,SUM(OFFSET(CÁLCULO!$AA$15,ROW($X143)-ROW($X$15),1):OFFSET(CÁLCULO!$AL$15,ROW($X143)-ROW($X$15),-1))),IF($C143=0,0,ROUND(SomaAgrup,15-13*$AF$11)))</f>
        <v>0</v>
      </c>
      <c r="Y143" s="126" t="s">
        <v>751</v>
      </c>
      <c r="Z143" t="str">
        <f t="shared" ca="1" si="72"/>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b" cm="1">
        <f t="array" aca="1" ref="AE143" ca="1">IF(AND($C143="S",ORÇAMENTO.CodBarra&lt;&gt;""),IF(ORÇAMENTO.Fonte="",ORÇAMENTO.CodBarra,CONCATENATE(ORÇAMENTO.Fonte," ",ORÇAMENTO.CodBarra)))</f>
        <v>0</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(Sem Código)</v>
      </c>
      <c r="AG143" s="428" cm="1">
        <f t="array" aca="1" ref="AG143" ca="1">ROUND(IF(DESONERACAO="sim",REFERENCIA.Desonerado,REFERENCIA.NaoDesonerado),2)</f>
        <v>0</v>
      </c>
      <c r="AH143" s="429">
        <f t="shared" ca="1" si="73"/>
        <v>0.22</v>
      </c>
      <c r="AJ143" s="431"/>
      <c r="AL143" s="439"/>
      <c r="AM143" s="336">
        <f t="shared" ca="1" si="0"/>
        <v>0</v>
      </c>
      <c r="AN143" s="470" cm="1">
        <f t="array" aca="1" ref="AN143" ca="1">ROUND(ORÇAMENTO.CustoUnitario*(1+$AH143),2)</f>
        <v>0</v>
      </c>
    </row>
    <row r="144" spans="1:40" hidden="1" x14ac:dyDescent="0.2">
      <c r="A144" t="str">
        <f t="shared" si="60"/>
        <v>S</v>
      </c>
      <c r="B144">
        <f t="shared" ca="1" si="61"/>
        <v>2</v>
      </c>
      <c r="C144" t="str">
        <f t="shared" ca="1" si="62"/>
        <v>S</v>
      </c>
      <c r="D144">
        <f t="shared" ca="1" si="63"/>
        <v>0</v>
      </c>
      <c r="E144">
        <f ca="1">IF($C144=1,OFFSET(E144,-1,0)+MAX(1,COUNTIF(QCI!$A$13:$A$24,OFFSET(ORÇAMENTO!E144,-1,0))),OFFSET(E144,-1,0))</f>
        <v>7</v>
      </c>
      <c r="F144">
        <f t="shared" ca="1" si="64"/>
        <v>1</v>
      </c>
      <c r="G144">
        <f t="shared" ca="1" si="65"/>
        <v>0</v>
      </c>
      <c r="H144">
        <f t="shared" ca="1" si="66"/>
        <v>0</v>
      </c>
      <c r="I144">
        <f t="shared" ca="1" si="67"/>
        <v>0</v>
      </c>
      <c r="J144">
        <f t="shared" ca="1" si="68"/>
        <v>0</v>
      </c>
      <c r="K144">
        <f ca="1">IF(OR($C144="S",$C144=0),0,MATCH(OFFSET($D144,0,$C144)+IF($C144&lt;&gt;1,1,COUNTIF(QCI!$A$13:$A$24,ORÇAMENTO!E144)),OFFSET($D144,1,$C144,ROW($C$162)-ROW($C144)),0))</f>
        <v>0</v>
      </c>
      <c r="L144" s="114" t="str">
        <f t="shared" ca="1" si="69"/>
        <v/>
      </c>
      <c r="M144" s="115" t="s">
        <v>705</v>
      </c>
      <c r="N144" s="116" t="str">
        <f t="shared" ca="1" si="70"/>
        <v>Serviço</v>
      </c>
      <c r="O144" s="117" t="str">
        <f t="shared" ca="1" si="71"/>
        <v>-</v>
      </c>
      <c r="P144" s="118" t="s">
        <v>750</v>
      </c>
      <c r="Q144" s="119"/>
      <c r="R144" s="120" t="str" cm="1">
        <f t="array" aca="1" ref="R144" ca="1">IF($C144="S",REFERENCIA.Descricao,"(digite a descrição aqui)")</f>
        <v>(Sem Código)</v>
      </c>
      <c r="S144" s="121" t="str" cm="1">
        <f t="array" aca="1" ref="S144" ca="1">REFERENCIA.Unidade</f>
        <v>-</v>
      </c>
      <c r="T144" s="122">
        <f ca="1">OFFSET(CÁLCULO!H$15,ROW($T144)-ROW(T$15),0)</f>
        <v>0</v>
      </c>
      <c r="U144" s="123"/>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IF($C144="S",IF(OR(Import.TipoArredondamento&lt;&gt;"TransfereGOV",ACOMPANHAMENTO="BM"),VTOTAL1,SUM(OFFSET(CÁLCULO!$AA$15,ROW($X144)-ROW($X$15),1):OFFSET(CÁLCULO!$AL$15,ROW($X144)-ROW($X$15),-1))),IF($C144=0,0,ROUND(SomaAgrup,15-13*$AF$11)))</f>
        <v>0</v>
      </c>
      <c r="Y144" s="126" t="s">
        <v>751</v>
      </c>
      <c r="Z144" t="str">
        <f t="shared" ca="1" si="72"/>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b" cm="1">
        <f t="array" aca="1" ref="AE144" ca="1">IF(AND($C144="S",ORÇAMENTO.CodBarra&lt;&gt;""),IF(ORÇAMENTO.Fonte="",ORÇAMENTO.CodBarra,CONCATENATE(ORÇAMENTO.Fonte," ",ORÇAMENTO.CodBarra)))</f>
        <v>0</v>
      </c>
      <c r="AF144" s="12"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(Sem Código)</v>
      </c>
      <c r="AG144" s="428" cm="1">
        <f t="array" aca="1" ref="AG144" ca="1">ROUND(IF(DESONERACAO="sim",REFERENCIA.Desonerado,REFERENCIA.NaoDesonerado),2)</f>
        <v>0</v>
      </c>
      <c r="AH144" s="429">
        <f t="shared" ca="1" si="73"/>
        <v>0.22</v>
      </c>
      <c r="AJ144" s="431"/>
      <c r="AL144" s="439"/>
      <c r="AM144" s="336">
        <f t="shared" ca="1" si="0"/>
        <v>0</v>
      </c>
      <c r="AN144" s="470" cm="1">
        <f t="array" aca="1" ref="AN144" ca="1">ROUND(ORÇAMENTO.CustoUnitario*(1+$AH144),2)</f>
        <v>0</v>
      </c>
    </row>
    <row r="145" spans="1:40" hidden="1" x14ac:dyDescent="0.2">
      <c r="A145" t="str">
        <f t="shared" si="60"/>
        <v>S</v>
      </c>
      <c r="B145">
        <f t="shared" ca="1" si="61"/>
        <v>2</v>
      </c>
      <c r="C145" t="str">
        <f t="shared" ca="1" si="62"/>
        <v>S</v>
      </c>
      <c r="D145">
        <f t="shared" ca="1" si="63"/>
        <v>0</v>
      </c>
      <c r="E145">
        <f ca="1">IF($C145=1,OFFSET(E145,-1,0)+MAX(1,COUNTIF(QCI!$A$13:$A$24,OFFSET(ORÇAMENTO!E145,-1,0))),OFFSET(E145,-1,0))</f>
        <v>7</v>
      </c>
      <c r="F145">
        <f t="shared" ca="1" si="64"/>
        <v>1</v>
      </c>
      <c r="G145">
        <f t="shared" ca="1" si="65"/>
        <v>0</v>
      </c>
      <c r="H145">
        <f t="shared" ca="1" si="66"/>
        <v>0</v>
      </c>
      <c r="I145">
        <f t="shared" ca="1" si="67"/>
        <v>0</v>
      </c>
      <c r="J145">
        <f t="shared" ca="1" si="68"/>
        <v>0</v>
      </c>
      <c r="K145">
        <f ca="1">IF(OR($C145="S",$C145=0),0,MATCH(OFFSET($D145,0,$C145)+IF($C145&lt;&gt;1,1,COUNTIF(QCI!$A$13:$A$24,ORÇAMENTO!E145)),OFFSET($D145,1,$C145,ROW($C$162)-ROW($C145)),0))</f>
        <v>0</v>
      </c>
      <c r="L145" s="114" t="str">
        <f t="shared" ca="1" si="69"/>
        <v/>
      </c>
      <c r="M145" s="115" t="s">
        <v>705</v>
      </c>
      <c r="N145" s="116" t="str">
        <f t="shared" ca="1" si="70"/>
        <v>Serviço</v>
      </c>
      <c r="O145" s="117" t="str">
        <f t="shared" ca="1" si="71"/>
        <v>-</v>
      </c>
      <c r="P145" s="118" t="s">
        <v>750</v>
      </c>
      <c r="Q145" s="119"/>
      <c r="R145" s="120" t="str" cm="1">
        <f t="array" aca="1" ref="R145" ca="1">IF($C145="S",REFERENCIA.Descricao,"(digite a descrição aqui)")</f>
        <v>(Sem Código)</v>
      </c>
      <c r="S145" s="121" t="str" cm="1">
        <f t="array" aca="1" ref="S145" ca="1">REFERENCIA.Unidade</f>
        <v>-</v>
      </c>
      <c r="T145" s="122">
        <f ca="1">OFFSET(CÁLCULO!H$15,ROW($T145)-ROW(T$15),0)</f>
        <v>0</v>
      </c>
      <c r="U145" s="123"/>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IF($C145="S",IF(OR(Import.TipoArredondamento&lt;&gt;"TransfereGOV",ACOMPANHAMENTO="BM"),VTOTAL1,SUM(OFFSET(CÁLCULO!$AA$15,ROW($X145)-ROW($X$15),1):OFFSET(CÁLCULO!$AL$15,ROW($X145)-ROW($X$15),-1))),IF($C145=0,0,ROUND(SomaAgrup,15-13*$AF$11)))</f>
        <v>0</v>
      </c>
      <c r="Y145" s="126" t="s">
        <v>751</v>
      </c>
      <c r="Z145" t="str">
        <f t="shared" ca="1" si="72"/>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b" cm="1">
        <f t="array" aca="1" ref="AE145" ca="1">IF(AND($C145="S",ORÇAMENTO.CodBarra&lt;&gt;""),IF(ORÇAMENTO.Fonte="",ORÇAMENTO.CodBarra,CONCATENATE(ORÇAMENTO.Fonte," ",ORÇAMENTO.CodBarra)))</f>
        <v>0</v>
      </c>
      <c r="AF145" s="12"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(Sem Código)</v>
      </c>
      <c r="AG145" s="428" cm="1">
        <f t="array" aca="1" ref="AG145" ca="1">ROUND(IF(DESONERACAO="sim",REFERENCIA.Desonerado,REFERENCIA.NaoDesonerado),2)</f>
        <v>0</v>
      </c>
      <c r="AH145" s="429">
        <f t="shared" ca="1" si="73"/>
        <v>0.22</v>
      </c>
      <c r="AJ145" s="431"/>
      <c r="AL145" s="439"/>
      <c r="AM145" s="336">
        <f t="shared" ca="1" si="0"/>
        <v>0</v>
      </c>
      <c r="AN145" s="470" cm="1">
        <f t="array" aca="1" ref="AN145" ca="1">ROUND(ORÇAMENTO.CustoUnitario*(1+$AH145),2)</f>
        <v>0</v>
      </c>
    </row>
    <row r="146" spans="1:40" hidden="1" x14ac:dyDescent="0.2">
      <c r="A146" t="str">
        <f t="shared" si="60"/>
        <v>S</v>
      </c>
      <c r="B146">
        <f t="shared" ca="1" si="61"/>
        <v>2</v>
      </c>
      <c r="C146" t="str">
        <f t="shared" ca="1" si="62"/>
        <v>S</v>
      </c>
      <c r="D146">
        <f t="shared" ca="1" si="63"/>
        <v>0</v>
      </c>
      <c r="E146">
        <f ca="1">IF($C146=1,OFFSET(E146,-1,0)+MAX(1,COUNTIF(QCI!$A$13:$A$24,OFFSET(ORÇAMENTO!E146,-1,0))),OFFSET(E146,-1,0))</f>
        <v>7</v>
      </c>
      <c r="F146">
        <f t="shared" ca="1" si="64"/>
        <v>1</v>
      </c>
      <c r="G146">
        <f t="shared" ca="1" si="65"/>
        <v>0</v>
      </c>
      <c r="H146">
        <f t="shared" ca="1" si="66"/>
        <v>0</v>
      </c>
      <c r="I146">
        <f t="shared" ca="1" si="67"/>
        <v>0</v>
      </c>
      <c r="J146">
        <f t="shared" ca="1" si="68"/>
        <v>0</v>
      </c>
      <c r="K146">
        <f ca="1">IF(OR($C146="S",$C146=0),0,MATCH(OFFSET($D146,0,$C146)+IF($C146&lt;&gt;1,1,COUNTIF(QCI!$A$13:$A$24,ORÇAMENTO!E146)),OFFSET($D146,1,$C146,ROW($C$162)-ROW($C146)),0))</f>
        <v>0</v>
      </c>
      <c r="L146" s="114" t="str">
        <f t="shared" ca="1" si="69"/>
        <v/>
      </c>
      <c r="M146" s="115" t="s">
        <v>705</v>
      </c>
      <c r="N146" s="116" t="str">
        <f t="shared" ca="1" si="70"/>
        <v>Serviço</v>
      </c>
      <c r="O146" s="117" t="str">
        <f t="shared" ca="1" si="71"/>
        <v>-</v>
      </c>
      <c r="P146" s="118" t="s">
        <v>750</v>
      </c>
      <c r="Q146" s="119"/>
      <c r="R146" s="120" t="str" cm="1">
        <f t="array" aca="1" ref="R146" ca="1">IF($C146="S",REFERENCIA.Descricao,"(digite a descrição aqui)")</f>
        <v>(Sem Código)</v>
      </c>
      <c r="S146" s="121" t="str" cm="1">
        <f t="array" aca="1" ref="S146" ca="1">REFERENCIA.Unidade</f>
        <v>-</v>
      </c>
      <c r="T146" s="122">
        <f ca="1">OFFSET(CÁLCULO!H$15,ROW($T146)-ROW(T$15),0)</f>
        <v>0</v>
      </c>
      <c r="U146" s="123"/>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IF($C146="S",IF(OR(Import.TipoArredondamento&lt;&gt;"TransfereGOV",ACOMPANHAMENTO="BM"),VTOTAL1,SUM(OFFSET(CÁLCULO!$AA$15,ROW($X146)-ROW($X$15),1):OFFSET(CÁLCULO!$AL$15,ROW($X146)-ROW($X$15),-1))),IF($C146=0,0,ROUND(SomaAgrup,15-13*$AF$11)))</f>
        <v>0</v>
      </c>
      <c r="Y146" s="126" t="s">
        <v>751</v>
      </c>
      <c r="Z146" t="str">
        <f t="shared" ca="1" si="72"/>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b" cm="1">
        <f t="array" aca="1" ref="AE146" ca="1">IF(AND($C146="S",ORÇAMENTO.CodBarra&lt;&gt;""),IF(ORÇAMENTO.Fonte="",ORÇAMENTO.CodBarra,CONCATENATE(ORÇAMENTO.Fonte," ",ORÇAMENTO.CodBarra)))</f>
        <v>0</v>
      </c>
      <c r="AF146" s="12"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(Sem Código)</v>
      </c>
      <c r="AG146" s="428" cm="1">
        <f t="array" aca="1" ref="AG146" ca="1">ROUND(IF(DESONERACAO="sim",REFERENCIA.Desonerado,REFERENCIA.NaoDesonerado),2)</f>
        <v>0</v>
      </c>
      <c r="AH146" s="429">
        <f t="shared" ca="1" si="73"/>
        <v>0.22</v>
      </c>
      <c r="AJ146" s="431"/>
      <c r="AL146" s="439"/>
      <c r="AM146" s="336">
        <f t="shared" ca="1" si="0"/>
        <v>0</v>
      </c>
      <c r="AN146" s="470" cm="1">
        <f t="array" aca="1" ref="AN146" ca="1">ROUND(ORÇAMENTO.CustoUnitario*(1+$AH146),2)</f>
        <v>0</v>
      </c>
    </row>
    <row r="147" spans="1:40" hidden="1" x14ac:dyDescent="0.2">
      <c r="A147" t="str">
        <f t="shared" si="60"/>
        <v>S</v>
      </c>
      <c r="B147">
        <f t="shared" ca="1" si="61"/>
        <v>2</v>
      </c>
      <c r="C147" t="str">
        <f t="shared" ca="1" si="62"/>
        <v>S</v>
      </c>
      <c r="D147">
        <f t="shared" ca="1" si="63"/>
        <v>0</v>
      </c>
      <c r="E147">
        <f ca="1">IF($C147=1,OFFSET(E147,-1,0)+MAX(1,COUNTIF(QCI!$A$13:$A$24,OFFSET(ORÇAMENTO!E147,-1,0))),OFFSET(E147,-1,0))</f>
        <v>7</v>
      </c>
      <c r="F147">
        <f t="shared" ca="1" si="64"/>
        <v>1</v>
      </c>
      <c r="G147">
        <f t="shared" ca="1" si="65"/>
        <v>0</v>
      </c>
      <c r="H147">
        <f t="shared" ca="1" si="66"/>
        <v>0</v>
      </c>
      <c r="I147">
        <f t="shared" ca="1" si="67"/>
        <v>0</v>
      </c>
      <c r="J147">
        <f t="shared" ca="1" si="68"/>
        <v>0</v>
      </c>
      <c r="K147">
        <f ca="1">IF(OR($C147="S",$C147=0),0,MATCH(OFFSET($D147,0,$C147)+IF($C147&lt;&gt;1,1,COUNTIF(QCI!$A$13:$A$24,ORÇAMENTO!E147)),OFFSET($D147,1,$C147,ROW($C$162)-ROW($C147)),0))</f>
        <v>0</v>
      </c>
      <c r="L147" s="114" t="str">
        <f t="shared" ca="1" si="69"/>
        <v/>
      </c>
      <c r="M147" s="115" t="s">
        <v>705</v>
      </c>
      <c r="N147" s="116" t="str">
        <f t="shared" ca="1" si="70"/>
        <v>Serviço</v>
      </c>
      <c r="O147" s="117" t="str">
        <f t="shared" ca="1" si="71"/>
        <v>-</v>
      </c>
      <c r="P147" s="118" t="s">
        <v>750</v>
      </c>
      <c r="Q147" s="119"/>
      <c r="R147" s="120" t="str" cm="1">
        <f t="array" aca="1" ref="R147" ca="1">IF($C147="S",REFERENCIA.Descricao,"(digite a descrição aqui)")</f>
        <v>(Sem Código)</v>
      </c>
      <c r="S147" s="121" t="str" cm="1">
        <f t="array" aca="1" ref="S147" ca="1">REFERENCIA.Unidade</f>
        <v>-</v>
      </c>
      <c r="T147" s="122">
        <f ca="1">OFFSET(CÁLCULO!H$15,ROW($T147)-ROW(T$15),0)</f>
        <v>0</v>
      </c>
      <c r="U147" s="123"/>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IF($C147="S",IF(OR(Import.TipoArredondamento&lt;&gt;"TransfereGOV",ACOMPANHAMENTO="BM"),VTOTAL1,SUM(OFFSET(CÁLCULO!$AA$15,ROW($X147)-ROW($X$15),1):OFFSET(CÁLCULO!$AL$15,ROW($X147)-ROW($X$15),-1))),IF($C147=0,0,ROUND(SomaAgrup,15-13*$AF$11)))</f>
        <v>0</v>
      </c>
      <c r="Y147" s="126" t="s">
        <v>751</v>
      </c>
      <c r="Z147" t="str">
        <f t="shared" ca="1" si="72"/>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b" cm="1">
        <f t="array" aca="1" ref="AE147" ca="1">IF(AND($C147="S",ORÇAMENTO.CodBarra&lt;&gt;""),IF(ORÇAMENTO.Fonte="",ORÇAMENTO.CodBarra,CONCATENATE(ORÇAMENTO.Fonte," ",ORÇAMENTO.CodBarra)))</f>
        <v>0</v>
      </c>
      <c r="AF147" s="12"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(Sem Código)</v>
      </c>
      <c r="AG147" s="428" cm="1">
        <f t="array" aca="1" ref="AG147" ca="1">ROUND(IF(DESONERACAO="sim",REFERENCIA.Desonerado,REFERENCIA.NaoDesonerado),2)</f>
        <v>0</v>
      </c>
      <c r="AH147" s="429">
        <f t="shared" ca="1" si="73"/>
        <v>0.22</v>
      </c>
      <c r="AJ147" s="431"/>
      <c r="AL147" s="439"/>
      <c r="AM147" s="336">
        <f t="shared" ca="1" si="0"/>
        <v>0</v>
      </c>
      <c r="AN147" s="470" cm="1">
        <f t="array" aca="1" ref="AN147" ca="1">ROUND(ORÇAMENTO.CustoUnitario*(1+$AH147),2)</f>
        <v>0</v>
      </c>
    </row>
    <row r="148" spans="1:40" hidden="1" x14ac:dyDescent="0.2">
      <c r="A148" t="str">
        <f t="shared" si="60"/>
        <v>S</v>
      </c>
      <c r="B148">
        <f t="shared" ca="1" si="61"/>
        <v>2</v>
      </c>
      <c r="C148" t="str">
        <f t="shared" ca="1" si="62"/>
        <v>S</v>
      </c>
      <c r="D148">
        <f t="shared" ca="1" si="63"/>
        <v>0</v>
      </c>
      <c r="E148">
        <f ca="1">IF($C148=1,OFFSET(E148,-1,0)+MAX(1,COUNTIF(QCI!$A$13:$A$24,OFFSET(ORÇAMENTO!E148,-1,0))),OFFSET(E148,-1,0))</f>
        <v>7</v>
      </c>
      <c r="F148">
        <f t="shared" ca="1" si="64"/>
        <v>1</v>
      </c>
      <c r="G148">
        <f t="shared" ca="1" si="65"/>
        <v>0</v>
      </c>
      <c r="H148">
        <f t="shared" ca="1" si="66"/>
        <v>0</v>
      </c>
      <c r="I148">
        <f t="shared" ca="1" si="67"/>
        <v>0</v>
      </c>
      <c r="J148">
        <f t="shared" ca="1" si="68"/>
        <v>0</v>
      </c>
      <c r="K148">
        <f ca="1">IF(OR($C148="S",$C148=0),0,MATCH(OFFSET($D148,0,$C148)+IF($C148&lt;&gt;1,1,COUNTIF(QCI!$A$13:$A$24,ORÇAMENTO!E148)),OFFSET($D148,1,$C148,ROW($C$162)-ROW($C148)),0))</f>
        <v>0</v>
      </c>
      <c r="L148" s="114" t="str">
        <f t="shared" ca="1" si="69"/>
        <v/>
      </c>
      <c r="M148" s="115" t="s">
        <v>705</v>
      </c>
      <c r="N148" s="116" t="str">
        <f t="shared" ca="1" si="70"/>
        <v>Serviço</v>
      </c>
      <c r="O148" s="117" t="str">
        <f t="shared" ca="1" si="71"/>
        <v>-</v>
      </c>
      <c r="P148" s="118" t="s">
        <v>750</v>
      </c>
      <c r="Q148" s="119"/>
      <c r="R148" s="120" t="str" cm="1">
        <f t="array" aca="1" ref="R148" ca="1">IF($C148="S",REFERENCIA.Descricao,"(digite a descrição aqui)")</f>
        <v>(Sem Código)</v>
      </c>
      <c r="S148" s="121" t="str" cm="1">
        <f t="array" aca="1" ref="S148" ca="1">REFERENCIA.Unidade</f>
        <v>-</v>
      </c>
      <c r="T148" s="122">
        <f ca="1">OFFSET(CÁLCULO!H$15,ROW($T148)-ROW(T$15),0)</f>
        <v>0</v>
      </c>
      <c r="U148" s="123"/>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IF($C148="S",IF(OR(Import.TipoArredondamento&lt;&gt;"TransfereGOV",ACOMPANHAMENTO="BM"),VTOTAL1,SUM(OFFSET(CÁLCULO!$AA$15,ROW($X148)-ROW($X$15),1):OFFSET(CÁLCULO!$AL$15,ROW($X148)-ROW($X$15),-1))),IF($C148=0,0,ROUND(SomaAgrup,15-13*$AF$11)))</f>
        <v>0</v>
      </c>
      <c r="Y148" s="126" t="s">
        <v>751</v>
      </c>
      <c r="Z148" t="str">
        <f t="shared" ca="1" si="72"/>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b" cm="1">
        <f t="array" aca="1" ref="AE148" ca="1">IF(AND($C148="S",ORÇAMENTO.CodBarra&lt;&gt;""),IF(ORÇAMENTO.Fonte="",ORÇAMENTO.CodBarra,CONCATENATE(ORÇAMENTO.Fonte," ",ORÇAMENTO.CodBarra)))</f>
        <v>0</v>
      </c>
      <c r="AF148" s="12"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(Sem Código)</v>
      </c>
      <c r="AG148" s="428" cm="1">
        <f t="array" aca="1" ref="AG148" ca="1">ROUND(IF(DESONERACAO="sim",REFERENCIA.Desonerado,REFERENCIA.NaoDesonerado),2)</f>
        <v>0</v>
      </c>
      <c r="AH148" s="429">
        <f t="shared" ca="1" si="73"/>
        <v>0.22</v>
      </c>
      <c r="AJ148" s="431"/>
      <c r="AL148" s="439"/>
      <c r="AM148" s="336">
        <f t="shared" ca="1" si="0"/>
        <v>0</v>
      </c>
      <c r="AN148" s="470" cm="1">
        <f t="array" aca="1" ref="AN148" ca="1">ROUND(ORÇAMENTO.CustoUnitario*(1+$AH148),2)</f>
        <v>0</v>
      </c>
    </row>
    <row r="149" spans="1:40" hidden="1" x14ac:dyDescent="0.2">
      <c r="A149" t="str">
        <f t="shared" si="60"/>
        <v>S</v>
      </c>
      <c r="B149">
        <f t="shared" ca="1" si="61"/>
        <v>2</v>
      </c>
      <c r="C149" t="str">
        <f t="shared" ca="1" si="62"/>
        <v>S</v>
      </c>
      <c r="D149">
        <f t="shared" ca="1" si="63"/>
        <v>0</v>
      </c>
      <c r="E149">
        <f ca="1">IF($C149=1,OFFSET(E149,-1,0)+MAX(1,COUNTIF(QCI!$A$13:$A$24,OFFSET(ORÇAMENTO!E149,-1,0))),OFFSET(E149,-1,0))</f>
        <v>7</v>
      </c>
      <c r="F149">
        <f t="shared" ca="1" si="64"/>
        <v>1</v>
      </c>
      <c r="G149">
        <f t="shared" ca="1" si="65"/>
        <v>0</v>
      </c>
      <c r="H149">
        <f t="shared" ca="1" si="66"/>
        <v>0</v>
      </c>
      <c r="I149">
        <f t="shared" ca="1" si="67"/>
        <v>0</v>
      </c>
      <c r="J149">
        <f t="shared" ca="1" si="68"/>
        <v>0</v>
      </c>
      <c r="K149">
        <f ca="1">IF(OR($C149="S",$C149=0),0,MATCH(OFFSET($D149,0,$C149)+IF($C149&lt;&gt;1,1,COUNTIF(QCI!$A$13:$A$24,ORÇAMENTO!E149)),OFFSET($D149,1,$C149,ROW($C$162)-ROW($C149)),0))</f>
        <v>0</v>
      </c>
      <c r="L149" s="114" t="str">
        <f t="shared" ca="1" si="69"/>
        <v/>
      </c>
      <c r="M149" s="115" t="s">
        <v>705</v>
      </c>
      <c r="N149" s="116" t="str">
        <f t="shared" ca="1" si="70"/>
        <v>Serviço</v>
      </c>
      <c r="O149" s="117" t="str">
        <f t="shared" ca="1" si="71"/>
        <v>-</v>
      </c>
      <c r="P149" s="118" t="s">
        <v>750</v>
      </c>
      <c r="Q149" s="119"/>
      <c r="R149" s="120" t="str" cm="1">
        <f t="array" aca="1" ref="R149" ca="1">IF($C149="S",REFERENCIA.Descricao,"(digite a descrição aqui)")</f>
        <v>(Sem Código)</v>
      </c>
      <c r="S149" s="121" t="str" cm="1">
        <f t="array" aca="1" ref="S149" ca="1">REFERENCIA.Unidade</f>
        <v>-</v>
      </c>
      <c r="T149" s="122">
        <f ca="1">OFFSET(CÁLCULO!H$15,ROW($T149)-ROW(T$15),0)</f>
        <v>0</v>
      </c>
      <c r="U149" s="123"/>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IF($C149="S",IF(OR(Import.TipoArredondamento&lt;&gt;"TransfereGOV",ACOMPANHAMENTO="BM"),VTOTAL1,SUM(OFFSET(CÁLCULO!$AA$15,ROW($X149)-ROW($X$15),1):OFFSET(CÁLCULO!$AL$15,ROW($X149)-ROW($X$15),-1))),IF($C149=0,0,ROUND(SomaAgrup,15-13*$AF$11)))</f>
        <v>0</v>
      </c>
      <c r="Y149" s="126" t="s">
        <v>751</v>
      </c>
      <c r="Z149" t="str">
        <f t="shared" ca="1" si="72"/>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b" cm="1">
        <f t="array" aca="1" ref="AE149" ca="1">IF(AND($C149="S",ORÇAMENTO.CodBarra&lt;&gt;""),IF(ORÇAMENTO.Fonte="",ORÇAMENTO.CodBarra,CONCATENATE(ORÇAMENTO.Fonte," ",ORÇAMENTO.CodBarra)))</f>
        <v>0</v>
      </c>
      <c r="AF149" s="12"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(Sem Código)</v>
      </c>
      <c r="AG149" s="428" cm="1">
        <f t="array" aca="1" ref="AG149" ca="1">ROUND(IF(DESONERACAO="sim",REFERENCIA.Desonerado,REFERENCIA.NaoDesonerado),2)</f>
        <v>0</v>
      </c>
      <c r="AH149" s="429">
        <f t="shared" ca="1" si="73"/>
        <v>0.22</v>
      </c>
      <c r="AJ149" s="431"/>
      <c r="AL149" s="439"/>
      <c r="AM149" s="336">
        <f t="shared" ca="1" si="0"/>
        <v>0</v>
      </c>
      <c r="AN149" s="470" cm="1">
        <f t="array" aca="1" ref="AN149" ca="1">ROUND(ORÇAMENTO.CustoUnitario*(1+$AH149),2)</f>
        <v>0</v>
      </c>
    </row>
    <row r="150" spans="1:40" hidden="1" x14ac:dyDescent="0.2">
      <c r="A150" t="str">
        <f t="shared" si="60"/>
        <v>S</v>
      </c>
      <c r="B150">
        <f t="shared" ca="1" si="61"/>
        <v>2</v>
      </c>
      <c r="C150" t="str">
        <f t="shared" ca="1" si="62"/>
        <v>S</v>
      </c>
      <c r="D150">
        <f t="shared" ca="1" si="63"/>
        <v>0</v>
      </c>
      <c r="E150">
        <f ca="1">IF($C150=1,OFFSET(E150,-1,0)+MAX(1,COUNTIF(QCI!$A$13:$A$24,OFFSET(ORÇAMENTO!E150,-1,0))),OFFSET(E150,-1,0))</f>
        <v>7</v>
      </c>
      <c r="F150">
        <f t="shared" ca="1" si="64"/>
        <v>1</v>
      </c>
      <c r="G150">
        <f t="shared" ca="1" si="65"/>
        <v>0</v>
      </c>
      <c r="H150">
        <f t="shared" ca="1" si="66"/>
        <v>0</v>
      </c>
      <c r="I150">
        <f t="shared" ca="1" si="67"/>
        <v>0</v>
      </c>
      <c r="J150">
        <f t="shared" ca="1" si="68"/>
        <v>0</v>
      </c>
      <c r="K150">
        <f ca="1">IF(OR($C150="S",$C150=0),0,MATCH(OFFSET($D150,0,$C150)+IF($C150&lt;&gt;1,1,COUNTIF(QCI!$A$13:$A$24,ORÇAMENTO!E150)),OFFSET($D150,1,$C150,ROW($C$162)-ROW($C150)),0))</f>
        <v>0</v>
      </c>
      <c r="L150" s="114" t="str">
        <f t="shared" ca="1" si="69"/>
        <v/>
      </c>
      <c r="M150" s="115" t="s">
        <v>705</v>
      </c>
      <c r="N150" s="116" t="str">
        <f t="shared" ca="1" si="70"/>
        <v>Serviço</v>
      </c>
      <c r="O150" s="117" t="str">
        <f t="shared" ca="1" si="71"/>
        <v>-</v>
      </c>
      <c r="P150" s="118" t="s">
        <v>750</v>
      </c>
      <c r="Q150" s="119"/>
      <c r="R150" s="120" t="str" cm="1">
        <f t="array" aca="1" ref="R150" ca="1">IF($C150="S",REFERENCIA.Descricao,"(digite a descrição aqui)")</f>
        <v>(Sem Código)</v>
      </c>
      <c r="S150" s="121" t="str" cm="1">
        <f t="array" aca="1" ref="S150" ca="1">REFERENCIA.Unidade</f>
        <v>-</v>
      </c>
      <c r="T150" s="122">
        <f ca="1">OFFSET(CÁLCULO!H$15,ROW($T150)-ROW(T$15),0)</f>
        <v>0</v>
      </c>
      <c r="U150" s="123"/>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IF($C150="S",IF(OR(Import.TipoArredondamento&lt;&gt;"TransfereGOV",ACOMPANHAMENTO="BM"),VTOTAL1,SUM(OFFSET(CÁLCULO!$AA$15,ROW($X150)-ROW($X$15),1):OFFSET(CÁLCULO!$AL$15,ROW($X150)-ROW($X$15),-1))),IF($C150=0,0,ROUND(SomaAgrup,15-13*$AF$11)))</f>
        <v>0</v>
      </c>
      <c r="Y150" s="126" t="s">
        <v>751</v>
      </c>
      <c r="Z150" t="str">
        <f t="shared" ca="1" si="72"/>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b" cm="1">
        <f t="array" aca="1" ref="AE150" ca="1">IF(AND($C150="S",ORÇAMENTO.CodBarra&lt;&gt;""),IF(ORÇAMENTO.Fonte="",ORÇAMENTO.CodBarra,CONCATENATE(ORÇAMENTO.Fonte," ",ORÇAMENTO.CodBarra)))</f>
        <v>0</v>
      </c>
      <c r="AF150" s="12"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(Sem Código)</v>
      </c>
      <c r="AG150" s="428" cm="1">
        <f t="array" aca="1" ref="AG150" ca="1">ROUND(IF(DESONERACAO="sim",REFERENCIA.Desonerado,REFERENCIA.NaoDesonerado),2)</f>
        <v>0</v>
      </c>
      <c r="AH150" s="429">
        <f t="shared" ca="1" si="73"/>
        <v>0.22</v>
      </c>
      <c r="AJ150" s="431"/>
      <c r="AL150" s="439"/>
      <c r="AM150" s="336">
        <f t="shared" ca="1" si="0"/>
        <v>0</v>
      </c>
      <c r="AN150" s="470" cm="1">
        <f t="array" aca="1" ref="AN150" ca="1">ROUND(ORÇAMENTO.CustoUnitario*(1+$AH150),2)</f>
        <v>0</v>
      </c>
    </row>
    <row r="151" spans="1:40" hidden="1" x14ac:dyDescent="0.2">
      <c r="A151" t="str">
        <f t="shared" si="60"/>
        <v>S</v>
      </c>
      <c r="B151">
        <f t="shared" ca="1" si="61"/>
        <v>2</v>
      </c>
      <c r="C151" t="str">
        <f t="shared" ca="1" si="62"/>
        <v>S</v>
      </c>
      <c r="D151">
        <f t="shared" ca="1" si="63"/>
        <v>0</v>
      </c>
      <c r="E151">
        <f ca="1">IF($C151=1,OFFSET(E151,-1,0)+MAX(1,COUNTIF(QCI!$A$13:$A$24,OFFSET(ORÇAMENTO!E151,-1,0))),OFFSET(E151,-1,0))</f>
        <v>7</v>
      </c>
      <c r="F151">
        <f t="shared" ca="1" si="64"/>
        <v>1</v>
      </c>
      <c r="G151">
        <f t="shared" ca="1" si="65"/>
        <v>0</v>
      </c>
      <c r="H151">
        <f t="shared" ca="1" si="66"/>
        <v>0</v>
      </c>
      <c r="I151">
        <f t="shared" ca="1" si="67"/>
        <v>0</v>
      </c>
      <c r="J151">
        <f t="shared" ca="1" si="68"/>
        <v>0</v>
      </c>
      <c r="K151">
        <f ca="1">IF(OR($C151="S",$C151=0),0,MATCH(OFFSET($D151,0,$C151)+IF($C151&lt;&gt;1,1,COUNTIF(QCI!$A$13:$A$24,ORÇAMENTO!E151)),OFFSET($D151,1,$C151,ROW($C$162)-ROW($C151)),0))</f>
        <v>0</v>
      </c>
      <c r="L151" s="114" t="str">
        <f t="shared" ca="1" si="69"/>
        <v/>
      </c>
      <c r="M151" s="115" t="s">
        <v>705</v>
      </c>
      <c r="N151" s="116" t="str">
        <f t="shared" ca="1" si="70"/>
        <v>Serviço</v>
      </c>
      <c r="O151" s="117" t="str">
        <f t="shared" ca="1" si="71"/>
        <v>-</v>
      </c>
      <c r="P151" s="118" t="s">
        <v>750</v>
      </c>
      <c r="Q151" s="119"/>
      <c r="R151" s="120" t="str" cm="1">
        <f t="array" aca="1" ref="R151" ca="1">IF($C151="S",REFERENCIA.Descricao,"(digite a descrição aqui)")</f>
        <v>(Sem Código)</v>
      </c>
      <c r="S151" s="121" t="str" cm="1">
        <f t="array" aca="1" ref="S151" ca="1">REFERENCIA.Unidade</f>
        <v>-</v>
      </c>
      <c r="T151" s="122">
        <f ca="1">OFFSET(CÁLCULO!H$15,ROW($T151)-ROW(T$15),0)</f>
        <v>0</v>
      </c>
      <c r="U151" s="123"/>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IF($C151="S",IF(OR(Import.TipoArredondamento&lt;&gt;"TransfereGOV",ACOMPANHAMENTO="BM"),VTOTAL1,SUM(OFFSET(CÁLCULO!$AA$15,ROW($X151)-ROW($X$15),1):OFFSET(CÁLCULO!$AL$15,ROW($X151)-ROW($X$15),-1))),IF($C151=0,0,ROUND(SomaAgrup,15-13*$AF$11)))</f>
        <v>0</v>
      </c>
      <c r="Y151" s="126" t="s">
        <v>751</v>
      </c>
      <c r="Z151" t="str">
        <f t="shared" ca="1" si="72"/>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cm="1">
        <f t="array" aca="1" ref="AE151" ca="1">IF(AND($C151="S",ORÇAMENTO.CodBarra&lt;&gt;""),IF(ORÇAMENTO.Fonte="",ORÇAMENTO.CodBarra,CONCATENATE(ORÇAMENTO.Fonte," ",ORÇAMENTO.CodBarra)))</f>
        <v>0</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(Sem Código)</v>
      </c>
      <c r="AG151" s="428" cm="1">
        <f t="array" aca="1" ref="AG151" ca="1">ROUND(IF(DESONERACAO="sim",REFERENCIA.Desonerado,REFERENCIA.NaoDesonerado),2)</f>
        <v>0</v>
      </c>
      <c r="AH151" s="429">
        <f t="shared" ca="1" si="73"/>
        <v>0.22</v>
      </c>
      <c r="AJ151" s="431"/>
      <c r="AL151" s="439"/>
      <c r="AM151" s="336">
        <f t="shared" ca="1" si="0"/>
        <v>0</v>
      </c>
      <c r="AN151" s="470" cm="1">
        <f t="array" aca="1" ref="AN151" ca="1">ROUND(ORÇAMENTO.CustoUnitario*(1+$AH151),2)</f>
        <v>0</v>
      </c>
    </row>
    <row r="152" spans="1:40" hidden="1" x14ac:dyDescent="0.2">
      <c r="A152" t="str">
        <f t="shared" si="60"/>
        <v>S</v>
      </c>
      <c r="B152">
        <f t="shared" ca="1" si="61"/>
        <v>2</v>
      </c>
      <c r="C152" t="str">
        <f t="shared" ca="1" si="62"/>
        <v>S</v>
      </c>
      <c r="D152">
        <f t="shared" ca="1" si="63"/>
        <v>0</v>
      </c>
      <c r="E152">
        <f ca="1">IF($C152=1,OFFSET(E152,-1,0)+MAX(1,COUNTIF(QCI!$A$13:$A$24,OFFSET(ORÇAMENTO!E152,-1,0))),OFFSET(E152,-1,0))</f>
        <v>7</v>
      </c>
      <c r="F152">
        <f t="shared" ca="1" si="64"/>
        <v>1</v>
      </c>
      <c r="G152">
        <f t="shared" ca="1" si="65"/>
        <v>0</v>
      </c>
      <c r="H152">
        <f t="shared" ca="1" si="66"/>
        <v>0</v>
      </c>
      <c r="I152">
        <f t="shared" ca="1" si="67"/>
        <v>0</v>
      </c>
      <c r="J152">
        <f t="shared" ca="1" si="68"/>
        <v>0</v>
      </c>
      <c r="K152">
        <f ca="1">IF(OR($C152="S",$C152=0),0,MATCH(OFFSET($D152,0,$C152)+IF($C152&lt;&gt;1,1,COUNTIF(QCI!$A$13:$A$24,ORÇAMENTO!E152)),OFFSET($D152,1,$C152,ROW($C$162)-ROW($C152)),0))</f>
        <v>0</v>
      </c>
      <c r="L152" s="114" t="str">
        <f t="shared" ca="1" si="69"/>
        <v/>
      </c>
      <c r="M152" s="115" t="s">
        <v>705</v>
      </c>
      <c r="N152" s="116" t="str">
        <f t="shared" ca="1" si="70"/>
        <v>Serviço</v>
      </c>
      <c r="O152" s="117" t="str">
        <f t="shared" ca="1" si="71"/>
        <v>-</v>
      </c>
      <c r="P152" s="118" t="s">
        <v>750</v>
      </c>
      <c r="Q152" s="119"/>
      <c r="R152" s="120" t="str" cm="1">
        <f t="array" aca="1" ref="R152" ca="1">IF($C152="S",REFERENCIA.Descricao,"(digite a descrição aqui)")</f>
        <v>(Sem Código)</v>
      </c>
      <c r="S152" s="121" t="str" cm="1">
        <f t="array" aca="1" ref="S152" ca="1">REFERENCIA.Unidade</f>
        <v>-</v>
      </c>
      <c r="T152" s="122">
        <f ca="1">OFFSET(CÁLCULO!H$15,ROW($T152)-ROW(T$15),0)</f>
        <v>0</v>
      </c>
      <c r="U152" s="123"/>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IF($C152="S",IF(OR(Import.TipoArredondamento&lt;&gt;"TransfereGOV",ACOMPANHAMENTO="BM"),VTOTAL1,SUM(OFFSET(CÁLCULO!$AA$15,ROW($X152)-ROW($X$15),1):OFFSET(CÁLCULO!$AL$15,ROW($X152)-ROW($X$15),-1))),IF($C152=0,0,ROUND(SomaAgrup,15-13*$AF$11)))</f>
        <v>0</v>
      </c>
      <c r="Y152" s="126" t="s">
        <v>751</v>
      </c>
      <c r="Z152" t="str">
        <f t="shared" ca="1" si="72"/>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cm="1">
        <f t="array" aca="1" ref="AE152" ca="1">IF(AND($C152="S",ORÇAMENTO.CodBarra&lt;&gt;""),IF(ORÇAMENTO.Fonte="",ORÇAMENTO.CodBarra,CONCATENATE(ORÇAMENTO.Fonte," ",ORÇAMENTO.CodBarra)))</f>
        <v>0</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8" cm="1">
        <f t="array" aca="1" ref="AG152" ca="1">ROUND(IF(DESONERACAO="sim",REFERENCIA.Desonerado,REFERENCIA.NaoDesonerado),2)</f>
        <v>0</v>
      </c>
      <c r="AH152" s="429">
        <f t="shared" ca="1" si="73"/>
        <v>0.22</v>
      </c>
      <c r="AJ152" s="431"/>
      <c r="AL152" s="439"/>
      <c r="AM152" s="336">
        <f t="shared" ca="1" si="0"/>
        <v>0</v>
      </c>
      <c r="AN152" s="470" cm="1">
        <f t="array" aca="1" ref="AN152" ca="1">ROUND(ORÇAMENTO.CustoUnitario*(1+$AH152),2)</f>
        <v>0</v>
      </c>
    </row>
    <row r="153" spans="1:40" hidden="1" x14ac:dyDescent="0.2">
      <c r="A153" t="str">
        <f t="shared" si="60"/>
        <v>S</v>
      </c>
      <c r="B153">
        <f t="shared" ca="1" si="61"/>
        <v>2</v>
      </c>
      <c r="C153" t="str">
        <f t="shared" ca="1" si="62"/>
        <v>S</v>
      </c>
      <c r="D153">
        <f t="shared" ca="1" si="63"/>
        <v>0</v>
      </c>
      <c r="E153">
        <f ca="1">IF($C153=1,OFFSET(E153,-1,0)+MAX(1,COUNTIF(QCI!$A$13:$A$24,OFFSET(ORÇAMENTO!E153,-1,0))),OFFSET(E153,-1,0))</f>
        <v>7</v>
      </c>
      <c r="F153">
        <f t="shared" ca="1" si="64"/>
        <v>1</v>
      </c>
      <c r="G153">
        <f t="shared" ca="1" si="65"/>
        <v>0</v>
      </c>
      <c r="H153">
        <f t="shared" ca="1" si="66"/>
        <v>0</v>
      </c>
      <c r="I153">
        <f t="shared" ca="1" si="67"/>
        <v>0</v>
      </c>
      <c r="J153">
        <f t="shared" ca="1" si="68"/>
        <v>0</v>
      </c>
      <c r="K153">
        <f ca="1">IF(OR($C153="S",$C153=0),0,MATCH(OFFSET($D153,0,$C153)+IF($C153&lt;&gt;1,1,COUNTIF(QCI!$A$13:$A$24,ORÇAMENTO!E153)),OFFSET($D153,1,$C153,ROW($C$162)-ROW($C153)),0))</f>
        <v>0</v>
      </c>
      <c r="L153" s="114" t="str">
        <f t="shared" ca="1" si="69"/>
        <v/>
      </c>
      <c r="M153" s="115" t="s">
        <v>705</v>
      </c>
      <c r="N153" s="116" t="str">
        <f t="shared" ca="1" si="70"/>
        <v>Serviço</v>
      </c>
      <c r="O153" s="117" t="str">
        <f t="shared" ca="1" si="71"/>
        <v>-</v>
      </c>
      <c r="P153" s="118" t="s">
        <v>750</v>
      </c>
      <c r="Q153" s="119"/>
      <c r="R153" s="120" t="str" cm="1">
        <f t="array" aca="1" ref="R153" ca="1">IF($C153="S",REFERENCIA.Descricao,"(digite a descrição aqui)")</f>
        <v>(Sem Código)</v>
      </c>
      <c r="S153" s="121" t="str" cm="1">
        <f t="array" aca="1" ref="S153" ca="1">REFERENCIA.Unidade</f>
        <v>-</v>
      </c>
      <c r="T153" s="122">
        <f ca="1">OFFSET(CÁLCULO!H$15,ROW($T153)-ROW(T$15),0)</f>
        <v>0</v>
      </c>
      <c r="U153" s="123"/>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IF($C153="S",IF(OR(Import.TipoArredondamento&lt;&gt;"TransfereGOV",ACOMPANHAMENTO="BM"),VTOTAL1,SUM(OFFSET(CÁLCULO!$AA$15,ROW($X153)-ROW($X$15),1):OFFSET(CÁLCULO!$AL$15,ROW($X153)-ROW($X$15),-1))),IF($C153=0,0,ROUND(SomaAgrup,15-13*$AF$11)))</f>
        <v>0</v>
      </c>
      <c r="Y153" s="126" t="s">
        <v>751</v>
      </c>
      <c r="Z153" t="str">
        <f t="shared" ca="1" si="72"/>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cm="1">
        <f t="array" aca="1" ref="AE153" ca="1">IF(AND($C153="S",ORÇAMENTO.CodBarra&lt;&gt;""),IF(ORÇAMENTO.Fonte="",ORÇAMENTO.CodBarra,CONCATENATE(ORÇAMENTO.Fonte," ",ORÇAMENTO.CodBarra)))</f>
        <v>0</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(Sem Código)</v>
      </c>
      <c r="AG153" s="428" cm="1">
        <f t="array" aca="1" ref="AG153" ca="1">ROUND(IF(DESONERACAO="sim",REFERENCIA.Desonerado,REFERENCIA.NaoDesonerado),2)</f>
        <v>0</v>
      </c>
      <c r="AH153" s="429">
        <f t="shared" ca="1" si="73"/>
        <v>0.22</v>
      </c>
      <c r="AJ153" s="431"/>
      <c r="AL153" s="439"/>
      <c r="AM153" s="336">
        <f t="shared" ca="1" si="0"/>
        <v>0</v>
      </c>
      <c r="AN153" s="470" cm="1">
        <f t="array" aca="1" ref="AN153" ca="1">ROUND(ORÇAMENTO.CustoUnitario*(1+$AH153),2)</f>
        <v>0</v>
      </c>
    </row>
    <row r="154" spans="1:40" hidden="1" x14ac:dyDescent="0.2">
      <c r="A154" t="str">
        <f t="shared" si="60"/>
        <v>S</v>
      </c>
      <c r="B154">
        <f t="shared" ca="1" si="61"/>
        <v>2</v>
      </c>
      <c r="C154" t="str">
        <f t="shared" ca="1" si="62"/>
        <v>S</v>
      </c>
      <c r="D154">
        <f t="shared" ca="1" si="63"/>
        <v>0</v>
      </c>
      <c r="E154">
        <f ca="1">IF($C154=1,OFFSET(E154,-1,0)+MAX(1,COUNTIF(QCI!$A$13:$A$24,OFFSET(ORÇAMENTO!E154,-1,0))),OFFSET(E154,-1,0))</f>
        <v>7</v>
      </c>
      <c r="F154">
        <f t="shared" ca="1" si="64"/>
        <v>1</v>
      </c>
      <c r="G154">
        <f t="shared" ca="1" si="65"/>
        <v>0</v>
      </c>
      <c r="H154">
        <f t="shared" ca="1" si="66"/>
        <v>0</v>
      </c>
      <c r="I154">
        <f t="shared" ca="1" si="67"/>
        <v>0</v>
      </c>
      <c r="J154">
        <f t="shared" ca="1" si="68"/>
        <v>0</v>
      </c>
      <c r="K154">
        <f ca="1">IF(OR($C154="S",$C154=0),0,MATCH(OFFSET($D154,0,$C154)+IF($C154&lt;&gt;1,1,COUNTIF(QCI!$A$13:$A$24,ORÇAMENTO!E154)),OFFSET($D154,1,$C154,ROW($C$162)-ROW($C154)),0))</f>
        <v>0</v>
      </c>
      <c r="L154" s="114" t="str">
        <f t="shared" ca="1" si="69"/>
        <v/>
      </c>
      <c r="M154" s="115" t="s">
        <v>705</v>
      </c>
      <c r="N154" s="116" t="str">
        <f t="shared" ca="1" si="70"/>
        <v>Serviço</v>
      </c>
      <c r="O154" s="117" t="str">
        <f t="shared" ca="1" si="71"/>
        <v>-</v>
      </c>
      <c r="P154" s="118" t="s">
        <v>750</v>
      </c>
      <c r="Q154" s="119"/>
      <c r="R154" s="120" t="str" cm="1">
        <f t="array" aca="1" ref="R154" ca="1">IF($C154="S",REFERENCIA.Descricao,"(digite a descrição aqui)")</f>
        <v>(Sem Código)</v>
      </c>
      <c r="S154" s="121" t="str" cm="1">
        <f t="array" aca="1" ref="S154" ca="1">REFERENCIA.Unidade</f>
        <v>-</v>
      </c>
      <c r="T154" s="122">
        <f ca="1">OFFSET(CÁLCULO!H$15,ROW($T154)-ROW(T$15),0)</f>
        <v>0</v>
      </c>
      <c r="U154" s="123"/>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IF($C154="S",IF(OR(Import.TipoArredondamento&lt;&gt;"TransfereGOV",ACOMPANHAMENTO="BM"),VTOTAL1,SUM(OFFSET(CÁLCULO!$AA$15,ROW($X154)-ROW($X$15),1):OFFSET(CÁLCULO!$AL$15,ROW($X154)-ROW($X$15),-1))),IF($C154=0,0,ROUND(SomaAgrup,15-13*$AF$11)))</f>
        <v>0</v>
      </c>
      <c r="Y154" s="126" t="s">
        <v>751</v>
      </c>
      <c r="Z154" t="str">
        <f t="shared" ca="1" si="72"/>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b" cm="1">
        <f t="array" aca="1" ref="AE154" ca="1">IF(AND($C154="S",ORÇAMENTO.CodBarra&lt;&gt;""),IF(ORÇAMENTO.Fonte="",ORÇAMENTO.CodBarra,CONCATENATE(ORÇAMENTO.Fonte," ",ORÇAMENTO.CodBarra)))</f>
        <v>0</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(Sem Código)</v>
      </c>
      <c r="AG154" s="428" cm="1">
        <f t="array" aca="1" ref="AG154" ca="1">ROUND(IF(DESONERACAO="sim",REFERENCIA.Desonerado,REFERENCIA.NaoDesonerado),2)</f>
        <v>0</v>
      </c>
      <c r="AH154" s="429">
        <f t="shared" ca="1" si="73"/>
        <v>0.22</v>
      </c>
      <c r="AJ154" s="431"/>
      <c r="AL154" s="439"/>
      <c r="AM154" s="336">
        <f t="shared" ca="1" si="0"/>
        <v>0</v>
      </c>
      <c r="AN154" s="470" cm="1">
        <f t="array" aca="1" ref="AN154" ca="1">ROUND(ORÇAMENTO.CustoUnitario*(1+$AH154),2)</f>
        <v>0</v>
      </c>
    </row>
    <row r="155" spans="1:40" hidden="1" x14ac:dyDescent="0.2">
      <c r="A155" t="str">
        <f t="shared" si="60"/>
        <v>S</v>
      </c>
      <c r="B155">
        <f t="shared" ca="1" si="61"/>
        <v>2</v>
      </c>
      <c r="C155" t="str">
        <f t="shared" ca="1" si="62"/>
        <v>S</v>
      </c>
      <c r="D155">
        <f t="shared" ca="1" si="63"/>
        <v>0</v>
      </c>
      <c r="E155">
        <f ca="1">IF($C155=1,OFFSET(E155,-1,0)+MAX(1,COUNTIF(QCI!$A$13:$A$24,OFFSET(ORÇAMENTO!E155,-1,0))),OFFSET(E155,-1,0))</f>
        <v>7</v>
      </c>
      <c r="F155">
        <f t="shared" ca="1" si="64"/>
        <v>1</v>
      </c>
      <c r="G155">
        <f t="shared" ca="1" si="65"/>
        <v>0</v>
      </c>
      <c r="H155">
        <f t="shared" ca="1" si="66"/>
        <v>0</v>
      </c>
      <c r="I155">
        <f t="shared" ca="1" si="67"/>
        <v>0</v>
      </c>
      <c r="J155">
        <f t="shared" ca="1" si="68"/>
        <v>0</v>
      </c>
      <c r="K155">
        <f ca="1">IF(OR($C155="S",$C155=0),0,MATCH(OFFSET($D155,0,$C155)+IF($C155&lt;&gt;1,1,COUNTIF(QCI!$A$13:$A$24,ORÇAMENTO!E155)),OFFSET($D155,1,$C155,ROW($C$162)-ROW($C155)),0))</f>
        <v>0</v>
      </c>
      <c r="L155" s="114" t="str">
        <f t="shared" ca="1" si="69"/>
        <v/>
      </c>
      <c r="M155" s="115" t="s">
        <v>705</v>
      </c>
      <c r="N155" s="116" t="str">
        <f t="shared" ca="1" si="70"/>
        <v>Serviço</v>
      </c>
      <c r="O155" s="117" t="str">
        <f t="shared" ca="1" si="71"/>
        <v>-</v>
      </c>
      <c r="P155" s="118" t="s">
        <v>750</v>
      </c>
      <c r="Q155" s="119"/>
      <c r="R155" s="120" t="str" cm="1">
        <f t="array" aca="1" ref="R155" ca="1">IF($C155="S",REFERENCIA.Descricao,"(digite a descrição aqui)")</f>
        <v>(Sem Código)</v>
      </c>
      <c r="S155" s="121" t="str" cm="1">
        <f t="array" aca="1" ref="S155" ca="1">REFERENCIA.Unidade</f>
        <v>-</v>
      </c>
      <c r="T155" s="122">
        <f ca="1">OFFSET(CÁLCULO!H$15,ROW($T155)-ROW(T$15),0)</f>
        <v>0</v>
      </c>
      <c r="U155" s="123"/>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IF($C155="S",IF(OR(Import.TipoArredondamento&lt;&gt;"TransfereGOV",ACOMPANHAMENTO="BM"),VTOTAL1,SUM(OFFSET(CÁLCULO!$AA$15,ROW($X155)-ROW($X$15),1):OFFSET(CÁLCULO!$AL$15,ROW($X155)-ROW($X$15),-1))),IF($C155=0,0,ROUND(SomaAgrup,15-13*$AF$11)))</f>
        <v>0</v>
      </c>
      <c r="Y155" s="126" t="s">
        <v>751</v>
      </c>
      <c r="Z155" t="str">
        <f t="shared" ca="1" si="72"/>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cm="1">
        <f t="array" aca="1" ref="AE155" ca="1">IF(AND($C155="S",ORÇAMENTO.CodBarra&lt;&gt;""),IF(ORÇAMENTO.Fonte="",ORÇAMENTO.CodBarra,CONCATENATE(ORÇAMENTO.Fonte," ",ORÇAMENTO.CodBarra)))</f>
        <v>0</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(Sem Código)</v>
      </c>
      <c r="AG155" s="428" cm="1">
        <f t="array" aca="1" ref="AG155" ca="1">ROUND(IF(DESONERACAO="sim",REFERENCIA.Desonerado,REFERENCIA.NaoDesonerado),2)</f>
        <v>0</v>
      </c>
      <c r="AH155" s="429">
        <f t="shared" ca="1" si="73"/>
        <v>0.22</v>
      </c>
      <c r="AJ155" s="431"/>
      <c r="AL155" s="439"/>
      <c r="AM155" s="336">
        <f t="shared" ca="1" si="0"/>
        <v>0</v>
      </c>
      <c r="AN155" s="470" cm="1">
        <f t="array" aca="1" ref="AN155" ca="1">ROUND(ORÇAMENTO.CustoUnitario*(1+$AH155),2)</f>
        <v>0</v>
      </c>
    </row>
    <row r="156" spans="1:40" hidden="1" x14ac:dyDescent="0.2">
      <c r="A156" t="str">
        <f t="shared" si="60"/>
        <v>S</v>
      </c>
      <c r="B156">
        <f t="shared" ca="1" si="61"/>
        <v>2</v>
      </c>
      <c r="C156" t="str">
        <f t="shared" ca="1" si="62"/>
        <v>S</v>
      </c>
      <c r="D156">
        <f t="shared" ca="1" si="63"/>
        <v>0</v>
      </c>
      <c r="E156">
        <f ca="1">IF($C156=1,OFFSET(E156,-1,0)+MAX(1,COUNTIF(QCI!$A$13:$A$24,OFFSET(ORÇAMENTO!E156,-1,0))),OFFSET(E156,-1,0))</f>
        <v>7</v>
      </c>
      <c r="F156">
        <f t="shared" ca="1" si="64"/>
        <v>1</v>
      </c>
      <c r="G156">
        <f t="shared" ca="1" si="65"/>
        <v>0</v>
      </c>
      <c r="H156">
        <f t="shared" ca="1" si="66"/>
        <v>0</v>
      </c>
      <c r="I156">
        <f t="shared" ca="1" si="67"/>
        <v>0</v>
      </c>
      <c r="J156">
        <f t="shared" ca="1" si="68"/>
        <v>0</v>
      </c>
      <c r="K156">
        <f ca="1">IF(OR($C156="S",$C156=0),0,MATCH(OFFSET($D156,0,$C156)+IF($C156&lt;&gt;1,1,COUNTIF(QCI!$A$13:$A$24,ORÇAMENTO!E156)),OFFSET($D156,1,$C156,ROW($C$162)-ROW($C156)),0))</f>
        <v>0</v>
      </c>
      <c r="L156" s="114" t="str">
        <f t="shared" ca="1" si="69"/>
        <v/>
      </c>
      <c r="M156" s="115" t="s">
        <v>705</v>
      </c>
      <c r="N156" s="116" t="str">
        <f t="shared" ca="1" si="70"/>
        <v>Serviço</v>
      </c>
      <c r="O156" s="117" t="str">
        <f t="shared" ca="1" si="71"/>
        <v>-</v>
      </c>
      <c r="P156" s="118" t="s">
        <v>750</v>
      </c>
      <c r="Q156" s="119"/>
      <c r="R156" s="120" t="str" cm="1">
        <f t="array" aca="1" ref="R156" ca="1">IF($C156="S",REFERENCIA.Descricao,"(digite a descrição aqui)")</f>
        <v>(Sem Código)</v>
      </c>
      <c r="S156" s="121" t="str" cm="1">
        <f t="array" aca="1" ref="S156" ca="1">REFERENCIA.Unidade</f>
        <v>-</v>
      </c>
      <c r="T156" s="122">
        <f ca="1">OFFSET(CÁLCULO!H$15,ROW($T156)-ROW(T$15),0)</f>
        <v>0</v>
      </c>
      <c r="U156" s="123"/>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IF($C156="S",IF(OR(Import.TipoArredondamento&lt;&gt;"TransfereGOV",ACOMPANHAMENTO="BM"),VTOTAL1,SUM(OFFSET(CÁLCULO!$AA$15,ROW($X156)-ROW($X$15),1):OFFSET(CÁLCULO!$AL$15,ROW($X156)-ROW($X$15),-1))),IF($C156=0,0,ROUND(SomaAgrup,15-13*$AF$11)))</f>
        <v>0</v>
      </c>
      <c r="Y156" s="126" t="s">
        <v>751</v>
      </c>
      <c r="Z156" t="str">
        <f t="shared" ca="1" si="72"/>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b" cm="1">
        <f t="array" aca="1" ref="AE156" ca="1">IF(AND($C156="S",ORÇAMENTO.CodBarra&lt;&gt;""),IF(ORÇAMENTO.Fonte="",ORÇAMENTO.CodBarra,CONCATENATE(ORÇAMENTO.Fonte," ",ORÇAMENTO.CodBarra)))</f>
        <v>0</v>
      </c>
      <c r="AF156" s="12"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(Sem Código)</v>
      </c>
      <c r="AG156" s="428" cm="1">
        <f t="array" aca="1" ref="AG156" ca="1">ROUND(IF(DESONERACAO="sim",REFERENCIA.Desonerado,REFERENCIA.NaoDesonerado),2)</f>
        <v>0</v>
      </c>
      <c r="AH156" s="429">
        <f t="shared" ca="1" si="73"/>
        <v>0.22</v>
      </c>
      <c r="AJ156" s="431"/>
      <c r="AL156" s="439"/>
      <c r="AM156" s="336">
        <f t="shared" ca="1" si="0"/>
        <v>0</v>
      </c>
      <c r="AN156" s="470" cm="1">
        <f t="array" aca="1" ref="AN156" ca="1">ROUND(ORÇAMENTO.CustoUnitario*(1+$AH156),2)</f>
        <v>0</v>
      </c>
    </row>
    <row r="157" spans="1:40" hidden="1" x14ac:dyDescent="0.2">
      <c r="A157" t="str">
        <f t="shared" si="60"/>
        <v>S</v>
      </c>
      <c r="B157">
        <f t="shared" ca="1" si="61"/>
        <v>2</v>
      </c>
      <c r="C157" t="str">
        <f t="shared" ca="1" si="62"/>
        <v>S</v>
      </c>
      <c r="D157">
        <f t="shared" ca="1" si="63"/>
        <v>0</v>
      </c>
      <c r="E157">
        <f ca="1">IF($C157=1,OFFSET(E157,-1,0)+MAX(1,COUNTIF(QCI!$A$13:$A$24,OFFSET(ORÇAMENTO!E157,-1,0))),OFFSET(E157,-1,0))</f>
        <v>7</v>
      </c>
      <c r="F157">
        <f t="shared" ca="1" si="64"/>
        <v>1</v>
      </c>
      <c r="G157">
        <f t="shared" ca="1" si="65"/>
        <v>0</v>
      </c>
      <c r="H157">
        <f t="shared" ca="1" si="66"/>
        <v>0</v>
      </c>
      <c r="I157">
        <f t="shared" ca="1" si="67"/>
        <v>0</v>
      </c>
      <c r="J157">
        <f t="shared" ca="1" si="68"/>
        <v>0</v>
      </c>
      <c r="K157">
        <f ca="1">IF(OR($C157="S",$C157=0),0,MATCH(OFFSET($D157,0,$C157)+IF($C157&lt;&gt;1,1,COUNTIF(QCI!$A$13:$A$24,ORÇAMENTO!E157)),OFFSET($D157,1,$C157,ROW($C$162)-ROW($C157)),0))</f>
        <v>0</v>
      </c>
      <c r="L157" s="114" t="str">
        <f t="shared" ca="1" si="69"/>
        <v/>
      </c>
      <c r="M157" s="115" t="s">
        <v>705</v>
      </c>
      <c r="N157" s="116" t="str">
        <f t="shared" ca="1" si="70"/>
        <v>Serviço</v>
      </c>
      <c r="O157" s="117" t="str">
        <f t="shared" ca="1" si="71"/>
        <v>-</v>
      </c>
      <c r="P157" s="118" t="s">
        <v>750</v>
      </c>
      <c r="Q157" s="119"/>
      <c r="R157" s="120" t="str" cm="1">
        <f t="array" aca="1" ref="R157" ca="1">IF($C157="S",REFERENCIA.Descricao,"(digite a descrição aqui)")</f>
        <v>(Sem Código)</v>
      </c>
      <c r="S157" s="121" t="str" cm="1">
        <f t="array" aca="1" ref="S157" ca="1">REFERENCIA.Unidade</f>
        <v>-</v>
      </c>
      <c r="T157" s="122">
        <f ca="1">OFFSET(CÁLCULO!H$15,ROW($T157)-ROW(T$15),0)</f>
        <v>0</v>
      </c>
      <c r="U157" s="123"/>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IF($C157="S",IF(OR(Import.TipoArredondamento&lt;&gt;"TransfereGOV",ACOMPANHAMENTO="BM"),VTOTAL1,SUM(OFFSET(CÁLCULO!$AA$15,ROW($X157)-ROW($X$15),1):OFFSET(CÁLCULO!$AL$15,ROW($X157)-ROW($X$15),-1))),IF($C157=0,0,ROUND(SomaAgrup,15-13*$AF$11)))</f>
        <v>0</v>
      </c>
      <c r="Y157" s="126" t="s">
        <v>751</v>
      </c>
      <c r="Z157" t="str">
        <f t="shared" ca="1" si="72"/>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b" cm="1">
        <f t="array" aca="1" ref="AE157" ca="1">IF(AND($C157="S",ORÇAMENTO.CodBarra&lt;&gt;""),IF(ORÇAMENTO.Fonte="",ORÇAMENTO.CodBarra,CONCATENATE(ORÇAMENTO.Fonte," ",ORÇAMENTO.CodBarra)))</f>
        <v>0</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(Sem Código)</v>
      </c>
      <c r="AG157" s="428" cm="1">
        <f t="array" aca="1" ref="AG157" ca="1">ROUND(IF(DESONERACAO="sim",REFERENCIA.Desonerado,REFERENCIA.NaoDesonerado),2)</f>
        <v>0</v>
      </c>
      <c r="AH157" s="429">
        <f t="shared" ca="1" si="73"/>
        <v>0.22</v>
      </c>
      <c r="AJ157" s="431"/>
      <c r="AL157" s="439"/>
      <c r="AM157" s="336">
        <f t="shared" ca="1" si="0"/>
        <v>0</v>
      </c>
      <c r="AN157" s="470" cm="1">
        <f t="array" aca="1" ref="AN157" ca="1">ROUND(ORÇAMENTO.CustoUnitario*(1+$AH157),2)</f>
        <v>0</v>
      </c>
    </row>
    <row r="158" spans="1:40" hidden="1" x14ac:dyDescent="0.2">
      <c r="A158" t="str">
        <f t="shared" si="60"/>
        <v>S</v>
      </c>
      <c r="B158">
        <f t="shared" ca="1" si="61"/>
        <v>2</v>
      </c>
      <c r="C158" t="str">
        <f t="shared" ca="1" si="62"/>
        <v>S</v>
      </c>
      <c r="D158">
        <f t="shared" ca="1" si="63"/>
        <v>0</v>
      </c>
      <c r="E158">
        <f ca="1">IF($C158=1,OFFSET(E158,-1,0)+MAX(1,COUNTIF(QCI!$A$13:$A$24,OFFSET(ORÇAMENTO!E158,-1,0))),OFFSET(E158,-1,0))</f>
        <v>7</v>
      </c>
      <c r="F158">
        <f t="shared" ca="1" si="64"/>
        <v>1</v>
      </c>
      <c r="G158">
        <f t="shared" ca="1" si="65"/>
        <v>0</v>
      </c>
      <c r="H158">
        <f t="shared" ca="1" si="66"/>
        <v>0</v>
      </c>
      <c r="I158">
        <f t="shared" ca="1" si="67"/>
        <v>0</v>
      </c>
      <c r="J158">
        <f t="shared" ca="1" si="68"/>
        <v>0</v>
      </c>
      <c r="K158">
        <f ca="1">IF(OR($C158="S",$C158=0),0,MATCH(OFFSET($D158,0,$C158)+IF($C158&lt;&gt;1,1,COUNTIF(QCI!$A$13:$A$24,ORÇAMENTO!E158)),OFFSET($D158,1,$C158,ROW($C$162)-ROW($C158)),0))</f>
        <v>0</v>
      </c>
      <c r="L158" s="114" t="str">
        <f t="shared" ca="1" si="69"/>
        <v/>
      </c>
      <c r="M158" s="115" t="s">
        <v>705</v>
      </c>
      <c r="N158" s="116" t="str">
        <f t="shared" ca="1" si="70"/>
        <v>Serviço</v>
      </c>
      <c r="O158" s="117" t="str">
        <f t="shared" ca="1" si="71"/>
        <v>-</v>
      </c>
      <c r="P158" s="118" t="s">
        <v>750</v>
      </c>
      <c r="Q158" s="119"/>
      <c r="R158" s="120" t="str" cm="1">
        <f t="array" aca="1" ref="R158" ca="1">IF($C158="S",REFERENCIA.Descricao,"(digite a descrição aqui)")</f>
        <v>(Sem Código)</v>
      </c>
      <c r="S158" s="121" t="str" cm="1">
        <f t="array" aca="1" ref="S158" ca="1">REFERENCIA.Unidade</f>
        <v>-</v>
      </c>
      <c r="T158" s="122">
        <f ca="1">OFFSET(CÁLCULO!H$15,ROW($T158)-ROW(T$15),0)</f>
        <v>0</v>
      </c>
      <c r="U158" s="123"/>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IF($C158="S",IF(OR(Import.TipoArredondamento&lt;&gt;"TransfereGOV",ACOMPANHAMENTO="BM"),VTOTAL1,SUM(OFFSET(CÁLCULO!$AA$15,ROW($X158)-ROW($X$15),1):OFFSET(CÁLCULO!$AL$15,ROW($X158)-ROW($X$15),-1))),IF($C158=0,0,ROUND(SomaAgrup,15-13*$AF$11)))</f>
        <v>0</v>
      </c>
      <c r="Y158" s="126" t="s">
        <v>751</v>
      </c>
      <c r="Z158" t="str">
        <f t="shared" ca="1" si="72"/>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cm="1">
        <f t="array" aca="1" ref="AE158" ca="1">IF(AND($C158="S",ORÇAMENTO.CodBarra&lt;&gt;""),IF(ORÇAMENTO.Fonte="",ORÇAMENTO.CodBarra,CONCATENATE(ORÇAMENTO.Fonte," ",ORÇAMENTO.CodBarra)))</f>
        <v>0</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(Sem Código)</v>
      </c>
      <c r="AG158" s="428" cm="1">
        <f t="array" aca="1" ref="AG158" ca="1">ROUND(IF(DESONERACAO="sim",REFERENCIA.Desonerado,REFERENCIA.NaoDesonerado),2)</f>
        <v>0</v>
      </c>
      <c r="AH158" s="429">
        <f t="shared" ca="1" si="73"/>
        <v>0.22</v>
      </c>
      <c r="AJ158" s="431"/>
      <c r="AL158" s="439"/>
      <c r="AM158" s="336">
        <f t="shared" ca="1" si="0"/>
        <v>0</v>
      </c>
      <c r="AN158" s="470" cm="1">
        <f t="array" aca="1" ref="AN158" ca="1">ROUND(ORÇAMENTO.CustoUnitario*(1+$AH158),2)</f>
        <v>0</v>
      </c>
    </row>
    <row r="159" spans="1:40" hidden="1" x14ac:dyDescent="0.2">
      <c r="A159" t="str">
        <f t="shared" si="60"/>
        <v>S</v>
      </c>
      <c r="B159">
        <f t="shared" ca="1" si="61"/>
        <v>2</v>
      </c>
      <c r="C159" t="str">
        <f t="shared" ca="1" si="62"/>
        <v>S</v>
      </c>
      <c r="D159">
        <f t="shared" ca="1" si="63"/>
        <v>0</v>
      </c>
      <c r="E159">
        <f ca="1">IF($C159=1,OFFSET(E159,-1,0)+MAX(1,COUNTIF(QCI!$A$13:$A$24,OFFSET(ORÇAMENTO!E159,-1,0))),OFFSET(E159,-1,0))</f>
        <v>7</v>
      </c>
      <c r="F159">
        <f t="shared" ca="1" si="64"/>
        <v>1</v>
      </c>
      <c r="G159">
        <f t="shared" ca="1" si="65"/>
        <v>0</v>
      </c>
      <c r="H159">
        <f t="shared" ca="1" si="66"/>
        <v>0</v>
      </c>
      <c r="I159">
        <f t="shared" ca="1" si="67"/>
        <v>0</v>
      </c>
      <c r="J159">
        <f t="shared" ca="1" si="68"/>
        <v>0</v>
      </c>
      <c r="K159">
        <f ca="1">IF(OR($C159="S",$C159=0),0,MATCH(OFFSET($D159,0,$C159)+IF($C159&lt;&gt;1,1,COUNTIF(QCI!$A$13:$A$24,ORÇAMENTO!E159)),OFFSET($D159,1,$C159,ROW($C$162)-ROW($C159)),0))</f>
        <v>0</v>
      </c>
      <c r="L159" s="114" t="str">
        <f t="shared" ca="1" si="69"/>
        <v/>
      </c>
      <c r="M159" s="115" t="s">
        <v>705</v>
      </c>
      <c r="N159" s="116" t="str">
        <f t="shared" ca="1" si="70"/>
        <v>Serviço</v>
      </c>
      <c r="O159" s="117" t="str">
        <f t="shared" ca="1" si="71"/>
        <v>-</v>
      </c>
      <c r="P159" s="118" t="s">
        <v>750</v>
      </c>
      <c r="Q159" s="119"/>
      <c r="R159" s="120" t="str" cm="1">
        <f t="array" aca="1" ref="R159" ca="1">IF($C159="S",REFERENCIA.Descricao,"(digite a descrição aqui)")</f>
        <v>(Sem Código)</v>
      </c>
      <c r="S159" s="121" t="str" cm="1">
        <f t="array" aca="1" ref="S159" ca="1">REFERENCIA.Unidade</f>
        <v>-</v>
      </c>
      <c r="T159" s="122">
        <f ca="1">OFFSET(CÁLCULO!H$15,ROW($T159)-ROW(T$15),0)</f>
        <v>0</v>
      </c>
      <c r="U159" s="123"/>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IF($C159="S",IF(OR(Import.TipoArredondamento&lt;&gt;"TransfereGOV",ACOMPANHAMENTO="BM"),VTOTAL1,SUM(OFFSET(CÁLCULO!$AA$15,ROW($X159)-ROW($X$15),1):OFFSET(CÁLCULO!$AL$15,ROW($X159)-ROW($X$15),-1))),IF($C159=0,0,ROUND(SomaAgrup,15-13*$AF$11)))</f>
        <v>0</v>
      </c>
      <c r="Y159" s="126" t="s">
        <v>751</v>
      </c>
      <c r="Z159" t="str">
        <f t="shared" ca="1" si="72"/>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cm="1">
        <f t="array" aca="1" ref="AE159" ca="1">IF(AND($C159="S",ORÇAMENTO.CodBarra&lt;&gt;""),IF(ORÇAMENTO.Fonte="",ORÇAMENTO.CodBarra,CONCATENATE(ORÇAMENTO.Fonte," ",ORÇAMENTO.CodBarra)))</f>
        <v>0</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(Sem Código)</v>
      </c>
      <c r="AG159" s="428" cm="1">
        <f t="array" aca="1" ref="AG159" ca="1">ROUND(IF(DESONERACAO="sim",REFERENCIA.Desonerado,REFERENCIA.NaoDesonerado),2)</f>
        <v>0</v>
      </c>
      <c r="AH159" s="429">
        <f t="shared" ca="1" si="73"/>
        <v>0.22</v>
      </c>
      <c r="AJ159" s="431"/>
      <c r="AL159" s="439"/>
      <c r="AM159" s="336">
        <f t="shared" ca="1" si="0"/>
        <v>0</v>
      </c>
      <c r="AN159" s="470" cm="1">
        <f t="array" aca="1" ref="AN159" ca="1">ROUND(ORÇAMENTO.CustoUnitario*(1+$AH159),2)</f>
        <v>0</v>
      </c>
    </row>
    <row r="160" spans="1:40" hidden="1" x14ac:dyDescent="0.2">
      <c r="A160" t="str">
        <f t="shared" si="60"/>
        <v>S</v>
      </c>
      <c r="B160">
        <f t="shared" ca="1" si="61"/>
        <v>2</v>
      </c>
      <c r="C160" t="str">
        <f t="shared" ca="1" si="62"/>
        <v>S</v>
      </c>
      <c r="D160">
        <f t="shared" ca="1" si="63"/>
        <v>0</v>
      </c>
      <c r="E160">
        <f ca="1">IF($C160=1,OFFSET(E160,-1,0)+MAX(1,COUNTIF(QCI!$A$13:$A$24,OFFSET(ORÇAMENTO!E160,-1,0))),OFFSET(E160,-1,0))</f>
        <v>7</v>
      </c>
      <c r="F160">
        <f t="shared" ca="1" si="64"/>
        <v>1</v>
      </c>
      <c r="G160">
        <f t="shared" ca="1" si="65"/>
        <v>0</v>
      </c>
      <c r="H160">
        <f t="shared" ca="1" si="66"/>
        <v>0</v>
      </c>
      <c r="I160">
        <f t="shared" ca="1" si="67"/>
        <v>0</v>
      </c>
      <c r="J160">
        <f t="shared" ca="1" si="68"/>
        <v>0</v>
      </c>
      <c r="K160">
        <f ca="1">IF(OR($C160="S",$C160=0),0,MATCH(OFFSET($D160,0,$C160)+IF($C160&lt;&gt;1,1,COUNTIF(QCI!$A$13:$A$24,ORÇAMENTO!E160)),OFFSET($D160,1,$C160,ROW($C$162)-ROW($C160)),0))</f>
        <v>0</v>
      </c>
      <c r="L160" s="114" t="str">
        <f t="shared" ca="1" si="69"/>
        <v/>
      </c>
      <c r="M160" s="115" t="s">
        <v>705</v>
      </c>
      <c r="N160" s="116" t="str">
        <f t="shared" ca="1" si="70"/>
        <v>Serviço</v>
      </c>
      <c r="O160" s="117" t="str">
        <f t="shared" ca="1" si="71"/>
        <v>-</v>
      </c>
      <c r="P160" s="118" t="s">
        <v>750</v>
      </c>
      <c r="Q160" s="119"/>
      <c r="R160" s="120" t="str" cm="1">
        <f t="array" aca="1" ref="R160" ca="1">IF($C160="S",REFERENCIA.Descricao,"(digite a descrição aqui)")</f>
        <v>(Sem Código)</v>
      </c>
      <c r="S160" s="121" t="str" cm="1">
        <f t="array" aca="1" ref="S160" ca="1">REFERENCIA.Unidade</f>
        <v>-</v>
      </c>
      <c r="T160" s="122">
        <f ca="1">OFFSET(CÁLCULO!H$15,ROW($T160)-ROW(T$15),0)</f>
        <v>0</v>
      </c>
      <c r="U160" s="123"/>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IF($C160="S",IF(OR(Import.TipoArredondamento&lt;&gt;"TransfereGOV",ACOMPANHAMENTO="BM"),VTOTAL1,SUM(OFFSET(CÁLCULO!$AA$15,ROW($X160)-ROW($X$15),1):OFFSET(CÁLCULO!$AL$15,ROW($X160)-ROW($X$15),-1))),IF($C160=0,0,ROUND(SomaAgrup,15-13*$AF$11)))</f>
        <v>0</v>
      </c>
      <c r="Y160" s="126" t="s">
        <v>751</v>
      </c>
      <c r="Z160" t="str">
        <f t="shared" ca="1" si="72"/>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cm="1">
        <f t="array" aca="1" ref="AE160" ca="1">IF(AND($C160="S",ORÇAMENTO.CodBarra&lt;&gt;""),IF(ORÇAMENTO.Fonte="",ORÇAMENTO.CodBarra,CONCATENATE(ORÇAMENTO.Fonte," ",ORÇAMENTO.CodBarra)))</f>
        <v>0</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(Sem Código)</v>
      </c>
      <c r="AG160" s="428" cm="1">
        <f t="array" aca="1" ref="AG160" ca="1">ROUND(IF(DESONERACAO="sim",REFERENCIA.Desonerado,REFERENCIA.NaoDesonerado),2)</f>
        <v>0</v>
      </c>
      <c r="AH160" s="429">
        <f t="shared" ca="1" si="73"/>
        <v>0.22</v>
      </c>
      <c r="AJ160" s="431"/>
      <c r="AL160" s="439"/>
      <c r="AM160" s="336">
        <f t="shared" ca="1" si="0"/>
        <v>0</v>
      </c>
      <c r="AN160" s="470" cm="1">
        <f t="array" aca="1" ref="AN160" ca="1">ROUND(ORÇAMENTO.CustoUnitario*(1+$AH160),2)</f>
        <v>0</v>
      </c>
    </row>
    <row r="161" spans="1:40" hidden="1" x14ac:dyDescent="0.2">
      <c r="A161" t="str">
        <f t="shared" si="60"/>
        <v>S</v>
      </c>
      <c r="B161">
        <f t="shared" ca="1" si="61"/>
        <v>2</v>
      </c>
      <c r="C161" t="str">
        <f t="shared" ca="1" si="62"/>
        <v>S</v>
      </c>
      <c r="D161">
        <f t="shared" ca="1" si="63"/>
        <v>0</v>
      </c>
      <c r="E161">
        <f ca="1">IF($C161=1,OFFSET(E161,-1,0)+MAX(1,COUNTIF(QCI!$A$13:$A$24,OFFSET(ORÇAMENTO!E161,-1,0))),OFFSET(E161,-1,0))</f>
        <v>7</v>
      </c>
      <c r="F161">
        <f t="shared" ca="1" si="64"/>
        <v>1</v>
      </c>
      <c r="G161">
        <f t="shared" ca="1" si="65"/>
        <v>0</v>
      </c>
      <c r="H161">
        <f t="shared" ca="1" si="66"/>
        <v>0</v>
      </c>
      <c r="I161">
        <f t="shared" ca="1" si="67"/>
        <v>0</v>
      </c>
      <c r="J161">
        <f t="shared" ca="1" si="68"/>
        <v>0</v>
      </c>
      <c r="K161">
        <f ca="1">IF(OR($C161="S",$C161=0),0,MATCH(OFFSET($D161,0,$C161)+IF($C161&lt;&gt;1,1,COUNTIF(QCI!$A$13:$A$24,ORÇAMENTO!E161)),OFFSET($D161,1,$C161,ROW($C$162)-ROW($C161)),0))</f>
        <v>0</v>
      </c>
      <c r="L161" s="114" t="str">
        <f t="shared" ca="1" si="69"/>
        <v/>
      </c>
      <c r="M161" s="115" t="s">
        <v>705</v>
      </c>
      <c r="N161" s="116" t="str">
        <f t="shared" ca="1" si="70"/>
        <v>Serviço</v>
      </c>
      <c r="O161" s="117" t="str">
        <f t="shared" ca="1" si="71"/>
        <v>-</v>
      </c>
      <c r="P161" s="118" t="s">
        <v>750</v>
      </c>
      <c r="Q161" s="119"/>
      <c r="R161" s="120" t="str" cm="1">
        <f t="array" aca="1" ref="R161" ca="1">IF($C161="S",REFERENCIA.Descricao,"(digite a descrição aqui)")</f>
        <v>(Sem Código)</v>
      </c>
      <c r="S161" s="121" t="str" cm="1">
        <f t="array" aca="1" ref="S161" ca="1">REFERENCIA.Unidade</f>
        <v>-</v>
      </c>
      <c r="T161" s="122">
        <f ca="1">OFFSET(CÁLCULO!H$15,ROW($T161)-ROW(T$15),0)</f>
        <v>0</v>
      </c>
      <c r="U161" s="123"/>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IF($C161="S",IF(OR(Import.TipoArredondamento&lt;&gt;"TransfereGOV",ACOMPANHAMENTO="BM"),VTOTAL1,SUM(OFFSET(CÁLCULO!$AA$15,ROW($X161)-ROW($X$15),1):OFFSET(CÁLCULO!$AL$15,ROW($X161)-ROW($X$15),-1))),IF($C161=0,0,ROUND(SomaAgrup,15-13*$AF$11)))</f>
        <v>0</v>
      </c>
      <c r="Y161" s="126" t="s">
        <v>751</v>
      </c>
      <c r="Z161" t="str">
        <f t="shared" ca="1" si="72"/>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b" cm="1">
        <f t="array" aca="1" ref="AE161" ca="1">IF(AND($C161="S",ORÇAMENTO.CodBarra&lt;&gt;""),IF(ORÇAMENTO.Fonte="",ORÇAMENTO.CodBarra,CONCATENATE(ORÇAMENTO.Fonte," ",ORÇAMENTO.CodBarra)))</f>
        <v>0</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428" cm="1">
        <f t="array" aca="1" ref="AG161" ca="1">ROUND(IF(DESONERACAO="sim",REFERENCIA.Desonerado,REFERENCIA.NaoDesonerado),2)</f>
        <v>0</v>
      </c>
      <c r="AH161" s="429">
        <f t="shared" ca="1" si="73"/>
        <v>0.22</v>
      </c>
      <c r="AJ161" s="431"/>
      <c r="AL161" s="439"/>
      <c r="AM161" s="336">
        <f t="shared" ca="1" si="0"/>
        <v>0</v>
      </c>
      <c r="AN161" s="470" cm="1">
        <f t="array" aca="1" ref="AN161" ca="1">ROUND(ORÇAMENTO.CustoUnitario*(1+$AH161),2)</f>
        <v>0</v>
      </c>
    </row>
    <row r="162" spans="1:40" ht="5.0999999999999996" customHeight="1" x14ac:dyDescent="0.2">
      <c r="A162">
        <v>-1</v>
      </c>
      <c r="C162">
        <v>-1</v>
      </c>
      <c r="E162">
        <v>0</v>
      </c>
      <c r="F162">
        <v>0</v>
      </c>
      <c r="G162">
        <v>0</v>
      </c>
      <c r="H162">
        <v>0</v>
      </c>
      <c r="I162">
        <v>0</v>
      </c>
      <c r="L162" s="114" t="s">
        <v>536</v>
      </c>
      <c r="M162" s="616"/>
      <c r="N162" s="424"/>
      <c r="O162" s="616"/>
      <c r="P162" s="617"/>
      <c r="Q162" s="617"/>
      <c r="R162" s="617"/>
      <c r="S162" s="617"/>
      <c r="T162" s="617"/>
      <c r="U162" s="617"/>
      <c r="V162" s="617"/>
      <c r="W162" s="617"/>
      <c r="X162" s="424"/>
      <c r="Y162" s="424"/>
      <c r="AC162" s="565" t="str" cm="1">
        <f t="array" ref="AC162">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F162" s="12"/>
      <c r="AG162" s="618"/>
      <c r="AH162" s="419"/>
      <c r="AJ162" s="425"/>
      <c r="AL162" s="618"/>
      <c r="AM162" s="619"/>
      <c r="AN162" s="419"/>
    </row>
    <row r="163" spans="1:40" x14ac:dyDescent="0.2">
      <c r="AF163" s="12"/>
    </row>
    <row r="164" spans="1:40" x14ac:dyDescent="0.2">
      <c r="AF164" s="12"/>
    </row>
    <row r="165" spans="1:40" ht="14.25" x14ac:dyDescent="0.2">
      <c r="O165" s="134" t="s">
        <v>753</v>
      </c>
      <c r="Q165" s="720" t="s">
        <v>754</v>
      </c>
      <c r="R165" s="720"/>
      <c r="S165" s="720"/>
      <c r="T165" s="720"/>
      <c r="U165" s="720"/>
      <c r="V165" s="720"/>
      <c r="W165" s="720"/>
      <c r="X165" s="720"/>
      <c r="AF165" s="12"/>
    </row>
    <row r="166" spans="1:40" x14ac:dyDescent="0.2">
      <c r="AF166" s="12"/>
    </row>
    <row r="167" spans="1:40" ht="14.25" x14ac:dyDescent="0.2">
      <c r="O167" s="135" t="s">
        <v>689</v>
      </c>
      <c r="X167" s="4"/>
      <c r="AF167" s="12"/>
    </row>
    <row r="168" spans="1:40" ht="12.75" customHeight="1" x14ac:dyDescent="0.2">
      <c r="O168" s="721"/>
      <c r="P168" s="721"/>
      <c r="Q168" s="721"/>
      <c r="R168" s="721"/>
      <c r="S168" s="721"/>
      <c r="T168" s="721"/>
      <c r="U168" s="721"/>
      <c r="V168" s="721"/>
      <c r="W168" s="721"/>
      <c r="X168" s="721"/>
      <c r="AF168" s="12"/>
    </row>
    <row r="169" spans="1:40" x14ac:dyDescent="0.2">
      <c r="O169" s="721"/>
      <c r="P169" s="721"/>
      <c r="Q169" s="721"/>
      <c r="R169" s="721"/>
      <c r="S169" s="721"/>
      <c r="T169" s="721"/>
      <c r="U169" s="721"/>
      <c r="V169" s="721"/>
      <c r="W169" s="721"/>
      <c r="X169" s="721"/>
      <c r="AF169" s="12"/>
    </row>
    <row r="170" spans="1:40" x14ac:dyDescent="0.2">
      <c r="O170" s="721"/>
      <c r="P170" s="721"/>
      <c r="Q170" s="721"/>
      <c r="R170" s="721"/>
      <c r="S170" s="721"/>
      <c r="T170" s="721"/>
      <c r="U170" s="721"/>
      <c r="V170" s="721"/>
      <c r="W170" s="721"/>
      <c r="X170" s="721"/>
      <c r="AF170" s="12"/>
    </row>
    <row r="171" spans="1:40" ht="14.25" x14ac:dyDescent="0.2">
      <c r="O171" s="443"/>
      <c r="P171" s="443"/>
      <c r="Q171" s="443"/>
      <c r="R171" s="443"/>
      <c r="S171" s="443"/>
      <c r="T171" s="443"/>
      <c r="U171" s="443"/>
      <c r="V171" s="443"/>
      <c r="W171" s="443"/>
      <c r="X171" s="443"/>
      <c r="Y171" s="443"/>
      <c r="Z171" s="136"/>
      <c r="AA171" s="136"/>
      <c r="AB171" s="136"/>
      <c r="AF171" s="12"/>
    </row>
    <row r="172" spans="1:40" ht="15" x14ac:dyDescent="0.25">
      <c r="O172"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72" s="722"/>
      <c r="Q172" s="722"/>
      <c r="R172" s="722"/>
      <c r="S172" s="722"/>
      <c r="T172" s="722"/>
      <c r="U172" s="722"/>
      <c r="V172" s="722"/>
      <c r="W172" s="722"/>
      <c r="X172" s="722"/>
      <c r="Y172" s="137"/>
      <c r="Z172" s="137"/>
      <c r="AA172" s="137"/>
      <c r="AB172" s="137"/>
      <c r="AF172" s="12"/>
    </row>
    <row r="173" spans="1:40" ht="15" customHeight="1" x14ac:dyDescent="0.25">
      <c r="O173" s="724" t="s">
        <v>755</v>
      </c>
      <c r="P173" s="724"/>
      <c r="Q173" s="724"/>
      <c r="R173" s="724"/>
      <c r="S173" s="724"/>
      <c r="T173" s="724"/>
      <c r="U173" s="724"/>
      <c r="V173" s="724"/>
      <c r="W173" s="724"/>
      <c r="X173" s="724"/>
      <c r="Y173" s="137"/>
      <c r="Z173" s="137"/>
      <c r="AA173" s="137"/>
      <c r="AB173" s="137"/>
      <c r="AF173" s="12"/>
    </row>
    <row r="174" spans="1:40" x14ac:dyDescent="0.2">
      <c r="AF174" s="12"/>
    </row>
    <row r="175" spans="1:40" ht="30" customHeight="1" x14ac:dyDescent="0.2">
      <c r="O175" s="723" t="str">
        <f>Import.Município</f>
        <v>Passos / MG</v>
      </c>
      <c r="P175" s="723"/>
      <c r="Q175" s="723"/>
      <c r="S175" s="460"/>
      <c r="T175" s="460"/>
      <c r="U175" s="460"/>
      <c r="V175" s="460"/>
      <c r="W175" s="417"/>
      <c r="AF175" s="12"/>
    </row>
    <row r="176" spans="1:40" x14ac:dyDescent="0.2">
      <c r="O176" s="9" t="s">
        <v>693</v>
      </c>
      <c r="S176" s="181" t="s">
        <v>696</v>
      </c>
      <c r="T176" s="181"/>
      <c r="U176" s="181"/>
      <c r="V176" s="181"/>
      <c r="AF176" s="12"/>
    </row>
    <row r="177" spans="15:32" x14ac:dyDescent="0.2">
      <c r="S177" s="77" t="s">
        <v>240</v>
      </c>
      <c r="T177" s="78" t="str">
        <f t="array" ref="T177:T179">Import.RespOrçamento</f>
        <v xml:space="preserve">Mateus Junior Rosa </v>
      </c>
      <c r="V177" s="79"/>
      <c r="AF177" s="12"/>
    </row>
    <row r="178" spans="15:32" x14ac:dyDescent="0.2">
      <c r="O178" s="717">
        <f>DADOS!$C$25</f>
        <v>46121</v>
      </c>
      <c r="P178" s="717"/>
      <c r="Q178" s="717"/>
      <c r="S178" s="77" t="s">
        <v>243</v>
      </c>
      <c r="T178" s="78" t="str">
        <v>386526 MG</v>
      </c>
      <c r="U178" s="79"/>
      <c r="V178" s="79"/>
      <c r="AF178" s="12"/>
    </row>
    <row r="179" spans="15:32" x14ac:dyDescent="0.2">
      <c r="O179" s="140" t="s">
        <v>694</v>
      </c>
      <c r="P179" s="1"/>
      <c r="Q179" s="1"/>
      <c r="S179" s="77" t="s">
        <v>246</v>
      </c>
      <c r="T179" s="78" t="str">
        <v>-</v>
      </c>
      <c r="U179" s="79"/>
      <c r="V179" s="79"/>
      <c r="AF179" s="12"/>
    </row>
    <row r="180" spans="15:32" x14ac:dyDescent="0.2">
      <c r="AF180" s="12"/>
    </row>
    <row r="181" spans="15:32" x14ac:dyDescent="0.2">
      <c r="AF181" s="12"/>
    </row>
    <row r="182" spans="15:32" x14ac:dyDescent="0.2">
      <c r="AF182" s="12"/>
    </row>
    <row r="183" spans="15:32" x14ac:dyDescent="0.2">
      <c r="AF183" s="12"/>
    </row>
    <row r="184" spans="15:32" x14ac:dyDescent="0.2">
      <c r="AF184" s="12"/>
    </row>
    <row r="185" spans="15:32" x14ac:dyDescent="0.2">
      <c r="AF185" s="12"/>
    </row>
    <row r="186" spans="15:32" x14ac:dyDescent="0.2">
      <c r="AF186" s="12"/>
    </row>
    <row r="187" spans="15:32" x14ac:dyDescent="0.2">
      <c r="AF187" s="12"/>
    </row>
    <row r="188" spans="15:32" x14ac:dyDescent="0.2">
      <c r="AF188" s="12"/>
    </row>
    <row r="189" spans="15:32" x14ac:dyDescent="0.2">
      <c r="AF189" s="12"/>
    </row>
    <row r="190" spans="15:32" x14ac:dyDescent="0.2">
      <c r="AF190" s="12"/>
    </row>
    <row r="191" spans="15:32" x14ac:dyDescent="0.2">
      <c r="AF191" s="12"/>
    </row>
    <row r="192" spans="15: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sheetData>
  <sheetProtection algorithmName="SHA-512" hashValue="PZmh6mcRdEG1lUUX6f/++itd1xvT612YnybH8iGmmiWJjXd9PHc7W58OOh4LBPaHh+sTL9OTVHgXz3hF0Pi2qg==" saltValue="ekthcL/HTrPUAxIC6o0x8w==" spinCount="100000" sheet="1" objects="1" scenarios="1" autoFilter="0"/>
  <autoFilter ref="L15:L162" xr:uid="{00000000-0001-0000-0400-000000000000}">
    <filterColumn colId="0">
      <customFilters>
        <customFilter operator="notEqual" val=" "/>
      </customFilters>
    </filterColumn>
  </autoFilter>
  <mergeCells count="25">
    <mergeCell ref="O178:Q178"/>
    <mergeCell ref="O15:R15"/>
    <mergeCell ref="Q165:X165"/>
    <mergeCell ref="O168:X170"/>
    <mergeCell ref="O172:X172"/>
    <mergeCell ref="O175:Q175"/>
    <mergeCell ref="O173:X173"/>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37:M38 M16:M32 M51:M82">
    <cfRule type="cellIs" dxfId="773" priority="43346" stopIfTrue="1" operator="notEqual">
      <formula>$N14</formula>
    </cfRule>
  </conditionalFormatting>
  <conditionalFormatting sqref="N14:O14 W14 R31:R32 W31:X32 W30 W51:X55 R51:R55 R58:R59 W58:X59 W56:W57 N37:O38 W37:X38 R37:R38 W62:X69 R62:R69 W16:X18 R16:R18 W24 R21:R23 W21:X23 W19:W20 R27:R29 W27:X29 W26 W60:W61 W70:W72 W25:X25 R25 N16:O32 N51:O82 W73:X82 R73:R82">
    <cfRule type="expression" dxfId="772" priority="43347" stopIfTrue="1">
      <formula>$C14=1</formula>
    </cfRule>
    <cfRule type="expression" dxfId="771" priority="43348" stopIfTrue="1">
      <formula>OR($C14=0,$C14=2,$C14=3,$C14=4)</formula>
    </cfRule>
  </conditionalFormatting>
  <conditionalFormatting sqref="U14:V14 U37:V38 U16:V32 U51:V82">
    <cfRule type="expression" dxfId="770" priority="43349" stopIfTrue="1">
      <formula>$C14=1</formula>
    </cfRule>
    <cfRule type="expression" dxfId="769" priority="43350" stopIfTrue="1">
      <formula>OR($C14=0,$C14=2,$C14=3,$C14=4)</formula>
    </cfRule>
    <cfRule type="expression" dxfId="768" priority="43351" stopIfTrue="1">
      <formula>AND(TIPOORCAMENTO="Licitado",$C14&lt;&gt;"L",$C14&lt;&gt;-1)</formula>
    </cfRule>
  </conditionalFormatting>
  <conditionalFormatting sqref="P14:Q14 S14:T14 Y14 AG14:AH14 P37:Q38 S37:T38 Y37:Y38 AG37:AH38 P42:Q43 S42:T43 Y42:Y43 AG42:AH43 P16:Q32 S16:T32 Y16:Y32 AG16:AH32 P51:Q82 S51:T82 Y51:Y82 AG51:AH82">
    <cfRule type="expression" dxfId="767" priority="43352" stopIfTrue="1">
      <formula>$C14=1</formula>
    </cfRule>
    <cfRule type="expression" dxfId="766" priority="43353" stopIfTrue="1">
      <formula>OR($C14=0,$C14=2,$C14=3,$C14=4)</formula>
    </cfRule>
  </conditionalFormatting>
  <conditionalFormatting sqref="AJ7:AJ162">
    <cfRule type="expression" dxfId="765" priority="43354" stopIfTrue="1">
      <formula>OR(ACOMPANHAMENTO&lt;&gt;"BM",TIPOORCAMENTO="Licitado")</formula>
    </cfRule>
    <cfRule type="expression" dxfId="764" priority="43355" stopIfTrue="1">
      <formula>$C7=1</formula>
    </cfRule>
    <cfRule type="expression" dxfId="763" priority="43356" stopIfTrue="1">
      <formula>OR(AND(ISNUMBER($C7),$C7=0),$C7=2,$C7=3,$C7=4)</formula>
    </cfRule>
  </conditionalFormatting>
  <conditionalFormatting sqref="AL7:AL162">
    <cfRule type="expression" dxfId="762" priority="43357" stopIfTrue="1">
      <formula>TIPOORCAMENTO="PROPOSTO"</formula>
    </cfRule>
    <cfRule type="expression" dxfId="761" priority="43358" stopIfTrue="1">
      <formula>$C7=1</formula>
    </cfRule>
    <cfRule type="expression" dxfId="760" priority="43359" stopIfTrue="1">
      <formula>OR(AND(ISNUMBER($C7),$C7=0),$C7=2,$C7=3,$C7=4)</formula>
    </cfRule>
  </conditionalFormatting>
  <conditionalFormatting sqref="O8:P8">
    <cfRule type="expression" dxfId="759" priority="43363" stopIfTrue="1">
      <formula>ISERROR(INDIRECT($F$9))</formula>
    </cfRule>
  </conditionalFormatting>
  <conditionalFormatting sqref="S7:V8">
    <cfRule type="expression" dxfId="758" priority="43364" stopIfTrue="1">
      <formula>TIPOORCAMENTO="Proposto"</formula>
    </cfRule>
  </conditionalFormatting>
  <conditionalFormatting sqref="S9:X9">
    <cfRule type="expression" dxfId="757" priority="43311" stopIfTrue="1">
      <formula>TIPOORCAMENTO="Proposto"</formula>
    </cfRule>
  </conditionalFormatting>
  <conditionalFormatting sqref="AM7:AN162">
    <cfRule type="expression" dxfId="756" priority="43360" stopIfTrue="1">
      <formula>TIPOORCAMENTO="PROPOSTO"</formula>
    </cfRule>
    <cfRule type="expression" dxfId="755" priority="43361" stopIfTrue="1">
      <formula>$C7=1</formula>
    </cfRule>
    <cfRule type="expression" dxfId="754" priority="43362" stopIfTrue="1">
      <formula>OR(AND(ISNUMBER($C7),$C7=0),$C7=2,$C7=3,$C7=4)</formula>
    </cfRule>
  </conditionalFormatting>
  <conditionalFormatting sqref="X14">
    <cfRule type="expression" dxfId="753" priority="28936" stopIfTrue="1">
      <formula>$C14=1</formula>
    </cfRule>
    <cfRule type="expression" dxfId="752" priority="28937" stopIfTrue="1">
      <formula>OR($C14=0,$C14=2,$C14=3,$C14=4)</formula>
    </cfRule>
  </conditionalFormatting>
  <conditionalFormatting sqref="AC11">
    <cfRule type="cellIs" dxfId="751" priority="19771" operator="equal">
      <formula>"OK"</formula>
    </cfRule>
  </conditionalFormatting>
  <conditionalFormatting sqref="R14">
    <cfRule type="expression" dxfId="750" priority="4703" stopIfTrue="1">
      <formula>$C14=1</formula>
    </cfRule>
    <cfRule type="expression" dxfId="749" priority="4704" stopIfTrue="1">
      <formula>OR($C14=0,$C14=2,$C14=3,$C14=4)</formula>
    </cfRule>
  </conditionalFormatting>
  <conditionalFormatting sqref="R14 R37:R38 R24:R29 R51:R82">
    <cfRule type="beginsWith" dxfId="748" priority="4702" operator="beginsWith" text="(">
      <formula>LEFT(R14,LEN("("))="("</formula>
    </cfRule>
  </conditionalFormatting>
  <conditionalFormatting sqref="R16:R18 R21:R23">
    <cfRule type="beginsWith" dxfId="747" priority="630" operator="beginsWith" text="(">
      <formula>LEFT(R16,LEN("("))="("</formula>
    </cfRule>
  </conditionalFormatting>
  <conditionalFormatting sqref="R31:R32">
    <cfRule type="beginsWith" dxfId="746" priority="617" operator="beginsWith" text="(">
      <formula>LEFT(R31,LEN("("))="("</formula>
    </cfRule>
  </conditionalFormatting>
  <conditionalFormatting sqref="M33:M35 M46:M47 M44 M39:M40">
    <cfRule type="cellIs" dxfId="745" priority="609" stopIfTrue="1" operator="notEqual">
      <formula>$N33</formula>
    </cfRule>
  </conditionalFormatting>
  <conditionalFormatting sqref="N33:O35 W33:W35 W46:W47 N46:O47 N44:O44 W44 W39:W40 N39:O40">
    <cfRule type="expression" dxfId="744" priority="610" stopIfTrue="1">
      <formula>$C33=1</formula>
    </cfRule>
    <cfRule type="expression" dxfId="743" priority="611" stopIfTrue="1">
      <formula>OR($C33=0,$C33=2,$C33=3,$C33=4)</formula>
    </cfRule>
  </conditionalFormatting>
  <conditionalFormatting sqref="U33:V35 U46:V47 U44:V44 U39:V40">
    <cfRule type="expression" dxfId="742" priority="612" stopIfTrue="1">
      <formula>$C33=1</formula>
    </cfRule>
    <cfRule type="expression" dxfId="741" priority="613" stopIfTrue="1">
      <formula>OR($C33=0,$C33=2,$C33=3,$C33=4)</formula>
    </cfRule>
    <cfRule type="expression" dxfId="740" priority="614" stopIfTrue="1">
      <formula>AND(TIPOORCAMENTO="Licitado",$C33&lt;&gt;"L",$C33&lt;&gt;-1)</formula>
    </cfRule>
  </conditionalFormatting>
  <conditionalFormatting sqref="P33:Q35 S33:T35 Y33:Y35 AG33:AH35 AG46:AH47 Y46:Y47 S46:T47 P46:Q47 P44:Q44 S44:T44 Y44 AG44:AH44 AG39:AH40 Y39:Y40 S39:T40 P39:Q40">
    <cfRule type="expression" dxfId="739" priority="615" stopIfTrue="1">
      <formula>$C33=1</formula>
    </cfRule>
    <cfRule type="expression" dxfId="738" priority="616" stopIfTrue="1">
      <formula>OR($C33=0,$C33=2,$C33=3,$C33=4)</formula>
    </cfRule>
  </conditionalFormatting>
  <conditionalFormatting sqref="X33:X35 X46:X47 X44 X39:X40">
    <cfRule type="expression" dxfId="737" priority="607" stopIfTrue="1">
      <formula>$C33=1</formula>
    </cfRule>
    <cfRule type="expression" dxfId="736" priority="608" stopIfTrue="1">
      <formula>OR($C33=0,$C33=2,$C33=3,$C33=4)</formula>
    </cfRule>
  </conditionalFormatting>
  <conditionalFormatting sqref="R33:R35 R46:R47 R44 R39:R40">
    <cfRule type="expression" dxfId="735" priority="605" stopIfTrue="1">
      <formula>$C33=1</formula>
    </cfRule>
    <cfRule type="expression" dxfId="734" priority="606" stopIfTrue="1">
      <formula>OR($C33=0,$C33=2,$C33=3,$C33=4)</formula>
    </cfRule>
  </conditionalFormatting>
  <conditionalFormatting sqref="R33:R35 R46:R47 R44 R39:R40">
    <cfRule type="beginsWith" dxfId="733" priority="604" operator="beginsWith" text="(">
      <formula>LEFT(R33,LEN("("))="("</formula>
    </cfRule>
  </conditionalFormatting>
  <conditionalFormatting sqref="M48:M49">
    <cfRule type="cellIs" dxfId="732" priority="596" stopIfTrue="1" operator="notEqual">
      <formula>$N48</formula>
    </cfRule>
  </conditionalFormatting>
  <conditionalFormatting sqref="N48:O49 W48:W49">
    <cfRule type="expression" dxfId="731" priority="597" stopIfTrue="1">
      <formula>$C48=1</formula>
    </cfRule>
    <cfRule type="expression" dxfId="730" priority="598" stopIfTrue="1">
      <formula>OR($C48=0,$C48=2,$C48=3,$C48=4)</formula>
    </cfRule>
  </conditionalFormatting>
  <conditionalFormatting sqref="U48:V49">
    <cfRule type="expression" dxfId="729" priority="599" stopIfTrue="1">
      <formula>$C48=1</formula>
    </cfRule>
    <cfRule type="expression" dxfId="728" priority="600" stopIfTrue="1">
      <formula>OR($C48=0,$C48=2,$C48=3,$C48=4)</formula>
    </cfRule>
    <cfRule type="expression" dxfId="727" priority="601" stopIfTrue="1">
      <formula>AND(TIPOORCAMENTO="Licitado",$C48&lt;&gt;"L",$C48&lt;&gt;-1)</formula>
    </cfRule>
  </conditionalFormatting>
  <conditionalFormatting sqref="P48:Q49 S48:T49 Y48:Y49 AG48:AH49">
    <cfRule type="expression" dxfId="726" priority="602" stopIfTrue="1">
      <formula>$C48=1</formula>
    </cfRule>
    <cfRule type="expression" dxfId="725" priority="603" stopIfTrue="1">
      <formula>OR($C48=0,$C48=2,$C48=3,$C48=4)</formula>
    </cfRule>
  </conditionalFormatting>
  <conditionalFormatting sqref="X48:X49">
    <cfRule type="expression" dxfId="724" priority="594" stopIfTrue="1">
      <formula>$C48=1</formula>
    </cfRule>
    <cfRule type="expression" dxfId="723" priority="595" stopIfTrue="1">
      <formula>OR($C48=0,$C48=2,$C48=3,$C48=4)</formula>
    </cfRule>
  </conditionalFormatting>
  <conditionalFormatting sqref="R48:R49">
    <cfRule type="expression" dxfId="722" priority="592" stopIfTrue="1">
      <formula>$C48=1</formula>
    </cfRule>
    <cfRule type="expression" dxfId="721" priority="593" stopIfTrue="1">
      <formula>OR($C48=0,$C48=2,$C48=3,$C48=4)</formula>
    </cfRule>
  </conditionalFormatting>
  <conditionalFormatting sqref="R48:R49">
    <cfRule type="beginsWith" dxfId="720" priority="591" operator="beginsWith" text="(">
      <formula>LEFT(R48,LEN("("))="("</formula>
    </cfRule>
  </conditionalFormatting>
  <conditionalFormatting sqref="M83:M91">
    <cfRule type="cellIs" dxfId="719" priority="388" stopIfTrue="1" operator="notEqual">
      <formula>$N83</formula>
    </cfRule>
  </conditionalFormatting>
  <conditionalFormatting sqref="N83:O91 W83:W91">
    <cfRule type="expression" dxfId="718" priority="389" stopIfTrue="1">
      <formula>$C83=1</formula>
    </cfRule>
    <cfRule type="expression" dxfId="717" priority="390" stopIfTrue="1">
      <formula>OR($C83=0,$C83=2,$C83=3,$C83=4)</formula>
    </cfRule>
  </conditionalFormatting>
  <conditionalFormatting sqref="U83:V91">
    <cfRule type="expression" dxfId="716" priority="391" stopIfTrue="1">
      <formula>$C83=1</formula>
    </cfRule>
    <cfRule type="expression" dxfId="715" priority="392" stopIfTrue="1">
      <formula>OR($C83=0,$C83=2,$C83=3,$C83=4)</formula>
    </cfRule>
    <cfRule type="expression" dxfId="714" priority="393" stopIfTrue="1">
      <formula>AND(TIPOORCAMENTO="Licitado",$C83&lt;&gt;"L",$C83&lt;&gt;-1)</formula>
    </cfRule>
  </conditionalFormatting>
  <conditionalFormatting sqref="P83:Q91 S83:T91 Y83:Y91 AG83:AH91">
    <cfRule type="expression" dxfId="713" priority="394" stopIfTrue="1">
      <formula>$C83=1</formula>
    </cfRule>
    <cfRule type="expression" dxfId="712" priority="395" stopIfTrue="1">
      <formula>OR($C83=0,$C83=2,$C83=3,$C83=4)</formula>
    </cfRule>
  </conditionalFormatting>
  <conditionalFormatting sqref="X83:X91">
    <cfRule type="expression" dxfId="711" priority="386" stopIfTrue="1">
      <formula>$C83=1</formula>
    </cfRule>
    <cfRule type="expression" dxfId="710" priority="387" stopIfTrue="1">
      <formula>OR($C83=0,$C83=2,$C83=3,$C83=4)</formula>
    </cfRule>
  </conditionalFormatting>
  <conditionalFormatting sqref="R83:R91">
    <cfRule type="expression" dxfId="709" priority="384" stopIfTrue="1">
      <formula>$C83=1</formula>
    </cfRule>
    <cfRule type="expression" dxfId="708" priority="385" stopIfTrue="1">
      <formula>OR($C83=0,$C83=2,$C83=3,$C83=4)</formula>
    </cfRule>
  </conditionalFormatting>
  <conditionalFormatting sqref="R83:R91">
    <cfRule type="beginsWith" dxfId="707" priority="383" operator="beginsWith" text="(">
      <formula>LEFT(R83,LEN("("))="("</formula>
    </cfRule>
  </conditionalFormatting>
  <conditionalFormatting sqref="M92:M100">
    <cfRule type="cellIs" dxfId="706" priority="375" stopIfTrue="1" operator="notEqual">
      <formula>$N92</formula>
    </cfRule>
  </conditionalFormatting>
  <conditionalFormatting sqref="N92:O100 W92:W100">
    <cfRule type="expression" dxfId="705" priority="376" stopIfTrue="1">
      <formula>$C92=1</formula>
    </cfRule>
    <cfRule type="expression" dxfId="704" priority="377" stopIfTrue="1">
      <formula>OR($C92=0,$C92=2,$C92=3,$C92=4)</formula>
    </cfRule>
  </conditionalFormatting>
  <conditionalFormatting sqref="U92:V100">
    <cfRule type="expression" dxfId="703" priority="378" stopIfTrue="1">
      <formula>$C92=1</formula>
    </cfRule>
    <cfRule type="expression" dxfId="702" priority="379" stopIfTrue="1">
      <formula>OR($C92=0,$C92=2,$C92=3,$C92=4)</formula>
    </cfRule>
    <cfRule type="expression" dxfId="701" priority="380" stopIfTrue="1">
      <formula>AND(TIPOORCAMENTO="Licitado",$C92&lt;&gt;"L",$C92&lt;&gt;-1)</formula>
    </cfRule>
  </conditionalFormatting>
  <conditionalFormatting sqref="P92:Q100 S92:T100 Y92:Y100 AG92:AH100">
    <cfRule type="expression" dxfId="700" priority="381" stopIfTrue="1">
      <formula>$C92=1</formula>
    </cfRule>
    <cfRule type="expression" dxfId="699" priority="382" stopIfTrue="1">
      <formula>OR($C92=0,$C92=2,$C92=3,$C92=4)</formula>
    </cfRule>
  </conditionalFormatting>
  <conditionalFormatting sqref="X92:X100">
    <cfRule type="expression" dxfId="698" priority="373" stopIfTrue="1">
      <formula>$C92=1</formula>
    </cfRule>
    <cfRule type="expression" dxfId="697" priority="374" stopIfTrue="1">
      <formula>OR($C92=0,$C92=2,$C92=3,$C92=4)</formula>
    </cfRule>
  </conditionalFormatting>
  <conditionalFormatting sqref="R92:R100">
    <cfRule type="expression" dxfId="696" priority="371" stopIfTrue="1">
      <formula>$C92=1</formula>
    </cfRule>
    <cfRule type="expression" dxfId="695" priority="372" stopIfTrue="1">
      <formula>OR($C92=0,$C92=2,$C92=3,$C92=4)</formula>
    </cfRule>
  </conditionalFormatting>
  <conditionalFormatting sqref="R92:R100">
    <cfRule type="beginsWith" dxfId="694" priority="370" operator="beginsWith" text="(">
      <formula>LEFT(R92,LEN("("))="("</formula>
    </cfRule>
  </conditionalFormatting>
  <conditionalFormatting sqref="M101:M109">
    <cfRule type="cellIs" dxfId="693" priority="362" stopIfTrue="1" operator="notEqual">
      <formula>$N101</formula>
    </cfRule>
  </conditionalFormatting>
  <conditionalFormatting sqref="N101:O109 W101:W109">
    <cfRule type="expression" dxfId="692" priority="363" stopIfTrue="1">
      <formula>$C101=1</formula>
    </cfRule>
    <cfRule type="expression" dxfId="691" priority="364" stopIfTrue="1">
      <formula>OR($C101=0,$C101=2,$C101=3,$C101=4)</formula>
    </cfRule>
  </conditionalFormatting>
  <conditionalFormatting sqref="U101:V109">
    <cfRule type="expression" dxfId="690" priority="365" stopIfTrue="1">
      <formula>$C101=1</formula>
    </cfRule>
    <cfRule type="expression" dxfId="689" priority="366" stopIfTrue="1">
      <formula>OR($C101=0,$C101=2,$C101=3,$C101=4)</formula>
    </cfRule>
    <cfRule type="expression" dxfId="688" priority="367" stopIfTrue="1">
      <formula>AND(TIPOORCAMENTO="Licitado",$C101&lt;&gt;"L",$C101&lt;&gt;-1)</formula>
    </cfRule>
  </conditionalFormatting>
  <conditionalFormatting sqref="P101:Q109 S101:T109 Y101:Y109 AG101:AH109">
    <cfRule type="expression" dxfId="687" priority="368" stopIfTrue="1">
      <formula>$C101=1</formula>
    </cfRule>
    <cfRule type="expression" dxfId="686" priority="369" stopIfTrue="1">
      <formula>OR($C101=0,$C101=2,$C101=3,$C101=4)</formula>
    </cfRule>
  </conditionalFormatting>
  <conditionalFormatting sqref="X101:X109">
    <cfRule type="expression" dxfId="685" priority="360" stopIfTrue="1">
      <formula>$C101=1</formula>
    </cfRule>
    <cfRule type="expression" dxfId="684" priority="361" stopIfTrue="1">
      <formula>OR($C101=0,$C101=2,$C101=3,$C101=4)</formula>
    </cfRule>
  </conditionalFormatting>
  <conditionalFormatting sqref="R101:R109">
    <cfRule type="expression" dxfId="683" priority="358" stopIfTrue="1">
      <formula>$C101=1</formula>
    </cfRule>
    <cfRule type="expression" dxfId="682" priority="359" stopIfTrue="1">
      <formula>OR($C101=0,$C101=2,$C101=3,$C101=4)</formula>
    </cfRule>
  </conditionalFormatting>
  <conditionalFormatting sqref="R101:R109">
    <cfRule type="beginsWith" dxfId="681" priority="357" operator="beginsWith" text="(">
      <formula>LEFT(R101,LEN("("))="("</formula>
    </cfRule>
  </conditionalFormatting>
  <conditionalFormatting sqref="M110:M118">
    <cfRule type="cellIs" dxfId="680" priority="349" stopIfTrue="1" operator="notEqual">
      <formula>$N110</formula>
    </cfRule>
  </conditionalFormatting>
  <conditionalFormatting sqref="N110:O118 W110:W118">
    <cfRule type="expression" dxfId="679" priority="350" stopIfTrue="1">
      <formula>$C110=1</formula>
    </cfRule>
    <cfRule type="expression" dxfId="678" priority="351" stopIfTrue="1">
      <formula>OR($C110=0,$C110=2,$C110=3,$C110=4)</formula>
    </cfRule>
  </conditionalFormatting>
  <conditionalFormatting sqref="U110:V118">
    <cfRule type="expression" dxfId="677" priority="352" stopIfTrue="1">
      <formula>$C110=1</formula>
    </cfRule>
    <cfRule type="expression" dxfId="676" priority="353" stopIfTrue="1">
      <formula>OR($C110=0,$C110=2,$C110=3,$C110=4)</formula>
    </cfRule>
    <cfRule type="expression" dxfId="675" priority="354" stopIfTrue="1">
      <formula>AND(TIPOORCAMENTO="Licitado",$C110&lt;&gt;"L",$C110&lt;&gt;-1)</formula>
    </cfRule>
  </conditionalFormatting>
  <conditionalFormatting sqref="P110:Q118 S110:T118 Y110:Y118 AG110:AH118">
    <cfRule type="expression" dxfId="674" priority="355" stopIfTrue="1">
      <formula>$C110=1</formula>
    </cfRule>
    <cfRule type="expression" dxfId="673" priority="356" stopIfTrue="1">
      <formula>OR($C110=0,$C110=2,$C110=3,$C110=4)</formula>
    </cfRule>
  </conditionalFormatting>
  <conditionalFormatting sqref="X110:X118">
    <cfRule type="expression" dxfId="672" priority="347" stopIfTrue="1">
      <formula>$C110=1</formula>
    </cfRule>
    <cfRule type="expression" dxfId="671" priority="348" stopIfTrue="1">
      <formula>OR($C110=0,$C110=2,$C110=3,$C110=4)</formula>
    </cfRule>
  </conditionalFormatting>
  <conditionalFormatting sqref="R110:R118">
    <cfRule type="expression" dxfId="670" priority="345" stopIfTrue="1">
      <formula>$C110=1</formula>
    </cfRule>
    <cfRule type="expression" dxfId="669" priority="346" stopIfTrue="1">
      <formula>OR($C110=0,$C110=2,$C110=3,$C110=4)</formula>
    </cfRule>
  </conditionalFormatting>
  <conditionalFormatting sqref="R110:R118">
    <cfRule type="beginsWith" dxfId="668" priority="344" operator="beginsWith" text="(">
      <formula>LEFT(R110,LEN("("))="("</formula>
    </cfRule>
  </conditionalFormatting>
  <conditionalFormatting sqref="M119:M127">
    <cfRule type="cellIs" dxfId="667" priority="336" stopIfTrue="1" operator="notEqual">
      <formula>$N119</formula>
    </cfRule>
  </conditionalFormatting>
  <conditionalFormatting sqref="N119:O127 W119:W127">
    <cfRule type="expression" dxfId="666" priority="337" stopIfTrue="1">
      <formula>$C119=1</formula>
    </cfRule>
    <cfRule type="expression" dxfId="665" priority="338" stopIfTrue="1">
      <formula>OR($C119=0,$C119=2,$C119=3,$C119=4)</formula>
    </cfRule>
  </conditionalFormatting>
  <conditionalFormatting sqref="U119:V127">
    <cfRule type="expression" dxfId="664" priority="339" stopIfTrue="1">
      <formula>$C119=1</formula>
    </cfRule>
    <cfRule type="expression" dxfId="663" priority="340" stopIfTrue="1">
      <formula>OR($C119=0,$C119=2,$C119=3,$C119=4)</formula>
    </cfRule>
    <cfRule type="expression" dxfId="662" priority="341" stopIfTrue="1">
      <formula>AND(TIPOORCAMENTO="Licitado",$C119&lt;&gt;"L",$C119&lt;&gt;-1)</formula>
    </cfRule>
  </conditionalFormatting>
  <conditionalFormatting sqref="P119:Q127 S119:T127 Y119:Y127 AG119:AH127">
    <cfRule type="expression" dxfId="661" priority="342" stopIfTrue="1">
      <formula>$C119=1</formula>
    </cfRule>
    <cfRule type="expression" dxfId="660" priority="343" stopIfTrue="1">
      <formula>OR($C119=0,$C119=2,$C119=3,$C119=4)</formula>
    </cfRule>
  </conditionalFormatting>
  <conditionalFormatting sqref="X119:X127">
    <cfRule type="expression" dxfId="659" priority="334" stopIfTrue="1">
      <formula>$C119=1</formula>
    </cfRule>
    <cfRule type="expression" dxfId="658" priority="335" stopIfTrue="1">
      <formula>OR($C119=0,$C119=2,$C119=3,$C119=4)</formula>
    </cfRule>
  </conditionalFormatting>
  <conditionalFormatting sqref="R119:R127">
    <cfRule type="expression" dxfId="657" priority="332" stopIfTrue="1">
      <formula>$C119=1</formula>
    </cfRule>
    <cfRule type="expression" dxfId="656" priority="333" stopIfTrue="1">
      <formula>OR($C119=0,$C119=2,$C119=3,$C119=4)</formula>
    </cfRule>
  </conditionalFormatting>
  <conditionalFormatting sqref="R119:R127">
    <cfRule type="beginsWith" dxfId="655" priority="331" operator="beginsWith" text="(">
      <formula>LEFT(R119,LEN("("))="("</formula>
    </cfRule>
  </conditionalFormatting>
  <conditionalFormatting sqref="M128:M136">
    <cfRule type="cellIs" dxfId="654" priority="323" stopIfTrue="1" operator="notEqual">
      <formula>$N128</formula>
    </cfRule>
  </conditionalFormatting>
  <conditionalFormatting sqref="N128:O136 W128:W136">
    <cfRule type="expression" dxfId="653" priority="324" stopIfTrue="1">
      <formula>$C128=1</formula>
    </cfRule>
    <cfRule type="expression" dxfId="652" priority="325" stopIfTrue="1">
      <formula>OR($C128=0,$C128=2,$C128=3,$C128=4)</formula>
    </cfRule>
  </conditionalFormatting>
  <conditionalFormatting sqref="U128:V136">
    <cfRule type="expression" dxfId="651" priority="326" stopIfTrue="1">
      <formula>$C128=1</formula>
    </cfRule>
    <cfRule type="expression" dxfId="650" priority="327" stopIfTrue="1">
      <formula>OR($C128=0,$C128=2,$C128=3,$C128=4)</formula>
    </cfRule>
    <cfRule type="expression" dxfId="649" priority="328" stopIfTrue="1">
      <formula>AND(TIPOORCAMENTO="Licitado",$C128&lt;&gt;"L",$C128&lt;&gt;-1)</formula>
    </cfRule>
  </conditionalFormatting>
  <conditionalFormatting sqref="P128:Q136 S128:T136 Y128:Y136 AG128:AH136">
    <cfRule type="expression" dxfId="648" priority="329" stopIfTrue="1">
      <formula>$C128=1</formula>
    </cfRule>
    <cfRule type="expression" dxfId="647" priority="330" stopIfTrue="1">
      <formula>OR($C128=0,$C128=2,$C128=3,$C128=4)</formula>
    </cfRule>
  </conditionalFormatting>
  <conditionalFormatting sqref="X128:X136">
    <cfRule type="expression" dxfId="646" priority="321" stopIfTrue="1">
      <formula>$C128=1</formula>
    </cfRule>
    <cfRule type="expression" dxfId="645" priority="322" stopIfTrue="1">
      <formula>OR($C128=0,$C128=2,$C128=3,$C128=4)</formula>
    </cfRule>
  </conditionalFormatting>
  <conditionalFormatting sqref="R128:R136">
    <cfRule type="expression" dxfId="644" priority="319" stopIfTrue="1">
      <formula>$C128=1</formula>
    </cfRule>
    <cfRule type="expression" dxfId="643" priority="320" stopIfTrue="1">
      <formula>OR($C128=0,$C128=2,$C128=3,$C128=4)</formula>
    </cfRule>
  </conditionalFormatting>
  <conditionalFormatting sqref="R128:R136">
    <cfRule type="beginsWith" dxfId="642" priority="318" operator="beginsWith" text="(">
      <formula>LEFT(R128,LEN("("))="("</formula>
    </cfRule>
  </conditionalFormatting>
  <conditionalFormatting sqref="M137:M145">
    <cfRule type="cellIs" dxfId="641" priority="310" stopIfTrue="1" operator="notEqual">
      <formula>$N137</formula>
    </cfRule>
  </conditionalFormatting>
  <conditionalFormatting sqref="N137:O145 W137:W145">
    <cfRule type="expression" dxfId="640" priority="311" stopIfTrue="1">
      <formula>$C137=1</formula>
    </cfRule>
    <cfRule type="expression" dxfId="639" priority="312" stopIfTrue="1">
      <formula>OR($C137=0,$C137=2,$C137=3,$C137=4)</formula>
    </cfRule>
  </conditionalFormatting>
  <conditionalFormatting sqref="U137:V145">
    <cfRule type="expression" dxfId="638" priority="313" stopIfTrue="1">
      <formula>$C137=1</formula>
    </cfRule>
    <cfRule type="expression" dxfId="637" priority="314" stopIfTrue="1">
      <formula>OR($C137=0,$C137=2,$C137=3,$C137=4)</formula>
    </cfRule>
    <cfRule type="expression" dxfId="636" priority="315" stopIfTrue="1">
      <formula>AND(TIPOORCAMENTO="Licitado",$C137&lt;&gt;"L",$C137&lt;&gt;-1)</formula>
    </cfRule>
  </conditionalFormatting>
  <conditionalFormatting sqref="P137:Q145 S137:T145 Y137:Y145 AG137:AH145">
    <cfRule type="expression" dxfId="635" priority="316" stopIfTrue="1">
      <formula>$C137=1</formula>
    </cfRule>
    <cfRule type="expression" dxfId="634" priority="317" stopIfTrue="1">
      <formula>OR($C137=0,$C137=2,$C137=3,$C137=4)</formula>
    </cfRule>
  </conditionalFormatting>
  <conditionalFormatting sqref="X137:X145">
    <cfRule type="expression" dxfId="633" priority="308" stopIfTrue="1">
      <formula>$C137=1</formula>
    </cfRule>
    <cfRule type="expression" dxfId="632" priority="309" stopIfTrue="1">
      <formula>OR($C137=0,$C137=2,$C137=3,$C137=4)</formula>
    </cfRule>
  </conditionalFormatting>
  <conditionalFormatting sqref="R137:R145">
    <cfRule type="expression" dxfId="631" priority="306" stopIfTrue="1">
      <formula>$C137=1</formula>
    </cfRule>
    <cfRule type="expression" dxfId="630" priority="307" stopIfTrue="1">
      <formula>OR($C137=0,$C137=2,$C137=3,$C137=4)</formula>
    </cfRule>
  </conditionalFormatting>
  <conditionalFormatting sqref="R137:R145">
    <cfRule type="beginsWith" dxfId="629" priority="305" operator="beginsWith" text="(">
      <formula>LEFT(R137,LEN("("))="("</formula>
    </cfRule>
  </conditionalFormatting>
  <conditionalFormatting sqref="M146:M154">
    <cfRule type="cellIs" dxfId="628" priority="297" stopIfTrue="1" operator="notEqual">
      <formula>$N146</formula>
    </cfRule>
  </conditionalFormatting>
  <conditionalFormatting sqref="N146:O154 W146:W154">
    <cfRule type="expression" dxfId="627" priority="298" stopIfTrue="1">
      <formula>$C146=1</formula>
    </cfRule>
    <cfRule type="expression" dxfId="626" priority="299" stopIfTrue="1">
      <formula>OR($C146=0,$C146=2,$C146=3,$C146=4)</formula>
    </cfRule>
  </conditionalFormatting>
  <conditionalFormatting sqref="U146:V154">
    <cfRule type="expression" dxfId="625" priority="300" stopIfTrue="1">
      <formula>$C146=1</formula>
    </cfRule>
    <cfRule type="expression" dxfId="624" priority="301" stopIfTrue="1">
      <formula>OR($C146=0,$C146=2,$C146=3,$C146=4)</formula>
    </cfRule>
    <cfRule type="expression" dxfId="623" priority="302" stopIfTrue="1">
      <formula>AND(TIPOORCAMENTO="Licitado",$C146&lt;&gt;"L",$C146&lt;&gt;-1)</formula>
    </cfRule>
  </conditionalFormatting>
  <conditionalFormatting sqref="P146:Q154 S146:T154 Y146:Y154 AG146:AH154">
    <cfRule type="expression" dxfId="622" priority="303" stopIfTrue="1">
      <formula>$C146=1</formula>
    </cfRule>
    <cfRule type="expression" dxfId="621" priority="304" stopIfTrue="1">
      <formula>OR($C146=0,$C146=2,$C146=3,$C146=4)</formula>
    </cfRule>
  </conditionalFormatting>
  <conditionalFormatting sqref="X146:X154">
    <cfRule type="expression" dxfId="620" priority="295" stopIfTrue="1">
      <formula>$C146=1</formula>
    </cfRule>
    <cfRule type="expression" dxfId="619" priority="296" stopIfTrue="1">
      <formula>OR($C146=0,$C146=2,$C146=3,$C146=4)</formula>
    </cfRule>
  </conditionalFormatting>
  <conditionalFormatting sqref="R146:R154">
    <cfRule type="expression" dxfId="618" priority="293" stopIfTrue="1">
      <formula>$C146=1</formula>
    </cfRule>
    <cfRule type="expression" dxfId="617" priority="294" stopIfTrue="1">
      <formula>OR($C146=0,$C146=2,$C146=3,$C146=4)</formula>
    </cfRule>
  </conditionalFormatting>
  <conditionalFormatting sqref="R146:R154">
    <cfRule type="beginsWith" dxfId="616" priority="292" operator="beginsWith" text="(">
      <formula>LEFT(R146,LEN("("))="("</formula>
    </cfRule>
  </conditionalFormatting>
  <conditionalFormatting sqref="M155:M161">
    <cfRule type="cellIs" dxfId="615" priority="284" stopIfTrue="1" operator="notEqual">
      <formula>$N155</formula>
    </cfRule>
  </conditionalFormatting>
  <conditionalFormatting sqref="N155:O161 W155:W161">
    <cfRule type="expression" dxfId="614" priority="285" stopIfTrue="1">
      <formula>$C155=1</formula>
    </cfRule>
    <cfRule type="expression" dxfId="613" priority="286" stopIfTrue="1">
      <formula>OR($C155=0,$C155=2,$C155=3,$C155=4)</formula>
    </cfRule>
  </conditionalFormatting>
  <conditionalFormatting sqref="U155:V161">
    <cfRule type="expression" dxfId="612" priority="287" stopIfTrue="1">
      <formula>$C155=1</formula>
    </cfRule>
    <cfRule type="expression" dxfId="611" priority="288" stopIfTrue="1">
      <formula>OR($C155=0,$C155=2,$C155=3,$C155=4)</formula>
    </cfRule>
    <cfRule type="expression" dxfId="610" priority="289" stopIfTrue="1">
      <formula>AND(TIPOORCAMENTO="Licitado",$C155&lt;&gt;"L",$C155&lt;&gt;-1)</formula>
    </cfRule>
  </conditionalFormatting>
  <conditionalFormatting sqref="P155:Q161 S155:T161 Y155:Y161 AG155:AH161">
    <cfRule type="expression" dxfId="609" priority="290" stopIfTrue="1">
      <formula>$C155=1</formula>
    </cfRule>
    <cfRule type="expression" dxfId="608" priority="291" stopIfTrue="1">
      <formula>OR($C155=0,$C155=2,$C155=3,$C155=4)</formula>
    </cfRule>
  </conditionalFormatting>
  <conditionalFormatting sqref="X155:X161">
    <cfRule type="expression" dxfId="607" priority="282" stopIfTrue="1">
      <formula>$C155=1</formula>
    </cfRule>
    <cfRule type="expression" dxfId="606" priority="283" stopIfTrue="1">
      <formula>OR($C155=0,$C155=2,$C155=3,$C155=4)</formula>
    </cfRule>
  </conditionalFormatting>
  <conditionalFormatting sqref="R155:R161">
    <cfRule type="expression" dxfId="605" priority="280" stopIfTrue="1">
      <formula>$C155=1</formula>
    </cfRule>
    <cfRule type="expression" dxfId="604" priority="281" stopIfTrue="1">
      <formula>OR($C155=0,$C155=2,$C155=3,$C155=4)</formula>
    </cfRule>
  </conditionalFormatting>
  <conditionalFormatting sqref="R155:R161">
    <cfRule type="beginsWith" dxfId="603" priority="279" operator="beginsWith" text="(">
      <formula>LEFT(R155,LEN("("))="("</formula>
    </cfRule>
  </conditionalFormatting>
  <conditionalFormatting sqref="M50">
    <cfRule type="cellIs" dxfId="602" priority="245" stopIfTrue="1" operator="notEqual">
      <formula>$N50</formula>
    </cfRule>
  </conditionalFormatting>
  <conditionalFormatting sqref="N50:O50 W50">
    <cfRule type="expression" dxfId="601" priority="246" stopIfTrue="1">
      <formula>$C50=1</formula>
    </cfRule>
    <cfRule type="expression" dxfId="600" priority="247" stopIfTrue="1">
      <formula>OR($C50=0,$C50=2,$C50=3,$C50=4)</formula>
    </cfRule>
  </conditionalFormatting>
  <conditionalFormatting sqref="U50:V50">
    <cfRule type="expression" dxfId="599" priority="248" stopIfTrue="1">
      <formula>$C50=1</formula>
    </cfRule>
    <cfRule type="expression" dxfId="598" priority="249" stopIfTrue="1">
      <formula>OR($C50=0,$C50=2,$C50=3,$C50=4)</formula>
    </cfRule>
    <cfRule type="expression" dxfId="597" priority="250" stopIfTrue="1">
      <formula>AND(TIPOORCAMENTO="Licitado",$C50&lt;&gt;"L",$C50&lt;&gt;-1)</formula>
    </cfRule>
  </conditionalFormatting>
  <conditionalFormatting sqref="P50:Q50 S50:T50 Y50 AG50:AH50">
    <cfRule type="expression" dxfId="596" priority="251" stopIfTrue="1">
      <formula>$C50=1</formula>
    </cfRule>
    <cfRule type="expression" dxfId="595" priority="252" stopIfTrue="1">
      <formula>OR($C50=0,$C50=2,$C50=3,$C50=4)</formula>
    </cfRule>
  </conditionalFormatting>
  <conditionalFormatting sqref="X50">
    <cfRule type="expression" dxfId="594" priority="243" stopIfTrue="1">
      <formula>$C50=1</formula>
    </cfRule>
    <cfRule type="expression" dxfId="593" priority="244" stopIfTrue="1">
      <formula>OR($C50=0,$C50=2,$C50=3,$C50=4)</formula>
    </cfRule>
  </conditionalFormatting>
  <conditionalFormatting sqref="R50">
    <cfRule type="expression" dxfId="592" priority="241" stopIfTrue="1">
      <formula>$C50=1</formula>
    </cfRule>
    <cfRule type="expression" dxfId="591" priority="242" stopIfTrue="1">
      <formula>OR($C50=0,$C50=2,$C50=3,$C50=4)</formula>
    </cfRule>
  </conditionalFormatting>
  <conditionalFormatting sqref="R50">
    <cfRule type="beginsWith" dxfId="590" priority="240" operator="beginsWith" text="(">
      <formula>LEFT(R50,LEN("("))="("</formula>
    </cfRule>
  </conditionalFormatting>
  <conditionalFormatting sqref="X30">
    <cfRule type="expression" dxfId="589" priority="140" stopIfTrue="1">
      <formula>$C30=1</formula>
    </cfRule>
    <cfRule type="expression" dxfId="588" priority="141" stopIfTrue="1">
      <formula>OR($C30=0,$C30=2,$C30=3,$C30=4)</formula>
    </cfRule>
  </conditionalFormatting>
  <conditionalFormatting sqref="R30">
    <cfRule type="expression" dxfId="587" priority="138" stopIfTrue="1">
      <formula>$C30=1</formula>
    </cfRule>
    <cfRule type="expression" dxfId="586" priority="139" stopIfTrue="1">
      <formula>OR($C30=0,$C30=2,$C30=3,$C30=4)</formula>
    </cfRule>
  </conditionalFormatting>
  <conditionalFormatting sqref="R30">
    <cfRule type="beginsWith" dxfId="585" priority="137" operator="beginsWith" text="(">
      <formula>LEFT(R30,LEN("("))="("</formula>
    </cfRule>
  </conditionalFormatting>
  <conditionalFormatting sqref="X70">
    <cfRule type="expression" dxfId="584" priority="135" stopIfTrue="1">
      <formula>$C70=1</formula>
    </cfRule>
    <cfRule type="expression" dxfId="583" priority="136" stopIfTrue="1">
      <formula>OR($C70=0,$C70=2,$C70=3,$C70=4)</formula>
    </cfRule>
  </conditionalFormatting>
  <conditionalFormatting sqref="R70">
    <cfRule type="expression" dxfId="582" priority="133" stopIfTrue="1">
      <formula>$C70=1</formula>
    </cfRule>
    <cfRule type="expression" dxfId="581" priority="134" stopIfTrue="1">
      <formula>OR($C70=0,$C70=2,$C70=3,$C70=4)</formula>
    </cfRule>
  </conditionalFormatting>
  <conditionalFormatting sqref="M45">
    <cfRule type="cellIs" dxfId="580" priority="125" stopIfTrue="1" operator="notEqual">
      <formula>$N45</formula>
    </cfRule>
  </conditionalFormatting>
  <conditionalFormatting sqref="N45:O45 W45">
    <cfRule type="expression" dxfId="579" priority="126" stopIfTrue="1">
      <formula>$C45=1</formula>
    </cfRule>
    <cfRule type="expression" dxfId="578" priority="127" stopIfTrue="1">
      <formula>OR($C45=0,$C45=2,$C45=3,$C45=4)</formula>
    </cfRule>
  </conditionalFormatting>
  <conditionalFormatting sqref="U45:V45">
    <cfRule type="expression" dxfId="577" priority="128" stopIfTrue="1">
      <formula>$C45=1</formula>
    </cfRule>
    <cfRule type="expression" dxfId="576" priority="129" stopIfTrue="1">
      <formula>OR($C45=0,$C45=2,$C45=3,$C45=4)</formula>
    </cfRule>
    <cfRule type="expression" dxfId="575" priority="130" stopIfTrue="1">
      <formula>AND(TIPOORCAMENTO="Licitado",$C45&lt;&gt;"L",$C45&lt;&gt;-1)</formula>
    </cfRule>
  </conditionalFormatting>
  <conditionalFormatting sqref="P45:Q45 S45:T45 Y45 AG45:AH45">
    <cfRule type="expression" dxfId="574" priority="131" stopIfTrue="1">
      <formula>$C45=1</formula>
    </cfRule>
    <cfRule type="expression" dxfId="573" priority="132" stopIfTrue="1">
      <formula>OR($C45=0,$C45=2,$C45=3,$C45=4)</formula>
    </cfRule>
  </conditionalFormatting>
  <conditionalFormatting sqref="X45">
    <cfRule type="expression" dxfId="572" priority="123" stopIfTrue="1">
      <formula>$C45=1</formula>
    </cfRule>
    <cfRule type="expression" dxfId="571" priority="124" stopIfTrue="1">
      <formula>OR($C45=0,$C45=2,$C45=3,$C45=4)</formula>
    </cfRule>
  </conditionalFormatting>
  <conditionalFormatting sqref="R45">
    <cfRule type="expression" dxfId="570" priority="121" stopIfTrue="1">
      <formula>$C45=1</formula>
    </cfRule>
    <cfRule type="expression" dxfId="569" priority="122" stopIfTrue="1">
      <formula>OR($C45=0,$C45=2,$C45=3,$C45=4)</formula>
    </cfRule>
  </conditionalFormatting>
  <conditionalFormatting sqref="R45">
    <cfRule type="beginsWith" dxfId="568" priority="120" operator="beginsWith" text="(">
      <formula>LEFT(R45,LEN("("))="("</formula>
    </cfRule>
  </conditionalFormatting>
  <conditionalFormatting sqref="M41">
    <cfRule type="cellIs" dxfId="567" priority="112" stopIfTrue="1" operator="notEqual">
      <formula>$N41</formula>
    </cfRule>
  </conditionalFormatting>
  <conditionalFormatting sqref="N41:O41 W41">
    <cfRule type="expression" dxfId="566" priority="113" stopIfTrue="1">
      <formula>$C41=1</formula>
    </cfRule>
    <cfRule type="expression" dxfId="565" priority="114" stopIfTrue="1">
      <formula>OR($C41=0,$C41=2,$C41=3,$C41=4)</formula>
    </cfRule>
  </conditionalFormatting>
  <conditionalFormatting sqref="U41:V41">
    <cfRule type="expression" dxfId="564" priority="115" stopIfTrue="1">
      <formula>$C41=1</formula>
    </cfRule>
    <cfRule type="expression" dxfId="563" priority="116" stopIfTrue="1">
      <formula>OR($C41=0,$C41=2,$C41=3,$C41=4)</formula>
    </cfRule>
    <cfRule type="expression" dxfId="562" priority="117" stopIfTrue="1">
      <formula>AND(TIPOORCAMENTO="Licitado",$C41&lt;&gt;"L",$C41&lt;&gt;-1)</formula>
    </cfRule>
  </conditionalFormatting>
  <conditionalFormatting sqref="P41:Q41 S41:T41 Y41 AG41:AH41">
    <cfRule type="expression" dxfId="561" priority="118" stopIfTrue="1">
      <formula>$C41=1</formula>
    </cfRule>
    <cfRule type="expression" dxfId="560" priority="119" stopIfTrue="1">
      <formula>OR($C41=0,$C41=2,$C41=3,$C41=4)</formula>
    </cfRule>
  </conditionalFormatting>
  <conditionalFormatting sqref="X41">
    <cfRule type="expression" dxfId="559" priority="110" stopIfTrue="1">
      <formula>$C41=1</formula>
    </cfRule>
    <cfRule type="expression" dxfId="558" priority="111" stopIfTrue="1">
      <formula>OR($C41=0,$C41=2,$C41=3,$C41=4)</formula>
    </cfRule>
  </conditionalFormatting>
  <conditionalFormatting sqref="R41">
    <cfRule type="expression" dxfId="557" priority="108" stopIfTrue="1">
      <formula>$C41=1</formula>
    </cfRule>
    <cfRule type="expression" dxfId="556" priority="109" stopIfTrue="1">
      <formula>OR($C41=0,$C41=2,$C41=3,$C41=4)</formula>
    </cfRule>
  </conditionalFormatting>
  <conditionalFormatting sqref="R41">
    <cfRule type="beginsWith" dxfId="555" priority="107" operator="beginsWith" text="(">
      <formula>LEFT(R41,LEN("("))="("</formula>
    </cfRule>
  </conditionalFormatting>
  <conditionalFormatting sqref="X57">
    <cfRule type="expression" dxfId="554" priority="105" stopIfTrue="1">
      <formula>$C57=1</formula>
    </cfRule>
    <cfRule type="expression" dxfId="553" priority="106" stopIfTrue="1">
      <formula>OR($C57=0,$C57=2,$C57=3,$C57=4)</formula>
    </cfRule>
  </conditionalFormatting>
  <conditionalFormatting sqref="R57">
    <cfRule type="expression" dxfId="552" priority="103" stopIfTrue="1">
      <formula>$C57=1</formula>
    </cfRule>
    <cfRule type="expression" dxfId="551" priority="104" stopIfTrue="1">
      <formula>OR($C57=0,$C57=2,$C57=3,$C57=4)</formula>
    </cfRule>
  </conditionalFormatting>
  <conditionalFormatting sqref="M36">
    <cfRule type="cellIs" dxfId="550" priority="82" stopIfTrue="1" operator="notEqual">
      <formula>$N36</formula>
    </cfRule>
  </conditionalFormatting>
  <conditionalFormatting sqref="N36:O36 W36">
    <cfRule type="expression" dxfId="549" priority="83" stopIfTrue="1">
      <formula>$C36=1</formula>
    </cfRule>
    <cfRule type="expression" dxfId="548" priority="84" stopIfTrue="1">
      <formula>OR($C36=0,$C36=2,$C36=3,$C36=4)</formula>
    </cfRule>
  </conditionalFormatting>
  <conditionalFormatting sqref="U36:V36">
    <cfRule type="expression" dxfId="547" priority="85" stopIfTrue="1">
      <formula>$C36=1</formula>
    </cfRule>
    <cfRule type="expression" dxfId="546" priority="86" stopIfTrue="1">
      <formula>OR($C36=0,$C36=2,$C36=3,$C36=4)</formula>
    </cfRule>
    <cfRule type="expression" dxfId="545" priority="87" stopIfTrue="1">
      <formula>AND(TIPOORCAMENTO="Licitado",$C36&lt;&gt;"L",$C36&lt;&gt;-1)</formula>
    </cfRule>
  </conditionalFormatting>
  <conditionalFormatting sqref="P36:Q36 S36:T36 Y36 AG36:AH36">
    <cfRule type="expression" dxfId="544" priority="88" stopIfTrue="1">
      <formula>$C36=1</formula>
    </cfRule>
    <cfRule type="expression" dxfId="543" priority="89" stopIfTrue="1">
      <formula>OR($C36=0,$C36=2,$C36=3,$C36=4)</formula>
    </cfRule>
  </conditionalFormatting>
  <conditionalFormatting sqref="X36">
    <cfRule type="expression" dxfId="542" priority="80" stopIfTrue="1">
      <formula>$C36=1</formula>
    </cfRule>
    <cfRule type="expression" dxfId="541" priority="81" stopIfTrue="1">
      <formula>OR($C36=0,$C36=2,$C36=3,$C36=4)</formula>
    </cfRule>
  </conditionalFormatting>
  <conditionalFormatting sqref="R36">
    <cfRule type="expression" dxfId="540" priority="78" stopIfTrue="1">
      <formula>$C36=1</formula>
    </cfRule>
    <cfRule type="expression" dxfId="539" priority="79" stopIfTrue="1">
      <formula>OR($C36=0,$C36=2,$C36=3,$C36=4)</formula>
    </cfRule>
  </conditionalFormatting>
  <conditionalFormatting sqref="R36">
    <cfRule type="beginsWith" dxfId="538" priority="77" operator="beginsWith" text="(">
      <formula>LEFT(R36,LEN("("))="("</formula>
    </cfRule>
  </conditionalFormatting>
  <conditionalFormatting sqref="X60">
    <cfRule type="expression" dxfId="537" priority="58" stopIfTrue="1">
      <formula>$C60=1</formula>
    </cfRule>
    <cfRule type="expression" dxfId="536" priority="59" stopIfTrue="1">
      <formula>OR($C60=0,$C60=2,$C60=3,$C60=4)</formula>
    </cfRule>
  </conditionalFormatting>
  <conditionalFormatting sqref="R60">
    <cfRule type="expression" dxfId="535" priority="56" stopIfTrue="1">
      <formula>$C60=1</formula>
    </cfRule>
    <cfRule type="expression" dxfId="534" priority="57" stopIfTrue="1">
      <formula>OR($C60=0,$C60=2,$C60=3,$C60=4)</formula>
    </cfRule>
  </conditionalFormatting>
  <conditionalFormatting sqref="X56">
    <cfRule type="expression" dxfId="533" priority="54" stopIfTrue="1">
      <formula>$C56=1</formula>
    </cfRule>
    <cfRule type="expression" dxfId="532" priority="55" stopIfTrue="1">
      <formula>OR($C56=0,$C56=2,$C56=3,$C56=4)</formula>
    </cfRule>
  </conditionalFormatting>
  <conditionalFormatting sqref="R56">
    <cfRule type="expression" dxfId="531" priority="52" stopIfTrue="1">
      <formula>$C56=1</formula>
    </cfRule>
    <cfRule type="expression" dxfId="530" priority="53" stopIfTrue="1">
      <formula>OR($C56=0,$C56=2,$C56=3,$C56=4)</formula>
    </cfRule>
  </conditionalFormatting>
  <conditionalFormatting sqref="M42">
    <cfRule type="cellIs" dxfId="529" priority="46" stopIfTrue="1" operator="notEqual">
      <formula>$N42</formula>
    </cfRule>
  </conditionalFormatting>
  <conditionalFormatting sqref="N42:O42 W42">
    <cfRule type="expression" dxfId="528" priority="47" stopIfTrue="1">
      <formula>$C42=1</formula>
    </cfRule>
    <cfRule type="expression" dxfId="527" priority="48" stopIfTrue="1">
      <formula>OR($C42=0,$C42=2,$C42=3,$C42=4)</formula>
    </cfRule>
  </conditionalFormatting>
  <conditionalFormatting sqref="U42:V42">
    <cfRule type="expression" dxfId="526" priority="49" stopIfTrue="1">
      <formula>$C42=1</formula>
    </cfRule>
    <cfRule type="expression" dxfId="525" priority="50" stopIfTrue="1">
      <formula>OR($C42=0,$C42=2,$C42=3,$C42=4)</formula>
    </cfRule>
    <cfRule type="expression" dxfId="524" priority="51" stopIfTrue="1">
      <formula>AND(TIPOORCAMENTO="Licitado",$C42&lt;&gt;"L",$C42&lt;&gt;-1)</formula>
    </cfRule>
  </conditionalFormatting>
  <conditionalFormatting sqref="X42">
    <cfRule type="expression" dxfId="523" priority="44" stopIfTrue="1">
      <formula>$C42=1</formula>
    </cfRule>
    <cfRule type="expression" dxfId="522" priority="45" stopIfTrue="1">
      <formula>OR($C42=0,$C42=2,$C42=3,$C42=4)</formula>
    </cfRule>
  </conditionalFormatting>
  <conditionalFormatting sqref="R42">
    <cfRule type="expression" dxfId="521" priority="42" stopIfTrue="1">
      <formula>$C42=1</formula>
    </cfRule>
    <cfRule type="expression" dxfId="520" priority="43" stopIfTrue="1">
      <formula>OR($C42=0,$C42=2,$C42=3,$C42=4)</formula>
    </cfRule>
  </conditionalFormatting>
  <conditionalFormatting sqref="R42">
    <cfRule type="beginsWith" dxfId="519" priority="41" operator="beginsWith" text="(">
      <formula>LEFT(R42,LEN("("))="("</formula>
    </cfRule>
  </conditionalFormatting>
  <conditionalFormatting sqref="X24">
    <cfRule type="expression" dxfId="518" priority="39" stopIfTrue="1">
      <formula>$C24=1</formula>
    </cfRule>
    <cfRule type="expression" dxfId="517" priority="40" stopIfTrue="1">
      <formula>OR($C24=0,$C24=2,$C24=3,$C24=4)</formula>
    </cfRule>
  </conditionalFormatting>
  <conditionalFormatting sqref="R24">
    <cfRule type="expression" dxfId="516" priority="37" stopIfTrue="1">
      <formula>$C24=1</formula>
    </cfRule>
    <cfRule type="expression" dxfId="515" priority="38" stopIfTrue="1">
      <formula>OR($C24=0,$C24=2,$C24=3,$C24=4)</formula>
    </cfRule>
  </conditionalFormatting>
  <conditionalFormatting sqref="X19:X20">
    <cfRule type="expression" dxfId="514" priority="31" stopIfTrue="1">
      <formula>$C19=1</formula>
    </cfRule>
    <cfRule type="expression" dxfId="513" priority="32" stopIfTrue="1">
      <formula>OR($C19=0,$C19=2,$C19=3,$C19=4)</formula>
    </cfRule>
  </conditionalFormatting>
  <conditionalFormatting sqref="R19:R20">
    <cfRule type="expression" dxfId="512" priority="29" stopIfTrue="1">
      <formula>$C19=1</formula>
    </cfRule>
    <cfRule type="expression" dxfId="511" priority="30" stopIfTrue="1">
      <formula>OR($C19=0,$C19=2,$C19=3,$C19=4)</formula>
    </cfRule>
  </conditionalFormatting>
  <conditionalFormatting sqref="R19:R20">
    <cfRule type="beginsWith" dxfId="510" priority="28" operator="beginsWith" text="(">
      <formula>LEFT(R19,LEN("("))="("</formula>
    </cfRule>
  </conditionalFormatting>
  <conditionalFormatting sqref="X26">
    <cfRule type="expression" dxfId="509" priority="26" stopIfTrue="1">
      <formula>$C26=1</formula>
    </cfRule>
    <cfRule type="expression" dxfId="508" priority="27" stopIfTrue="1">
      <formula>OR($C26=0,$C26=2,$C26=3,$C26=4)</formula>
    </cfRule>
  </conditionalFormatting>
  <conditionalFormatting sqref="R26">
    <cfRule type="expression" dxfId="507" priority="24" stopIfTrue="1">
      <formula>$C26=1</formula>
    </cfRule>
    <cfRule type="expression" dxfId="506" priority="25" stopIfTrue="1">
      <formula>OR($C26=0,$C26=2,$C26=3,$C26=4)</formula>
    </cfRule>
  </conditionalFormatting>
  <conditionalFormatting sqref="M43">
    <cfRule type="cellIs" dxfId="505" priority="18" stopIfTrue="1" operator="notEqual">
      <formula>$N43</formula>
    </cfRule>
  </conditionalFormatting>
  <conditionalFormatting sqref="N43:O43 W43">
    <cfRule type="expression" dxfId="504" priority="19" stopIfTrue="1">
      <formula>$C43=1</formula>
    </cfRule>
    <cfRule type="expression" dxfId="503" priority="20" stopIfTrue="1">
      <formula>OR($C43=0,$C43=2,$C43=3,$C43=4)</formula>
    </cfRule>
  </conditionalFormatting>
  <conditionalFormatting sqref="U43:V43">
    <cfRule type="expression" dxfId="502" priority="21" stopIfTrue="1">
      <formula>$C43=1</formula>
    </cfRule>
    <cfRule type="expression" dxfId="501" priority="22" stopIfTrue="1">
      <formula>OR($C43=0,$C43=2,$C43=3,$C43=4)</formula>
    </cfRule>
    <cfRule type="expression" dxfId="500" priority="23" stopIfTrue="1">
      <formula>AND(TIPOORCAMENTO="Licitado",$C43&lt;&gt;"L",$C43&lt;&gt;-1)</formula>
    </cfRule>
  </conditionalFormatting>
  <conditionalFormatting sqref="X43">
    <cfRule type="expression" dxfId="499" priority="16" stopIfTrue="1">
      <formula>$C43=1</formula>
    </cfRule>
    <cfRule type="expression" dxfId="498" priority="17" stopIfTrue="1">
      <formula>OR($C43=0,$C43=2,$C43=3,$C43=4)</formula>
    </cfRule>
  </conditionalFormatting>
  <conditionalFormatting sqref="R43">
    <cfRule type="expression" dxfId="497" priority="14" stopIfTrue="1">
      <formula>$C43=1</formula>
    </cfRule>
    <cfRule type="expression" dxfId="496" priority="15" stopIfTrue="1">
      <formula>OR($C43=0,$C43=2,$C43=3,$C43=4)</formula>
    </cfRule>
  </conditionalFormatting>
  <conditionalFormatting sqref="R43">
    <cfRule type="beginsWith" dxfId="495" priority="13" operator="beginsWith" text="(">
      <formula>LEFT(R43,LEN("("))="("</formula>
    </cfRule>
  </conditionalFormatting>
  <conditionalFormatting sqref="X61">
    <cfRule type="expression" dxfId="494" priority="11" stopIfTrue="1">
      <formula>$C61=1</formula>
    </cfRule>
    <cfRule type="expression" dxfId="493" priority="12" stopIfTrue="1">
      <formula>OR($C61=0,$C61=2,$C61=3,$C61=4)</formula>
    </cfRule>
  </conditionalFormatting>
  <conditionalFormatting sqref="R61">
    <cfRule type="expression" dxfId="492" priority="9" stopIfTrue="1">
      <formula>$C61=1</formula>
    </cfRule>
    <cfRule type="expression" dxfId="491" priority="10" stopIfTrue="1">
      <formula>OR($C61=0,$C61=2,$C61=3,$C61=4)</formula>
    </cfRule>
  </conditionalFormatting>
  <conditionalFormatting sqref="X71">
    <cfRule type="expression" dxfId="490" priority="7" stopIfTrue="1">
      <formula>$C71=1</formula>
    </cfRule>
    <cfRule type="expression" dxfId="489" priority="8" stopIfTrue="1">
      <formula>OR($C71=0,$C71=2,$C71=3,$C71=4)</formula>
    </cfRule>
  </conditionalFormatting>
  <conditionalFormatting sqref="R71">
    <cfRule type="expression" dxfId="488" priority="5" stopIfTrue="1">
      <formula>$C71=1</formula>
    </cfRule>
    <cfRule type="expression" dxfId="487" priority="6" stopIfTrue="1">
      <formula>OR($C71=0,$C71=2,$C71=3,$C71=4)</formula>
    </cfRule>
  </conditionalFormatting>
  <conditionalFormatting sqref="X72">
    <cfRule type="expression" dxfId="486" priority="3" stopIfTrue="1">
      <formula>$C72=1</formula>
    </cfRule>
    <cfRule type="expression" dxfId="485" priority="4" stopIfTrue="1">
      <formula>OR($C72=0,$C72=2,$C72=3,$C72=4)</formula>
    </cfRule>
  </conditionalFormatting>
  <conditionalFormatting sqref="R72">
    <cfRule type="expression" dxfId="484" priority="1" stopIfTrue="1">
      <formula>$C72=1</formula>
    </cfRule>
    <cfRule type="expression" dxfId="483" priority="2" stopIfTrue="1">
      <formula>OR($C72=0,$C72=2,$C72=3,$C72=4)</formula>
    </cfRule>
  </conditionalFormatting>
  <dataValidations count="8">
    <dataValidation type="decimal" operator="greaterThan" allowBlank="1" showErrorMessage="1" error="Apenas números decimais maiores que zero." sqref="U14 AL14 AJ14 U16:U161 AL16:AL161 AJ16:AJ161"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61"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61" xr:uid="{00000000-0002-0000-0400-000006000000}"/>
    <dataValidation type="list" errorStyle="information" allowBlank="1" showInputMessage="1" prompt="Selecione uma sigla de unidade na lista suspensa." sqref="S14 S16:S161"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61"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61"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61"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61"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0" firstPageNumber="0" fitToWidth="0" fitToHeight="0" orientation="landscape" r:id="rId1"/>
  <headerFooter alignWithMargins="0">
    <oddHeader>&amp;C&amp;14I</oddHeader>
    <oddFooter>&amp;LPMv3.16&amp;R&amp;P / &amp;N</oddFooter>
  </headerFooter>
  <rowBreaks count="1" manualBreakCount="1">
    <brk id="37"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IF(AUTOEVENTO="Manual",ROUND(SUMPRODUCT((CÁLCULO!$M$15:$M$162=EVENTOS!$C1)*(OFFSET(CÁLCULO!$AA$15:$AA$162,0,E$13))),2),0)</f>
        <v>0</v>
      </c>
      <c r="F1" s="183">
        <f ca="1">IF(AUTOEVENTO="Manual",ROUND(SUMPRODUCT((CÁLCULO!$M$15:$M$162=EVENTOS!$C1)*(OFFSET(CÁLCULO!$AA$15,0,1):OFFSET(CÁLCULO!$AL$162,0,-1))),2),0)</f>
        <v>0</v>
      </c>
      <c r="G1" s="621" t="str">
        <f ca="1">IF(AND(D1=0,F1&gt;0),"NOME",
 IF(AND(D1&lt;&gt;0,$F$14&gt;0,F1=0),"VALOR",
 IF(AND(Import.TipoArredondamento="TransfereGOV",$A1="F",LEN(D1)&gt;100),"Nome &gt;100","")))</f>
        <v/>
      </c>
      <c r="H1" s="620" cm="1">
        <f t="array" aca="1" ref="H1" ca="1">IF(AUTOEVENTO="Manual",ROUND(SUMPRODUCT((CÁLCULO!$M$15:$M$162=EVENTOS!$C1)*(OFFSET(CÁLCULO!$AA$15:$AA$162,0,H$13))),2),0)</f>
        <v>0</v>
      </c>
      <c r="I1" s="620" cm="1">
        <f t="array" aca="1" ref="I1" ca="1">IF(AUTOEVENTO="Manual",ROUND(SUMPRODUCT((CÁLCULO!$M$15:$M$162=EVENTOS!$C1)*(OFFSET(CÁLCULO!$AA$15:$AA$162,0,I$13))),2),0)</f>
        <v>0</v>
      </c>
      <c r="J1" s="620" cm="1">
        <f t="array" aca="1" ref="J1" ca="1">IF(AUTOEVENTO="Manual",ROUND(SUMPRODUCT((CÁLCULO!$M$15:$M$162=EVENTOS!$C1)*(OFFSET(CÁLCULO!$AA$15:$AA$162,0,J$13))),2),0)</f>
        <v>0</v>
      </c>
      <c r="K1" s="620" cm="1">
        <f t="array" aca="1" ref="K1" ca="1">IF(AUTOEVENTO="Manual",ROUND(SUMPRODUCT((CÁLCULO!$M$15:$M$162=EVENTOS!$C1)*(OFFSET(CÁLCULO!$AA$15:$AA$162,0,K$13))),2),0)</f>
        <v>0</v>
      </c>
      <c r="L1" s="620" cm="1">
        <f t="array" aca="1" ref="L1" ca="1">IF(AUTOEVENTO="Manual",ROUND(SUMPRODUCT((CÁLCULO!$M$15:$M$162=EVENTOS!$C1)*(OFFSET(CÁLCULO!$AA$15:$AA$162,0,L$13))),2),0)</f>
        <v>0</v>
      </c>
      <c r="M1" s="620" cm="1">
        <f t="array" aca="1" ref="M1" ca="1">IF(AUTOEVENTO="Manual",ROUND(SUMPRODUCT((CÁLCULO!$M$15:$M$162=EVENTOS!$C1)*(OFFSET(CÁLCULO!$AA$15:$AA$162,0,M$13))),2),0)</f>
        <v>0</v>
      </c>
      <c r="N1" s="620" cm="1">
        <f t="array" aca="1" ref="N1" ca="1">IF(AUTOEVENTO="Manual",ROUND(SUMPRODUCT((CÁLCULO!$M$15:$M$162=EVENTOS!$C1)*(OFFSET(CÁLCULO!$AA$15:$AA$162,0,N$13))),2),0)</f>
        <v>0</v>
      </c>
      <c r="O1" s="620" cm="1">
        <f t="array" aca="1" ref="O1" ca="1">IF(AUTOEVENTO="Manual",ROUND(SUMPRODUCT((CÁLCULO!$M$15:$M$162=EVENTOS!$C1)*(OFFSET(CÁLCULO!$AA$15:$AA$162,0,O$13))),2),0)</f>
        <v>0</v>
      </c>
      <c r="P1" s="620" cm="1">
        <f t="array" aca="1" ref="P1" ca="1">IF(AUTOEVENTO="Manual",ROUND(SUMPRODUCT((CÁLCULO!$M$15:$M$162=EVENTOS!$C1)*(OFFSET(CÁLCULO!$AA$15:$AA$162,0,P$13))),2),0)</f>
        <v>0</v>
      </c>
      <c r="Q1" s="620" cm="1">
        <f t="array" aca="1" ref="Q1" ca="1">IF(AUTOEVENTO="Manual",ROUND(SUMPRODUCT((CÁLCULO!$M$15:$M$162=EVENTOS!$C1)*(OFFSET(CÁLCULO!$AA$15:$AA$162,0,Q$13))),2),0)</f>
        <v>0</v>
      </c>
      <c r="R1" s="620" cm="1">
        <f t="array" aca="1" ref="R1" ca="1">IF(AUTOEVENTO="Manual",ROUND(SUMPRODUCT((CÁLCULO!$M$15:$M$162=EVENTOS!$C1)*(OFFSET(CÁLCULO!$AA$15:$AA$162,0,R$13))),2),0)</f>
        <v>0</v>
      </c>
      <c r="S1" s="620" cm="1">
        <f t="array" aca="1" ref="S1" ca="1">IF(AUTOEVENTO="Manual",ROUND(SUMPRODUCT((CÁLCULO!$M$15:$M$162=EVENTOS!$C1)*(OFFSET(CÁLCULO!$AA$15:$AA$162,0,S$13))),2),0)</f>
        <v>0</v>
      </c>
      <c r="T1" s="620" cm="1">
        <f t="array" aca="1" ref="T1" ca="1">IF(AUTOEVENTO="Manual",ROUND(SUMPRODUCT((CÁLCULO!$M$15:$M$162=EVENTOS!$C1)*(OFFSET(CÁLCULO!$AA$15:$AA$162,0,T$13))),2),0)</f>
        <v>0</v>
      </c>
      <c r="U1" s="620" cm="1">
        <f t="array" aca="1" ref="U1" ca="1">IF(AUTOEVENTO="Manual",ROUND(SUMPRODUCT((CÁLCULO!$M$15:$M$162=EVENTOS!$C1)*(OFFSET(CÁLCULO!$AA$15:$AA$162,0,U$13))),2),0)</f>
        <v>0</v>
      </c>
      <c r="V1" s="620" cm="1">
        <f t="array" aca="1" ref="V1" ca="1">IF(AUTOEVENTO="Manual",ROUND(SUMPRODUCT((CÁLCULO!$M$15:$M$162=EVENTOS!$C1)*(OFFSET(CÁLCULO!$AA$15:$AA$162,0,V$13))),2),0)</f>
        <v>0</v>
      </c>
      <c r="W1" s="620" cm="1">
        <f t="array" aca="1" ref="W1" ca="1">IF(AUTOEVENTO="Manual",ROUND(SUMPRODUCT((CÁLCULO!$M$15:$M$162=EVENTOS!$C1)*(OFFSET(CÁLCULO!$AA$15:$AA$162,0,W$13))),2),0)</f>
        <v>0</v>
      </c>
      <c r="X1" s="620" cm="1">
        <f t="array" aca="1" ref="X1" ca="1">IF(AUTOEVENTO="Manual",ROUND(SUMPRODUCT((CÁLCULO!$M$15:$M$162=EVENTOS!$C1)*(OFFSET(CÁLCULO!$AA$15:$AA$162,0,X$13))),2),0)</f>
        <v>0</v>
      </c>
      <c r="Y1" s="620" cm="1">
        <f t="array" aca="1" ref="Y1" ca="1">IF(AUTOEVENTO="Manual",ROUND(SUMPRODUCT((CÁLCULO!$M$15:$M$162=EVENTOS!$C1)*(OFFSET(CÁLCULO!$AA$15:$AA$162,0,Y$13))),2),0)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25" t="str">
        <f>Import.Apelido</f>
        <v xml:space="preserve">TRAVESSIA EM ADUELAS ESTRADA PRINCIPAL DO VIRA </v>
      </c>
      <c r="G5" s="726"/>
      <c r="H5" s="726"/>
      <c r="I5" s="726"/>
      <c r="J5" s="726"/>
      <c r="K5" s="726"/>
      <c r="L5" s="726"/>
      <c r="M5" s="727"/>
      <c r="N5" s="56">
        <f>Import.CR</f>
        <v>0</v>
      </c>
      <c r="O5" s="56">
        <f>Import.SICONV</f>
        <v>0</v>
      </c>
      <c r="P5" s="725" t="str">
        <f>Import.Apelido</f>
        <v xml:space="preserve">TRAVESSIA EM ADUELAS ESTRADA PRINCIPAL DO VIRA </v>
      </c>
      <c r="Q5" s="726"/>
      <c r="R5" s="726"/>
      <c r="S5" s="726"/>
      <c r="T5" s="726"/>
      <c r="U5" s="726"/>
      <c r="V5" s="726"/>
      <c r="W5" s="727"/>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28">
        <f ca="1">OFFSET(CÁLCULO!$P$12,0,EVENTOS!E$13)</f>
        <v>0</v>
      </c>
      <c r="F10" t="s">
        <v>752</v>
      </c>
      <c r="G10" s="729"/>
      <c r="H10" s="728">
        <f ca="1">OFFSET(CÁLCULO!$P$12,0,EVENTOS!H$13)</f>
        <v>0</v>
      </c>
      <c r="I10" s="728" t="str">
        <f ca="1">OFFSET(CÁLCULO!$P$12,0,EVENTOS!I$13)</f>
        <v>.</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IF($C$15=0,0,ROUND(SUMPRODUCT((CÁLCULO!$M$15:$M$162=EVENTOS!$C15)*(ORÇAMENTO!$X$15:'ORÇAMENTO'!$X$162)),2))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IF(AUTOEVENTO="Manual",ROUND(SUMPRODUCT((CÁLCULO!$M$15:$M$162=EVENTOS!$C16)*(OFFSET(CÁLCULO!$AA$15:$AA$162,0,E$13))),2),0)</f>
        <v>0</v>
      </c>
      <c r="F16" s="183">
        <f ca="1">IF(AUTOEVENTO="Manual",ROUND(SUMPRODUCT((CÁLCULO!$M$15:$M$162=EVENTOS!$C16)*(OFFSET(CÁLCULO!$AA$15,0,1):OFFSET(CÁLCULO!$AL$162,0,-1))),2),0)</f>
        <v>0</v>
      </c>
      <c r="G16" s="621" t="str">
        <f t="shared" ref="G16:G47" ca="1" si="5">IF(AND(D16=0,F16&gt;0),"NOME",
 IF(AND(D16&lt;&gt;0,$F$14&gt;0,F16=0),"VALOR",
 IF(AND(Import.TipoArredondamento="TransfereGOV",$A16="F",LEN(D16)&gt;100),"Nome &gt;100","")))</f>
        <v/>
      </c>
      <c r="H16" s="620" cm="1">
        <f t="array" aca="1" ref="H16" ca="1">IF(AUTOEVENTO="Manual",ROUND(SUMPRODUCT((CÁLCULO!$M$15:$M$162=EVENTOS!$C16)*(OFFSET(CÁLCULO!$AA$15:$AA$162,0,H$13))),2),0)</f>
        <v>0</v>
      </c>
      <c r="I16" s="620" cm="1">
        <f t="array" aca="1" ref="I16" ca="1">IF(AUTOEVENTO="Manual",ROUND(SUMPRODUCT((CÁLCULO!$M$15:$M$162=EVENTOS!$C16)*(OFFSET(CÁLCULO!$AA$15:$AA$162,0,I$13))),2),0)</f>
        <v>0</v>
      </c>
      <c r="J16" s="620" cm="1">
        <f t="array" aca="1" ref="J16" ca="1">IF(AUTOEVENTO="Manual",ROUND(SUMPRODUCT((CÁLCULO!$M$15:$M$162=EVENTOS!$C16)*(OFFSET(CÁLCULO!$AA$15:$AA$162,0,J$13))),2),0)</f>
        <v>0</v>
      </c>
      <c r="K16" s="620" cm="1">
        <f t="array" aca="1" ref="K16" ca="1">IF(AUTOEVENTO="Manual",ROUND(SUMPRODUCT((CÁLCULO!$M$15:$M$162=EVENTOS!$C16)*(OFFSET(CÁLCULO!$AA$15:$AA$162,0,K$13))),2),0)</f>
        <v>0</v>
      </c>
      <c r="L16" s="620" cm="1">
        <f t="array" aca="1" ref="L16" ca="1">IF(AUTOEVENTO="Manual",ROUND(SUMPRODUCT((CÁLCULO!$M$15:$M$162=EVENTOS!$C16)*(OFFSET(CÁLCULO!$AA$15:$AA$162,0,L$13))),2),0)</f>
        <v>0</v>
      </c>
      <c r="M16" s="620" cm="1">
        <f t="array" aca="1" ref="M16" ca="1">IF(AUTOEVENTO="Manual",ROUND(SUMPRODUCT((CÁLCULO!$M$15:$M$162=EVENTOS!$C16)*(OFFSET(CÁLCULO!$AA$15:$AA$162,0,M$13))),2),0)</f>
        <v>0</v>
      </c>
      <c r="N16" s="620" cm="1">
        <f t="array" aca="1" ref="N16" ca="1">IF(AUTOEVENTO="Manual",ROUND(SUMPRODUCT((CÁLCULO!$M$15:$M$162=EVENTOS!$C16)*(OFFSET(CÁLCULO!$AA$15:$AA$162,0,N$13))),2),0)</f>
        <v>0</v>
      </c>
      <c r="O16" s="620" cm="1">
        <f t="array" aca="1" ref="O16" ca="1">IF(AUTOEVENTO="Manual",ROUND(SUMPRODUCT((CÁLCULO!$M$15:$M$162=EVENTOS!$C16)*(OFFSET(CÁLCULO!$AA$15:$AA$162,0,O$13))),2),0)</f>
        <v>0</v>
      </c>
      <c r="P16" s="620" cm="1">
        <f t="array" aca="1" ref="P16" ca="1">IF(AUTOEVENTO="Manual",ROUND(SUMPRODUCT((CÁLCULO!$M$15:$M$162=EVENTOS!$C16)*(OFFSET(CÁLCULO!$AA$15:$AA$162,0,P$13))),2),0)</f>
        <v>0</v>
      </c>
      <c r="Q16" s="620" cm="1">
        <f t="array" aca="1" ref="Q16" ca="1">IF(AUTOEVENTO="Manual",ROUND(SUMPRODUCT((CÁLCULO!$M$15:$M$162=EVENTOS!$C16)*(OFFSET(CÁLCULO!$AA$15:$AA$162,0,Q$13))),2),0)</f>
        <v>0</v>
      </c>
      <c r="R16" s="620" cm="1">
        <f t="array" aca="1" ref="R16" ca="1">IF(AUTOEVENTO="Manual",ROUND(SUMPRODUCT((CÁLCULO!$M$15:$M$162=EVENTOS!$C16)*(OFFSET(CÁLCULO!$AA$15:$AA$162,0,R$13))),2),0)</f>
        <v>0</v>
      </c>
      <c r="S16" s="620" cm="1">
        <f t="array" aca="1" ref="S16" ca="1">IF(AUTOEVENTO="Manual",ROUND(SUMPRODUCT((CÁLCULO!$M$15:$M$162=EVENTOS!$C16)*(OFFSET(CÁLCULO!$AA$15:$AA$162,0,S$13))),2),0)</f>
        <v>0</v>
      </c>
      <c r="T16" s="620" cm="1">
        <f t="array" aca="1" ref="T16" ca="1">IF(AUTOEVENTO="Manual",ROUND(SUMPRODUCT((CÁLCULO!$M$15:$M$162=EVENTOS!$C16)*(OFFSET(CÁLCULO!$AA$15:$AA$162,0,T$13))),2),0)</f>
        <v>0</v>
      </c>
      <c r="U16" s="620" cm="1">
        <f t="array" aca="1" ref="U16" ca="1">IF(AUTOEVENTO="Manual",ROUND(SUMPRODUCT((CÁLCULO!$M$15:$M$162=EVENTOS!$C16)*(OFFSET(CÁLCULO!$AA$15:$AA$162,0,U$13))),2),0)</f>
        <v>0</v>
      </c>
      <c r="V16" s="620" cm="1">
        <f t="array" aca="1" ref="V16" ca="1">IF(AUTOEVENTO="Manual",ROUND(SUMPRODUCT((CÁLCULO!$M$15:$M$162=EVENTOS!$C16)*(OFFSET(CÁLCULO!$AA$15:$AA$162,0,V$13))),2),0)</f>
        <v>0</v>
      </c>
      <c r="W16" s="620" cm="1">
        <f t="array" aca="1" ref="W16" ca="1">IF(AUTOEVENTO="Manual",ROUND(SUMPRODUCT((CÁLCULO!$M$15:$M$162=EVENTOS!$C16)*(OFFSET(CÁLCULO!$AA$15:$AA$162,0,W$13))),2),0)</f>
        <v>0</v>
      </c>
      <c r="X16" s="620" cm="1">
        <f t="array" aca="1" ref="X16" ca="1">IF(AUTOEVENTO="Manual",ROUND(SUMPRODUCT((CÁLCULO!$M$15:$M$162=EVENTOS!$C16)*(OFFSET(CÁLCULO!$AA$15:$AA$162,0,X$13))),2),0)</f>
        <v>0</v>
      </c>
      <c r="Y16" s="620" cm="1">
        <f t="array" aca="1" ref="Y16" ca="1">IF(AUTOEVENTO="Manual",ROUND(SUMPRODUCT((CÁLCULO!$M$15:$M$162=EVENTOS!$C16)*(OFFSET(CÁLCULO!$AA$15:$AA$162,0,Y$13))),2),0)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IF(AUTOEVENTO="Manual",ROUND(SUMPRODUCT((CÁLCULO!$M$15:$M$162=EVENTOS!$C17)*(OFFSET(CÁLCULO!$AA$15:$AA$162,0,E$13))),2),0)</f>
        <v>0</v>
      </c>
      <c r="F17" s="183">
        <f ca="1">IF(AUTOEVENTO="Manual",ROUND(SUMPRODUCT((CÁLCULO!$M$15:$M$162=EVENTOS!$C17)*(OFFSET(CÁLCULO!$AA$15,0,1):OFFSET(CÁLCULO!$AL$162,0,-1))),2),0)</f>
        <v>0</v>
      </c>
      <c r="G17" s="621" t="str">
        <f t="shared" ca="1" si="5"/>
        <v/>
      </c>
      <c r="H17" s="620" cm="1">
        <f t="array" aca="1" ref="H17" ca="1">IF(AUTOEVENTO="Manual",ROUND(SUMPRODUCT((CÁLCULO!$M$15:$M$162=EVENTOS!$C17)*(OFFSET(CÁLCULO!$AA$15:$AA$162,0,H$13))),2),0)</f>
        <v>0</v>
      </c>
      <c r="I17" s="620" cm="1">
        <f t="array" aca="1" ref="I17" ca="1">IF(AUTOEVENTO="Manual",ROUND(SUMPRODUCT((CÁLCULO!$M$15:$M$162=EVENTOS!$C17)*(OFFSET(CÁLCULO!$AA$15:$AA$162,0,I$13))),2),0)</f>
        <v>0</v>
      </c>
      <c r="J17" s="620" cm="1">
        <f t="array" aca="1" ref="J17" ca="1">IF(AUTOEVENTO="Manual",ROUND(SUMPRODUCT((CÁLCULO!$M$15:$M$162=EVENTOS!$C17)*(OFFSET(CÁLCULO!$AA$15:$AA$162,0,J$13))),2),0)</f>
        <v>0</v>
      </c>
      <c r="K17" s="620" cm="1">
        <f t="array" aca="1" ref="K17" ca="1">IF(AUTOEVENTO="Manual",ROUND(SUMPRODUCT((CÁLCULO!$M$15:$M$162=EVENTOS!$C17)*(OFFSET(CÁLCULO!$AA$15:$AA$162,0,K$13))),2),0)</f>
        <v>0</v>
      </c>
      <c r="L17" s="620" cm="1">
        <f t="array" aca="1" ref="L17" ca="1">IF(AUTOEVENTO="Manual",ROUND(SUMPRODUCT((CÁLCULO!$M$15:$M$162=EVENTOS!$C17)*(OFFSET(CÁLCULO!$AA$15:$AA$162,0,L$13))),2),0)</f>
        <v>0</v>
      </c>
      <c r="M17" s="620" cm="1">
        <f t="array" aca="1" ref="M17" ca="1">IF(AUTOEVENTO="Manual",ROUND(SUMPRODUCT((CÁLCULO!$M$15:$M$162=EVENTOS!$C17)*(OFFSET(CÁLCULO!$AA$15:$AA$162,0,M$13))),2),0)</f>
        <v>0</v>
      </c>
      <c r="N17" s="620" cm="1">
        <f t="array" aca="1" ref="N17" ca="1">IF(AUTOEVENTO="Manual",ROUND(SUMPRODUCT((CÁLCULO!$M$15:$M$162=EVENTOS!$C17)*(OFFSET(CÁLCULO!$AA$15:$AA$162,0,N$13))),2),0)</f>
        <v>0</v>
      </c>
      <c r="O17" s="620" cm="1">
        <f t="array" aca="1" ref="O17" ca="1">IF(AUTOEVENTO="Manual",ROUND(SUMPRODUCT((CÁLCULO!$M$15:$M$162=EVENTOS!$C17)*(OFFSET(CÁLCULO!$AA$15:$AA$162,0,O$13))),2),0)</f>
        <v>0</v>
      </c>
      <c r="P17" s="620" cm="1">
        <f t="array" aca="1" ref="P17" ca="1">IF(AUTOEVENTO="Manual",ROUND(SUMPRODUCT((CÁLCULO!$M$15:$M$162=EVENTOS!$C17)*(OFFSET(CÁLCULO!$AA$15:$AA$162,0,P$13))),2),0)</f>
        <v>0</v>
      </c>
      <c r="Q17" s="620" cm="1">
        <f t="array" aca="1" ref="Q17" ca="1">IF(AUTOEVENTO="Manual",ROUND(SUMPRODUCT((CÁLCULO!$M$15:$M$162=EVENTOS!$C17)*(OFFSET(CÁLCULO!$AA$15:$AA$162,0,Q$13))),2),0)</f>
        <v>0</v>
      </c>
      <c r="R17" s="620" cm="1">
        <f t="array" aca="1" ref="R17" ca="1">IF(AUTOEVENTO="Manual",ROUND(SUMPRODUCT((CÁLCULO!$M$15:$M$162=EVENTOS!$C17)*(OFFSET(CÁLCULO!$AA$15:$AA$162,0,R$13))),2),0)</f>
        <v>0</v>
      </c>
      <c r="S17" s="620" cm="1">
        <f t="array" aca="1" ref="S17" ca="1">IF(AUTOEVENTO="Manual",ROUND(SUMPRODUCT((CÁLCULO!$M$15:$M$162=EVENTOS!$C17)*(OFFSET(CÁLCULO!$AA$15:$AA$162,0,S$13))),2),0)</f>
        <v>0</v>
      </c>
      <c r="T17" s="620" cm="1">
        <f t="array" aca="1" ref="T17" ca="1">IF(AUTOEVENTO="Manual",ROUND(SUMPRODUCT((CÁLCULO!$M$15:$M$162=EVENTOS!$C17)*(OFFSET(CÁLCULO!$AA$15:$AA$162,0,T$13))),2),0)</f>
        <v>0</v>
      </c>
      <c r="U17" s="620" cm="1">
        <f t="array" aca="1" ref="U17" ca="1">IF(AUTOEVENTO="Manual",ROUND(SUMPRODUCT((CÁLCULO!$M$15:$M$162=EVENTOS!$C17)*(OFFSET(CÁLCULO!$AA$15:$AA$162,0,U$13))),2),0)</f>
        <v>0</v>
      </c>
      <c r="V17" s="620" cm="1">
        <f t="array" aca="1" ref="V17" ca="1">IF(AUTOEVENTO="Manual",ROUND(SUMPRODUCT((CÁLCULO!$M$15:$M$162=EVENTOS!$C17)*(OFFSET(CÁLCULO!$AA$15:$AA$162,0,V$13))),2),0)</f>
        <v>0</v>
      </c>
      <c r="W17" s="620" cm="1">
        <f t="array" aca="1" ref="W17" ca="1">IF(AUTOEVENTO="Manual",ROUND(SUMPRODUCT((CÁLCULO!$M$15:$M$162=EVENTOS!$C17)*(OFFSET(CÁLCULO!$AA$15:$AA$162,0,W$13))),2),0)</f>
        <v>0</v>
      </c>
      <c r="X17" s="620" cm="1">
        <f t="array" aca="1" ref="X17" ca="1">IF(AUTOEVENTO="Manual",ROUND(SUMPRODUCT((CÁLCULO!$M$15:$M$162=EVENTOS!$C17)*(OFFSET(CÁLCULO!$AA$15:$AA$162,0,X$13))),2),0)</f>
        <v>0</v>
      </c>
      <c r="Y17" s="620" cm="1">
        <f t="array" aca="1" ref="Y17" ca="1">IF(AUTOEVENTO="Manual",ROUND(SUMPRODUCT((CÁLCULO!$M$15:$M$162=EVENTOS!$C17)*(OFFSET(CÁLCULO!$AA$15:$AA$162,0,Y$13))),2),0)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IF(AUTOEVENTO="Manual",ROUND(SUMPRODUCT((CÁLCULO!$M$15:$M$162=EVENTOS!$C18)*(OFFSET(CÁLCULO!$AA$15:$AA$162,0,E$13))),2),0)</f>
        <v>0</v>
      </c>
      <c r="F18" s="183">
        <f ca="1">IF(AUTOEVENTO="Manual",ROUND(SUMPRODUCT((CÁLCULO!$M$15:$M$162=EVENTOS!$C18)*(OFFSET(CÁLCULO!$AA$15,0,1):OFFSET(CÁLCULO!$AL$162,0,-1))),2),0)</f>
        <v>0</v>
      </c>
      <c r="G18" s="621" t="str">
        <f t="shared" ca="1" si="5"/>
        <v/>
      </c>
      <c r="H18" s="620" cm="1">
        <f t="array" aca="1" ref="H18" ca="1">IF(AUTOEVENTO="Manual",ROUND(SUMPRODUCT((CÁLCULO!$M$15:$M$162=EVENTOS!$C18)*(OFFSET(CÁLCULO!$AA$15:$AA$162,0,H$13))),2),0)</f>
        <v>0</v>
      </c>
      <c r="I18" s="620" cm="1">
        <f t="array" aca="1" ref="I18" ca="1">IF(AUTOEVENTO="Manual",ROUND(SUMPRODUCT((CÁLCULO!$M$15:$M$162=EVENTOS!$C18)*(OFFSET(CÁLCULO!$AA$15:$AA$162,0,I$13))),2),0)</f>
        <v>0</v>
      </c>
      <c r="J18" s="620" cm="1">
        <f t="array" aca="1" ref="J18" ca="1">IF(AUTOEVENTO="Manual",ROUND(SUMPRODUCT((CÁLCULO!$M$15:$M$162=EVENTOS!$C18)*(OFFSET(CÁLCULO!$AA$15:$AA$162,0,J$13))),2),0)</f>
        <v>0</v>
      </c>
      <c r="K18" s="620" cm="1">
        <f t="array" aca="1" ref="K18" ca="1">IF(AUTOEVENTO="Manual",ROUND(SUMPRODUCT((CÁLCULO!$M$15:$M$162=EVENTOS!$C18)*(OFFSET(CÁLCULO!$AA$15:$AA$162,0,K$13))),2),0)</f>
        <v>0</v>
      </c>
      <c r="L18" s="620" cm="1">
        <f t="array" aca="1" ref="L18" ca="1">IF(AUTOEVENTO="Manual",ROUND(SUMPRODUCT((CÁLCULO!$M$15:$M$162=EVENTOS!$C18)*(OFFSET(CÁLCULO!$AA$15:$AA$162,0,L$13))),2),0)</f>
        <v>0</v>
      </c>
      <c r="M18" s="620" cm="1">
        <f t="array" aca="1" ref="M18" ca="1">IF(AUTOEVENTO="Manual",ROUND(SUMPRODUCT((CÁLCULO!$M$15:$M$162=EVENTOS!$C18)*(OFFSET(CÁLCULO!$AA$15:$AA$162,0,M$13))),2),0)</f>
        <v>0</v>
      </c>
      <c r="N18" s="620" cm="1">
        <f t="array" aca="1" ref="N18" ca="1">IF(AUTOEVENTO="Manual",ROUND(SUMPRODUCT((CÁLCULO!$M$15:$M$162=EVENTOS!$C18)*(OFFSET(CÁLCULO!$AA$15:$AA$162,0,N$13))),2),0)</f>
        <v>0</v>
      </c>
      <c r="O18" s="620" cm="1">
        <f t="array" aca="1" ref="O18" ca="1">IF(AUTOEVENTO="Manual",ROUND(SUMPRODUCT((CÁLCULO!$M$15:$M$162=EVENTOS!$C18)*(OFFSET(CÁLCULO!$AA$15:$AA$162,0,O$13))),2),0)</f>
        <v>0</v>
      </c>
      <c r="P18" s="620" cm="1">
        <f t="array" aca="1" ref="P18" ca="1">IF(AUTOEVENTO="Manual",ROUND(SUMPRODUCT((CÁLCULO!$M$15:$M$162=EVENTOS!$C18)*(OFFSET(CÁLCULO!$AA$15:$AA$162,0,P$13))),2),0)</f>
        <v>0</v>
      </c>
      <c r="Q18" s="620" cm="1">
        <f t="array" aca="1" ref="Q18" ca="1">IF(AUTOEVENTO="Manual",ROUND(SUMPRODUCT((CÁLCULO!$M$15:$M$162=EVENTOS!$C18)*(OFFSET(CÁLCULO!$AA$15:$AA$162,0,Q$13))),2),0)</f>
        <v>0</v>
      </c>
      <c r="R18" s="620" cm="1">
        <f t="array" aca="1" ref="R18" ca="1">IF(AUTOEVENTO="Manual",ROUND(SUMPRODUCT((CÁLCULO!$M$15:$M$162=EVENTOS!$C18)*(OFFSET(CÁLCULO!$AA$15:$AA$162,0,R$13))),2),0)</f>
        <v>0</v>
      </c>
      <c r="S18" s="620" cm="1">
        <f t="array" aca="1" ref="S18" ca="1">IF(AUTOEVENTO="Manual",ROUND(SUMPRODUCT((CÁLCULO!$M$15:$M$162=EVENTOS!$C18)*(OFFSET(CÁLCULO!$AA$15:$AA$162,0,S$13))),2),0)</f>
        <v>0</v>
      </c>
      <c r="T18" s="620" cm="1">
        <f t="array" aca="1" ref="T18" ca="1">IF(AUTOEVENTO="Manual",ROUND(SUMPRODUCT((CÁLCULO!$M$15:$M$162=EVENTOS!$C18)*(OFFSET(CÁLCULO!$AA$15:$AA$162,0,T$13))),2),0)</f>
        <v>0</v>
      </c>
      <c r="U18" s="620" cm="1">
        <f t="array" aca="1" ref="U18" ca="1">IF(AUTOEVENTO="Manual",ROUND(SUMPRODUCT((CÁLCULO!$M$15:$M$162=EVENTOS!$C18)*(OFFSET(CÁLCULO!$AA$15:$AA$162,0,U$13))),2),0)</f>
        <v>0</v>
      </c>
      <c r="V18" s="620" cm="1">
        <f t="array" aca="1" ref="V18" ca="1">IF(AUTOEVENTO="Manual",ROUND(SUMPRODUCT((CÁLCULO!$M$15:$M$162=EVENTOS!$C18)*(OFFSET(CÁLCULO!$AA$15:$AA$162,0,V$13))),2),0)</f>
        <v>0</v>
      </c>
      <c r="W18" s="620" cm="1">
        <f t="array" aca="1" ref="W18" ca="1">IF(AUTOEVENTO="Manual",ROUND(SUMPRODUCT((CÁLCULO!$M$15:$M$162=EVENTOS!$C18)*(OFFSET(CÁLCULO!$AA$15:$AA$162,0,W$13))),2),0)</f>
        <v>0</v>
      </c>
      <c r="X18" s="620" cm="1">
        <f t="array" aca="1" ref="X18" ca="1">IF(AUTOEVENTO="Manual",ROUND(SUMPRODUCT((CÁLCULO!$M$15:$M$162=EVENTOS!$C18)*(OFFSET(CÁLCULO!$AA$15:$AA$162,0,X$13))),2),0)</f>
        <v>0</v>
      </c>
      <c r="Y18" s="620" cm="1">
        <f t="array" aca="1" ref="Y18" ca="1">IF(AUTOEVENTO="Manual",ROUND(SUMPRODUCT((CÁLCULO!$M$15:$M$162=EVENTOS!$C18)*(OFFSET(CÁLCULO!$AA$15:$AA$162,0,Y$13))),2),0)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IF(AUTOEVENTO="Manual",ROUND(SUMPRODUCT((CÁLCULO!$M$15:$M$162=EVENTOS!$C19)*(OFFSET(CÁLCULO!$AA$15:$AA$162,0,E$13))),2),0)</f>
        <v>0</v>
      </c>
      <c r="F19" s="183">
        <f ca="1">IF(AUTOEVENTO="Manual",ROUND(SUMPRODUCT((CÁLCULO!$M$15:$M$162=EVENTOS!$C19)*(OFFSET(CÁLCULO!$AA$15,0,1):OFFSET(CÁLCULO!$AL$162,0,-1))),2),0)</f>
        <v>0</v>
      </c>
      <c r="G19" s="621" t="str">
        <f t="shared" ca="1" si="5"/>
        <v/>
      </c>
      <c r="H19" s="620" cm="1">
        <f t="array" aca="1" ref="H19" ca="1">IF(AUTOEVENTO="Manual",ROUND(SUMPRODUCT((CÁLCULO!$M$15:$M$162=EVENTOS!$C19)*(OFFSET(CÁLCULO!$AA$15:$AA$162,0,H$13))),2),0)</f>
        <v>0</v>
      </c>
      <c r="I19" s="620" cm="1">
        <f t="array" aca="1" ref="I19" ca="1">IF(AUTOEVENTO="Manual",ROUND(SUMPRODUCT((CÁLCULO!$M$15:$M$162=EVENTOS!$C19)*(OFFSET(CÁLCULO!$AA$15:$AA$162,0,I$13))),2),0)</f>
        <v>0</v>
      </c>
      <c r="J19" s="620" cm="1">
        <f t="array" aca="1" ref="J19" ca="1">IF(AUTOEVENTO="Manual",ROUND(SUMPRODUCT((CÁLCULO!$M$15:$M$162=EVENTOS!$C19)*(OFFSET(CÁLCULO!$AA$15:$AA$162,0,J$13))),2),0)</f>
        <v>0</v>
      </c>
      <c r="K19" s="620" cm="1">
        <f t="array" aca="1" ref="K19" ca="1">IF(AUTOEVENTO="Manual",ROUND(SUMPRODUCT((CÁLCULO!$M$15:$M$162=EVENTOS!$C19)*(OFFSET(CÁLCULO!$AA$15:$AA$162,0,K$13))),2),0)</f>
        <v>0</v>
      </c>
      <c r="L19" s="620" cm="1">
        <f t="array" aca="1" ref="L19" ca="1">IF(AUTOEVENTO="Manual",ROUND(SUMPRODUCT((CÁLCULO!$M$15:$M$162=EVENTOS!$C19)*(OFFSET(CÁLCULO!$AA$15:$AA$162,0,L$13))),2),0)</f>
        <v>0</v>
      </c>
      <c r="M19" s="620" cm="1">
        <f t="array" aca="1" ref="M19" ca="1">IF(AUTOEVENTO="Manual",ROUND(SUMPRODUCT((CÁLCULO!$M$15:$M$162=EVENTOS!$C19)*(OFFSET(CÁLCULO!$AA$15:$AA$162,0,M$13))),2),0)</f>
        <v>0</v>
      </c>
      <c r="N19" s="620" cm="1">
        <f t="array" aca="1" ref="N19" ca="1">IF(AUTOEVENTO="Manual",ROUND(SUMPRODUCT((CÁLCULO!$M$15:$M$162=EVENTOS!$C19)*(OFFSET(CÁLCULO!$AA$15:$AA$162,0,N$13))),2),0)</f>
        <v>0</v>
      </c>
      <c r="O19" s="620" cm="1">
        <f t="array" aca="1" ref="O19" ca="1">IF(AUTOEVENTO="Manual",ROUND(SUMPRODUCT((CÁLCULO!$M$15:$M$162=EVENTOS!$C19)*(OFFSET(CÁLCULO!$AA$15:$AA$162,0,O$13))),2),0)</f>
        <v>0</v>
      </c>
      <c r="P19" s="620" cm="1">
        <f t="array" aca="1" ref="P19" ca="1">IF(AUTOEVENTO="Manual",ROUND(SUMPRODUCT((CÁLCULO!$M$15:$M$162=EVENTOS!$C19)*(OFFSET(CÁLCULO!$AA$15:$AA$162,0,P$13))),2),0)</f>
        <v>0</v>
      </c>
      <c r="Q19" s="620" cm="1">
        <f t="array" aca="1" ref="Q19" ca="1">IF(AUTOEVENTO="Manual",ROUND(SUMPRODUCT((CÁLCULO!$M$15:$M$162=EVENTOS!$C19)*(OFFSET(CÁLCULO!$AA$15:$AA$162,0,Q$13))),2),0)</f>
        <v>0</v>
      </c>
      <c r="R19" s="620" cm="1">
        <f t="array" aca="1" ref="R19" ca="1">IF(AUTOEVENTO="Manual",ROUND(SUMPRODUCT((CÁLCULO!$M$15:$M$162=EVENTOS!$C19)*(OFFSET(CÁLCULO!$AA$15:$AA$162,0,R$13))),2),0)</f>
        <v>0</v>
      </c>
      <c r="S19" s="620" cm="1">
        <f t="array" aca="1" ref="S19" ca="1">IF(AUTOEVENTO="Manual",ROUND(SUMPRODUCT((CÁLCULO!$M$15:$M$162=EVENTOS!$C19)*(OFFSET(CÁLCULO!$AA$15:$AA$162,0,S$13))),2),0)</f>
        <v>0</v>
      </c>
      <c r="T19" s="620" cm="1">
        <f t="array" aca="1" ref="T19" ca="1">IF(AUTOEVENTO="Manual",ROUND(SUMPRODUCT((CÁLCULO!$M$15:$M$162=EVENTOS!$C19)*(OFFSET(CÁLCULO!$AA$15:$AA$162,0,T$13))),2),0)</f>
        <v>0</v>
      </c>
      <c r="U19" s="620" cm="1">
        <f t="array" aca="1" ref="U19" ca="1">IF(AUTOEVENTO="Manual",ROUND(SUMPRODUCT((CÁLCULO!$M$15:$M$162=EVENTOS!$C19)*(OFFSET(CÁLCULO!$AA$15:$AA$162,0,U$13))),2),0)</f>
        <v>0</v>
      </c>
      <c r="V19" s="620" cm="1">
        <f t="array" aca="1" ref="V19" ca="1">IF(AUTOEVENTO="Manual",ROUND(SUMPRODUCT((CÁLCULO!$M$15:$M$162=EVENTOS!$C19)*(OFFSET(CÁLCULO!$AA$15:$AA$162,0,V$13))),2),0)</f>
        <v>0</v>
      </c>
      <c r="W19" s="620" cm="1">
        <f t="array" aca="1" ref="W19" ca="1">IF(AUTOEVENTO="Manual",ROUND(SUMPRODUCT((CÁLCULO!$M$15:$M$162=EVENTOS!$C19)*(OFFSET(CÁLCULO!$AA$15:$AA$162,0,W$13))),2),0)</f>
        <v>0</v>
      </c>
      <c r="X19" s="620" cm="1">
        <f t="array" aca="1" ref="X19" ca="1">IF(AUTOEVENTO="Manual",ROUND(SUMPRODUCT((CÁLCULO!$M$15:$M$162=EVENTOS!$C19)*(OFFSET(CÁLCULO!$AA$15:$AA$162,0,X$13))),2),0)</f>
        <v>0</v>
      </c>
      <c r="Y19" s="620" cm="1">
        <f t="array" aca="1" ref="Y19" ca="1">IF(AUTOEVENTO="Manual",ROUND(SUMPRODUCT((CÁLCULO!$M$15:$M$162=EVENTOS!$C19)*(OFFSET(CÁLCULO!$AA$15:$AA$162,0,Y$13))),2),0)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IF(AUTOEVENTO="Manual",ROUND(SUMPRODUCT((CÁLCULO!$M$15:$M$162=EVENTOS!$C20)*(OFFSET(CÁLCULO!$AA$15:$AA$162,0,E$13))),2),0)</f>
        <v>0</v>
      </c>
      <c r="F20" s="183">
        <f ca="1">IF(AUTOEVENTO="Manual",ROUND(SUMPRODUCT((CÁLCULO!$M$15:$M$162=EVENTOS!$C20)*(OFFSET(CÁLCULO!$AA$15,0,1):OFFSET(CÁLCULO!$AL$162,0,-1))),2),0)</f>
        <v>0</v>
      </c>
      <c r="G20" s="621" t="str">
        <f t="shared" ca="1" si="5"/>
        <v/>
      </c>
      <c r="H20" s="620" cm="1">
        <f t="array" aca="1" ref="H20" ca="1">IF(AUTOEVENTO="Manual",ROUND(SUMPRODUCT((CÁLCULO!$M$15:$M$162=EVENTOS!$C20)*(OFFSET(CÁLCULO!$AA$15:$AA$162,0,H$13))),2),0)</f>
        <v>0</v>
      </c>
      <c r="I20" s="620" cm="1">
        <f t="array" aca="1" ref="I20" ca="1">IF(AUTOEVENTO="Manual",ROUND(SUMPRODUCT((CÁLCULO!$M$15:$M$162=EVENTOS!$C20)*(OFFSET(CÁLCULO!$AA$15:$AA$162,0,I$13))),2),0)</f>
        <v>0</v>
      </c>
      <c r="J20" s="620" cm="1">
        <f t="array" aca="1" ref="J20" ca="1">IF(AUTOEVENTO="Manual",ROUND(SUMPRODUCT((CÁLCULO!$M$15:$M$162=EVENTOS!$C20)*(OFFSET(CÁLCULO!$AA$15:$AA$162,0,J$13))),2),0)</f>
        <v>0</v>
      </c>
      <c r="K20" s="620" cm="1">
        <f t="array" aca="1" ref="K20" ca="1">IF(AUTOEVENTO="Manual",ROUND(SUMPRODUCT((CÁLCULO!$M$15:$M$162=EVENTOS!$C20)*(OFFSET(CÁLCULO!$AA$15:$AA$162,0,K$13))),2),0)</f>
        <v>0</v>
      </c>
      <c r="L20" s="620" cm="1">
        <f t="array" aca="1" ref="L20" ca="1">IF(AUTOEVENTO="Manual",ROUND(SUMPRODUCT((CÁLCULO!$M$15:$M$162=EVENTOS!$C20)*(OFFSET(CÁLCULO!$AA$15:$AA$162,0,L$13))),2),0)</f>
        <v>0</v>
      </c>
      <c r="M20" s="620" cm="1">
        <f t="array" aca="1" ref="M20" ca="1">IF(AUTOEVENTO="Manual",ROUND(SUMPRODUCT((CÁLCULO!$M$15:$M$162=EVENTOS!$C20)*(OFFSET(CÁLCULO!$AA$15:$AA$162,0,M$13))),2),0)</f>
        <v>0</v>
      </c>
      <c r="N20" s="620" cm="1">
        <f t="array" aca="1" ref="N20" ca="1">IF(AUTOEVENTO="Manual",ROUND(SUMPRODUCT((CÁLCULO!$M$15:$M$162=EVENTOS!$C20)*(OFFSET(CÁLCULO!$AA$15:$AA$162,0,N$13))),2),0)</f>
        <v>0</v>
      </c>
      <c r="O20" s="620" cm="1">
        <f t="array" aca="1" ref="O20" ca="1">IF(AUTOEVENTO="Manual",ROUND(SUMPRODUCT((CÁLCULO!$M$15:$M$162=EVENTOS!$C20)*(OFFSET(CÁLCULO!$AA$15:$AA$162,0,O$13))),2),0)</f>
        <v>0</v>
      </c>
      <c r="P20" s="620" cm="1">
        <f t="array" aca="1" ref="P20" ca="1">IF(AUTOEVENTO="Manual",ROUND(SUMPRODUCT((CÁLCULO!$M$15:$M$162=EVENTOS!$C20)*(OFFSET(CÁLCULO!$AA$15:$AA$162,0,P$13))),2),0)</f>
        <v>0</v>
      </c>
      <c r="Q20" s="620" cm="1">
        <f t="array" aca="1" ref="Q20" ca="1">IF(AUTOEVENTO="Manual",ROUND(SUMPRODUCT((CÁLCULO!$M$15:$M$162=EVENTOS!$C20)*(OFFSET(CÁLCULO!$AA$15:$AA$162,0,Q$13))),2),0)</f>
        <v>0</v>
      </c>
      <c r="R20" s="620" cm="1">
        <f t="array" aca="1" ref="R20" ca="1">IF(AUTOEVENTO="Manual",ROUND(SUMPRODUCT((CÁLCULO!$M$15:$M$162=EVENTOS!$C20)*(OFFSET(CÁLCULO!$AA$15:$AA$162,0,R$13))),2),0)</f>
        <v>0</v>
      </c>
      <c r="S20" s="620" cm="1">
        <f t="array" aca="1" ref="S20" ca="1">IF(AUTOEVENTO="Manual",ROUND(SUMPRODUCT((CÁLCULO!$M$15:$M$162=EVENTOS!$C20)*(OFFSET(CÁLCULO!$AA$15:$AA$162,0,S$13))),2),0)</f>
        <v>0</v>
      </c>
      <c r="T20" s="620" cm="1">
        <f t="array" aca="1" ref="T20" ca="1">IF(AUTOEVENTO="Manual",ROUND(SUMPRODUCT((CÁLCULO!$M$15:$M$162=EVENTOS!$C20)*(OFFSET(CÁLCULO!$AA$15:$AA$162,0,T$13))),2),0)</f>
        <v>0</v>
      </c>
      <c r="U20" s="620" cm="1">
        <f t="array" aca="1" ref="U20" ca="1">IF(AUTOEVENTO="Manual",ROUND(SUMPRODUCT((CÁLCULO!$M$15:$M$162=EVENTOS!$C20)*(OFFSET(CÁLCULO!$AA$15:$AA$162,0,U$13))),2),0)</f>
        <v>0</v>
      </c>
      <c r="V20" s="620" cm="1">
        <f t="array" aca="1" ref="V20" ca="1">IF(AUTOEVENTO="Manual",ROUND(SUMPRODUCT((CÁLCULO!$M$15:$M$162=EVENTOS!$C20)*(OFFSET(CÁLCULO!$AA$15:$AA$162,0,V$13))),2),0)</f>
        <v>0</v>
      </c>
      <c r="W20" s="620" cm="1">
        <f t="array" aca="1" ref="W20" ca="1">IF(AUTOEVENTO="Manual",ROUND(SUMPRODUCT((CÁLCULO!$M$15:$M$162=EVENTOS!$C20)*(OFFSET(CÁLCULO!$AA$15:$AA$162,0,W$13))),2),0)</f>
        <v>0</v>
      </c>
      <c r="X20" s="620" cm="1">
        <f t="array" aca="1" ref="X20" ca="1">IF(AUTOEVENTO="Manual",ROUND(SUMPRODUCT((CÁLCULO!$M$15:$M$162=EVENTOS!$C20)*(OFFSET(CÁLCULO!$AA$15:$AA$162,0,X$13))),2),0)</f>
        <v>0</v>
      </c>
      <c r="Y20" s="620" cm="1">
        <f t="array" aca="1" ref="Y20" ca="1">IF(AUTOEVENTO="Manual",ROUND(SUMPRODUCT((CÁLCULO!$M$15:$M$162=EVENTOS!$C20)*(OFFSET(CÁLCULO!$AA$15:$AA$162,0,Y$13))),2),0)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IF(AUTOEVENTO="Manual",ROUND(SUMPRODUCT((CÁLCULO!$M$15:$M$162=EVENTOS!$C21)*(OFFSET(CÁLCULO!$AA$15:$AA$162,0,E$13))),2),0)</f>
        <v>0</v>
      </c>
      <c r="F21" s="183">
        <f ca="1">IF(AUTOEVENTO="Manual",ROUND(SUMPRODUCT((CÁLCULO!$M$15:$M$162=EVENTOS!$C21)*(OFFSET(CÁLCULO!$AA$15,0,1):OFFSET(CÁLCULO!$AL$162,0,-1))),2),0)</f>
        <v>0</v>
      </c>
      <c r="G21" s="621" t="str">
        <f t="shared" ca="1" si="5"/>
        <v/>
      </c>
      <c r="H21" s="620" cm="1">
        <f t="array" aca="1" ref="H21" ca="1">IF(AUTOEVENTO="Manual",ROUND(SUMPRODUCT((CÁLCULO!$M$15:$M$162=EVENTOS!$C21)*(OFFSET(CÁLCULO!$AA$15:$AA$162,0,H$13))),2),0)</f>
        <v>0</v>
      </c>
      <c r="I21" s="620" cm="1">
        <f t="array" aca="1" ref="I21" ca="1">IF(AUTOEVENTO="Manual",ROUND(SUMPRODUCT((CÁLCULO!$M$15:$M$162=EVENTOS!$C21)*(OFFSET(CÁLCULO!$AA$15:$AA$162,0,I$13))),2),0)</f>
        <v>0</v>
      </c>
      <c r="J21" s="620" cm="1">
        <f t="array" aca="1" ref="J21" ca="1">IF(AUTOEVENTO="Manual",ROUND(SUMPRODUCT((CÁLCULO!$M$15:$M$162=EVENTOS!$C21)*(OFFSET(CÁLCULO!$AA$15:$AA$162,0,J$13))),2),0)</f>
        <v>0</v>
      </c>
      <c r="K21" s="620" cm="1">
        <f t="array" aca="1" ref="K21" ca="1">IF(AUTOEVENTO="Manual",ROUND(SUMPRODUCT((CÁLCULO!$M$15:$M$162=EVENTOS!$C21)*(OFFSET(CÁLCULO!$AA$15:$AA$162,0,K$13))),2),0)</f>
        <v>0</v>
      </c>
      <c r="L21" s="620" cm="1">
        <f t="array" aca="1" ref="L21" ca="1">IF(AUTOEVENTO="Manual",ROUND(SUMPRODUCT((CÁLCULO!$M$15:$M$162=EVENTOS!$C21)*(OFFSET(CÁLCULO!$AA$15:$AA$162,0,L$13))),2),0)</f>
        <v>0</v>
      </c>
      <c r="M21" s="620" cm="1">
        <f t="array" aca="1" ref="M21" ca="1">IF(AUTOEVENTO="Manual",ROUND(SUMPRODUCT((CÁLCULO!$M$15:$M$162=EVENTOS!$C21)*(OFFSET(CÁLCULO!$AA$15:$AA$162,0,M$13))),2),0)</f>
        <v>0</v>
      </c>
      <c r="N21" s="620" cm="1">
        <f t="array" aca="1" ref="N21" ca="1">IF(AUTOEVENTO="Manual",ROUND(SUMPRODUCT((CÁLCULO!$M$15:$M$162=EVENTOS!$C21)*(OFFSET(CÁLCULO!$AA$15:$AA$162,0,N$13))),2),0)</f>
        <v>0</v>
      </c>
      <c r="O21" s="620" cm="1">
        <f t="array" aca="1" ref="O21" ca="1">IF(AUTOEVENTO="Manual",ROUND(SUMPRODUCT((CÁLCULO!$M$15:$M$162=EVENTOS!$C21)*(OFFSET(CÁLCULO!$AA$15:$AA$162,0,O$13))),2),0)</f>
        <v>0</v>
      </c>
      <c r="P21" s="620" cm="1">
        <f t="array" aca="1" ref="P21" ca="1">IF(AUTOEVENTO="Manual",ROUND(SUMPRODUCT((CÁLCULO!$M$15:$M$162=EVENTOS!$C21)*(OFFSET(CÁLCULO!$AA$15:$AA$162,0,P$13))),2),0)</f>
        <v>0</v>
      </c>
      <c r="Q21" s="620" cm="1">
        <f t="array" aca="1" ref="Q21" ca="1">IF(AUTOEVENTO="Manual",ROUND(SUMPRODUCT((CÁLCULO!$M$15:$M$162=EVENTOS!$C21)*(OFFSET(CÁLCULO!$AA$15:$AA$162,0,Q$13))),2),0)</f>
        <v>0</v>
      </c>
      <c r="R21" s="620" cm="1">
        <f t="array" aca="1" ref="R21" ca="1">IF(AUTOEVENTO="Manual",ROUND(SUMPRODUCT((CÁLCULO!$M$15:$M$162=EVENTOS!$C21)*(OFFSET(CÁLCULO!$AA$15:$AA$162,0,R$13))),2),0)</f>
        <v>0</v>
      </c>
      <c r="S21" s="620" cm="1">
        <f t="array" aca="1" ref="S21" ca="1">IF(AUTOEVENTO="Manual",ROUND(SUMPRODUCT((CÁLCULO!$M$15:$M$162=EVENTOS!$C21)*(OFFSET(CÁLCULO!$AA$15:$AA$162,0,S$13))),2),0)</f>
        <v>0</v>
      </c>
      <c r="T21" s="620" cm="1">
        <f t="array" aca="1" ref="T21" ca="1">IF(AUTOEVENTO="Manual",ROUND(SUMPRODUCT((CÁLCULO!$M$15:$M$162=EVENTOS!$C21)*(OFFSET(CÁLCULO!$AA$15:$AA$162,0,T$13))),2),0)</f>
        <v>0</v>
      </c>
      <c r="U21" s="620" cm="1">
        <f t="array" aca="1" ref="U21" ca="1">IF(AUTOEVENTO="Manual",ROUND(SUMPRODUCT((CÁLCULO!$M$15:$M$162=EVENTOS!$C21)*(OFFSET(CÁLCULO!$AA$15:$AA$162,0,U$13))),2),0)</f>
        <v>0</v>
      </c>
      <c r="V21" s="620" cm="1">
        <f t="array" aca="1" ref="V21" ca="1">IF(AUTOEVENTO="Manual",ROUND(SUMPRODUCT((CÁLCULO!$M$15:$M$162=EVENTOS!$C21)*(OFFSET(CÁLCULO!$AA$15:$AA$162,0,V$13))),2),0)</f>
        <v>0</v>
      </c>
      <c r="W21" s="620" cm="1">
        <f t="array" aca="1" ref="W21" ca="1">IF(AUTOEVENTO="Manual",ROUND(SUMPRODUCT((CÁLCULO!$M$15:$M$162=EVENTOS!$C21)*(OFFSET(CÁLCULO!$AA$15:$AA$162,0,W$13))),2),0)</f>
        <v>0</v>
      </c>
      <c r="X21" s="620" cm="1">
        <f t="array" aca="1" ref="X21" ca="1">IF(AUTOEVENTO="Manual",ROUND(SUMPRODUCT((CÁLCULO!$M$15:$M$162=EVENTOS!$C21)*(OFFSET(CÁLCULO!$AA$15:$AA$162,0,X$13))),2),0)</f>
        <v>0</v>
      </c>
      <c r="Y21" s="620" cm="1">
        <f t="array" aca="1" ref="Y21" ca="1">IF(AUTOEVENTO="Manual",ROUND(SUMPRODUCT((CÁLCULO!$M$15:$M$162=EVENTOS!$C21)*(OFFSET(CÁLCULO!$AA$15:$AA$162,0,Y$13))),2),0)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IF(AUTOEVENTO="Manual",ROUND(SUMPRODUCT((CÁLCULO!$M$15:$M$162=EVENTOS!$C22)*(OFFSET(CÁLCULO!$AA$15:$AA$162,0,E$13))),2),0)</f>
        <v>0</v>
      </c>
      <c r="F22" s="183">
        <f ca="1">IF(AUTOEVENTO="Manual",ROUND(SUMPRODUCT((CÁLCULO!$M$15:$M$162=EVENTOS!$C22)*(OFFSET(CÁLCULO!$AA$15,0,1):OFFSET(CÁLCULO!$AL$162,0,-1))),2),0)</f>
        <v>0</v>
      </c>
      <c r="G22" s="621" t="str">
        <f t="shared" ca="1" si="5"/>
        <v/>
      </c>
      <c r="H22" s="620" cm="1">
        <f t="array" aca="1" ref="H22" ca="1">IF(AUTOEVENTO="Manual",ROUND(SUMPRODUCT((CÁLCULO!$M$15:$M$162=EVENTOS!$C22)*(OFFSET(CÁLCULO!$AA$15:$AA$162,0,H$13))),2),0)</f>
        <v>0</v>
      </c>
      <c r="I22" s="620" cm="1">
        <f t="array" aca="1" ref="I22" ca="1">IF(AUTOEVENTO="Manual",ROUND(SUMPRODUCT((CÁLCULO!$M$15:$M$162=EVENTOS!$C22)*(OFFSET(CÁLCULO!$AA$15:$AA$162,0,I$13))),2),0)</f>
        <v>0</v>
      </c>
      <c r="J22" s="620" cm="1">
        <f t="array" aca="1" ref="J22" ca="1">IF(AUTOEVENTO="Manual",ROUND(SUMPRODUCT((CÁLCULO!$M$15:$M$162=EVENTOS!$C22)*(OFFSET(CÁLCULO!$AA$15:$AA$162,0,J$13))),2),0)</f>
        <v>0</v>
      </c>
      <c r="K22" s="620" cm="1">
        <f t="array" aca="1" ref="K22" ca="1">IF(AUTOEVENTO="Manual",ROUND(SUMPRODUCT((CÁLCULO!$M$15:$M$162=EVENTOS!$C22)*(OFFSET(CÁLCULO!$AA$15:$AA$162,0,K$13))),2),0)</f>
        <v>0</v>
      </c>
      <c r="L22" s="620" cm="1">
        <f t="array" aca="1" ref="L22" ca="1">IF(AUTOEVENTO="Manual",ROUND(SUMPRODUCT((CÁLCULO!$M$15:$M$162=EVENTOS!$C22)*(OFFSET(CÁLCULO!$AA$15:$AA$162,0,L$13))),2),0)</f>
        <v>0</v>
      </c>
      <c r="M22" s="620" cm="1">
        <f t="array" aca="1" ref="M22" ca="1">IF(AUTOEVENTO="Manual",ROUND(SUMPRODUCT((CÁLCULO!$M$15:$M$162=EVENTOS!$C22)*(OFFSET(CÁLCULO!$AA$15:$AA$162,0,M$13))),2),0)</f>
        <v>0</v>
      </c>
      <c r="N22" s="620" cm="1">
        <f t="array" aca="1" ref="N22" ca="1">IF(AUTOEVENTO="Manual",ROUND(SUMPRODUCT((CÁLCULO!$M$15:$M$162=EVENTOS!$C22)*(OFFSET(CÁLCULO!$AA$15:$AA$162,0,N$13))),2),0)</f>
        <v>0</v>
      </c>
      <c r="O22" s="620" cm="1">
        <f t="array" aca="1" ref="O22" ca="1">IF(AUTOEVENTO="Manual",ROUND(SUMPRODUCT((CÁLCULO!$M$15:$M$162=EVENTOS!$C22)*(OFFSET(CÁLCULO!$AA$15:$AA$162,0,O$13))),2),0)</f>
        <v>0</v>
      </c>
      <c r="P22" s="620" cm="1">
        <f t="array" aca="1" ref="P22" ca="1">IF(AUTOEVENTO="Manual",ROUND(SUMPRODUCT((CÁLCULO!$M$15:$M$162=EVENTOS!$C22)*(OFFSET(CÁLCULO!$AA$15:$AA$162,0,P$13))),2),0)</f>
        <v>0</v>
      </c>
      <c r="Q22" s="620" cm="1">
        <f t="array" aca="1" ref="Q22" ca="1">IF(AUTOEVENTO="Manual",ROUND(SUMPRODUCT((CÁLCULO!$M$15:$M$162=EVENTOS!$C22)*(OFFSET(CÁLCULO!$AA$15:$AA$162,0,Q$13))),2),0)</f>
        <v>0</v>
      </c>
      <c r="R22" s="620" cm="1">
        <f t="array" aca="1" ref="R22" ca="1">IF(AUTOEVENTO="Manual",ROUND(SUMPRODUCT((CÁLCULO!$M$15:$M$162=EVENTOS!$C22)*(OFFSET(CÁLCULO!$AA$15:$AA$162,0,R$13))),2),0)</f>
        <v>0</v>
      </c>
      <c r="S22" s="620" cm="1">
        <f t="array" aca="1" ref="S22" ca="1">IF(AUTOEVENTO="Manual",ROUND(SUMPRODUCT((CÁLCULO!$M$15:$M$162=EVENTOS!$C22)*(OFFSET(CÁLCULO!$AA$15:$AA$162,0,S$13))),2),0)</f>
        <v>0</v>
      </c>
      <c r="T22" s="620" cm="1">
        <f t="array" aca="1" ref="T22" ca="1">IF(AUTOEVENTO="Manual",ROUND(SUMPRODUCT((CÁLCULO!$M$15:$M$162=EVENTOS!$C22)*(OFFSET(CÁLCULO!$AA$15:$AA$162,0,T$13))),2),0)</f>
        <v>0</v>
      </c>
      <c r="U22" s="620" cm="1">
        <f t="array" aca="1" ref="U22" ca="1">IF(AUTOEVENTO="Manual",ROUND(SUMPRODUCT((CÁLCULO!$M$15:$M$162=EVENTOS!$C22)*(OFFSET(CÁLCULO!$AA$15:$AA$162,0,U$13))),2),0)</f>
        <v>0</v>
      </c>
      <c r="V22" s="620" cm="1">
        <f t="array" aca="1" ref="V22" ca="1">IF(AUTOEVENTO="Manual",ROUND(SUMPRODUCT((CÁLCULO!$M$15:$M$162=EVENTOS!$C22)*(OFFSET(CÁLCULO!$AA$15:$AA$162,0,V$13))),2),0)</f>
        <v>0</v>
      </c>
      <c r="W22" s="620" cm="1">
        <f t="array" aca="1" ref="W22" ca="1">IF(AUTOEVENTO="Manual",ROUND(SUMPRODUCT((CÁLCULO!$M$15:$M$162=EVENTOS!$C22)*(OFFSET(CÁLCULO!$AA$15:$AA$162,0,W$13))),2),0)</f>
        <v>0</v>
      </c>
      <c r="X22" s="620" cm="1">
        <f t="array" aca="1" ref="X22" ca="1">IF(AUTOEVENTO="Manual",ROUND(SUMPRODUCT((CÁLCULO!$M$15:$M$162=EVENTOS!$C22)*(OFFSET(CÁLCULO!$AA$15:$AA$162,0,X$13))),2),0)</f>
        <v>0</v>
      </c>
      <c r="Y22" s="620" cm="1">
        <f t="array" aca="1" ref="Y22" ca="1">IF(AUTOEVENTO="Manual",ROUND(SUMPRODUCT((CÁLCULO!$M$15:$M$162=EVENTOS!$C22)*(OFFSET(CÁLCULO!$AA$15:$AA$162,0,Y$13))),2),0)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IF(AUTOEVENTO="Manual",ROUND(SUMPRODUCT((CÁLCULO!$M$15:$M$162=EVENTOS!$C23)*(OFFSET(CÁLCULO!$AA$15:$AA$162,0,E$13))),2),0)</f>
        <v>0</v>
      </c>
      <c r="F23" s="183">
        <f ca="1">IF(AUTOEVENTO="Manual",ROUND(SUMPRODUCT((CÁLCULO!$M$15:$M$162=EVENTOS!$C23)*(OFFSET(CÁLCULO!$AA$15,0,1):OFFSET(CÁLCULO!$AL$162,0,-1))),2),0)</f>
        <v>0</v>
      </c>
      <c r="G23" s="621" t="str">
        <f t="shared" ca="1" si="5"/>
        <v/>
      </c>
      <c r="H23" s="620" cm="1">
        <f t="array" aca="1" ref="H23" ca="1">IF(AUTOEVENTO="Manual",ROUND(SUMPRODUCT((CÁLCULO!$M$15:$M$162=EVENTOS!$C23)*(OFFSET(CÁLCULO!$AA$15:$AA$162,0,H$13))),2),0)</f>
        <v>0</v>
      </c>
      <c r="I23" s="620" cm="1">
        <f t="array" aca="1" ref="I23" ca="1">IF(AUTOEVENTO="Manual",ROUND(SUMPRODUCT((CÁLCULO!$M$15:$M$162=EVENTOS!$C23)*(OFFSET(CÁLCULO!$AA$15:$AA$162,0,I$13))),2),0)</f>
        <v>0</v>
      </c>
      <c r="J23" s="620" cm="1">
        <f t="array" aca="1" ref="J23" ca="1">IF(AUTOEVENTO="Manual",ROUND(SUMPRODUCT((CÁLCULO!$M$15:$M$162=EVENTOS!$C23)*(OFFSET(CÁLCULO!$AA$15:$AA$162,0,J$13))),2),0)</f>
        <v>0</v>
      </c>
      <c r="K23" s="620" cm="1">
        <f t="array" aca="1" ref="K23" ca="1">IF(AUTOEVENTO="Manual",ROUND(SUMPRODUCT((CÁLCULO!$M$15:$M$162=EVENTOS!$C23)*(OFFSET(CÁLCULO!$AA$15:$AA$162,0,K$13))),2),0)</f>
        <v>0</v>
      </c>
      <c r="L23" s="620" cm="1">
        <f t="array" aca="1" ref="L23" ca="1">IF(AUTOEVENTO="Manual",ROUND(SUMPRODUCT((CÁLCULO!$M$15:$M$162=EVENTOS!$C23)*(OFFSET(CÁLCULO!$AA$15:$AA$162,0,L$13))),2),0)</f>
        <v>0</v>
      </c>
      <c r="M23" s="620" cm="1">
        <f t="array" aca="1" ref="M23" ca="1">IF(AUTOEVENTO="Manual",ROUND(SUMPRODUCT((CÁLCULO!$M$15:$M$162=EVENTOS!$C23)*(OFFSET(CÁLCULO!$AA$15:$AA$162,0,M$13))),2),0)</f>
        <v>0</v>
      </c>
      <c r="N23" s="620" cm="1">
        <f t="array" aca="1" ref="N23" ca="1">IF(AUTOEVENTO="Manual",ROUND(SUMPRODUCT((CÁLCULO!$M$15:$M$162=EVENTOS!$C23)*(OFFSET(CÁLCULO!$AA$15:$AA$162,0,N$13))),2),0)</f>
        <v>0</v>
      </c>
      <c r="O23" s="620" cm="1">
        <f t="array" aca="1" ref="O23" ca="1">IF(AUTOEVENTO="Manual",ROUND(SUMPRODUCT((CÁLCULO!$M$15:$M$162=EVENTOS!$C23)*(OFFSET(CÁLCULO!$AA$15:$AA$162,0,O$13))),2),0)</f>
        <v>0</v>
      </c>
      <c r="P23" s="620" cm="1">
        <f t="array" aca="1" ref="P23" ca="1">IF(AUTOEVENTO="Manual",ROUND(SUMPRODUCT((CÁLCULO!$M$15:$M$162=EVENTOS!$C23)*(OFFSET(CÁLCULO!$AA$15:$AA$162,0,P$13))),2),0)</f>
        <v>0</v>
      </c>
      <c r="Q23" s="620" cm="1">
        <f t="array" aca="1" ref="Q23" ca="1">IF(AUTOEVENTO="Manual",ROUND(SUMPRODUCT((CÁLCULO!$M$15:$M$162=EVENTOS!$C23)*(OFFSET(CÁLCULO!$AA$15:$AA$162,0,Q$13))),2),0)</f>
        <v>0</v>
      </c>
      <c r="R23" s="620" cm="1">
        <f t="array" aca="1" ref="R23" ca="1">IF(AUTOEVENTO="Manual",ROUND(SUMPRODUCT((CÁLCULO!$M$15:$M$162=EVENTOS!$C23)*(OFFSET(CÁLCULO!$AA$15:$AA$162,0,R$13))),2),0)</f>
        <v>0</v>
      </c>
      <c r="S23" s="620" cm="1">
        <f t="array" aca="1" ref="S23" ca="1">IF(AUTOEVENTO="Manual",ROUND(SUMPRODUCT((CÁLCULO!$M$15:$M$162=EVENTOS!$C23)*(OFFSET(CÁLCULO!$AA$15:$AA$162,0,S$13))),2),0)</f>
        <v>0</v>
      </c>
      <c r="T23" s="620" cm="1">
        <f t="array" aca="1" ref="T23" ca="1">IF(AUTOEVENTO="Manual",ROUND(SUMPRODUCT((CÁLCULO!$M$15:$M$162=EVENTOS!$C23)*(OFFSET(CÁLCULO!$AA$15:$AA$162,0,T$13))),2),0)</f>
        <v>0</v>
      </c>
      <c r="U23" s="620" cm="1">
        <f t="array" aca="1" ref="U23" ca="1">IF(AUTOEVENTO="Manual",ROUND(SUMPRODUCT((CÁLCULO!$M$15:$M$162=EVENTOS!$C23)*(OFFSET(CÁLCULO!$AA$15:$AA$162,0,U$13))),2),0)</f>
        <v>0</v>
      </c>
      <c r="V23" s="620" cm="1">
        <f t="array" aca="1" ref="V23" ca="1">IF(AUTOEVENTO="Manual",ROUND(SUMPRODUCT((CÁLCULO!$M$15:$M$162=EVENTOS!$C23)*(OFFSET(CÁLCULO!$AA$15:$AA$162,0,V$13))),2),0)</f>
        <v>0</v>
      </c>
      <c r="W23" s="620" cm="1">
        <f t="array" aca="1" ref="W23" ca="1">IF(AUTOEVENTO="Manual",ROUND(SUMPRODUCT((CÁLCULO!$M$15:$M$162=EVENTOS!$C23)*(OFFSET(CÁLCULO!$AA$15:$AA$162,0,W$13))),2),0)</f>
        <v>0</v>
      </c>
      <c r="X23" s="620" cm="1">
        <f t="array" aca="1" ref="X23" ca="1">IF(AUTOEVENTO="Manual",ROUND(SUMPRODUCT((CÁLCULO!$M$15:$M$162=EVENTOS!$C23)*(OFFSET(CÁLCULO!$AA$15:$AA$162,0,X$13))),2),0)</f>
        <v>0</v>
      </c>
      <c r="Y23" s="620" cm="1">
        <f t="array" aca="1" ref="Y23" ca="1">IF(AUTOEVENTO="Manual",ROUND(SUMPRODUCT((CÁLCULO!$M$15:$M$162=EVENTOS!$C23)*(OFFSET(CÁLCULO!$AA$15:$AA$162,0,Y$13))),2),0)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IF(AUTOEVENTO="Manual",ROUND(SUMPRODUCT((CÁLCULO!$M$15:$M$162=EVENTOS!$C24)*(OFFSET(CÁLCULO!$AA$15:$AA$162,0,E$13))),2),0)</f>
        <v>0</v>
      </c>
      <c r="F24" s="183">
        <f ca="1">IF(AUTOEVENTO="Manual",ROUND(SUMPRODUCT((CÁLCULO!$M$15:$M$162=EVENTOS!$C24)*(OFFSET(CÁLCULO!$AA$15,0,1):OFFSET(CÁLCULO!$AL$162,0,-1))),2),0)</f>
        <v>0</v>
      </c>
      <c r="G24" s="621" t="str">
        <f t="shared" ca="1" si="5"/>
        <v/>
      </c>
      <c r="H24" s="620" cm="1">
        <f t="array" aca="1" ref="H24" ca="1">IF(AUTOEVENTO="Manual",ROUND(SUMPRODUCT((CÁLCULO!$M$15:$M$162=EVENTOS!$C24)*(OFFSET(CÁLCULO!$AA$15:$AA$162,0,H$13))),2),0)</f>
        <v>0</v>
      </c>
      <c r="I24" s="620" cm="1">
        <f t="array" aca="1" ref="I24" ca="1">IF(AUTOEVENTO="Manual",ROUND(SUMPRODUCT((CÁLCULO!$M$15:$M$162=EVENTOS!$C24)*(OFFSET(CÁLCULO!$AA$15:$AA$162,0,I$13))),2),0)</f>
        <v>0</v>
      </c>
      <c r="J24" s="620" cm="1">
        <f t="array" aca="1" ref="J24" ca="1">IF(AUTOEVENTO="Manual",ROUND(SUMPRODUCT((CÁLCULO!$M$15:$M$162=EVENTOS!$C24)*(OFFSET(CÁLCULO!$AA$15:$AA$162,0,J$13))),2),0)</f>
        <v>0</v>
      </c>
      <c r="K24" s="620" cm="1">
        <f t="array" aca="1" ref="K24" ca="1">IF(AUTOEVENTO="Manual",ROUND(SUMPRODUCT((CÁLCULO!$M$15:$M$162=EVENTOS!$C24)*(OFFSET(CÁLCULO!$AA$15:$AA$162,0,K$13))),2),0)</f>
        <v>0</v>
      </c>
      <c r="L24" s="620" cm="1">
        <f t="array" aca="1" ref="L24" ca="1">IF(AUTOEVENTO="Manual",ROUND(SUMPRODUCT((CÁLCULO!$M$15:$M$162=EVENTOS!$C24)*(OFFSET(CÁLCULO!$AA$15:$AA$162,0,L$13))),2),0)</f>
        <v>0</v>
      </c>
      <c r="M24" s="620" cm="1">
        <f t="array" aca="1" ref="M24" ca="1">IF(AUTOEVENTO="Manual",ROUND(SUMPRODUCT((CÁLCULO!$M$15:$M$162=EVENTOS!$C24)*(OFFSET(CÁLCULO!$AA$15:$AA$162,0,M$13))),2),0)</f>
        <v>0</v>
      </c>
      <c r="N24" s="620" cm="1">
        <f t="array" aca="1" ref="N24" ca="1">IF(AUTOEVENTO="Manual",ROUND(SUMPRODUCT((CÁLCULO!$M$15:$M$162=EVENTOS!$C24)*(OFFSET(CÁLCULO!$AA$15:$AA$162,0,N$13))),2),0)</f>
        <v>0</v>
      </c>
      <c r="O24" s="620" cm="1">
        <f t="array" aca="1" ref="O24" ca="1">IF(AUTOEVENTO="Manual",ROUND(SUMPRODUCT((CÁLCULO!$M$15:$M$162=EVENTOS!$C24)*(OFFSET(CÁLCULO!$AA$15:$AA$162,0,O$13))),2),0)</f>
        <v>0</v>
      </c>
      <c r="P24" s="620" cm="1">
        <f t="array" aca="1" ref="P24" ca="1">IF(AUTOEVENTO="Manual",ROUND(SUMPRODUCT((CÁLCULO!$M$15:$M$162=EVENTOS!$C24)*(OFFSET(CÁLCULO!$AA$15:$AA$162,0,P$13))),2),0)</f>
        <v>0</v>
      </c>
      <c r="Q24" s="620" cm="1">
        <f t="array" aca="1" ref="Q24" ca="1">IF(AUTOEVENTO="Manual",ROUND(SUMPRODUCT((CÁLCULO!$M$15:$M$162=EVENTOS!$C24)*(OFFSET(CÁLCULO!$AA$15:$AA$162,0,Q$13))),2),0)</f>
        <v>0</v>
      </c>
      <c r="R24" s="620" cm="1">
        <f t="array" aca="1" ref="R24" ca="1">IF(AUTOEVENTO="Manual",ROUND(SUMPRODUCT((CÁLCULO!$M$15:$M$162=EVENTOS!$C24)*(OFFSET(CÁLCULO!$AA$15:$AA$162,0,R$13))),2),0)</f>
        <v>0</v>
      </c>
      <c r="S24" s="620" cm="1">
        <f t="array" aca="1" ref="S24" ca="1">IF(AUTOEVENTO="Manual",ROUND(SUMPRODUCT((CÁLCULO!$M$15:$M$162=EVENTOS!$C24)*(OFFSET(CÁLCULO!$AA$15:$AA$162,0,S$13))),2),0)</f>
        <v>0</v>
      </c>
      <c r="T24" s="620" cm="1">
        <f t="array" aca="1" ref="T24" ca="1">IF(AUTOEVENTO="Manual",ROUND(SUMPRODUCT((CÁLCULO!$M$15:$M$162=EVENTOS!$C24)*(OFFSET(CÁLCULO!$AA$15:$AA$162,0,T$13))),2),0)</f>
        <v>0</v>
      </c>
      <c r="U24" s="620" cm="1">
        <f t="array" aca="1" ref="U24" ca="1">IF(AUTOEVENTO="Manual",ROUND(SUMPRODUCT((CÁLCULO!$M$15:$M$162=EVENTOS!$C24)*(OFFSET(CÁLCULO!$AA$15:$AA$162,0,U$13))),2),0)</f>
        <v>0</v>
      </c>
      <c r="V24" s="620" cm="1">
        <f t="array" aca="1" ref="V24" ca="1">IF(AUTOEVENTO="Manual",ROUND(SUMPRODUCT((CÁLCULO!$M$15:$M$162=EVENTOS!$C24)*(OFFSET(CÁLCULO!$AA$15:$AA$162,0,V$13))),2),0)</f>
        <v>0</v>
      </c>
      <c r="W24" s="620" cm="1">
        <f t="array" aca="1" ref="W24" ca="1">IF(AUTOEVENTO="Manual",ROUND(SUMPRODUCT((CÁLCULO!$M$15:$M$162=EVENTOS!$C24)*(OFFSET(CÁLCULO!$AA$15:$AA$162,0,W$13))),2),0)</f>
        <v>0</v>
      </c>
      <c r="X24" s="620" cm="1">
        <f t="array" aca="1" ref="X24" ca="1">IF(AUTOEVENTO="Manual",ROUND(SUMPRODUCT((CÁLCULO!$M$15:$M$162=EVENTOS!$C24)*(OFFSET(CÁLCULO!$AA$15:$AA$162,0,X$13))),2),0)</f>
        <v>0</v>
      </c>
      <c r="Y24" s="620" cm="1">
        <f t="array" aca="1" ref="Y24" ca="1">IF(AUTOEVENTO="Manual",ROUND(SUMPRODUCT((CÁLCULO!$M$15:$M$162=EVENTOS!$C24)*(OFFSET(CÁLCULO!$AA$15:$AA$162,0,Y$13))),2),0)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IF(AUTOEVENTO="Manual",ROUND(SUMPRODUCT((CÁLCULO!$M$15:$M$162=EVENTOS!$C25)*(OFFSET(CÁLCULO!$AA$15:$AA$162,0,E$13))),2),0)</f>
        <v>0</v>
      </c>
      <c r="F25" s="183">
        <f ca="1">IF(AUTOEVENTO="Manual",ROUND(SUMPRODUCT((CÁLCULO!$M$15:$M$162=EVENTOS!$C25)*(OFFSET(CÁLCULO!$AA$15,0,1):OFFSET(CÁLCULO!$AL$162,0,-1))),2),0)</f>
        <v>0</v>
      </c>
      <c r="G25" s="621" t="str">
        <f t="shared" ca="1" si="5"/>
        <v/>
      </c>
      <c r="H25" s="620" cm="1">
        <f t="array" aca="1" ref="H25" ca="1">IF(AUTOEVENTO="Manual",ROUND(SUMPRODUCT((CÁLCULO!$M$15:$M$162=EVENTOS!$C25)*(OFFSET(CÁLCULO!$AA$15:$AA$162,0,H$13))),2),0)</f>
        <v>0</v>
      </c>
      <c r="I25" s="620" cm="1">
        <f t="array" aca="1" ref="I25" ca="1">IF(AUTOEVENTO="Manual",ROUND(SUMPRODUCT((CÁLCULO!$M$15:$M$162=EVENTOS!$C25)*(OFFSET(CÁLCULO!$AA$15:$AA$162,0,I$13))),2),0)</f>
        <v>0</v>
      </c>
      <c r="J25" s="620" cm="1">
        <f t="array" aca="1" ref="J25" ca="1">IF(AUTOEVENTO="Manual",ROUND(SUMPRODUCT((CÁLCULO!$M$15:$M$162=EVENTOS!$C25)*(OFFSET(CÁLCULO!$AA$15:$AA$162,0,J$13))),2),0)</f>
        <v>0</v>
      </c>
      <c r="K25" s="620" cm="1">
        <f t="array" aca="1" ref="K25" ca="1">IF(AUTOEVENTO="Manual",ROUND(SUMPRODUCT((CÁLCULO!$M$15:$M$162=EVENTOS!$C25)*(OFFSET(CÁLCULO!$AA$15:$AA$162,0,K$13))),2),0)</f>
        <v>0</v>
      </c>
      <c r="L25" s="620" cm="1">
        <f t="array" aca="1" ref="L25" ca="1">IF(AUTOEVENTO="Manual",ROUND(SUMPRODUCT((CÁLCULO!$M$15:$M$162=EVENTOS!$C25)*(OFFSET(CÁLCULO!$AA$15:$AA$162,0,L$13))),2),0)</f>
        <v>0</v>
      </c>
      <c r="M25" s="620" cm="1">
        <f t="array" aca="1" ref="M25" ca="1">IF(AUTOEVENTO="Manual",ROUND(SUMPRODUCT((CÁLCULO!$M$15:$M$162=EVENTOS!$C25)*(OFFSET(CÁLCULO!$AA$15:$AA$162,0,M$13))),2),0)</f>
        <v>0</v>
      </c>
      <c r="N25" s="620" cm="1">
        <f t="array" aca="1" ref="N25" ca="1">IF(AUTOEVENTO="Manual",ROUND(SUMPRODUCT((CÁLCULO!$M$15:$M$162=EVENTOS!$C25)*(OFFSET(CÁLCULO!$AA$15:$AA$162,0,N$13))),2),0)</f>
        <v>0</v>
      </c>
      <c r="O25" s="620" cm="1">
        <f t="array" aca="1" ref="O25" ca="1">IF(AUTOEVENTO="Manual",ROUND(SUMPRODUCT((CÁLCULO!$M$15:$M$162=EVENTOS!$C25)*(OFFSET(CÁLCULO!$AA$15:$AA$162,0,O$13))),2),0)</f>
        <v>0</v>
      </c>
      <c r="P25" s="620" cm="1">
        <f t="array" aca="1" ref="P25" ca="1">IF(AUTOEVENTO="Manual",ROUND(SUMPRODUCT((CÁLCULO!$M$15:$M$162=EVENTOS!$C25)*(OFFSET(CÁLCULO!$AA$15:$AA$162,0,P$13))),2),0)</f>
        <v>0</v>
      </c>
      <c r="Q25" s="620" cm="1">
        <f t="array" aca="1" ref="Q25" ca="1">IF(AUTOEVENTO="Manual",ROUND(SUMPRODUCT((CÁLCULO!$M$15:$M$162=EVENTOS!$C25)*(OFFSET(CÁLCULO!$AA$15:$AA$162,0,Q$13))),2),0)</f>
        <v>0</v>
      </c>
      <c r="R25" s="620" cm="1">
        <f t="array" aca="1" ref="R25" ca="1">IF(AUTOEVENTO="Manual",ROUND(SUMPRODUCT((CÁLCULO!$M$15:$M$162=EVENTOS!$C25)*(OFFSET(CÁLCULO!$AA$15:$AA$162,0,R$13))),2),0)</f>
        <v>0</v>
      </c>
      <c r="S25" s="620" cm="1">
        <f t="array" aca="1" ref="S25" ca="1">IF(AUTOEVENTO="Manual",ROUND(SUMPRODUCT((CÁLCULO!$M$15:$M$162=EVENTOS!$C25)*(OFFSET(CÁLCULO!$AA$15:$AA$162,0,S$13))),2),0)</f>
        <v>0</v>
      </c>
      <c r="T25" s="620" cm="1">
        <f t="array" aca="1" ref="T25" ca="1">IF(AUTOEVENTO="Manual",ROUND(SUMPRODUCT((CÁLCULO!$M$15:$M$162=EVENTOS!$C25)*(OFFSET(CÁLCULO!$AA$15:$AA$162,0,T$13))),2),0)</f>
        <v>0</v>
      </c>
      <c r="U25" s="620" cm="1">
        <f t="array" aca="1" ref="U25" ca="1">IF(AUTOEVENTO="Manual",ROUND(SUMPRODUCT((CÁLCULO!$M$15:$M$162=EVENTOS!$C25)*(OFFSET(CÁLCULO!$AA$15:$AA$162,0,U$13))),2),0)</f>
        <v>0</v>
      </c>
      <c r="V25" s="620" cm="1">
        <f t="array" aca="1" ref="V25" ca="1">IF(AUTOEVENTO="Manual",ROUND(SUMPRODUCT((CÁLCULO!$M$15:$M$162=EVENTOS!$C25)*(OFFSET(CÁLCULO!$AA$15:$AA$162,0,V$13))),2),0)</f>
        <v>0</v>
      </c>
      <c r="W25" s="620" cm="1">
        <f t="array" aca="1" ref="W25" ca="1">IF(AUTOEVENTO="Manual",ROUND(SUMPRODUCT((CÁLCULO!$M$15:$M$162=EVENTOS!$C25)*(OFFSET(CÁLCULO!$AA$15:$AA$162,0,W$13))),2),0)</f>
        <v>0</v>
      </c>
      <c r="X25" s="620" cm="1">
        <f t="array" aca="1" ref="X25" ca="1">IF(AUTOEVENTO="Manual",ROUND(SUMPRODUCT((CÁLCULO!$M$15:$M$162=EVENTOS!$C25)*(OFFSET(CÁLCULO!$AA$15:$AA$162,0,X$13))),2),0)</f>
        <v>0</v>
      </c>
      <c r="Y25" s="620" cm="1">
        <f t="array" aca="1" ref="Y25" ca="1">IF(AUTOEVENTO="Manual",ROUND(SUMPRODUCT((CÁLCULO!$M$15:$M$162=EVENTOS!$C25)*(OFFSET(CÁLCULO!$AA$15:$AA$162,0,Y$13))),2),0)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IF(AUTOEVENTO="Manual",ROUND(SUMPRODUCT((CÁLCULO!$M$15:$M$162=EVENTOS!$C26)*(OFFSET(CÁLCULO!$AA$15:$AA$162,0,E$13))),2),0)</f>
        <v>0</v>
      </c>
      <c r="F26" s="183">
        <f ca="1">IF(AUTOEVENTO="Manual",ROUND(SUMPRODUCT((CÁLCULO!$M$15:$M$162=EVENTOS!$C26)*(OFFSET(CÁLCULO!$AA$15,0,1):OFFSET(CÁLCULO!$AL$162,0,-1))),2),0)</f>
        <v>0</v>
      </c>
      <c r="G26" s="621" t="str">
        <f t="shared" ca="1" si="5"/>
        <v/>
      </c>
      <c r="H26" s="620" cm="1">
        <f t="array" aca="1" ref="H26" ca="1">IF(AUTOEVENTO="Manual",ROUND(SUMPRODUCT((CÁLCULO!$M$15:$M$162=EVENTOS!$C26)*(OFFSET(CÁLCULO!$AA$15:$AA$162,0,H$13))),2),0)</f>
        <v>0</v>
      </c>
      <c r="I26" s="620" cm="1">
        <f t="array" aca="1" ref="I26" ca="1">IF(AUTOEVENTO="Manual",ROUND(SUMPRODUCT((CÁLCULO!$M$15:$M$162=EVENTOS!$C26)*(OFFSET(CÁLCULO!$AA$15:$AA$162,0,I$13))),2),0)</f>
        <v>0</v>
      </c>
      <c r="J26" s="620" cm="1">
        <f t="array" aca="1" ref="J26" ca="1">IF(AUTOEVENTO="Manual",ROUND(SUMPRODUCT((CÁLCULO!$M$15:$M$162=EVENTOS!$C26)*(OFFSET(CÁLCULO!$AA$15:$AA$162,0,J$13))),2),0)</f>
        <v>0</v>
      </c>
      <c r="K26" s="620" cm="1">
        <f t="array" aca="1" ref="K26" ca="1">IF(AUTOEVENTO="Manual",ROUND(SUMPRODUCT((CÁLCULO!$M$15:$M$162=EVENTOS!$C26)*(OFFSET(CÁLCULO!$AA$15:$AA$162,0,K$13))),2),0)</f>
        <v>0</v>
      </c>
      <c r="L26" s="620" cm="1">
        <f t="array" aca="1" ref="L26" ca="1">IF(AUTOEVENTO="Manual",ROUND(SUMPRODUCT((CÁLCULO!$M$15:$M$162=EVENTOS!$C26)*(OFFSET(CÁLCULO!$AA$15:$AA$162,0,L$13))),2),0)</f>
        <v>0</v>
      </c>
      <c r="M26" s="620" cm="1">
        <f t="array" aca="1" ref="M26" ca="1">IF(AUTOEVENTO="Manual",ROUND(SUMPRODUCT((CÁLCULO!$M$15:$M$162=EVENTOS!$C26)*(OFFSET(CÁLCULO!$AA$15:$AA$162,0,M$13))),2),0)</f>
        <v>0</v>
      </c>
      <c r="N26" s="620" cm="1">
        <f t="array" aca="1" ref="N26" ca="1">IF(AUTOEVENTO="Manual",ROUND(SUMPRODUCT((CÁLCULO!$M$15:$M$162=EVENTOS!$C26)*(OFFSET(CÁLCULO!$AA$15:$AA$162,0,N$13))),2),0)</f>
        <v>0</v>
      </c>
      <c r="O26" s="620" cm="1">
        <f t="array" aca="1" ref="O26" ca="1">IF(AUTOEVENTO="Manual",ROUND(SUMPRODUCT((CÁLCULO!$M$15:$M$162=EVENTOS!$C26)*(OFFSET(CÁLCULO!$AA$15:$AA$162,0,O$13))),2),0)</f>
        <v>0</v>
      </c>
      <c r="P26" s="620" cm="1">
        <f t="array" aca="1" ref="P26" ca="1">IF(AUTOEVENTO="Manual",ROUND(SUMPRODUCT((CÁLCULO!$M$15:$M$162=EVENTOS!$C26)*(OFFSET(CÁLCULO!$AA$15:$AA$162,0,P$13))),2),0)</f>
        <v>0</v>
      </c>
      <c r="Q26" s="620" cm="1">
        <f t="array" aca="1" ref="Q26" ca="1">IF(AUTOEVENTO="Manual",ROUND(SUMPRODUCT((CÁLCULO!$M$15:$M$162=EVENTOS!$C26)*(OFFSET(CÁLCULO!$AA$15:$AA$162,0,Q$13))),2),0)</f>
        <v>0</v>
      </c>
      <c r="R26" s="620" cm="1">
        <f t="array" aca="1" ref="R26" ca="1">IF(AUTOEVENTO="Manual",ROUND(SUMPRODUCT((CÁLCULO!$M$15:$M$162=EVENTOS!$C26)*(OFFSET(CÁLCULO!$AA$15:$AA$162,0,R$13))),2),0)</f>
        <v>0</v>
      </c>
      <c r="S26" s="620" cm="1">
        <f t="array" aca="1" ref="S26" ca="1">IF(AUTOEVENTO="Manual",ROUND(SUMPRODUCT((CÁLCULO!$M$15:$M$162=EVENTOS!$C26)*(OFFSET(CÁLCULO!$AA$15:$AA$162,0,S$13))),2),0)</f>
        <v>0</v>
      </c>
      <c r="T26" s="620" cm="1">
        <f t="array" aca="1" ref="T26" ca="1">IF(AUTOEVENTO="Manual",ROUND(SUMPRODUCT((CÁLCULO!$M$15:$M$162=EVENTOS!$C26)*(OFFSET(CÁLCULO!$AA$15:$AA$162,0,T$13))),2),0)</f>
        <v>0</v>
      </c>
      <c r="U26" s="620" cm="1">
        <f t="array" aca="1" ref="U26" ca="1">IF(AUTOEVENTO="Manual",ROUND(SUMPRODUCT((CÁLCULO!$M$15:$M$162=EVENTOS!$C26)*(OFFSET(CÁLCULO!$AA$15:$AA$162,0,U$13))),2),0)</f>
        <v>0</v>
      </c>
      <c r="V26" s="620" cm="1">
        <f t="array" aca="1" ref="V26" ca="1">IF(AUTOEVENTO="Manual",ROUND(SUMPRODUCT((CÁLCULO!$M$15:$M$162=EVENTOS!$C26)*(OFFSET(CÁLCULO!$AA$15:$AA$162,0,V$13))),2),0)</f>
        <v>0</v>
      </c>
      <c r="W26" s="620" cm="1">
        <f t="array" aca="1" ref="W26" ca="1">IF(AUTOEVENTO="Manual",ROUND(SUMPRODUCT((CÁLCULO!$M$15:$M$162=EVENTOS!$C26)*(OFFSET(CÁLCULO!$AA$15:$AA$162,0,W$13))),2),0)</f>
        <v>0</v>
      </c>
      <c r="X26" s="620" cm="1">
        <f t="array" aca="1" ref="X26" ca="1">IF(AUTOEVENTO="Manual",ROUND(SUMPRODUCT((CÁLCULO!$M$15:$M$162=EVENTOS!$C26)*(OFFSET(CÁLCULO!$AA$15:$AA$162,0,X$13))),2),0)</f>
        <v>0</v>
      </c>
      <c r="Y26" s="620" cm="1">
        <f t="array" aca="1" ref="Y26" ca="1">IF(AUTOEVENTO="Manual",ROUND(SUMPRODUCT((CÁLCULO!$M$15:$M$162=EVENTOS!$C26)*(OFFSET(CÁLCULO!$AA$15:$AA$162,0,Y$13))),2),0)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IF(AUTOEVENTO="Manual",ROUND(SUMPRODUCT((CÁLCULO!$M$15:$M$162=EVENTOS!$C27)*(OFFSET(CÁLCULO!$AA$15:$AA$162,0,E$13))),2),0)</f>
        <v>0</v>
      </c>
      <c r="F27" s="183">
        <f ca="1">IF(AUTOEVENTO="Manual",ROUND(SUMPRODUCT((CÁLCULO!$M$15:$M$162=EVENTOS!$C27)*(OFFSET(CÁLCULO!$AA$15,0,1):OFFSET(CÁLCULO!$AL$162,0,-1))),2),0)</f>
        <v>0</v>
      </c>
      <c r="G27" s="621" t="str">
        <f t="shared" ca="1" si="5"/>
        <v/>
      </c>
      <c r="H27" s="620" cm="1">
        <f t="array" aca="1" ref="H27" ca="1">IF(AUTOEVENTO="Manual",ROUND(SUMPRODUCT((CÁLCULO!$M$15:$M$162=EVENTOS!$C27)*(OFFSET(CÁLCULO!$AA$15:$AA$162,0,H$13))),2),0)</f>
        <v>0</v>
      </c>
      <c r="I27" s="620" cm="1">
        <f t="array" aca="1" ref="I27" ca="1">IF(AUTOEVENTO="Manual",ROUND(SUMPRODUCT((CÁLCULO!$M$15:$M$162=EVENTOS!$C27)*(OFFSET(CÁLCULO!$AA$15:$AA$162,0,I$13))),2),0)</f>
        <v>0</v>
      </c>
      <c r="J27" s="620" cm="1">
        <f t="array" aca="1" ref="J27" ca="1">IF(AUTOEVENTO="Manual",ROUND(SUMPRODUCT((CÁLCULO!$M$15:$M$162=EVENTOS!$C27)*(OFFSET(CÁLCULO!$AA$15:$AA$162,0,J$13))),2),0)</f>
        <v>0</v>
      </c>
      <c r="K27" s="620" cm="1">
        <f t="array" aca="1" ref="K27" ca="1">IF(AUTOEVENTO="Manual",ROUND(SUMPRODUCT((CÁLCULO!$M$15:$M$162=EVENTOS!$C27)*(OFFSET(CÁLCULO!$AA$15:$AA$162,0,K$13))),2),0)</f>
        <v>0</v>
      </c>
      <c r="L27" s="620" cm="1">
        <f t="array" aca="1" ref="L27" ca="1">IF(AUTOEVENTO="Manual",ROUND(SUMPRODUCT((CÁLCULO!$M$15:$M$162=EVENTOS!$C27)*(OFFSET(CÁLCULO!$AA$15:$AA$162,0,L$13))),2),0)</f>
        <v>0</v>
      </c>
      <c r="M27" s="620" cm="1">
        <f t="array" aca="1" ref="M27" ca="1">IF(AUTOEVENTO="Manual",ROUND(SUMPRODUCT((CÁLCULO!$M$15:$M$162=EVENTOS!$C27)*(OFFSET(CÁLCULO!$AA$15:$AA$162,0,M$13))),2),0)</f>
        <v>0</v>
      </c>
      <c r="N27" s="620" cm="1">
        <f t="array" aca="1" ref="N27" ca="1">IF(AUTOEVENTO="Manual",ROUND(SUMPRODUCT((CÁLCULO!$M$15:$M$162=EVENTOS!$C27)*(OFFSET(CÁLCULO!$AA$15:$AA$162,0,N$13))),2),0)</f>
        <v>0</v>
      </c>
      <c r="O27" s="620" cm="1">
        <f t="array" aca="1" ref="O27" ca="1">IF(AUTOEVENTO="Manual",ROUND(SUMPRODUCT((CÁLCULO!$M$15:$M$162=EVENTOS!$C27)*(OFFSET(CÁLCULO!$AA$15:$AA$162,0,O$13))),2),0)</f>
        <v>0</v>
      </c>
      <c r="P27" s="620" cm="1">
        <f t="array" aca="1" ref="P27" ca="1">IF(AUTOEVENTO="Manual",ROUND(SUMPRODUCT((CÁLCULO!$M$15:$M$162=EVENTOS!$C27)*(OFFSET(CÁLCULO!$AA$15:$AA$162,0,P$13))),2),0)</f>
        <v>0</v>
      </c>
      <c r="Q27" s="620" cm="1">
        <f t="array" aca="1" ref="Q27" ca="1">IF(AUTOEVENTO="Manual",ROUND(SUMPRODUCT((CÁLCULO!$M$15:$M$162=EVENTOS!$C27)*(OFFSET(CÁLCULO!$AA$15:$AA$162,0,Q$13))),2),0)</f>
        <v>0</v>
      </c>
      <c r="R27" s="620" cm="1">
        <f t="array" aca="1" ref="R27" ca="1">IF(AUTOEVENTO="Manual",ROUND(SUMPRODUCT((CÁLCULO!$M$15:$M$162=EVENTOS!$C27)*(OFFSET(CÁLCULO!$AA$15:$AA$162,0,R$13))),2),0)</f>
        <v>0</v>
      </c>
      <c r="S27" s="620" cm="1">
        <f t="array" aca="1" ref="S27" ca="1">IF(AUTOEVENTO="Manual",ROUND(SUMPRODUCT((CÁLCULO!$M$15:$M$162=EVENTOS!$C27)*(OFFSET(CÁLCULO!$AA$15:$AA$162,0,S$13))),2),0)</f>
        <v>0</v>
      </c>
      <c r="T27" s="620" cm="1">
        <f t="array" aca="1" ref="T27" ca="1">IF(AUTOEVENTO="Manual",ROUND(SUMPRODUCT((CÁLCULO!$M$15:$M$162=EVENTOS!$C27)*(OFFSET(CÁLCULO!$AA$15:$AA$162,0,T$13))),2),0)</f>
        <v>0</v>
      </c>
      <c r="U27" s="620" cm="1">
        <f t="array" aca="1" ref="U27" ca="1">IF(AUTOEVENTO="Manual",ROUND(SUMPRODUCT((CÁLCULO!$M$15:$M$162=EVENTOS!$C27)*(OFFSET(CÁLCULO!$AA$15:$AA$162,0,U$13))),2),0)</f>
        <v>0</v>
      </c>
      <c r="V27" s="620" cm="1">
        <f t="array" aca="1" ref="V27" ca="1">IF(AUTOEVENTO="Manual",ROUND(SUMPRODUCT((CÁLCULO!$M$15:$M$162=EVENTOS!$C27)*(OFFSET(CÁLCULO!$AA$15:$AA$162,0,V$13))),2),0)</f>
        <v>0</v>
      </c>
      <c r="W27" s="620" cm="1">
        <f t="array" aca="1" ref="W27" ca="1">IF(AUTOEVENTO="Manual",ROUND(SUMPRODUCT((CÁLCULO!$M$15:$M$162=EVENTOS!$C27)*(OFFSET(CÁLCULO!$AA$15:$AA$162,0,W$13))),2),0)</f>
        <v>0</v>
      </c>
      <c r="X27" s="620" cm="1">
        <f t="array" aca="1" ref="X27" ca="1">IF(AUTOEVENTO="Manual",ROUND(SUMPRODUCT((CÁLCULO!$M$15:$M$162=EVENTOS!$C27)*(OFFSET(CÁLCULO!$AA$15:$AA$162,0,X$13))),2),0)</f>
        <v>0</v>
      </c>
      <c r="Y27" s="620" cm="1">
        <f t="array" aca="1" ref="Y27" ca="1">IF(AUTOEVENTO="Manual",ROUND(SUMPRODUCT((CÁLCULO!$M$15:$M$162=EVENTOS!$C27)*(OFFSET(CÁLCULO!$AA$15:$AA$162,0,Y$13))),2),0)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IF(AUTOEVENTO="Manual",ROUND(SUMPRODUCT((CÁLCULO!$M$15:$M$162=EVENTOS!$C28)*(OFFSET(CÁLCULO!$AA$15:$AA$162,0,E$13))),2),0)</f>
        <v>0</v>
      </c>
      <c r="F28" s="183">
        <f ca="1">IF(AUTOEVENTO="Manual",ROUND(SUMPRODUCT((CÁLCULO!$M$15:$M$162=EVENTOS!$C28)*(OFFSET(CÁLCULO!$AA$15,0,1):OFFSET(CÁLCULO!$AL$162,0,-1))),2),0)</f>
        <v>0</v>
      </c>
      <c r="G28" s="621" t="str">
        <f t="shared" ca="1" si="5"/>
        <v/>
      </c>
      <c r="H28" s="620" cm="1">
        <f t="array" aca="1" ref="H28" ca="1">IF(AUTOEVENTO="Manual",ROUND(SUMPRODUCT((CÁLCULO!$M$15:$M$162=EVENTOS!$C28)*(OFFSET(CÁLCULO!$AA$15:$AA$162,0,H$13))),2),0)</f>
        <v>0</v>
      </c>
      <c r="I28" s="620" cm="1">
        <f t="array" aca="1" ref="I28" ca="1">IF(AUTOEVENTO="Manual",ROUND(SUMPRODUCT((CÁLCULO!$M$15:$M$162=EVENTOS!$C28)*(OFFSET(CÁLCULO!$AA$15:$AA$162,0,I$13))),2),0)</f>
        <v>0</v>
      </c>
      <c r="J28" s="620" cm="1">
        <f t="array" aca="1" ref="J28" ca="1">IF(AUTOEVENTO="Manual",ROUND(SUMPRODUCT((CÁLCULO!$M$15:$M$162=EVENTOS!$C28)*(OFFSET(CÁLCULO!$AA$15:$AA$162,0,J$13))),2),0)</f>
        <v>0</v>
      </c>
      <c r="K28" s="620" cm="1">
        <f t="array" aca="1" ref="K28" ca="1">IF(AUTOEVENTO="Manual",ROUND(SUMPRODUCT((CÁLCULO!$M$15:$M$162=EVENTOS!$C28)*(OFFSET(CÁLCULO!$AA$15:$AA$162,0,K$13))),2),0)</f>
        <v>0</v>
      </c>
      <c r="L28" s="620" cm="1">
        <f t="array" aca="1" ref="L28" ca="1">IF(AUTOEVENTO="Manual",ROUND(SUMPRODUCT((CÁLCULO!$M$15:$M$162=EVENTOS!$C28)*(OFFSET(CÁLCULO!$AA$15:$AA$162,0,L$13))),2),0)</f>
        <v>0</v>
      </c>
      <c r="M28" s="620" cm="1">
        <f t="array" aca="1" ref="M28" ca="1">IF(AUTOEVENTO="Manual",ROUND(SUMPRODUCT((CÁLCULO!$M$15:$M$162=EVENTOS!$C28)*(OFFSET(CÁLCULO!$AA$15:$AA$162,0,M$13))),2),0)</f>
        <v>0</v>
      </c>
      <c r="N28" s="620" cm="1">
        <f t="array" aca="1" ref="N28" ca="1">IF(AUTOEVENTO="Manual",ROUND(SUMPRODUCT((CÁLCULO!$M$15:$M$162=EVENTOS!$C28)*(OFFSET(CÁLCULO!$AA$15:$AA$162,0,N$13))),2),0)</f>
        <v>0</v>
      </c>
      <c r="O28" s="620" cm="1">
        <f t="array" aca="1" ref="O28" ca="1">IF(AUTOEVENTO="Manual",ROUND(SUMPRODUCT((CÁLCULO!$M$15:$M$162=EVENTOS!$C28)*(OFFSET(CÁLCULO!$AA$15:$AA$162,0,O$13))),2),0)</f>
        <v>0</v>
      </c>
      <c r="P28" s="620" cm="1">
        <f t="array" aca="1" ref="P28" ca="1">IF(AUTOEVENTO="Manual",ROUND(SUMPRODUCT((CÁLCULO!$M$15:$M$162=EVENTOS!$C28)*(OFFSET(CÁLCULO!$AA$15:$AA$162,0,P$13))),2),0)</f>
        <v>0</v>
      </c>
      <c r="Q28" s="620" cm="1">
        <f t="array" aca="1" ref="Q28" ca="1">IF(AUTOEVENTO="Manual",ROUND(SUMPRODUCT((CÁLCULO!$M$15:$M$162=EVENTOS!$C28)*(OFFSET(CÁLCULO!$AA$15:$AA$162,0,Q$13))),2),0)</f>
        <v>0</v>
      </c>
      <c r="R28" s="620" cm="1">
        <f t="array" aca="1" ref="R28" ca="1">IF(AUTOEVENTO="Manual",ROUND(SUMPRODUCT((CÁLCULO!$M$15:$M$162=EVENTOS!$C28)*(OFFSET(CÁLCULO!$AA$15:$AA$162,0,R$13))),2),0)</f>
        <v>0</v>
      </c>
      <c r="S28" s="620" cm="1">
        <f t="array" aca="1" ref="S28" ca="1">IF(AUTOEVENTO="Manual",ROUND(SUMPRODUCT((CÁLCULO!$M$15:$M$162=EVENTOS!$C28)*(OFFSET(CÁLCULO!$AA$15:$AA$162,0,S$13))),2),0)</f>
        <v>0</v>
      </c>
      <c r="T28" s="620" cm="1">
        <f t="array" aca="1" ref="T28" ca="1">IF(AUTOEVENTO="Manual",ROUND(SUMPRODUCT((CÁLCULO!$M$15:$M$162=EVENTOS!$C28)*(OFFSET(CÁLCULO!$AA$15:$AA$162,0,T$13))),2),0)</f>
        <v>0</v>
      </c>
      <c r="U28" s="620" cm="1">
        <f t="array" aca="1" ref="U28" ca="1">IF(AUTOEVENTO="Manual",ROUND(SUMPRODUCT((CÁLCULO!$M$15:$M$162=EVENTOS!$C28)*(OFFSET(CÁLCULO!$AA$15:$AA$162,0,U$13))),2),0)</f>
        <v>0</v>
      </c>
      <c r="V28" s="620" cm="1">
        <f t="array" aca="1" ref="V28" ca="1">IF(AUTOEVENTO="Manual",ROUND(SUMPRODUCT((CÁLCULO!$M$15:$M$162=EVENTOS!$C28)*(OFFSET(CÁLCULO!$AA$15:$AA$162,0,V$13))),2),0)</f>
        <v>0</v>
      </c>
      <c r="W28" s="620" cm="1">
        <f t="array" aca="1" ref="W28" ca="1">IF(AUTOEVENTO="Manual",ROUND(SUMPRODUCT((CÁLCULO!$M$15:$M$162=EVENTOS!$C28)*(OFFSET(CÁLCULO!$AA$15:$AA$162,0,W$13))),2),0)</f>
        <v>0</v>
      </c>
      <c r="X28" s="620" cm="1">
        <f t="array" aca="1" ref="X28" ca="1">IF(AUTOEVENTO="Manual",ROUND(SUMPRODUCT((CÁLCULO!$M$15:$M$162=EVENTOS!$C28)*(OFFSET(CÁLCULO!$AA$15:$AA$162,0,X$13))),2),0)</f>
        <v>0</v>
      </c>
      <c r="Y28" s="620" cm="1">
        <f t="array" aca="1" ref="Y28" ca="1">IF(AUTOEVENTO="Manual",ROUND(SUMPRODUCT((CÁLCULO!$M$15:$M$162=EVENTOS!$C28)*(OFFSET(CÁLCULO!$AA$15:$AA$162,0,Y$13))),2),0)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IF(AUTOEVENTO="Manual",ROUND(SUMPRODUCT((CÁLCULO!$M$15:$M$162=EVENTOS!$C29)*(OFFSET(CÁLCULO!$AA$15:$AA$162,0,E$13))),2),0)</f>
        <v>0</v>
      </c>
      <c r="F29" s="183">
        <f ca="1">IF(AUTOEVENTO="Manual",ROUND(SUMPRODUCT((CÁLCULO!$M$15:$M$162=EVENTOS!$C29)*(OFFSET(CÁLCULO!$AA$15,0,1):OFFSET(CÁLCULO!$AL$162,0,-1))),2),0)</f>
        <v>0</v>
      </c>
      <c r="G29" s="621" t="str">
        <f t="shared" ca="1" si="5"/>
        <v/>
      </c>
      <c r="H29" s="620" cm="1">
        <f t="array" aca="1" ref="H29" ca="1">IF(AUTOEVENTO="Manual",ROUND(SUMPRODUCT((CÁLCULO!$M$15:$M$162=EVENTOS!$C29)*(OFFSET(CÁLCULO!$AA$15:$AA$162,0,H$13))),2),0)</f>
        <v>0</v>
      </c>
      <c r="I29" s="620" cm="1">
        <f t="array" aca="1" ref="I29" ca="1">IF(AUTOEVENTO="Manual",ROUND(SUMPRODUCT((CÁLCULO!$M$15:$M$162=EVENTOS!$C29)*(OFFSET(CÁLCULO!$AA$15:$AA$162,0,I$13))),2),0)</f>
        <v>0</v>
      </c>
      <c r="J29" s="620" cm="1">
        <f t="array" aca="1" ref="J29" ca="1">IF(AUTOEVENTO="Manual",ROUND(SUMPRODUCT((CÁLCULO!$M$15:$M$162=EVENTOS!$C29)*(OFFSET(CÁLCULO!$AA$15:$AA$162,0,J$13))),2),0)</f>
        <v>0</v>
      </c>
      <c r="K29" s="620" cm="1">
        <f t="array" aca="1" ref="K29" ca="1">IF(AUTOEVENTO="Manual",ROUND(SUMPRODUCT((CÁLCULO!$M$15:$M$162=EVENTOS!$C29)*(OFFSET(CÁLCULO!$AA$15:$AA$162,0,K$13))),2),0)</f>
        <v>0</v>
      </c>
      <c r="L29" s="620" cm="1">
        <f t="array" aca="1" ref="L29" ca="1">IF(AUTOEVENTO="Manual",ROUND(SUMPRODUCT((CÁLCULO!$M$15:$M$162=EVENTOS!$C29)*(OFFSET(CÁLCULO!$AA$15:$AA$162,0,L$13))),2),0)</f>
        <v>0</v>
      </c>
      <c r="M29" s="620" cm="1">
        <f t="array" aca="1" ref="M29" ca="1">IF(AUTOEVENTO="Manual",ROUND(SUMPRODUCT((CÁLCULO!$M$15:$M$162=EVENTOS!$C29)*(OFFSET(CÁLCULO!$AA$15:$AA$162,0,M$13))),2),0)</f>
        <v>0</v>
      </c>
      <c r="N29" s="620" cm="1">
        <f t="array" aca="1" ref="N29" ca="1">IF(AUTOEVENTO="Manual",ROUND(SUMPRODUCT((CÁLCULO!$M$15:$M$162=EVENTOS!$C29)*(OFFSET(CÁLCULO!$AA$15:$AA$162,0,N$13))),2),0)</f>
        <v>0</v>
      </c>
      <c r="O29" s="620" cm="1">
        <f t="array" aca="1" ref="O29" ca="1">IF(AUTOEVENTO="Manual",ROUND(SUMPRODUCT((CÁLCULO!$M$15:$M$162=EVENTOS!$C29)*(OFFSET(CÁLCULO!$AA$15:$AA$162,0,O$13))),2),0)</f>
        <v>0</v>
      </c>
      <c r="P29" s="620" cm="1">
        <f t="array" aca="1" ref="P29" ca="1">IF(AUTOEVENTO="Manual",ROUND(SUMPRODUCT((CÁLCULO!$M$15:$M$162=EVENTOS!$C29)*(OFFSET(CÁLCULO!$AA$15:$AA$162,0,P$13))),2),0)</f>
        <v>0</v>
      </c>
      <c r="Q29" s="620" cm="1">
        <f t="array" aca="1" ref="Q29" ca="1">IF(AUTOEVENTO="Manual",ROUND(SUMPRODUCT((CÁLCULO!$M$15:$M$162=EVENTOS!$C29)*(OFFSET(CÁLCULO!$AA$15:$AA$162,0,Q$13))),2),0)</f>
        <v>0</v>
      </c>
      <c r="R29" s="620" cm="1">
        <f t="array" aca="1" ref="R29" ca="1">IF(AUTOEVENTO="Manual",ROUND(SUMPRODUCT((CÁLCULO!$M$15:$M$162=EVENTOS!$C29)*(OFFSET(CÁLCULO!$AA$15:$AA$162,0,R$13))),2),0)</f>
        <v>0</v>
      </c>
      <c r="S29" s="620" cm="1">
        <f t="array" aca="1" ref="S29" ca="1">IF(AUTOEVENTO="Manual",ROUND(SUMPRODUCT((CÁLCULO!$M$15:$M$162=EVENTOS!$C29)*(OFFSET(CÁLCULO!$AA$15:$AA$162,0,S$13))),2),0)</f>
        <v>0</v>
      </c>
      <c r="T29" s="620" cm="1">
        <f t="array" aca="1" ref="T29" ca="1">IF(AUTOEVENTO="Manual",ROUND(SUMPRODUCT((CÁLCULO!$M$15:$M$162=EVENTOS!$C29)*(OFFSET(CÁLCULO!$AA$15:$AA$162,0,T$13))),2),0)</f>
        <v>0</v>
      </c>
      <c r="U29" s="620" cm="1">
        <f t="array" aca="1" ref="U29" ca="1">IF(AUTOEVENTO="Manual",ROUND(SUMPRODUCT((CÁLCULO!$M$15:$M$162=EVENTOS!$C29)*(OFFSET(CÁLCULO!$AA$15:$AA$162,0,U$13))),2),0)</f>
        <v>0</v>
      </c>
      <c r="V29" s="620" cm="1">
        <f t="array" aca="1" ref="V29" ca="1">IF(AUTOEVENTO="Manual",ROUND(SUMPRODUCT((CÁLCULO!$M$15:$M$162=EVENTOS!$C29)*(OFFSET(CÁLCULO!$AA$15:$AA$162,0,V$13))),2),0)</f>
        <v>0</v>
      </c>
      <c r="W29" s="620" cm="1">
        <f t="array" aca="1" ref="W29" ca="1">IF(AUTOEVENTO="Manual",ROUND(SUMPRODUCT((CÁLCULO!$M$15:$M$162=EVENTOS!$C29)*(OFFSET(CÁLCULO!$AA$15:$AA$162,0,W$13))),2),0)</f>
        <v>0</v>
      </c>
      <c r="X29" s="620" cm="1">
        <f t="array" aca="1" ref="X29" ca="1">IF(AUTOEVENTO="Manual",ROUND(SUMPRODUCT((CÁLCULO!$M$15:$M$162=EVENTOS!$C29)*(OFFSET(CÁLCULO!$AA$15:$AA$162,0,X$13))),2),0)</f>
        <v>0</v>
      </c>
      <c r="Y29" s="620" cm="1">
        <f t="array" aca="1" ref="Y29" ca="1">IF(AUTOEVENTO="Manual",ROUND(SUMPRODUCT((CÁLCULO!$M$15:$M$162=EVENTOS!$C29)*(OFFSET(CÁLCULO!$AA$15:$AA$162,0,Y$13))),2),0)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IF(AUTOEVENTO="Manual",ROUND(SUMPRODUCT((CÁLCULO!$M$15:$M$162=EVENTOS!$C30)*(OFFSET(CÁLCULO!$AA$15:$AA$162,0,E$13))),2),0)</f>
        <v>0</v>
      </c>
      <c r="F30" s="183">
        <f ca="1">IF(AUTOEVENTO="Manual",ROUND(SUMPRODUCT((CÁLCULO!$M$15:$M$162=EVENTOS!$C30)*(OFFSET(CÁLCULO!$AA$15,0,1):OFFSET(CÁLCULO!$AL$162,0,-1))),2),0)</f>
        <v>0</v>
      </c>
      <c r="G30" s="621" t="str">
        <f t="shared" ca="1" si="5"/>
        <v/>
      </c>
      <c r="H30" s="620" cm="1">
        <f t="array" aca="1" ref="H30" ca="1">IF(AUTOEVENTO="Manual",ROUND(SUMPRODUCT((CÁLCULO!$M$15:$M$162=EVENTOS!$C30)*(OFFSET(CÁLCULO!$AA$15:$AA$162,0,H$13))),2),0)</f>
        <v>0</v>
      </c>
      <c r="I30" s="620" cm="1">
        <f t="array" aca="1" ref="I30" ca="1">IF(AUTOEVENTO="Manual",ROUND(SUMPRODUCT((CÁLCULO!$M$15:$M$162=EVENTOS!$C30)*(OFFSET(CÁLCULO!$AA$15:$AA$162,0,I$13))),2),0)</f>
        <v>0</v>
      </c>
      <c r="J30" s="620" cm="1">
        <f t="array" aca="1" ref="J30" ca="1">IF(AUTOEVENTO="Manual",ROUND(SUMPRODUCT((CÁLCULO!$M$15:$M$162=EVENTOS!$C30)*(OFFSET(CÁLCULO!$AA$15:$AA$162,0,J$13))),2),0)</f>
        <v>0</v>
      </c>
      <c r="K30" s="620" cm="1">
        <f t="array" aca="1" ref="K30" ca="1">IF(AUTOEVENTO="Manual",ROUND(SUMPRODUCT((CÁLCULO!$M$15:$M$162=EVENTOS!$C30)*(OFFSET(CÁLCULO!$AA$15:$AA$162,0,K$13))),2),0)</f>
        <v>0</v>
      </c>
      <c r="L30" s="620" cm="1">
        <f t="array" aca="1" ref="L30" ca="1">IF(AUTOEVENTO="Manual",ROUND(SUMPRODUCT((CÁLCULO!$M$15:$M$162=EVENTOS!$C30)*(OFFSET(CÁLCULO!$AA$15:$AA$162,0,L$13))),2),0)</f>
        <v>0</v>
      </c>
      <c r="M30" s="620" cm="1">
        <f t="array" aca="1" ref="M30" ca="1">IF(AUTOEVENTO="Manual",ROUND(SUMPRODUCT((CÁLCULO!$M$15:$M$162=EVENTOS!$C30)*(OFFSET(CÁLCULO!$AA$15:$AA$162,0,M$13))),2),0)</f>
        <v>0</v>
      </c>
      <c r="N30" s="620" cm="1">
        <f t="array" aca="1" ref="N30" ca="1">IF(AUTOEVENTO="Manual",ROUND(SUMPRODUCT((CÁLCULO!$M$15:$M$162=EVENTOS!$C30)*(OFFSET(CÁLCULO!$AA$15:$AA$162,0,N$13))),2),0)</f>
        <v>0</v>
      </c>
      <c r="O30" s="620" cm="1">
        <f t="array" aca="1" ref="O30" ca="1">IF(AUTOEVENTO="Manual",ROUND(SUMPRODUCT((CÁLCULO!$M$15:$M$162=EVENTOS!$C30)*(OFFSET(CÁLCULO!$AA$15:$AA$162,0,O$13))),2),0)</f>
        <v>0</v>
      </c>
      <c r="P30" s="620" cm="1">
        <f t="array" aca="1" ref="P30" ca="1">IF(AUTOEVENTO="Manual",ROUND(SUMPRODUCT((CÁLCULO!$M$15:$M$162=EVENTOS!$C30)*(OFFSET(CÁLCULO!$AA$15:$AA$162,0,P$13))),2),0)</f>
        <v>0</v>
      </c>
      <c r="Q30" s="620" cm="1">
        <f t="array" aca="1" ref="Q30" ca="1">IF(AUTOEVENTO="Manual",ROUND(SUMPRODUCT((CÁLCULO!$M$15:$M$162=EVENTOS!$C30)*(OFFSET(CÁLCULO!$AA$15:$AA$162,0,Q$13))),2),0)</f>
        <v>0</v>
      </c>
      <c r="R30" s="620" cm="1">
        <f t="array" aca="1" ref="R30" ca="1">IF(AUTOEVENTO="Manual",ROUND(SUMPRODUCT((CÁLCULO!$M$15:$M$162=EVENTOS!$C30)*(OFFSET(CÁLCULO!$AA$15:$AA$162,0,R$13))),2),0)</f>
        <v>0</v>
      </c>
      <c r="S30" s="620" cm="1">
        <f t="array" aca="1" ref="S30" ca="1">IF(AUTOEVENTO="Manual",ROUND(SUMPRODUCT((CÁLCULO!$M$15:$M$162=EVENTOS!$C30)*(OFFSET(CÁLCULO!$AA$15:$AA$162,0,S$13))),2),0)</f>
        <v>0</v>
      </c>
      <c r="T30" s="620" cm="1">
        <f t="array" aca="1" ref="T30" ca="1">IF(AUTOEVENTO="Manual",ROUND(SUMPRODUCT((CÁLCULO!$M$15:$M$162=EVENTOS!$C30)*(OFFSET(CÁLCULO!$AA$15:$AA$162,0,T$13))),2),0)</f>
        <v>0</v>
      </c>
      <c r="U30" s="620" cm="1">
        <f t="array" aca="1" ref="U30" ca="1">IF(AUTOEVENTO="Manual",ROUND(SUMPRODUCT((CÁLCULO!$M$15:$M$162=EVENTOS!$C30)*(OFFSET(CÁLCULO!$AA$15:$AA$162,0,U$13))),2),0)</f>
        <v>0</v>
      </c>
      <c r="V30" s="620" cm="1">
        <f t="array" aca="1" ref="V30" ca="1">IF(AUTOEVENTO="Manual",ROUND(SUMPRODUCT((CÁLCULO!$M$15:$M$162=EVENTOS!$C30)*(OFFSET(CÁLCULO!$AA$15:$AA$162,0,V$13))),2),0)</f>
        <v>0</v>
      </c>
      <c r="W30" s="620" cm="1">
        <f t="array" aca="1" ref="W30" ca="1">IF(AUTOEVENTO="Manual",ROUND(SUMPRODUCT((CÁLCULO!$M$15:$M$162=EVENTOS!$C30)*(OFFSET(CÁLCULO!$AA$15:$AA$162,0,W$13))),2),0)</f>
        <v>0</v>
      </c>
      <c r="X30" s="620" cm="1">
        <f t="array" aca="1" ref="X30" ca="1">IF(AUTOEVENTO="Manual",ROUND(SUMPRODUCT((CÁLCULO!$M$15:$M$162=EVENTOS!$C30)*(OFFSET(CÁLCULO!$AA$15:$AA$162,0,X$13))),2),0)</f>
        <v>0</v>
      </c>
      <c r="Y30" s="620" cm="1">
        <f t="array" aca="1" ref="Y30" ca="1">IF(AUTOEVENTO="Manual",ROUND(SUMPRODUCT((CÁLCULO!$M$15:$M$162=EVENTOS!$C30)*(OFFSET(CÁLCULO!$AA$15:$AA$162,0,Y$13))),2),0)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IF(AUTOEVENTO="Manual",ROUND(SUMPRODUCT((CÁLCULO!$M$15:$M$162=EVENTOS!$C31)*(OFFSET(CÁLCULO!$AA$15:$AA$162,0,E$13))),2),0)</f>
        <v>0</v>
      </c>
      <c r="F31" s="183">
        <f ca="1">IF(AUTOEVENTO="Manual",ROUND(SUMPRODUCT((CÁLCULO!$M$15:$M$162=EVENTOS!$C31)*(OFFSET(CÁLCULO!$AA$15,0,1):OFFSET(CÁLCULO!$AL$162,0,-1))),2),0)</f>
        <v>0</v>
      </c>
      <c r="G31" s="621" t="str">
        <f t="shared" ca="1" si="5"/>
        <v/>
      </c>
      <c r="H31" s="620" cm="1">
        <f t="array" aca="1" ref="H31" ca="1">IF(AUTOEVENTO="Manual",ROUND(SUMPRODUCT((CÁLCULO!$M$15:$M$162=EVENTOS!$C31)*(OFFSET(CÁLCULO!$AA$15:$AA$162,0,H$13))),2),0)</f>
        <v>0</v>
      </c>
      <c r="I31" s="620" cm="1">
        <f t="array" aca="1" ref="I31" ca="1">IF(AUTOEVENTO="Manual",ROUND(SUMPRODUCT((CÁLCULO!$M$15:$M$162=EVENTOS!$C31)*(OFFSET(CÁLCULO!$AA$15:$AA$162,0,I$13))),2),0)</f>
        <v>0</v>
      </c>
      <c r="J31" s="620" cm="1">
        <f t="array" aca="1" ref="J31" ca="1">IF(AUTOEVENTO="Manual",ROUND(SUMPRODUCT((CÁLCULO!$M$15:$M$162=EVENTOS!$C31)*(OFFSET(CÁLCULO!$AA$15:$AA$162,0,J$13))),2),0)</f>
        <v>0</v>
      </c>
      <c r="K31" s="620" cm="1">
        <f t="array" aca="1" ref="K31" ca="1">IF(AUTOEVENTO="Manual",ROUND(SUMPRODUCT((CÁLCULO!$M$15:$M$162=EVENTOS!$C31)*(OFFSET(CÁLCULO!$AA$15:$AA$162,0,K$13))),2),0)</f>
        <v>0</v>
      </c>
      <c r="L31" s="620" cm="1">
        <f t="array" aca="1" ref="L31" ca="1">IF(AUTOEVENTO="Manual",ROUND(SUMPRODUCT((CÁLCULO!$M$15:$M$162=EVENTOS!$C31)*(OFFSET(CÁLCULO!$AA$15:$AA$162,0,L$13))),2),0)</f>
        <v>0</v>
      </c>
      <c r="M31" s="620" cm="1">
        <f t="array" aca="1" ref="M31" ca="1">IF(AUTOEVENTO="Manual",ROUND(SUMPRODUCT((CÁLCULO!$M$15:$M$162=EVENTOS!$C31)*(OFFSET(CÁLCULO!$AA$15:$AA$162,0,M$13))),2),0)</f>
        <v>0</v>
      </c>
      <c r="N31" s="620" cm="1">
        <f t="array" aca="1" ref="N31" ca="1">IF(AUTOEVENTO="Manual",ROUND(SUMPRODUCT((CÁLCULO!$M$15:$M$162=EVENTOS!$C31)*(OFFSET(CÁLCULO!$AA$15:$AA$162,0,N$13))),2),0)</f>
        <v>0</v>
      </c>
      <c r="O31" s="620" cm="1">
        <f t="array" aca="1" ref="O31" ca="1">IF(AUTOEVENTO="Manual",ROUND(SUMPRODUCT((CÁLCULO!$M$15:$M$162=EVENTOS!$C31)*(OFFSET(CÁLCULO!$AA$15:$AA$162,0,O$13))),2),0)</f>
        <v>0</v>
      </c>
      <c r="P31" s="620" cm="1">
        <f t="array" aca="1" ref="P31" ca="1">IF(AUTOEVENTO="Manual",ROUND(SUMPRODUCT((CÁLCULO!$M$15:$M$162=EVENTOS!$C31)*(OFFSET(CÁLCULO!$AA$15:$AA$162,0,P$13))),2),0)</f>
        <v>0</v>
      </c>
      <c r="Q31" s="620" cm="1">
        <f t="array" aca="1" ref="Q31" ca="1">IF(AUTOEVENTO="Manual",ROUND(SUMPRODUCT((CÁLCULO!$M$15:$M$162=EVENTOS!$C31)*(OFFSET(CÁLCULO!$AA$15:$AA$162,0,Q$13))),2),0)</f>
        <v>0</v>
      </c>
      <c r="R31" s="620" cm="1">
        <f t="array" aca="1" ref="R31" ca="1">IF(AUTOEVENTO="Manual",ROUND(SUMPRODUCT((CÁLCULO!$M$15:$M$162=EVENTOS!$C31)*(OFFSET(CÁLCULO!$AA$15:$AA$162,0,R$13))),2),0)</f>
        <v>0</v>
      </c>
      <c r="S31" s="620" cm="1">
        <f t="array" aca="1" ref="S31" ca="1">IF(AUTOEVENTO="Manual",ROUND(SUMPRODUCT((CÁLCULO!$M$15:$M$162=EVENTOS!$C31)*(OFFSET(CÁLCULO!$AA$15:$AA$162,0,S$13))),2),0)</f>
        <v>0</v>
      </c>
      <c r="T31" s="620" cm="1">
        <f t="array" aca="1" ref="T31" ca="1">IF(AUTOEVENTO="Manual",ROUND(SUMPRODUCT((CÁLCULO!$M$15:$M$162=EVENTOS!$C31)*(OFFSET(CÁLCULO!$AA$15:$AA$162,0,T$13))),2),0)</f>
        <v>0</v>
      </c>
      <c r="U31" s="620" cm="1">
        <f t="array" aca="1" ref="U31" ca="1">IF(AUTOEVENTO="Manual",ROUND(SUMPRODUCT((CÁLCULO!$M$15:$M$162=EVENTOS!$C31)*(OFFSET(CÁLCULO!$AA$15:$AA$162,0,U$13))),2),0)</f>
        <v>0</v>
      </c>
      <c r="V31" s="620" cm="1">
        <f t="array" aca="1" ref="V31" ca="1">IF(AUTOEVENTO="Manual",ROUND(SUMPRODUCT((CÁLCULO!$M$15:$M$162=EVENTOS!$C31)*(OFFSET(CÁLCULO!$AA$15:$AA$162,0,V$13))),2),0)</f>
        <v>0</v>
      </c>
      <c r="W31" s="620" cm="1">
        <f t="array" aca="1" ref="W31" ca="1">IF(AUTOEVENTO="Manual",ROUND(SUMPRODUCT((CÁLCULO!$M$15:$M$162=EVENTOS!$C31)*(OFFSET(CÁLCULO!$AA$15:$AA$162,0,W$13))),2),0)</f>
        <v>0</v>
      </c>
      <c r="X31" s="620" cm="1">
        <f t="array" aca="1" ref="X31" ca="1">IF(AUTOEVENTO="Manual",ROUND(SUMPRODUCT((CÁLCULO!$M$15:$M$162=EVENTOS!$C31)*(OFFSET(CÁLCULO!$AA$15:$AA$162,0,X$13))),2),0)</f>
        <v>0</v>
      </c>
      <c r="Y31" s="620" cm="1">
        <f t="array" aca="1" ref="Y31" ca="1">IF(AUTOEVENTO="Manual",ROUND(SUMPRODUCT((CÁLCULO!$M$15:$M$162=EVENTOS!$C31)*(OFFSET(CÁLCULO!$AA$15:$AA$162,0,Y$13))),2),0)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IF(AUTOEVENTO="Manual",ROUND(SUMPRODUCT((CÁLCULO!$M$15:$M$162=EVENTOS!$C32)*(OFFSET(CÁLCULO!$AA$15:$AA$162,0,E$13))),2),0)</f>
        <v>0</v>
      </c>
      <c r="F32" s="183">
        <f ca="1">IF(AUTOEVENTO="Manual",ROUND(SUMPRODUCT((CÁLCULO!$M$15:$M$162=EVENTOS!$C32)*(OFFSET(CÁLCULO!$AA$15,0,1):OFFSET(CÁLCULO!$AL$162,0,-1))),2),0)</f>
        <v>0</v>
      </c>
      <c r="G32" s="621" t="str">
        <f t="shared" ca="1" si="5"/>
        <v/>
      </c>
      <c r="H32" s="620" cm="1">
        <f t="array" aca="1" ref="H32" ca="1">IF(AUTOEVENTO="Manual",ROUND(SUMPRODUCT((CÁLCULO!$M$15:$M$162=EVENTOS!$C32)*(OFFSET(CÁLCULO!$AA$15:$AA$162,0,H$13))),2),0)</f>
        <v>0</v>
      </c>
      <c r="I32" s="620" cm="1">
        <f t="array" aca="1" ref="I32" ca="1">IF(AUTOEVENTO="Manual",ROUND(SUMPRODUCT((CÁLCULO!$M$15:$M$162=EVENTOS!$C32)*(OFFSET(CÁLCULO!$AA$15:$AA$162,0,I$13))),2),0)</f>
        <v>0</v>
      </c>
      <c r="J32" s="620" cm="1">
        <f t="array" aca="1" ref="J32" ca="1">IF(AUTOEVENTO="Manual",ROUND(SUMPRODUCT((CÁLCULO!$M$15:$M$162=EVENTOS!$C32)*(OFFSET(CÁLCULO!$AA$15:$AA$162,0,J$13))),2),0)</f>
        <v>0</v>
      </c>
      <c r="K32" s="620" cm="1">
        <f t="array" aca="1" ref="K32" ca="1">IF(AUTOEVENTO="Manual",ROUND(SUMPRODUCT((CÁLCULO!$M$15:$M$162=EVENTOS!$C32)*(OFFSET(CÁLCULO!$AA$15:$AA$162,0,K$13))),2),0)</f>
        <v>0</v>
      </c>
      <c r="L32" s="620" cm="1">
        <f t="array" aca="1" ref="L32" ca="1">IF(AUTOEVENTO="Manual",ROUND(SUMPRODUCT((CÁLCULO!$M$15:$M$162=EVENTOS!$C32)*(OFFSET(CÁLCULO!$AA$15:$AA$162,0,L$13))),2),0)</f>
        <v>0</v>
      </c>
      <c r="M32" s="620" cm="1">
        <f t="array" aca="1" ref="M32" ca="1">IF(AUTOEVENTO="Manual",ROUND(SUMPRODUCT((CÁLCULO!$M$15:$M$162=EVENTOS!$C32)*(OFFSET(CÁLCULO!$AA$15:$AA$162,0,M$13))),2),0)</f>
        <v>0</v>
      </c>
      <c r="N32" s="620" cm="1">
        <f t="array" aca="1" ref="N32" ca="1">IF(AUTOEVENTO="Manual",ROUND(SUMPRODUCT((CÁLCULO!$M$15:$M$162=EVENTOS!$C32)*(OFFSET(CÁLCULO!$AA$15:$AA$162,0,N$13))),2),0)</f>
        <v>0</v>
      </c>
      <c r="O32" s="620" cm="1">
        <f t="array" aca="1" ref="O32" ca="1">IF(AUTOEVENTO="Manual",ROUND(SUMPRODUCT((CÁLCULO!$M$15:$M$162=EVENTOS!$C32)*(OFFSET(CÁLCULO!$AA$15:$AA$162,0,O$13))),2),0)</f>
        <v>0</v>
      </c>
      <c r="P32" s="620" cm="1">
        <f t="array" aca="1" ref="P32" ca="1">IF(AUTOEVENTO="Manual",ROUND(SUMPRODUCT((CÁLCULO!$M$15:$M$162=EVENTOS!$C32)*(OFFSET(CÁLCULO!$AA$15:$AA$162,0,P$13))),2),0)</f>
        <v>0</v>
      </c>
      <c r="Q32" s="620" cm="1">
        <f t="array" aca="1" ref="Q32" ca="1">IF(AUTOEVENTO="Manual",ROUND(SUMPRODUCT((CÁLCULO!$M$15:$M$162=EVENTOS!$C32)*(OFFSET(CÁLCULO!$AA$15:$AA$162,0,Q$13))),2),0)</f>
        <v>0</v>
      </c>
      <c r="R32" s="620" cm="1">
        <f t="array" aca="1" ref="R32" ca="1">IF(AUTOEVENTO="Manual",ROUND(SUMPRODUCT((CÁLCULO!$M$15:$M$162=EVENTOS!$C32)*(OFFSET(CÁLCULO!$AA$15:$AA$162,0,R$13))),2),0)</f>
        <v>0</v>
      </c>
      <c r="S32" s="620" cm="1">
        <f t="array" aca="1" ref="S32" ca="1">IF(AUTOEVENTO="Manual",ROUND(SUMPRODUCT((CÁLCULO!$M$15:$M$162=EVENTOS!$C32)*(OFFSET(CÁLCULO!$AA$15:$AA$162,0,S$13))),2),0)</f>
        <v>0</v>
      </c>
      <c r="T32" s="620" cm="1">
        <f t="array" aca="1" ref="T32" ca="1">IF(AUTOEVENTO="Manual",ROUND(SUMPRODUCT((CÁLCULO!$M$15:$M$162=EVENTOS!$C32)*(OFFSET(CÁLCULO!$AA$15:$AA$162,0,T$13))),2),0)</f>
        <v>0</v>
      </c>
      <c r="U32" s="620" cm="1">
        <f t="array" aca="1" ref="U32" ca="1">IF(AUTOEVENTO="Manual",ROUND(SUMPRODUCT((CÁLCULO!$M$15:$M$162=EVENTOS!$C32)*(OFFSET(CÁLCULO!$AA$15:$AA$162,0,U$13))),2),0)</f>
        <v>0</v>
      </c>
      <c r="V32" s="620" cm="1">
        <f t="array" aca="1" ref="V32" ca="1">IF(AUTOEVENTO="Manual",ROUND(SUMPRODUCT((CÁLCULO!$M$15:$M$162=EVENTOS!$C32)*(OFFSET(CÁLCULO!$AA$15:$AA$162,0,V$13))),2),0)</f>
        <v>0</v>
      </c>
      <c r="W32" s="620" cm="1">
        <f t="array" aca="1" ref="W32" ca="1">IF(AUTOEVENTO="Manual",ROUND(SUMPRODUCT((CÁLCULO!$M$15:$M$162=EVENTOS!$C32)*(OFFSET(CÁLCULO!$AA$15:$AA$162,0,W$13))),2),0)</f>
        <v>0</v>
      </c>
      <c r="X32" s="620" cm="1">
        <f t="array" aca="1" ref="X32" ca="1">IF(AUTOEVENTO="Manual",ROUND(SUMPRODUCT((CÁLCULO!$M$15:$M$162=EVENTOS!$C32)*(OFFSET(CÁLCULO!$AA$15:$AA$162,0,X$13))),2),0)</f>
        <v>0</v>
      </c>
      <c r="Y32" s="620" cm="1">
        <f t="array" aca="1" ref="Y32" ca="1">IF(AUTOEVENTO="Manual",ROUND(SUMPRODUCT((CÁLCULO!$M$15:$M$162=EVENTOS!$C32)*(OFFSET(CÁLCULO!$AA$15:$AA$162,0,Y$13))),2),0)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IF(AUTOEVENTO="Manual",ROUND(SUMPRODUCT((CÁLCULO!$M$15:$M$162=EVENTOS!$C33)*(OFFSET(CÁLCULO!$AA$15:$AA$162,0,E$13))),2),0)</f>
        <v>0</v>
      </c>
      <c r="F33" s="183">
        <f ca="1">IF(AUTOEVENTO="Manual",ROUND(SUMPRODUCT((CÁLCULO!$M$15:$M$162=EVENTOS!$C33)*(OFFSET(CÁLCULO!$AA$15,0,1):OFFSET(CÁLCULO!$AL$162,0,-1))),2),0)</f>
        <v>0</v>
      </c>
      <c r="G33" s="621" t="str">
        <f t="shared" ca="1" si="5"/>
        <v/>
      </c>
      <c r="H33" s="620" cm="1">
        <f t="array" aca="1" ref="H33" ca="1">IF(AUTOEVENTO="Manual",ROUND(SUMPRODUCT((CÁLCULO!$M$15:$M$162=EVENTOS!$C33)*(OFFSET(CÁLCULO!$AA$15:$AA$162,0,H$13))),2),0)</f>
        <v>0</v>
      </c>
      <c r="I33" s="620" cm="1">
        <f t="array" aca="1" ref="I33" ca="1">IF(AUTOEVENTO="Manual",ROUND(SUMPRODUCT((CÁLCULO!$M$15:$M$162=EVENTOS!$C33)*(OFFSET(CÁLCULO!$AA$15:$AA$162,0,I$13))),2),0)</f>
        <v>0</v>
      </c>
      <c r="J33" s="620" cm="1">
        <f t="array" aca="1" ref="J33" ca="1">IF(AUTOEVENTO="Manual",ROUND(SUMPRODUCT((CÁLCULO!$M$15:$M$162=EVENTOS!$C33)*(OFFSET(CÁLCULO!$AA$15:$AA$162,0,J$13))),2),0)</f>
        <v>0</v>
      </c>
      <c r="K33" s="620" cm="1">
        <f t="array" aca="1" ref="K33" ca="1">IF(AUTOEVENTO="Manual",ROUND(SUMPRODUCT((CÁLCULO!$M$15:$M$162=EVENTOS!$C33)*(OFFSET(CÁLCULO!$AA$15:$AA$162,0,K$13))),2),0)</f>
        <v>0</v>
      </c>
      <c r="L33" s="620" cm="1">
        <f t="array" aca="1" ref="L33" ca="1">IF(AUTOEVENTO="Manual",ROUND(SUMPRODUCT((CÁLCULO!$M$15:$M$162=EVENTOS!$C33)*(OFFSET(CÁLCULO!$AA$15:$AA$162,0,L$13))),2),0)</f>
        <v>0</v>
      </c>
      <c r="M33" s="620" cm="1">
        <f t="array" aca="1" ref="M33" ca="1">IF(AUTOEVENTO="Manual",ROUND(SUMPRODUCT((CÁLCULO!$M$15:$M$162=EVENTOS!$C33)*(OFFSET(CÁLCULO!$AA$15:$AA$162,0,M$13))),2),0)</f>
        <v>0</v>
      </c>
      <c r="N33" s="620" cm="1">
        <f t="array" aca="1" ref="N33" ca="1">IF(AUTOEVENTO="Manual",ROUND(SUMPRODUCT((CÁLCULO!$M$15:$M$162=EVENTOS!$C33)*(OFFSET(CÁLCULO!$AA$15:$AA$162,0,N$13))),2),0)</f>
        <v>0</v>
      </c>
      <c r="O33" s="620" cm="1">
        <f t="array" aca="1" ref="O33" ca="1">IF(AUTOEVENTO="Manual",ROUND(SUMPRODUCT((CÁLCULO!$M$15:$M$162=EVENTOS!$C33)*(OFFSET(CÁLCULO!$AA$15:$AA$162,0,O$13))),2),0)</f>
        <v>0</v>
      </c>
      <c r="P33" s="620" cm="1">
        <f t="array" aca="1" ref="P33" ca="1">IF(AUTOEVENTO="Manual",ROUND(SUMPRODUCT((CÁLCULO!$M$15:$M$162=EVENTOS!$C33)*(OFFSET(CÁLCULO!$AA$15:$AA$162,0,P$13))),2),0)</f>
        <v>0</v>
      </c>
      <c r="Q33" s="620" cm="1">
        <f t="array" aca="1" ref="Q33" ca="1">IF(AUTOEVENTO="Manual",ROUND(SUMPRODUCT((CÁLCULO!$M$15:$M$162=EVENTOS!$C33)*(OFFSET(CÁLCULO!$AA$15:$AA$162,0,Q$13))),2),0)</f>
        <v>0</v>
      </c>
      <c r="R33" s="620" cm="1">
        <f t="array" aca="1" ref="R33" ca="1">IF(AUTOEVENTO="Manual",ROUND(SUMPRODUCT((CÁLCULO!$M$15:$M$162=EVENTOS!$C33)*(OFFSET(CÁLCULO!$AA$15:$AA$162,0,R$13))),2),0)</f>
        <v>0</v>
      </c>
      <c r="S33" s="620" cm="1">
        <f t="array" aca="1" ref="S33" ca="1">IF(AUTOEVENTO="Manual",ROUND(SUMPRODUCT((CÁLCULO!$M$15:$M$162=EVENTOS!$C33)*(OFFSET(CÁLCULO!$AA$15:$AA$162,0,S$13))),2),0)</f>
        <v>0</v>
      </c>
      <c r="T33" s="620" cm="1">
        <f t="array" aca="1" ref="T33" ca="1">IF(AUTOEVENTO="Manual",ROUND(SUMPRODUCT((CÁLCULO!$M$15:$M$162=EVENTOS!$C33)*(OFFSET(CÁLCULO!$AA$15:$AA$162,0,T$13))),2),0)</f>
        <v>0</v>
      </c>
      <c r="U33" s="620" cm="1">
        <f t="array" aca="1" ref="U33" ca="1">IF(AUTOEVENTO="Manual",ROUND(SUMPRODUCT((CÁLCULO!$M$15:$M$162=EVENTOS!$C33)*(OFFSET(CÁLCULO!$AA$15:$AA$162,0,U$13))),2),0)</f>
        <v>0</v>
      </c>
      <c r="V33" s="620" cm="1">
        <f t="array" aca="1" ref="V33" ca="1">IF(AUTOEVENTO="Manual",ROUND(SUMPRODUCT((CÁLCULO!$M$15:$M$162=EVENTOS!$C33)*(OFFSET(CÁLCULO!$AA$15:$AA$162,0,V$13))),2),0)</f>
        <v>0</v>
      </c>
      <c r="W33" s="620" cm="1">
        <f t="array" aca="1" ref="W33" ca="1">IF(AUTOEVENTO="Manual",ROUND(SUMPRODUCT((CÁLCULO!$M$15:$M$162=EVENTOS!$C33)*(OFFSET(CÁLCULO!$AA$15:$AA$162,0,W$13))),2),0)</f>
        <v>0</v>
      </c>
      <c r="X33" s="620" cm="1">
        <f t="array" aca="1" ref="X33" ca="1">IF(AUTOEVENTO="Manual",ROUND(SUMPRODUCT((CÁLCULO!$M$15:$M$162=EVENTOS!$C33)*(OFFSET(CÁLCULO!$AA$15:$AA$162,0,X$13))),2),0)</f>
        <v>0</v>
      </c>
      <c r="Y33" s="620" cm="1">
        <f t="array" aca="1" ref="Y33" ca="1">IF(AUTOEVENTO="Manual",ROUND(SUMPRODUCT((CÁLCULO!$M$15:$M$162=EVENTOS!$C33)*(OFFSET(CÁLCULO!$AA$15:$AA$162,0,Y$13))),2),0)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IF(AUTOEVENTO="Manual",ROUND(SUMPRODUCT((CÁLCULO!$M$15:$M$162=EVENTOS!$C34)*(OFFSET(CÁLCULO!$AA$15:$AA$162,0,E$13))),2),0)</f>
        <v>0</v>
      </c>
      <c r="F34" s="183">
        <f ca="1">IF(AUTOEVENTO="Manual",ROUND(SUMPRODUCT((CÁLCULO!$M$15:$M$162=EVENTOS!$C34)*(OFFSET(CÁLCULO!$AA$15,0,1):OFFSET(CÁLCULO!$AL$162,0,-1))),2),0)</f>
        <v>0</v>
      </c>
      <c r="G34" s="621" t="str">
        <f t="shared" ca="1" si="5"/>
        <v/>
      </c>
      <c r="H34" s="620" cm="1">
        <f t="array" aca="1" ref="H34" ca="1">IF(AUTOEVENTO="Manual",ROUND(SUMPRODUCT((CÁLCULO!$M$15:$M$162=EVENTOS!$C34)*(OFFSET(CÁLCULO!$AA$15:$AA$162,0,H$13))),2),0)</f>
        <v>0</v>
      </c>
      <c r="I34" s="620" cm="1">
        <f t="array" aca="1" ref="I34" ca="1">IF(AUTOEVENTO="Manual",ROUND(SUMPRODUCT((CÁLCULO!$M$15:$M$162=EVENTOS!$C34)*(OFFSET(CÁLCULO!$AA$15:$AA$162,0,I$13))),2),0)</f>
        <v>0</v>
      </c>
      <c r="J34" s="620" cm="1">
        <f t="array" aca="1" ref="J34" ca="1">IF(AUTOEVENTO="Manual",ROUND(SUMPRODUCT((CÁLCULO!$M$15:$M$162=EVENTOS!$C34)*(OFFSET(CÁLCULO!$AA$15:$AA$162,0,J$13))),2),0)</f>
        <v>0</v>
      </c>
      <c r="K34" s="620" cm="1">
        <f t="array" aca="1" ref="K34" ca="1">IF(AUTOEVENTO="Manual",ROUND(SUMPRODUCT((CÁLCULO!$M$15:$M$162=EVENTOS!$C34)*(OFFSET(CÁLCULO!$AA$15:$AA$162,0,K$13))),2),0)</f>
        <v>0</v>
      </c>
      <c r="L34" s="620" cm="1">
        <f t="array" aca="1" ref="L34" ca="1">IF(AUTOEVENTO="Manual",ROUND(SUMPRODUCT((CÁLCULO!$M$15:$M$162=EVENTOS!$C34)*(OFFSET(CÁLCULO!$AA$15:$AA$162,0,L$13))),2),0)</f>
        <v>0</v>
      </c>
      <c r="M34" s="620" cm="1">
        <f t="array" aca="1" ref="M34" ca="1">IF(AUTOEVENTO="Manual",ROUND(SUMPRODUCT((CÁLCULO!$M$15:$M$162=EVENTOS!$C34)*(OFFSET(CÁLCULO!$AA$15:$AA$162,0,M$13))),2),0)</f>
        <v>0</v>
      </c>
      <c r="N34" s="620" cm="1">
        <f t="array" aca="1" ref="N34" ca="1">IF(AUTOEVENTO="Manual",ROUND(SUMPRODUCT((CÁLCULO!$M$15:$M$162=EVENTOS!$C34)*(OFFSET(CÁLCULO!$AA$15:$AA$162,0,N$13))),2),0)</f>
        <v>0</v>
      </c>
      <c r="O34" s="620" cm="1">
        <f t="array" aca="1" ref="O34" ca="1">IF(AUTOEVENTO="Manual",ROUND(SUMPRODUCT((CÁLCULO!$M$15:$M$162=EVENTOS!$C34)*(OFFSET(CÁLCULO!$AA$15:$AA$162,0,O$13))),2),0)</f>
        <v>0</v>
      </c>
      <c r="P34" s="620" cm="1">
        <f t="array" aca="1" ref="P34" ca="1">IF(AUTOEVENTO="Manual",ROUND(SUMPRODUCT((CÁLCULO!$M$15:$M$162=EVENTOS!$C34)*(OFFSET(CÁLCULO!$AA$15:$AA$162,0,P$13))),2),0)</f>
        <v>0</v>
      </c>
      <c r="Q34" s="620" cm="1">
        <f t="array" aca="1" ref="Q34" ca="1">IF(AUTOEVENTO="Manual",ROUND(SUMPRODUCT((CÁLCULO!$M$15:$M$162=EVENTOS!$C34)*(OFFSET(CÁLCULO!$AA$15:$AA$162,0,Q$13))),2),0)</f>
        <v>0</v>
      </c>
      <c r="R34" s="620" cm="1">
        <f t="array" aca="1" ref="R34" ca="1">IF(AUTOEVENTO="Manual",ROUND(SUMPRODUCT((CÁLCULO!$M$15:$M$162=EVENTOS!$C34)*(OFFSET(CÁLCULO!$AA$15:$AA$162,0,R$13))),2),0)</f>
        <v>0</v>
      </c>
      <c r="S34" s="620" cm="1">
        <f t="array" aca="1" ref="S34" ca="1">IF(AUTOEVENTO="Manual",ROUND(SUMPRODUCT((CÁLCULO!$M$15:$M$162=EVENTOS!$C34)*(OFFSET(CÁLCULO!$AA$15:$AA$162,0,S$13))),2),0)</f>
        <v>0</v>
      </c>
      <c r="T34" s="620" cm="1">
        <f t="array" aca="1" ref="T34" ca="1">IF(AUTOEVENTO="Manual",ROUND(SUMPRODUCT((CÁLCULO!$M$15:$M$162=EVENTOS!$C34)*(OFFSET(CÁLCULO!$AA$15:$AA$162,0,T$13))),2),0)</f>
        <v>0</v>
      </c>
      <c r="U34" s="620" cm="1">
        <f t="array" aca="1" ref="U34" ca="1">IF(AUTOEVENTO="Manual",ROUND(SUMPRODUCT((CÁLCULO!$M$15:$M$162=EVENTOS!$C34)*(OFFSET(CÁLCULO!$AA$15:$AA$162,0,U$13))),2),0)</f>
        <v>0</v>
      </c>
      <c r="V34" s="620" cm="1">
        <f t="array" aca="1" ref="V34" ca="1">IF(AUTOEVENTO="Manual",ROUND(SUMPRODUCT((CÁLCULO!$M$15:$M$162=EVENTOS!$C34)*(OFFSET(CÁLCULO!$AA$15:$AA$162,0,V$13))),2),0)</f>
        <v>0</v>
      </c>
      <c r="W34" s="620" cm="1">
        <f t="array" aca="1" ref="W34" ca="1">IF(AUTOEVENTO="Manual",ROUND(SUMPRODUCT((CÁLCULO!$M$15:$M$162=EVENTOS!$C34)*(OFFSET(CÁLCULO!$AA$15:$AA$162,0,W$13))),2),0)</f>
        <v>0</v>
      </c>
      <c r="X34" s="620" cm="1">
        <f t="array" aca="1" ref="X34" ca="1">IF(AUTOEVENTO="Manual",ROUND(SUMPRODUCT((CÁLCULO!$M$15:$M$162=EVENTOS!$C34)*(OFFSET(CÁLCULO!$AA$15:$AA$162,0,X$13))),2),0)</f>
        <v>0</v>
      </c>
      <c r="Y34" s="620" cm="1">
        <f t="array" aca="1" ref="Y34" ca="1">IF(AUTOEVENTO="Manual",ROUND(SUMPRODUCT((CÁLCULO!$M$15:$M$162=EVENTOS!$C34)*(OFFSET(CÁLCULO!$AA$15:$AA$162,0,Y$13))),2),0)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IF(AUTOEVENTO="Manual",ROUND(SUMPRODUCT((CÁLCULO!$M$15:$M$162=EVENTOS!$C35)*(OFFSET(CÁLCULO!$AA$15:$AA$162,0,E$13))),2),0)</f>
        <v>0</v>
      </c>
      <c r="F35" s="183">
        <f ca="1">IF(AUTOEVENTO="Manual",ROUND(SUMPRODUCT((CÁLCULO!$M$15:$M$162=EVENTOS!$C35)*(OFFSET(CÁLCULO!$AA$15,0,1):OFFSET(CÁLCULO!$AL$162,0,-1))),2),0)</f>
        <v>0</v>
      </c>
      <c r="G35" s="621" t="str">
        <f t="shared" ca="1" si="5"/>
        <v/>
      </c>
      <c r="H35" s="620" cm="1">
        <f t="array" aca="1" ref="H35" ca="1">IF(AUTOEVENTO="Manual",ROUND(SUMPRODUCT((CÁLCULO!$M$15:$M$162=EVENTOS!$C35)*(OFFSET(CÁLCULO!$AA$15:$AA$162,0,H$13))),2),0)</f>
        <v>0</v>
      </c>
      <c r="I35" s="620" cm="1">
        <f t="array" aca="1" ref="I35" ca="1">IF(AUTOEVENTO="Manual",ROUND(SUMPRODUCT((CÁLCULO!$M$15:$M$162=EVENTOS!$C35)*(OFFSET(CÁLCULO!$AA$15:$AA$162,0,I$13))),2),0)</f>
        <v>0</v>
      </c>
      <c r="J35" s="620" cm="1">
        <f t="array" aca="1" ref="J35" ca="1">IF(AUTOEVENTO="Manual",ROUND(SUMPRODUCT((CÁLCULO!$M$15:$M$162=EVENTOS!$C35)*(OFFSET(CÁLCULO!$AA$15:$AA$162,0,J$13))),2),0)</f>
        <v>0</v>
      </c>
      <c r="K35" s="620" cm="1">
        <f t="array" aca="1" ref="K35" ca="1">IF(AUTOEVENTO="Manual",ROUND(SUMPRODUCT((CÁLCULO!$M$15:$M$162=EVENTOS!$C35)*(OFFSET(CÁLCULO!$AA$15:$AA$162,0,K$13))),2),0)</f>
        <v>0</v>
      </c>
      <c r="L35" s="620" cm="1">
        <f t="array" aca="1" ref="L35" ca="1">IF(AUTOEVENTO="Manual",ROUND(SUMPRODUCT((CÁLCULO!$M$15:$M$162=EVENTOS!$C35)*(OFFSET(CÁLCULO!$AA$15:$AA$162,0,L$13))),2),0)</f>
        <v>0</v>
      </c>
      <c r="M35" s="620" cm="1">
        <f t="array" aca="1" ref="M35" ca="1">IF(AUTOEVENTO="Manual",ROUND(SUMPRODUCT((CÁLCULO!$M$15:$M$162=EVENTOS!$C35)*(OFFSET(CÁLCULO!$AA$15:$AA$162,0,M$13))),2),0)</f>
        <v>0</v>
      </c>
      <c r="N35" s="620" cm="1">
        <f t="array" aca="1" ref="N35" ca="1">IF(AUTOEVENTO="Manual",ROUND(SUMPRODUCT((CÁLCULO!$M$15:$M$162=EVENTOS!$C35)*(OFFSET(CÁLCULO!$AA$15:$AA$162,0,N$13))),2),0)</f>
        <v>0</v>
      </c>
      <c r="O35" s="620" cm="1">
        <f t="array" aca="1" ref="O35" ca="1">IF(AUTOEVENTO="Manual",ROUND(SUMPRODUCT((CÁLCULO!$M$15:$M$162=EVENTOS!$C35)*(OFFSET(CÁLCULO!$AA$15:$AA$162,0,O$13))),2),0)</f>
        <v>0</v>
      </c>
      <c r="P35" s="620" cm="1">
        <f t="array" aca="1" ref="P35" ca="1">IF(AUTOEVENTO="Manual",ROUND(SUMPRODUCT((CÁLCULO!$M$15:$M$162=EVENTOS!$C35)*(OFFSET(CÁLCULO!$AA$15:$AA$162,0,P$13))),2),0)</f>
        <v>0</v>
      </c>
      <c r="Q35" s="620" cm="1">
        <f t="array" aca="1" ref="Q35" ca="1">IF(AUTOEVENTO="Manual",ROUND(SUMPRODUCT((CÁLCULO!$M$15:$M$162=EVENTOS!$C35)*(OFFSET(CÁLCULO!$AA$15:$AA$162,0,Q$13))),2),0)</f>
        <v>0</v>
      </c>
      <c r="R35" s="620" cm="1">
        <f t="array" aca="1" ref="R35" ca="1">IF(AUTOEVENTO="Manual",ROUND(SUMPRODUCT((CÁLCULO!$M$15:$M$162=EVENTOS!$C35)*(OFFSET(CÁLCULO!$AA$15:$AA$162,0,R$13))),2),0)</f>
        <v>0</v>
      </c>
      <c r="S35" s="620" cm="1">
        <f t="array" aca="1" ref="S35" ca="1">IF(AUTOEVENTO="Manual",ROUND(SUMPRODUCT((CÁLCULO!$M$15:$M$162=EVENTOS!$C35)*(OFFSET(CÁLCULO!$AA$15:$AA$162,0,S$13))),2),0)</f>
        <v>0</v>
      </c>
      <c r="T35" s="620" cm="1">
        <f t="array" aca="1" ref="T35" ca="1">IF(AUTOEVENTO="Manual",ROUND(SUMPRODUCT((CÁLCULO!$M$15:$M$162=EVENTOS!$C35)*(OFFSET(CÁLCULO!$AA$15:$AA$162,0,T$13))),2),0)</f>
        <v>0</v>
      </c>
      <c r="U35" s="620" cm="1">
        <f t="array" aca="1" ref="U35" ca="1">IF(AUTOEVENTO="Manual",ROUND(SUMPRODUCT((CÁLCULO!$M$15:$M$162=EVENTOS!$C35)*(OFFSET(CÁLCULO!$AA$15:$AA$162,0,U$13))),2),0)</f>
        <v>0</v>
      </c>
      <c r="V35" s="620" cm="1">
        <f t="array" aca="1" ref="V35" ca="1">IF(AUTOEVENTO="Manual",ROUND(SUMPRODUCT((CÁLCULO!$M$15:$M$162=EVENTOS!$C35)*(OFFSET(CÁLCULO!$AA$15:$AA$162,0,V$13))),2),0)</f>
        <v>0</v>
      </c>
      <c r="W35" s="620" cm="1">
        <f t="array" aca="1" ref="W35" ca="1">IF(AUTOEVENTO="Manual",ROUND(SUMPRODUCT((CÁLCULO!$M$15:$M$162=EVENTOS!$C35)*(OFFSET(CÁLCULO!$AA$15:$AA$162,0,W$13))),2),0)</f>
        <v>0</v>
      </c>
      <c r="X35" s="620" cm="1">
        <f t="array" aca="1" ref="X35" ca="1">IF(AUTOEVENTO="Manual",ROUND(SUMPRODUCT((CÁLCULO!$M$15:$M$162=EVENTOS!$C35)*(OFFSET(CÁLCULO!$AA$15:$AA$162,0,X$13))),2),0)</f>
        <v>0</v>
      </c>
      <c r="Y35" s="620" cm="1">
        <f t="array" aca="1" ref="Y35" ca="1">IF(AUTOEVENTO="Manual",ROUND(SUMPRODUCT((CÁLCULO!$M$15:$M$162=EVENTOS!$C35)*(OFFSET(CÁLCULO!$AA$15:$AA$162,0,Y$13))),2),0)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IF(AUTOEVENTO="Manual",ROUND(SUMPRODUCT((CÁLCULO!$M$15:$M$162=EVENTOS!$C36)*(OFFSET(CÁLCULO!$AA$15:$AA$162,0,E$13))),2),0)</f>
        <v>0</v>
      </c>
      <c r="F36" s="183">
        <f ca="1">IF(AUTOEVENTO="Manual",ROUND(SUMPRODUCT((CÁLCULO!$M$15:$M$162=EVENTOS!$C36)*(OFFSET(CÁLCULO!$AA$15,0,1):OFFSET(CÁLCULO!$AL$162,0,-1))),2),0)</f>
        <v>0</v>
      </c>
      <c r="G36" s="621" t="str">
        <f t="shared" ca="1" si="5"/>
        <v/>
      </c>
      <c r="H36" s="620" cm="1">
        <f t="array" aca="1" ref="H36" ca="1">IF(AUTOEVENTO="Manual",ROUND(SUMPRODUCT((CÁLCULO!$M$15:$M$162=EVENTOS!$C36)*(OFFSET(CÁLCULO!$AA$15:$AA$162,0,H$13))),2),0)</f>
        <v>0</v>
      </c>
      <c r="I36" s="620" cm="1">
        <f t="array" aca="1" ref="I36" ca="1">IF(AUTOEVENTO="Manual",ROUND(SUMPRODUCT((CÁLCULO!$M$15:$M$162=EVENTOS!$C36)*(OFFSET(CÁLCULO!$AA$15:$AA$162,0,I$13))),2),0)</f>
        <v>0</v>
      </c>
      <c r="J36" s="620" cm="1">
        <f t="array" aca="1" ref="J36" ca="1">IF(AUTOEVENTO="Manual",ROUND(SUMPRODUCT((CÁLCULO!$M$15:$M$162=EVENTOS!$C36)*(OFFSET(CÁLCULO!$AA$15:$AA$162,0,J$13))),2),0)</f>
        <v>0</v>
      </c>
      <c r="K36" s="620" cm="1">
        <f t="array" aca="1" ref="K36" ca="1">IF(AUTOEVENTO="Manual",ROUND(SUMPRODUCT((CÁLCULO!$M$15:$M$162=EVENTOS!$C36)*(OFFSET(CÁLCULO!$AA$15:$AA$162,0,K$13))),2),0)</f>
        <v>0</v>
      </c>
      <c r="L36" s="620" cm="1">
        <f t="array" aca="1" ref="L36" ca="1">IF(AUTOEVENTO="Manual",ROUND(SUMPRODUCT((CÁLCULO!$M$15:$M$162=EVENTOS!$C36)*(OFFSET(CÁLCULO!$AA$15:$AA$162,0,L$13))),2),0)</f>
        <v>0</v>
      </c>
      <c r="M36" s="620" cm="1">
        <f t="array" aca="1" ref="M36" ca="1">IF(AUTOEVENTO="Manual",ROUND(SUMPRODUCT((CÁLCULO!$M$15:$M$162=EVENTOS!$C36)*(OFFSET(CÁLCULO!$AA$15:$AA$162,0,M$13))),2),0)</f>
        <v>0</v>
      </c>
      <c r="N36" s="620" cm="1">
        <f t="array" aca="1" ref="N36" ca="1">IF(AUTOEVENTO="Manual",ROUND(SUMPRODUCT((CÁLCULO!$M$15:$M$162=EVENTOS!$C36)*(OFFSET(CÁLCULO!$AA$15:$AA$162,0,N$13))),2),0)</f>
        <v>0</v>
      </c>
      <c r="O36" s="620" cm="1">
        <f t="array" aca="1" ref="O36" ca="1">IF(AUTOEVENTO="Manual",ROUND(SUMPRODUCT((CÁLCULO!$M$15:$M$162=EVENTOS!$C36)*(OFFSET(CÁLCULO!$AA$15:$AA$162,0,O$13))),2),0)</f>
        <v>0</v>
      </c>
      <c r="P36" s="620" cm="1">
        <f t="array" aca="1" ref="P36" ca="1">IF(AUTOEVENTO="Manual",ROUND(SUMPRODUCT((CÁLCULO!$M$15:$M$162=EVENTOS!$C36)*(OFFSET(CÁLCULO!$AA$15:$AA$162,0,P$13))),2),0)</f>
        <v>0</v>
      </c>
      <c r="Q36" s="620" cm="1">
        <f t="array" aca="1" ref="Q36" ca="1">IF(AUTOEVENTO="Manual",ROUND(SUMPRODUCT((CÁLCULO!$M$15:$M$162=EVENTOS!$C36)*(OFFSET(CÁLCULO!$AA$15:$AA$162,0,Q$13))),2),0)</f>
        <v>0</v>
      </c>
      <c r="R36" s="620" cm="1">
        <f t="array" aca="1" ref="R36" ca="1">IF(AUTOEVENTO="Manual",ROUND(SUMPRODUCT((CÁLCULO!$M$15:$M$162=EVENTOS!$C36)*(OFFSET(CÁLCULO!$AA$15:$AA$162,0,R$13))),2),0)</f>
        <v>0</v>
      </c>
      <c r="S36" s="620" cm="1">
        <f t="array" aca="1" ref="S36" ca="1">IF(AUTOEVENTO="Manual",ROUND(SUMPRODUCT((CÁLCULO!$M$15:$M$162=EVENTOS!$C36)*(OFFSET(CÁLCULO!$AA$15:$AA$162,0,S$13))),2),0)</f>
        <v>0</v>
      </c>
      <c r="T36" s="620" cm="1">
        <f t="array" aca="1" ref="T36" ca="1">IF(AUTOEVENTO="Manual",ROUND(SUMPRODUCT((CÁLCULO!$M$15:$M$162=EVENTOS!$C36)*(OFFSET(CÁLCULO!$AA$15:$AA$162,0,T$13))),2),0)</f>
        <v>0</v>
      </c>
      <c r="U36" s="620" cm="1">
        <f t="array" aca="1" ref="U36" ca="1">IF(AUTOEVENTO="Manual",ROUND(SUMPRODUCT((CÁLCULO!$M$15:$M$162=EVENTOS!$C36)*(OFFSET(CÁLCULO!$AA$15:$AA$162,0,U$13))),2),0)</f>
        <v>0</v>
      </c>
      <c r="V36" s="620" cm="1">
        <f t="array" aca="1" ref="V36" ca="1">IF(AUTOEVENTO="Manual",ROUND(SUMPRODUCT((CÁLCULO!$M$15:$M$162=EVENTOS!$C36)*(OFFSET(CÁLCULO!$AA$15:$AA$162,0,V$13))),2),0)</f>
        <v>0</v>
      </c>
      <c r="W36" s="620" cm="1">
        <f t="array" aca="1" ref="W36" ca="1">IF(AUTOEVENTO="Manual",ROUND(SUMPRODUCT((CÁLCULO!$M$15:$M$162=EVENTOS!$C36)*(OFFSET(CÁLCULO!$AA$15:$AA$162,0,W$13))),2),0)</f>
        <v>0</v>
      </c>
      <c r="X36" s="620" cm="1">
        <f t="array" aca="1" ref="X36" ca="1">IF(AUTOEVENTO="Manual",ROUND(SUMPRODUCT((CÁLCULO!$M$15:$M$162=EVENTOS!$C36)*(OFFSET(CÁLCULO!$AA$15:$AA$162,0,X$13))),2),0)</f>
        <v>0</v>
      </c>
      <c r="Y36" s="620" cm="1">
        <f t="array" aca="1" ref="Y36" ca="1">IF(AUTOEVENTO="Manual",ROUND(SUMPRODUCT((CÁLCULO!$M$15:$M$162=EVENTOS!$C36)*(OFFSET(CÁLCULO!$AA$15:$AA$162,0,Y$13))),2),0)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IF(AUTOEVENTO="Manual",ROUND(SUMPRODUCT((CÁLCULO!$M$15:$M$162=EVENTOS!$C37)*(OFFSET(CÁLCULO!$AA$15:$AA$162,0,E$13))),2),0)</f>
        <v>0</v>
      </c>
      <c r="F37" s="183">
        <f ca="1">IF(AUTOEVENTO="Manual",ROUND(SUMPRODUCT((CÁLCULO!$M$15:$M$162=EVENTOS!$C37)*(OFFSET(CÁLCULO!$AA$15,0,1):OFFSET(CÁLCULO!$AL$162,0,-1))),2),0)</f>
        <v>0</v>
      </c>
      <c r="G37" s="621" t="str">
        <f t="shared" ca="1" si="5"/>
        <v/>
      </c>
      <c r="H37" s="620" cm="1">
        <f t="array" aca="1" ref="H37" ca="1">IF(AUTOEVENTO="Manual",ROUND(SUMPRODUCT((CÁLCULO!$M$15:$M$162=EVENTOS!$C37)*(OFFSET(CÁLCULO!$AA$15:$AA$162,0,H$13))),2),0)</f>
        <v>0</v>
      </c>
      <c r="I37" s="620" cm="1">
        <f t="array" aca="1" ref="I37" ca="1">IF(AUTOEVENTO="Manual",ROUND(SUMPRODUCT((CÁLCULO!$M$15:$M$162=EVENTOS!$C37)*(OFFSET(CÁLCULO!$AA$15:$AA$162,0,I$13))),2),0)</f>
        <v>0</v>
      </c>
      <c r="J37" s="620" cm="1">
        <f t="array" aca="1" ref="J37" ca="1">IF(AUTOEVENTO="Manual",ROUND(SUMPRODUCT((CÁLCULO!$M$15:$M$162=EVENTOS!$C37)*(OFFSET(CÁLCULO!$AA$15:$AA$162,0,J$13))),2),0)</f>
        <v>0</v>
      </c>
      <c r="K37" s="620" cm="1">
        <f t="array" aca="1" ref="K37" ca="1">IF(AUTOEVENTO="Manual",ROUND(SUMPRODUCT((CÁLCULO!$M$15:$M$162=EVENTOS!$C37)*(OFFSET(CÁLCULO!$AA$15:$AA$162,0,K$13))),2),0)</f>
        <v>0</v>
      </c>
      <c r="L37" s="620" cm="1">
        <f t="array" aca="1" ref="L37" ca="1">IF(AUTOEVENTO="Manual",ROUND(SUMPRODUCT((CÁLCULO!$M$15:$M$162=EVENTOS!$C37)*(OFFSET(CÁLCULO!$AA$15:$AA$162,0,L$13))),2),0)</f>
        <v>0</v>
      </c>
      <c r="M37" s="620" cm="1">
        <f t="array" aca="1" ref="M37" ca="1">IF(AUTOEVENTO="Manual",ROUND(SUMPRODUCT((CÁLCULO!$M$15:$M$162=EVENTOS!$C37)*(OFFSET(CÁLCULO!$AA$15:$AA$162,0,M$13))),2),0)</f>
        <v>0</v>
      </c>
      <c r="N37" s="620" cm="1">
        <f t="array" aca="1" ref="N37" ca="1">IF(AUTOEVENTO="Manual",ROUND(SUMPRODUCT((CÁLCULO!$M$15:$M$162=EVENTOS!$C37)*(OFFSET(CÁLCULO!$AA$15:$AA$162,0,N$13))),2),0)</f>
        <v>0</v>
      </c>
      <c r="O37" s="620" cm="1">
        <f t="array" aca="1" ref="O37" ca="1">IF(AUTOEVENTO="Manual",ROUND(SUMPRODUCT((CÁLCULO!$M$15:$M$162=EVENTOS!$C37)*(OFFSET(CÁLCULO!$AA$15:$AA$162,0,O$13))),2),0)</f>
        <v>0</v>
      </c>
      <c r="P37" s="620" cm="1">
        <f t="array" aca="1" ref="P37" ca="1">IF(AUTOEVENTO="Manual",ROUND(SUMPRODUCT((CÁLCULO!$M$15:$M$162=EVENTOS!$C37)*(OFFSET(CÁLCULO!$AA$15:$AA$162,0,P$13))),2),0)</f>
        <v>0</v>
      </c>
      <c r="Q37" s="620" cm="1">
        <f t="array" aca="1" ref="Q37" ca="1">IF(AUTOEVENTO="Manual",ROUND(SUMPRODUCT((CÁLCULO!$M$15:$M$162=EVENTOS!$C37)*(OFFSET(CÁLCULO!$AA$15:$AA$162,0,Q$13))),2),0)</f>
        <v>0</v>
      </c>
      <c r="R37" s="620" cm="1">
        <f t="array" aca="1" ref="R37" ca="1">IF(AUTOEVENTO="Manual",ROUND(SUMPRODUCT((CÁLCULO!$M$15:$M$162=EVENTOS!$C37)*(OFFSET(CÁLCULO!$AA$15:$AA$162,0,R$13))),2),0)</f>
        <v>0</v>
      </c>
      <c r="S37" s="620" cm="1">
        <f t="array" aca="1" ref="S37" ca="1">IF(AUTOEVENTO="Manual",ROUND(SUMPRODUCT((CÁLCULO!$M$15:$M$162=EVENTOS!$C37)*(OFFSET(CÁLCULO!$AA$15:$AA$162,0,S$13))),2),0)</f>
        <v>0</v>
      </c>
      <c r="T37" s="620" cm="1">
        <f t="array" aca="1" ref="T37" ca="1">IF(AUTOEVENTO="Manual",ROUND(SUMPRODUCT((CÁLCULO!$M$15:$M$162=EVENTOS!$C37)*(OFFSET(CÁLCULO!$AA$15:$AA$162,0,T$13))),2),0)</f>
        <v>0</v>
      </c>
      <c r="U37" s="620" cm="1">
        <f t="array" aca="1" ref="U37" ca="1">IF(AUTOEVENTO="Manual",ROUND(SUMPRODUCT((CÁLCULO!$M$15:$M$162=EVENTOS!$C37)*(OFFSET(CÁLCULO!$AA$15:$AA$162,0,U$13))),2),0)</f>
        <v>0</v>
      </c>
      <c r="V37" s="620" cm="1">
        <f t="array" aca="1" ref="V37" ca="1">IF(AUTOEVENTO="Manual",ROUND(SUMPRODUCT((CÁLCULO!$M$15:$M$162=EVENTOS!$C37)*(OFFSET(CÁLCULO!$AA$15:$AA$162,0,V$13))),2),0)</f>
        <v>0</v>
      </c>
      <c r="W37" s="620" cm="1">
        <f t="array" aca="1" ref="W37" ca="1">IF(AUTOEVENTO="Manual",ROUND(SUMPRODUCT((CÁLCULO!$M$15:$M$162=EVENTOS!$C37)*(OFFSET(CÁLCULO!$AA$15:$AA$162,0,W$13))),2),0)</f>
        <v>0</v>
      </c>
      <c r="X37" s="620" cm="1">
        <f t="array" aca="1" ref="X37" ca="1">IF(AUTOEVENTO="Manual",ROUND(SUMPRODUCT((CÁLCULO!$M$15:$M$162=EVENTOS!$C37)*(OFFSET(CÁLCULO!$AA$15:$AA$162,0,X$13))),2),0)</f>
        <v>0</v>
      </c>
      <c r="Y37" s="620" cm="1">
        <f t="array" aca="1" ref="Y37" ca="1">IF(AUTOEVENTO="Manual",ROUND(SUMPRODUCT((CÁLCULO!$M$15:$M$162=EVENTOS!$C37)*(OFFSET(CÁLCULO!$AA$15:$AA$162,0,Y$13))),2),0)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IF(AUTOEVENTO="Manual",ROUND(SUMPRODUCT((CÁLCULO!$M$15:$M$162=EVENTOS!$C38)*(OFFSET(CÁLCULO!$AA$15:$AA$162,0,E$13))),2),0)</f>
        <v>0</v>
      </c>
      <c r="F38" s="183">
        <f ca="1">IF(AUTOEVENTO="Manual",ROUND(SUMPRODUCT((CÁLCULO!$M$15:$M$162=EVENTOS!$C38)*(OFFSET(CÁLCULO!$AA$15,0,1):OFFSET(CÁLCULO!$AL$162,0,-1))),2),0)</f>
        <v>0</v>
      </c>
      <c r="G38" s="621" t="str">
        <f t="shared" ca="1" si="5"/>
        <v/>
      </c>
      <c r="H38" s="620" cm="1">
        <f t="array" aca="1" ref="H38" ca="1">IF(AUTOEVENTO="Manual",ROUND(SUMPRODUCT((CÁLCULO!$M$15:$M$162=EVENTOS!$C38)*(OFFSET(CÁLCULO!$AA$15:$AA$162,0,H$13))),2),0)</f>
        <v>0</v>
      </c>
      <c r="I38" s="620" cm="1">
        <f t="array" aca="1" ref="I38" ca="1">IF(AUTOEVENTO="Manual",ROUND(SUMPRODUCT((CÁLCULO!$M$15:$M$162=EVENTOS!$C38)*(OFFSET(CÁLCULO!$AA$15:$AA$162,0,I$13))),2),0)</f>
        <v>0</v>
      </c>
      <c r="J38" s="620" cm="1">
        <f t="array" aca="1" ref="J38" ca="1">IF(AUTOEVENTO="Manual",ROUND(SUMPRODUCT((CÁLCULO!$M$15:$M$162=EVENTOS!$C38)*(OFFSET(CÁLCULO!$AA$15:$AA$162,0,J$13))),2),0)</f>
        <v>0</v>
      </c>
      <c r="K38" s="620" cm="1">
        <f t="array" aca="1" ref="K38" ca="1">IF(AUTOEVENTO="Manual",ROUND(SUMPRODUCT((CÁLCULO!$M$15:$M$162=EVENTOS!$C38)*(OFFSET(CÁLCULO!$AA$15:$AA$162,0,K$13))),2),0)</f>
        <v>0</v>
      </c>
      <c r="L38" s="620" cm="1">
        <f t="array" aca="1" ref="L38" ca="1">IF(AUTOEVENTO="Manual",ROUND(SUMPRODUCT((CÁLCULO!$M$15:$M$162=EVENTOS!$C38)*(OFFSET(CÁLCULO!$AA$15:$AA$162,0,L$13))),2),0)</f>
        <v>0</v>
      </c>
      <c r="M38" s="620" cm="1">
        <f t="array" aca="1" ref="M38" ca="1">IF(AUTOEVENTO="Manual",ROUND(SUMPRODUCT((CÁLCULO!$M$15:$M$162=EVENTOS!$C38)*(OFFSET(CÁLCULO!$AA$15:$AA$162,0,M$13))),2),0)</f>
        <v>0</v>
      </c>
      <c r="N38" s="620" cm="1">
        <f t="array" aca="1" ref="N38" ca="1">IF(AUTOEVENTO="Manual",ROUND(SUMPRODUCT((CÁLCULO!$M$15:$M$162=EVENTOS!$C38)*(OFFSET(CÁLCULO!$AA$15:$AA$162,0,N$13))),2),0)</f>
        <v>0</v>
      </c>
      <c r="O38" s="620" cm="1">
        <f t="array" aca="1" ref="O38" ca="1">IF(AUTOEVENTO="Manual",ROUND(SUMPRODUCT((CÁLCULO!$M$15:$M$162=EVENTOS!$C38)*(OFFSET(CÁLCULO!$AA$15:$AA$162,0,O$13))),2),0)</f>
        <v>0</v>
      </c>
      <c r="P38" s="620" cm="1">
        <f t="array" aca="1" ref="P38" ca="1">IF(AUTOEVENTO="Manual",ROUND(SUMPRODUCT((CÁLCULO!$M$15:$M$162=EVENTOS!$C38)*(OFFSET(CÁLCULO!$AA$15:$AA$162,0,P$13))),2),0)</f>
        <v>0</v>
      </c>
      <c r="Q38" s="620" cm="1">
        <f t="array" aca="1" ref="Q38" ca="1">IF(AUTOEVENTO="Manual",ROUND(SUMPRODUCT((CÁLCULO!$M$15:$M$162=EVENTOS!$C38)*(OFFSET(CÁLCULO!$AA$15:$AA$162,0,Q$13))),2),0)</f>
        <v>0</v>
      </c>
      <c r="R38" s="620" cm="1">
        <f t="array" aca="1" ref="R38" ca="1">IF(AUTOEVENTO="Manual",ROUND(SUMPRODUCT((CÁLCULO!$M$15:$M$162=EVENTOS!$C38)*(OFFSET(CÁLCULO!$AA$15:$AA$162,0,R$13))),2),0)</f>
        <v>0</v>
      </c>
      <c r="S38" s="620" cm="1">
        <f t="array" aca="1" ref="S38" ca="1">IF(AUTOEVENTO="Manual",ROUND(SUMPRODUCT((CÁLCULO!$M$15:$M$162=EVENTOS!$C38)*(OFFSET(CÁLCULO!$AA$15:$AA$162,0,S$13))),2),0)</f>
        <v>0</v>
      </c>
      <c r="T38" s="620" cm="1">
        <f t="array" aca="1" ref="T38" ca="1">IF(AUTOEVENTO="Manual",ROUND(SUMPRODUCT((CÁLCULO!$M$15:$M$162=EVENTOS!$C38)*(OFFSET(CÁLCULO!$AA$15:$AA$162,0,T$13))),2),0)</f>
        <v>0</v>
      </c>
      <c r="U38" s="620" cm="1">
        <f t="array" aca="1" ref="U38" ca="1">IF(AUTOEVENTO="Manual",ROUND(SUMPRODUCT((CÁLCULO!$M$15:$M$162=EVENTOS!$C38)*(OFFSET(CÁLCULO!$AA$15:$AA$162,0,U$13))),2),0)</f>
        <v>0</v>
      </c>
      <c r="V38" s="620" cm="1">
        <f t="array" aca="1" ref="V38" ca="1">IF(AUTOEVENTO="Manual",ROUND(SUMPRODUCT((CÁLCULO!$M$15:$M$162=EVENTOS!$C38)*(OFFSET(CÁLCULO!$AA$15:$AA$162,0,V$13))),2),0)</f>
        <v>0</v>
      </c>
      <c r="W38" s="620" cm="1">
        <f t="array" aca="1" ref="W38" ca="1">IF(AUTOEVENTO="Manual",ROUND(SUMPRODUCT((CÁLCULO!$M$15:$M$162=EVENTOS!$C38)*(OFFSET(CÁLCULO!$AA$15:$AA$162,0,W$13))),2),0)</f>
        <v>0</v>
      </c>
      <c r="X38" s="620" cm="1">
        <f t="array" aca="1" ref="X38" ca="1">IF(AUTOEVENTO="Manual",ROUND(SUMPRODUCT((CÁLCULO!$M$15:$M$162=EVENTOS!$C38)*(OFFSET(CÁLCULO!$AA$15:$AA$162,0,X$13))),2),0)</f>
        <v>0</v>
      </c>
      <c r="Y38" s="620" cm="1">
        <f t="array" aca="1" ref="Y38" ca="1">IF(AUTOEVENTO="Manual",ROUND(SUMPRODUCT((CÁLCULO!$M$15:$M$162=EVENTOS!$C38)*(OFFSET(CÁLCULO!$AA$15:$AA$162,0,Y$13))),2),0)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IF(AUTOEVENTO="Manual",ROUND(SUMPRODUCT((CÁLCULO!$M$15:$M$162=EVENTOS!$C39)*(OFFSET(CÁLCULO!$AA$15:$AA$162,0,E$13))),2),0)</f>
        <v>0</v>
      </c>
      <c r="F39" s="183">
        <f ca="1">IF(AUTOEVENTO="Manual",ROUND(SUMPRODUCT((CÁLCULO!$M$15:$M$162=EVENTOS!$C39)*(OFFSET(CÁLCULO!$AA$15,0,1):OFFSET(CÁLCULO!$AL$162,0,-1))),2),0)</f>
        <v>0</v>
      </c>
      <c r="G39" s="621" t="str">
        <f t="shared" ca="1" si="5"/>
        <v/>
      </c>
      <c r="H39" s="620" cm="1">
        <f t="array" aca="1" ref="H39" ca="1">IF(AUTOEVENTO="Manual",ROUND(SUMPRODUCT((CÁLCULO!$M$15:$M$162=EVENTOS!$C39)*(OFFSET(CÁLCULO!$AA$15:$AA$162,0,H$13))),2),0)</f>
        <v>0</v>
      </c>
      <c r="I39" s="620" cm="1">
        <f t="array" aca="1" ref="I39" ca="1">IF(AUTOEVENTO="Manual",ROUND(SUMPRODUCT((CÁLCULO!$M$15:$M$162=EVENTOS!$C39)*(OFFSET(CÁLCULO!$AA$15:$AA$162,0,I$13))),2),0)</f>
        <v>0</v>
      </c>
      <c r="J39" s="620" cm="1">
        <f t="array" aca="1" ref="J39" ca="1">IF(AUTOEVENTO="Manual",ROUND(SUMPRODUCT((CÁLCULO!$M$15:$M$162=EVENTOS!$C39)*(OFFSET(CÁLCULO!$AA$15:$AA$162,0,J$13))),2),0)</f>
        <v>0</v>
      </c>
      <c r="K39" s="620" cm="1">
        <f t="array" aca="1" ref="K39" ca="1">IF(AUTOEVENTO="Manual",ROUND(SUMPRODUCT((CÁLCULO!$M$15:$M$162=EVENTOS!$C39)*(OFFSET(CÁLCULO!$AA$15:$AA$162,0,K$13))),2),0)</f>
        <v>0</v>
      </c>
      <c r="L39" s="620" cm="1">
        <f t="array" aca="1" ref="L39" ca="1">IF(AUTOEVENTO="Manual",ROUND(SUMPRODUCT((CÁLCULO!$M$15:$M$162=EVENTOS!$C39)*(OFFSET(CÁLCULO!$AA$15:$AA$162,0,L$13))),2),0)</f>
        <v>0</v>
      </c>
      <c r="M39" s="620" cm="1">
        <f t="array" aca="1" ref="M39" ca="1">IF(AUTOEVENTO="Manual",ROUND(SUMPRODUCT((CÁLCULO!$M$15:$M$162=EVENTOS!$C39)*(OFFSET(CÁLCULO!$AA$15:$AA$162,0,M$13))),2),0)</f>
        <v>0</v>
      </c>
      <c r="N39" s="620" cm="1">
        <f t="array" aca="1" ref="N39" ca="1">IF(AUTOEVENTO="Manual",ROUND(SUMPRODUCT((CÁLCULO!$M$15:$M$162=EVENTOS!$C39)*(OFFSET(CÁLCULO!$AA$15:$AA$162,0,N$13))),2),0)</f>
        <v>0</v>
      </c>
      <c r="O39" s="620" cm="1">
        <f t="array" aca="1" ref="O39" ca="1">IF(AUTOEVENTO="Manual",ROUND(SUMPRODUCT((CÁLCULO!$M$15:$M$162=EVENTOS!$C39)*(OFFSET(CÁLCULO!$AA$15:$AA$162,0,O$13))),2),0)</f>
        <v>0</v>
      </c>
      <c r="P39" s="620" cm="1">
        <f t="array" aca="1" ref="P39" ca="1">IF(AUTOEVENTO="Manual",ROUND(SUMPRODUCT((CÁLCULO!$M$15:$M$162=EVENTOS!$C39)*(OFFSET(CÁLCULO!$AA$15:$AA$162,0,P$13))),2),0)</f>
        <v>0</v>
      </c>
      <c r="Q39" s="620" cm="1">
        <f t="array" aca="1" ref="Q39" ca="1">IF(AUTOEVENTO="Manual",ROUND(SUMPRODUCT((CÁLCULO!$M$15:$M$162=EVENTOS!$C39)*(OFFSET(CÁLCULO!$AA$15:$AA$162,0,Q$13))),2),0)</f>
        <v>0</v>
      </c>
      <c r="R39" s="620" cm="1">
        <f t="array" aca="1" ref="R39" ca="1">IF(AUTOEVENTO="Manual",ROUND(SUMPRODUCT((CÁLCULO!$M$15:$M$162=EVENTOS!$C39)*(OFFSET(CÁLCULO!$AA$15:$AA$162,0,R$13))),2),0)</f>
        <v>0</v>
      </c>
      <c r="S39" s="620" cm="1">
        <f t="array" aca="1" ref="S39" ca="1">IF(AUTOEVENTO="Manual",ROUND(SUMPRODUCT((CÁLCULO!$M$15:$M$162=EVENTOS!$C39)*(OFFSET(CÁLCULO!$AA$15:$AA$162,0,S$13))),2),0)</f>
        <v>0</v>
      </c>
      <c r="T39" s="620" cm="1">
        <f t="array" aca="1" ref="T39" ca="1">IF(AUTOEVENTO="Manual",ROUND(SUMPRODUCT((CÁLCULO!$M$15:$M$162=EVENTOS!$C39)*(OFFSET(CÁLCULO!$AA$15:$AA$162,0,T$13))),2),0)</f>
        <v>0</v>
      </c>
      <c r="U39" s="620" cm="1">
        <f t="array" aca="1" ref="U39" ca="1">IF(AUTOEVENTO="Manual",ROUND(SUMPRODUCT((CÁLCULO!$M$15:$M$162=EVENTOS!$C39)*(OFFSET(CÁLCULO!$AA$15:$AA$162,0,U$13))),2),0)</f>
        <v>0</v>
      </c>
      <c r="V39" s="620" cm="1">
        <f t="array" aca="1" ref="V39" ca="1">IF(AUTOEVENTO="Manual",ROUND(SUMPRODUCT((CÁLCULO!$M$15:$M$162=EVENTOS!$C39)*(OFFSET(CÁLCULO!$AA$15:$AA$162,0,V$13))),2),0)</f>
        <v>0</v>
      </c>
      <c r="W39" s="620" cm="1">
        <f t="array" aca="1" ref="W39" ca="1">IF(AUTOEVENTO="Manual",ROUND(SUMPRODUCT((CÁLCULO!$M$15:$M$162=EVENTOS!$C39)*(OFFSET(CÁLCULO!$AA$15:$AA$162,0,W$13))),2),0)</f>
        <v>0</v>
      </c>
      <c r="X39" s="620" cm="1">
        <f t="array" aca="1" ref="X39" ca="1">IF(AUTOEVENTO="Manual",ROUND(SUMPRODUCT((CÁLCULO!$M$15:$M$162=EVENTOS!$C39)*(OFFSET(CÁLCULO!$AA$15:$AA$162,0,X$13))),2),0)</f>
        <v>0</v>
      </c>
      <c r="Y39" s="620" cm="1">
        <f t="array" aca="1" ref="Y39" ca="1">IF(AUTOEVENTO="Manual",ROUND(SUMPRODUCT((CÁLCULO!$M$15:$M$162=EVENTOS!$C39)*(OFFSET(CÁLCULO!$AA$15:$AA$162,0,Y$13))),2),0)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IF(AUTOEVENTO="Manual",ROUND(SUMPRODUCT((CÁLCULO!$M$15:$M$162=EVENTOS!$C40)*(OFFSET(CÁLCULO!$AA$15:$AA$162,0,E$13))),2),0)</f>
        <v>0</v>
      </c>
      <c r="F40" s="183">
        <f ca="1">IF(AUTOEVENTO="Manual",ROUND(SUMPRODUCT((CÁLCULO!$M$15:$M$162=EVENTOS!$C40)*(OFFSET(CÁLCULO!$AA$15,0,1):OFFSET(CÁLCULO!$AL$162,0,-1))),2),0)</f>
        <v>0</v>
      </c>
      <c r="G40" s="621" t="str">
        <f t="shared" ca="1" si="5"/>
        <v/>
      </c>
      <c r="H40" s="620" cm="1">
        <f t="array" aca="1" ref="H40" ca="1">IF(AUTOEVENTO="Manual",ROUND(SUMPRODUCT((CÁLCULO!$M$15:$M$162=EVENTOS!$C40)*(OFFSET(CÁLCULO!$AA$15:$AA$162,0,H$13))),2),0)</f>
        <v>0</v>
      </c>
      <c r="I40" s="620" cm="1">
        <f t="array" aca="1" ref="I40" ca="1">IF(AUTOEVENTO="Manual",ROUND(SUMPRODUCT((CÁLCULO!$M$15:$M$162=EVENTOS!$C40)*(OFFSET(CÁLCULO!$AA$15:$AA$162,0,I$13))),2),0)</f>
        <v>0</v>
      </c>
      <c r="J40" s="620" cm="1">
        <f t="array" aca="1" ref="J40" ca="1">IF(AUTOEVENTO="Manual",ROUND(SUMPRODUCT((CÁLCULO!$M$15:$M$162=EVENTOS!$C40)*(OFFSET(CÁLCULO!$AA$15:$AA$162,0,J$13))),2),0)</f>
        <v>0</v>
      </c>
      <c r="K40" s="620" cm="1">
        <f t="array" aca="1" ref="K40" ca="1">IF(AUTOEVENTO="Manual",ROUND(SUMPRODUCT((CÁLCULO!$M$15:$M$162=EVENTOS!$C40)*(OFFSET(CÁLCULO!$AA$15:$AA$162,0,K$13))),2),0)</f>
        <v>0</v>
      </c>
      <c r="L40" s="620" cm="1">
        <f t="array" aca="1" ref="L40" ca="1">IF(AUTOEVENTO="Manual",ROUND(SUMPRODUCT((CÁLCULO!$M$15:$M$162=EVENTOS!$C40)*(OFFSET(CÁLCULO!$AA$15:$AA$162,0,L$13))),2),0)</f>
        <v>0</v>
      </c>
      <c r="M40" s="620" cm="1">
        <f t="array" aca="1" ref="M40" ca="1">IF(AUTOEVENTO="Manual",ROUND(SUMPRODUCT((CÁLCULO!$M$15:$M$162=EVENTOS!$C40)*(OFFSET(CÁLCULO!$AA$15:$AA$162,0,M$13))),2),0)</f>
        <v>0</v>
      </c>
      <c r="N40" s="620" cm="1">
        <f t="array" aca="1" ref="N40" ca="1">IF(AUTOEVENTO="Manual",ROUND(SUMPRODUCT((CÁLCULO!$M$15:$M$162=EVENTOS!$C40)*(OFFSET(CÁLCULO!$AA$15:$AA$162,0,N$13))),2),0)</f>
        <v>0</v>
      </c>
      <c r="O40" s="620" cm="1">
        <f t="array" aca="1" ref="O40" ca="1">IF(AUTOEVENTO="Manual",ROUND(SUMPRODUCT((CÁLCULO!$M$15:$M$162=EVENTOS!$C40)*(OFFSET(CÁLCULO!$AA$15:$AA$162,0,O$13))),2),0)</f>
        <v>0</v>
      </c>
      <c r="P40" s="620" cm="1">
        <f t="array" aca="1" ref="P40" ca="1">IF(AUTOEVENTO="Manual",ROUND(SUMPRODUCT((CÁLCULO!$M$15:$M$162=EVENTOS!$C40)*(OFFSET(CÁLCULO!$AA$15:$AA$162,0,P$13))),2),0)</f>
        <v>0</v>
      </c>
      <c r="Q40" s="620" cm="1">
        <f t="array" aca="1" ref="Q40" ca="1">IF(AUTOEVENTO="Manual",ROUND(SUMPRODUCT((CÁLCULO!$M$15:$M$162=EVENTOS!$C40)*(OFFSET(CÁLCULO!$AA$15:$AA$162,0,Q$13))),2),0)</f>
        <v>0</v>
      </c>
      <c r="R40" s="620" cm="1">
        <f t="array" aca="1" ref="R40" ca="1">IF(AUTOEVENTO="Manual",ROUND(SUMPRODUCT((CÁLCULO!$M$15:$M$162=EVENTOS!$C40)*(OFFSET(CÁLCULO!$AA$15:$AA$162,0,R$13))),2),0)</f>
        <v>0</v>
      </c>
      <c r="S40" s="620" cm="1">
        <f t="array" aca="1" ref="S40" ca="1">IF(AUTOEVENTO="Manual",ROUND(SUMPRODUCT((CÁLCULO!$M$15:$M$162=EVENTOS!$C40)*(OFFSET(CÁLCULO!$AA$15:$AA$162,0,S$13))),2),0)</f>
        <v>0</v>
      </c>
      <c r="T40" s="620" cm="1">
        <f t="array" aca="1" ref="T40" ca="1">IF(AUTOEVENTO="Manual",ROUND(SUMPRODUCT((CÁLCULO!$M$15:$M$162=EVENTOS!$C40)*(OFFSET(CÁLCULO!$AA$15:$AA$162,0,T$13))),2),0)</f>
        <v>0</v>
      </c>
      <c r="U40" s="620" cm="1">
        <f t="array" aca="1" ref="U40" ca="1">IF(AUTOEVENTO="Manual",ROUND(SUMPRODUCT((CÁLCULO!$M$15:$M$162=EVENTOS!$C40)*(OFFSET(CÁLCULO!$AA$15:$AA$162,0,U$13))),2),0)</f>
        <v>0</v>
      </c>
      <c r="V40" s="620" cm="1">
        <f t="array" aca="1" ref="V40" ca="1">IF(AUTOEVENTO="Manual",ROUND(SUMPRODUCT((CÁLCULO!$M$15:$M$162=EVENTOS!$C40)*(OFFSET(CÁLCULO!$AA$15:$AA$162,0,V$13))),2),0)</f>
        <v>0</v>
      </c>
      <c r="W40" s="620" cm="1">
        <f t="array" aca="1" ref="W40" ca="1">IF(AUTOEVENTO="Manual",ROUND(SUMPRODUCT((CÁLCULO!$M$15:$M$162=EVENTOS!$C40)*(OFFSET(CÁLCULO!$AA$15:$AA$162,0,W$13))),2),0)</f>
        <v>0</v>
      </c>
      <c r="X40" s="620" cm="1">
        <f t="array" aca="1" ref="X40" ca="1">IF(AUTOEVENTO="Manual",ROUND(SUMPRODUCT((CÁLCULO!$M$15:$M$162=EVENTOS!$C40)*(OFFSET(CÁLCULO!$AA$15:$AA$162,0,X$13))),2),0)</f>
        <v>0</v>
      </c>
      <c r="Y40" s="620" cm="1">
        <f t="array" aca="1" ref="Y40" ca="1">IF(AUTOEVENTO="Manual",ROUND(SUMPRODUCT((CÁLCULO!$M$15:$M$162=EVENTOS!$C40)*(OFFSET(CÁLCULO!$AA$15:$AA$162,0,Y$13))),2),0)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IF(AUTOEVENTO="Manual",ROUND(SUMPRODUCT((CÁLCULO!$M$15:$M$162=EVENTOS!$C41)*(OFFSET(CÁLCULO!$AA$15:$AA$162,0,E$13))),2),0)</f>
        <v>0</v>
      </c>
      <c r="F41" s="183">
        <f ca="1">IF(AUTOEVENTO="Manual",ROUND(SUMPRODUCT((CÁLCULO!$M$15:$M$162=EVENTOS!$C41)*(OFFSET(CÁLCULO!$AA$15,0,1):OFFSET(CÁLCULO!$AL$162,0,-1))),2),0)</f>
        <v>0</v>
      </c>
      <c r="G41" s="621" t="str">
        <f t="shared" ca="1" si="5"/>
        <v/>
      </c>
      <c r="H41" s="620" cm="1">
        <f t="array" aca="1" ref="H41" ca="1">IF(AUTOEVENTO="Manual",ROUND(SUMPRODUCT((CÁLCULO!$M$15:$M$162=EVENTOS!$C41)*(OFFSET(CÁLCULO!$AA$15:$AA$162,0,H$13))),2),0)</f>
        <v>0</v>
      </c>
      <c r="I41" s="620" cm="1">
        <f t="array" aca="1" ref="I41" ca="1">IF(AUTOEVENTO="Manual",ROUND(SUMPRODUCT((CÁLCULO!$M$15:$M$162=EVENTOS!$C41)*(OFFSET(CÁLCULO!$AA$15:$AA$162,0,I$13))),2),0)</f>
        <v>0</v>
      </c>
      <c r="J41" s="620" cm="1">
        <f t="array" aca="1" ref="J41" ca="1">IF(AUTOEVENTO="Manual",ROUND(SUMPRODUCT((CÁLCULO!$M$15:$M$162=EVENTOS!$C41)*(OFFSET(CÁLCULO!$AA$15:$AA$162,0,J$13))),2),0)</f>
        <v>0</v>
      </c>
      <c r="K41" s="620" cm="1">
        <f t="array" aca="1" ref="K41" ca="1">IF(AUTOEVENTO="Manual",ROUND(SUMPRODUCT((CÁLCULO!$M$15:$M$162=EVENTOS!$C41)*(OFFSET(CÁLCULO!$AA$15:$AA$162,0,K$13))),2),0)</f>
        <v>0</v>
      </c>
      <c r="L41" s="620" cm="1">
        <f t="array" aca="1" ref="L41" ca="1">IF(AUTOEVENTO="Manual",ROUND(SUMPRODUCT((CÁLCULO!$M$15:$M$162=EVENTOS!$C41)*(OFFSET(CÁLCULO!$AA$15:$AA$162,0,L$13))),2),0)</f>
        <v>0</v>
      </c>
      <c r="M41" s="620" cm="1">
        <f t="array" aca="1" ref="M41" ca="1">IF(AUTOEVENTO="Manual",ROUND(SUMPRODUCT((CÁLCULO!$M$15:$M$162=EVENTOS!$C41)*(OFFSET(CÁLCULO!$AA$15:$AA$162,0,M$13))),2),0)</f>
        <v>0</v>
      </c>
      <c r="N41" s="620" cm="1">
        <f t="array" aca="1" ref="N41" ca="1">IF(AUTOEVENTO="Manual",ROUND(SUMPRODUCT((CÁLCULO!$M$15:$M$162=EVENTOS!$C41)*(OFFSET(CÁLCULO!$AA$15:$AA$162,0,N$13))),2),0)</f>
        <v>0</v>
      </c>
      <c r="O41" s="620" cm="1">
        <f t="array" aca="1" ref="O41" ca="1">IF(AUTOEVENTO="Manual",ROUND(SUMPRODUCT((CÁLCULO!$M$15:$M$162=EVENTOS!$C41)*(OFFSET(CÁLCULO!$AA$15:$AA$162,0,O$13))),2),0)</f>
        <v>0</v>
      </c>
      <c r="P41" s="620" cm="1">
        <f t="array" aca="1" ref="P41" ca="1">IF(AUTOEVENTO="Manual",ROUND(SUMPRODUCT((CÁLCULO!$M$15:$M$162=EVENTOS!$C41)*(OFFSET(CÁLCULO!$AA$15:$AA$162,0,P$13))),2),0)</f>
        <v>0</v>
      </c>
      <c r="Q41" s="620" cm="1">
        <f t="array" aca="1" ref="Q41" ca="1">IF(AUTOEVENTO="Manual",ROUND(SUMPRODUCT((CÁLCULO!$M$15:$M$162=EVENTOS!$C41)*(OFFSET(CÁLCULO!$AA$15:$AA$162,0,Q$13))),2),0)</f>
        <v>0</v>
      </c>
      <c r="R41" s="620" cm="1">
        <f t="array" aca="1" ref="R41" ca="1">IF(AUTOEVENTO="Manual",ROUND(SUMPRODUCT((CÁLCULO!$M$15:$M$162=EVENTOS!$C41)*(OFFSET(CÁLCULO!$AA$15:$AA$162,0,R$13))),2),0)</f>
        <v>0</v>
      </c>
      <c r="S41" s="620" cm="1">
        <f t="array" aca="1" ref="S41" ca="1">IF(AUTOEVENTO="Manual",ROUND(SUMPRODUCT((CÁLCULO!$M$15:$M$162=EVENTOS!$C41)*(OFFSET(CÁLCULO!$AA$15:$AA$162,0,S$13))),2),0)</f>
        <v>0</v>
      </c>
      <c r="T41" s="620" cm="1">
        <f t="array" aca="1" ref="T41" ca="1">IF(AUTOEVENTO="Manual",ROUND(SUMPRODUCT((CÁLCULO!$M$15:$M$162=EVENTOS!$C41)*(OFFSET(CÁLCULO!$AA$15:$AA$162,0,T$13))),2),0)</f>
        <v>0</v>
      </c>
      <c r="U41" s="620" cm="1">
        <f t="array" aca="1" ref="U41" ca="1">IF(AUTOEVENTO="Manual",ROUND(SUMPRODUCT((CÁLCULO!$M$15:$M$162=EVENTOS!$C41)*(OFFSET(CÁLCULO!$AA$15:$AA$162,0,U$13))),2),0)</f>
        <v>0</v>
      </c>
      <c r="V41" s="620" cm="1">
        <f t="array" aca="1" ref="V41" ca="1">IF(AUTOEVENTO="Manual",ROUND(SUMPRODUCT((CÁLCULO!$M$15:$M$162=EVENTOS!$C41)*(OFFSET(CÁLCULO!$AA$15:$AA$162,0,V$13))),2),0)</f>
        <v>0</v>
      </c>
      <c r="W41" s="620" cm="1">
        <f t="array" aca="1" ref="W41" ca="1">IF(AUTOEVENTO="Manual",ROUND(SUMPRODUCT((CÁLCULO!$M$15:$M$162=EVENTOS!$C41)*(OFFSET(CÁLCULO!$AA$15:$AA$162,0,W$13))),2),0)</f>
        <v>0</v>
      </c>
      <c r="X41" s="620" cm="1">
        <f t="array" aca="1" ref="X41" ca="1">IF(AUTOEVENTO="Manual",ROUND(SUMPRODUCT((CÁLCULO!$M$15:$M$162=EVENTOS!$C41)*(OFFSET(CÁLCULO!$AA$15:$AA$162,0,X$13))),2),0)</f>
        <v>0</v>
      </c>
      <c r="Y41" s="620" cm="1">
        <f t="array" aca="1" ref="Y41" ca="1">IF(AUTOEVENTO="Manual",ROUND(SUMPRODUCT((CÁLCULO!$M$15:$M$162=EVENTOS!$C41)*(OFFSET(CÁLCULO!$AA$15:$AA$162,0,Y$13))),2),0)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IF(AUTOEVENTO="Manual",ROUND(SUMPRODUCT((CÁLCULO!$M$15:$M$162=EVENTOS!$C42)*(OFFSET(CÁLCULO!$AA$15:$AA$162,0,E$13))),2),0)</f>
        <v>0</v>
      </c>
      <c r="F42" s="183">
        <f ca="1">IF(AUTOEVENTO="Manual",ROUND(SUMPRODUCT((CÁLCULO!$M$15:$M$162=EVENTOS!$C42)*(OFFSET(CÁLCULO!$AA$15,0,1):OFFSET(CÁLCULO!$AL$162,0,-1))),2),0)</f>
        <v>0</v>
      </c>
      <c r="G42" s="621" t="str">
        <f t="shared" ca="1" si="5"/>
        <v/>
      </c>
      <c r="H42" s="620" cm="1">
        <f t="array" aca="1" ref="H42" ca="1">IF(AUTOEVENTO="Manual",ROUND(SUMPRODUCT((CÁLCULO!$M$15:$M$162=EVENTOS!$C42)*(OFFSET(CÁLCULO!$AA$15:$AA$162,0,H$13))),2),0)</f>
        <v>0</v>
      </c>
      <c r="I42" s="620" cm="1">
        <f t="array" aca="1" ref="I42" ca="1">IF(AUTOEVENTO="Manual",ROUND(SUMPRODUCT((CÁLCULO!$M$15:$M$162=EVENTOS!$C42)*(OFFSET(CÁLCULO!$AA$15:$AA$162,0,I$13))),2),0)</f>
        <v>0</v>
      </c>
      <c r="J42" s="620" cm="1">
        <f t="array" aca="1" ref="J42" ca="1">IF(AUTOEVENTO="Manual",ROUND(SUMPRODUCT((CÁLCULO!$M$15:$M$162=EVENTOS!$C42)*(OFFSET(CÁLCULO!$AA$15:$AA$162,0,J$13))),2),0)</f>
        <v>0</v>
      </c>
      <c r="K42" s="620" cm="1">
        <f t="array" aca="1" ref="K42" ca="1">IF(AUTOEVENTO="Manual",ROUND(SUMPRODUCT((CÁLCULO!$M$15:$M$162=EVENTOS!$C42)*(OFFSET(CÁLCULO!$AA$15:$AA$162,0,K$13))),2),0)</f>
        <v>0</v>
      </c>
      <c r="L42" s="620" cm="1">
        <f t="array" aca="1" ref="L42" ca="1">IF(AUTOEVENTO="Manual",ROUND(SUMPRODUCT((CÁLCULO!$M$15:$M$162=EVENTOS!$C42)*(OFFSET(CÁLCULO!$AA$15:$AA$162,0,L$13))),2),0)</f>
        <v>0</v>
      </c>
      <c r="M42" s="620" cm="1">
        <f t="array" aca="1" ref="M42" ca="1">IF(AUTOEVENTO="Manual",ROUND(SUMPRODUCT((CÁLCULO!$M$15:$M$162=EVENTOS!$C42)*(OFFSET(CÁLCULO!$AA$15:$AA$162,0,M$13))),2),0)</f>
        <v>0</v>
      </c>
      <c r="N42" s="620" cm="1">
        <f t="array" aca="1" ref="N42" ca="1">IF(AUTOEVENTO="Manual",ROUND(SUMPRODUCT((CÁLCULO!$M$15:$M$162=EVENTOS!$C42)*(OFFSET(CÁLCULO!$AA$15:$AA$162,0,N$13))),2),0)</f>
        <v>0</v>
      </c>
      <c r="O42" s="620" cm="1">
        <f t="array" aca="1" ref="O42" ca="1">IF(AUTOEVENTO="Manual",ROUND(SUMPRODUCT((CÁLCULO!$M$15:$M$162=EVENTOS!$C42)*(OFFSET(CÁLCULO!$AA$15:$AA$162,0,O$13))),2),0)</f>
        <v>0</v>
      </c>
      <c r="P42" s="620" cm="1">
        <f t="array" aca="1" ref="P42" ca="1">IF(AUTOEVENTO="Manual",ROUND(SUMPRODUCT((CÁLCULO!$M$15:$M$162=EVENTOS!$C42)*(OFFSET(CÁLCULO!$AA$15:$AA$162,0,P$13))),2),0)</f>
        <v>0</v>
      </c>
      <c r="Q42" s="620" cm="1">
        <f t="array" aca="1" ref="Q42" ca="1">IF(AUTOEVENTO="Manual",ROUND(SUMPRODUCT((CÁLCULO!$M$15:$M$162=EVENTOS!$C42)*(OFFSET(CÁLCULO!$AA$15:$AA$162,0,Q$13))),2),0)</f>
        <v>0</v>
      </c>
      <c r="R42" s="620" cm="1">
        <f t="array" aca="1" ref="R42" ca="1">IF(AUTOEVENTO="Manual",ROUND(SUMPRODUCT((CÁLCULO!$M$15:$M$162=EVENTOS!$C42)*(OFFSET(CÁLCULO!$AA$15:$AA$162,0,R$13))),2),0)</f>
        <v>0</v>
      </c>
      <c r="S42" s="620" cm="1">
        <f t="array" aca="1" ref="S42" ca="1">IF(AUTOEVENTO="Manual",ROUND(SUMPRODUCT((CÁLCULO!$M$15:$M$162=EVENTOS!$C42)*(OFFSET(CÁLCULO!$AA$15:$AA$162,0,S$13))),2),0)</f>
        <v>0</v>
      </c>
      <c r="T42" s="620" cm="1">
        <f t="array" aca="1" ref="T42" ca="1">IF(AUTOEVENTO="Manual",ROUND(SUMPRODUCT((CÁLCULO!$M$15:$M$162=EVENTOS!$C42)*(OFFSET(CÁLCULO!$AA$15:$AA$162,0,T$13))),2),0)</f>
        <v>0</v>
      </c>
      <c r="U42" s="620" cm="1">
        <f t="array" aca="1" ref="U42" ca="1">IF(AUTOEVENTO="Manual",ROUND(SUMPRODUCT((CÁLCULO!$M$15:$M$162=EVENTOS!$C42)*(OFFSET(CÁLCULO!$AA$15:$AA$162,0,U$13))),2),0)</f>
        <v>0</v>
      </c>
      <c r="V42" s="620" cm="1">
        <f t="array" aca="1" ref="V42" ca="1">IF(AUTOEVENTO="Manual",ROUND(SUMPRODUCT((CÁLCULO!$M$15:$M$162=EVENTOS!$C42)*(OFFSET(CÁLCULO!$AA$15:$AA$162,0,V$13))),2),0)</f>
        <v>0</v>
      </c>
      <c r="W42" s="620" cm="1">
        <f t="array" aca="1" ref="W42" ca="1">IF(AUTOEVENTO="Manual",ROUND(SUMPRODUCT((CÁLCULO!$M$15:$M$162=EVENTOS!$C42)*(OFFSET(CÁLCULO!$AA$15:$AA$162,0,W$13))),2),0)</f>
        <v>0</v>
      </c>
      <c r="X42" s="620" cm="1">
        <f t="array" aca="1" ref="X42" ca="1">IF(AUTOEVENTO="Manual",ROUND(SUMPRODUCT((CÁLCULO!$M$15:$M$162=EVENTOS!$C42)*(OFFSET(CÁLCULO!$AA$15:$AA$162,0,X$13))),2),0)</f>
        <v>0</v>
      </c>
      <c r="Y42" s="620" cm="1">
        <f t="array" aca="1" ref="Y42" ca="1">IF(AUTOEVENTO="Manual",ROUND(SUMPRODUCT((CÁLCULO!$M$15:$M$162=EVENTOS!$C42)*(OFFSET(CÁLCULO!$AA$15:$AA$162,0,Y$13))),2),0)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IF(AUTOEVENTO="Manual",ROUND(SUMPRODUCT((CÁLCULO!$M$15:$M$162=EVENTOS!$C43)*(OFFSET(CÁLCULO!$AA$15:$AA$162,0,E$13))),2),0)</f>
        <v>0</v>
      </c>
      <c r="F43" s="183">
        <f ca="1">IF(AUTOEVENTO="Manual",ROUND(SUMPRODUCT((CÁLCULO!$M$15:$M$162=EVENTOS!$C43)*(OFFSET(CÁLCULO!$AA$15,0,1):OFFSET(CÁLCULO!$AL$162,0,-1))),2),0)</f>
        <v>0</v>
      </c>
      <c r="G43" s="621" t="str">
        <f t="shared" ca="1" si="5"/>
        <v/>
      </c>
      <c r="H43" s="620" cm="1">
        <f t="array" aca="1" ref="H43" ca="1">IF(AUTOEVENTO="Manual",ROUND(SUMPRODUCT((CÁLCULO!$M$15:$M$162=EVENTOS!$C43)*(OFFSET(CÁLCULO!$AA$15:$AA$162,0,H$13))),2),0)</f>
        <v>0</v>
      </c>
      <c r="I43" s="620" cm="1">
        <f t="array" aca="1" ref="I43" ca="1">IF(AUTOEVENTO="Manual",ROUND(SUMPRODUCT((CÁLCULO!$M$15:$M$162=EVENTOS!$C43)*(OFFSET(CÁLCULO!$AA$15:$AA$162,0,I$13))),2),0)</f>
        <v>0</v>
      </c>
      <c r="J43" s="620" cm="1">
        <f t="array" aca="1" ref="J43" ca="1">IF(AUTOEVENTO="Manual",ROUND(SUMPRODUCT((CÁLCULO!$M$15:$M$162=EVENTOS!$C43)*(OFFSET(CÁLCULO!$AA$15:$AA$162,0,J$13))),2),0)</f>
        <v>0</v>
      </c>
      <c r="K43" s="620" cm="1">
        <f t="array" aca="1" ref="K43" ca="1">IF(AUTOEVENTO="Manual",ROUND(SUMPRODUCT((CÁLCULO!$M$15:$M$162=EVENTOS!$C43)*(OFFSET(CÁLCULO!$AA$15:$AA$162,0,K$13))),2),0)</f>
        <v>0</v>
      </c>
      <c r="L43" s="620" cm="1">
        <f t="array" aca="1" ref="L43" ca="1">IF(AUTOEVENTO="Manual",ROUND(SUMPRODUCT((CÁLCULO!$M$15:$M$162=EVENTOS!$C43)*(OFFSET(CÁLCULO!$AA$15:$AA$162,0,L$13))),2),0)</f>
        <v>0</v>
      </c>
      <c r="M43" s="620" cm="1">
        <f t="array" aca="1" ref="M43" ca="1">IF(AUTOEVENTO="Manual",ROUND(SUMPRODUCT((CÁLCULO!$M$15:$M$162=EVENTOS!$C43)*(OFFSET(CÁLCULO!$AA$15:$AA$162,0,M$13))),2),0)</f>
        <v>0</v>
      </c>
      <c r="N43" s="620" cm="1">
        <f t="array" aca="1" ref="N43" ca="1">IF(AUTOEVENTO="Manual",ROUND(SUMPRODUCT((CÁLCULO!$M$15:$M$162=EVENTOS!$C43)*(OFFSET(CÁLCULO!$AA$15:$AA$162,0,N$13))),2),0)</f>
        <v>0</v>
      </c>
      <c r="O43" s="620" cm="1">
        <f t="array" aca="1" ref="O43" ca="1">IF(AUTOEVENTO="Manual",ROUND(SUMPRODUCT((CÁLCULO!$M$15:$M$162=EVENTOS!$C43)*(OFFSET(CÁLCULO!$AA$15:$AA$162,0,O$13))),2),0)</f>
        <v>0</v>
      </c>
      <c r="P43" s="620" cm="1">
        <f t="array" aca="1" ref="P43" ca="1">IF(AUTOEVENTO="Manual",ROUND(SUMPRODUCT((CÁLCULO!$M$15:$M$162=EVENTOS!$C43)*(OFFSET(CÁLCULO!$AA$15:$AA$162,0,P$13))),2),0)</f>
        <v>0</v>
      </c>
      <c r="Q43" s="620" cm="1">
        <f t="array" aca="1" ref="Q43" ca="1">IF(AUTOEVENTO="Manual",ROUND(SUMPRODUCT((CÁLCULO!$M$15:$M$162=EVENTOS!$C43)*(OFFSET(CÁLCULO!$AA$15:$AA$162,0,Q$13))),2),0)</f>
        <v>0</v>
      </c>
      <c r="R43" s="620" cm="1">
        <f t="array" aca="1" ref="R43" ca="1">IF(AUTOEVENTO="Manual",ROUND(SUMPRODUCT((CÁLCULO!$M$15:$M$162=EVENTOS!$C43)*(OFFSET(CÁLCULO!$AA$15:$AA$162,0,R$13))),2),0)</f>
        <v>0</v>
      </c>
      <c r="S43" s="620" cm="1">
        <f t="array" aca="1" ref="S43" ca="1">IF(AUTOEVENTO="Manual",ROUND(SUMPRODUCT((CÁLCULO!$M$15:$M$162=EVENTOS!$C43)*(OFFSET(CÁLCULO!$AA$15:$AA$162,0,S$13))),2),0)</f>
        <v>0</v>
      </c>
      <c r="T43" s="620" cm="1">
        <f t="array" aca="1" ref="T43" ca="1">IF(AUTOEVENTO="Manual",ROUND(SUMPRODUCT((CÁLCULO!$M$15:$M$162=EVENTOS!$C43)*(OFFSET(CÁLCULO!$AA$15:$AA$162,0,T$13))),2),0)</f>
        <v>0</v>
      </c>
      <c r="U43" s="620" cm="1">
        <f t="array" aca="1" ref="U43" ca="1">IF(AUTOEVENTO="Manual",ROUND(SUMPRODUCT((CÁLCULO!$M$15:$M$162=EVENTOS!$C43)*(OFFSET(CÁLCULO!$AA$15:$AA$162,0,U$13))),2),0)</f>
        <v>0</v>
      </c>
      <c r="V43" s="620" cm="1">
        <f t="array" aca="1" ref="V43" ca="1">IF(AUTOEVENTO="Manual",ROUND(SUMPRODUCT((CÁLCULO!$M$15:$M$162=EVENTOS!$C43)*(OFFSET(CÁLCULO!$AA$15:$AA$162,0,V$13))),2),0)</f>
        <v>0</v>
      </c>
      <c r="W43" s="620" cm="1">
        <f t="array" aca="1" ref="W43" ca="1">IF(AUTOEVENTO="Manual",ROUND(SUMPRODUCT((CÁLCULO!$M$15:$M$162=EVENTOS!$C43)*(OFFSET(CÁLCULO!$AA$15:$AA$162,0,W$13))),2),0)</f>
        <v>0</v>
      </c>
      <c r="X43" s="620" cm="1">
        <f t="array" aca="1" ref="X43" ca="1">IF(AUTOEVENTO="Manual",ROUND(SUMPRODUCT((CÁLCULO!$M$15:$M$162=EVENTOS!$C43)*(OFFSET(CÁLCULO!$AA$15:$AA$162,0,X$13))),2),0)</f>
        <v>0</v>
      </c>
      <c r="Y43" s="620" cm="1">
        <f t="array" aca="1" ref="Y43" ca="1">IF(AUTOEVENTO="Manual",ROUND(SUMPRODUCT((CÁLCULO!$M$15:$M$162=EVENTOS!$C43)*(OFFSET(CÁLCULO!$AA$15:$AA$162,0,Y$13))),2),0)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IF(AUTOEVENTO="Manual",ROUND(SUMPRODUCT((CÁLCULO!$M$15:$M$162=EVENTOS!$C44)*(OFFSET(CÁLCULO!$AA$15:$AA$162,0,E$13))),2),0)</f>
        <v>0</v>
      </c>
      <c r="F44" s="183">
        <f ca="1">IF(AUTOEVENTO="Manual",ROUND(SUMPRODUCT((CÁLCULO!$M$15:$M$162=EVENTOS!$C44)*(OFFSET(CÁLCULO!$AA$15,0,1):OFFSET(CÁLCULO!$AL$162,0,-1))),2),0)</f>
        <v>0</v>
      </c>
      <c r="G44" s="621" t="str">
        <f t="shared" ca="1" si="5"/>
        <v/>
      </c>
      <c r="H44" s="620" cm="1">
        <f t="array" aca="1" ref="H44" ca="1">IF(AUTOEVENTO="Manual",ROUND(SUMPRODUCT((CÁLCULO!$M$15:$M$162=EVENTOS!$C44)*(OFFSET(CÁLCULO!$AA$15:$AA$162,0,H$13))),2),0)</f>
        <v>0</v>
      </c>
      <c r="I44" s="620" cm="1">
        <f t="array" aca="1" ref="I44" ca="1">IF(AUTOEVENTO="Manual",ROUND(SUMPRODUCT((CÁLCULO!$M$15:$M$162=EVENTOS!$C44)*(OFFSET(CÁLCULO!$AA$15:$AA$162,0,I$13))),2),0)</f>
        <v>0</v>
      </c>
      <c r="J44" s="620" cm="1">
        <f t="array" aca="1" ref="J44" ca="1">IF(AUTOEVENTO="Manual",ROUND(SUMPRODUCT((CÁLCULO!$M$15:$M$162=EVENTOS!$C44)*(OFFSET(CÁLCULO!$AA$15:$AA$162,0,J$13))),2),0)</f>
        <v>0</v>
      </c>
      <c r="K44" s="620" cm="1">
        <f t="array" aca="1" ref="K44" ca="1">IF(AUTOEVENTO="Manual",ROUND(SUMPRODUCT((CÁLCULO!$M$15:$M$162=EVENTOS!$C44)*(OFFSET(CÁLCULO!$AA$15:$AA$162,0,K$13))),2),0)</f>
        <v>0</v>
      </c>
      <c r="L44" s="620" cm="1">
        <f t="array" aca="1" ref="L44" ca="1">IF(AUTOEVENTO="Manual",ROUND(SUMPRODUCT((CÁLCULO!$M$15:$M$162=EVENTOS!$C44)*(OFFSET(CÁLCULO!$AA$15:$AA$162,0,L$13))),2),0)</f>
        <v>0</v>
      </c>
      <c r="M44" s="620" cm="1">
        <f t="array" aca="1" ref="M44" ca="1">IF(AUTOEVENTO="Manual",ROUND(SUMPRODUCT((CÁLCULO!$M$15:$M$162=EVENTOS!$C44)*(OFFSET(CÁLCULO!$AA$15:$AA$162,0,M$13))),2),0)</f>
        <v>0</v>
      </c>
      <c r="N44" s="620" cm="1">
        <f t="array" aca="1" ref="N44" ca="1">IF(AUTOEVENTO="Manual",ROUND(SUMPRODUCT((CÁLCULO!$M$15:$M$162=EVENTOS!$C44)*(OFFSET(CÁLCULO!$AA$15:$AA$162,0,N$13))),2),0)</f>
        <v>0</v>
      </c>
      <c r="O44" s="620" cm="1">
        <f t="array" aca="1" ref="O44" ca="1">IF(AUTOEVENTO="Manual",ROUND(SUMPRODUCT((CÁLCULO!$M$15:$M$162=EVENTOS!$C44)*(OFFSET(CÁLCULO!$AA$15:$AA$162,0,O$13))),2),0)</f>
        <v>0</v>
      </c>
      <c r="P44" s="620" cm="1">
        <f t="array" aca="1" ref="P44" ca="1">IF(AUTOEVENTO="Manual",ROUND(SUMPRODUCT((CÁLCULO!$M$15:$M$162=EVENTOS!$C44)*(OFFSET(CÁLCULO!$AA$15:$AA$162,0,P$13))),2),0)</f>
        <v>0</v>
      </c>
      <c r="Q44" s="620" cm="1">
        <f t="array" aca="1" ref="Q44" ca="1">IF(AUTOEVENTO="Manual",ROUND(SUMPRODUCT((CÁLCULO!$M$15:$M$162=EVENTOS!$C44)*(OFFSET(CÁLCULO!$AA$15:$AA$162,0,Q$13))),2),0)</f>
        <v>0</v>
      </c>
      <c r="R44" s="620" cm="1">
        <f t="array" aca="1" ref="R44" ca="1">IF(AUTOEVENTO="Manual",ROUND(SUMPRODUCT((CÁLCULO!$M$15:$M$162=EVENTOS!$C44)*(OFFSET(CÁLCULO!$AA$15:$AA$162,0,R$13))),2),0)</f>
        <v>0</v>
      </c>
      <c r="S44" s="620" cm="1">
        <f t="array" aca="1" ref="S44" ca="1">IF(AUTOEVENTO="Manual",ROUND(SUMPRODUCT((CÁLCULO!$M$15:$M$162=EVENTOS!$C44)*(OFFSET(CÁLCULO!$AA$15:$AA$162,0,S$13))),2),0)</f>
        <v>0</v>
      </c>
      <c r="T44" s="620" cm="1">
        <f t="array" aca="1" ref="T44" ca="1">IF(AUTOEVENTO="Manual",ROUND(SUMPRODUCT((CÁLCULO!$M$15:$M$162=EVENTOS!$C44)*(OFFSET(CÁLCULO!$AA$15:$AA$162,0,T$13))),2),0)</f>
        <v>0</v>
      </c>
      <c r="U44" s="620" cm="1">
        <f t="array" aca="1" ref="U44" ca="1">IF(AUTOEVENTO="Manual",ROUND(SUMPRODUCT((CÁLCULO!$M$15:$M$162=EVENTOS!$C44)*(OFFSET(CÁLCULO!$AA$15:$AA$162,0,U$13))),2),0)</f>
        <v>0</v>
      </c>
      <c r="V44" s="620" cm="1">
        <f t="array" aca="1" ref="V44" ca="1">IF(AUTOEVENTO="Manual",ROUND(SUMPRODUCT((CÁLCULO!$M$15:$M$162=EVENTOS!$C44)*(OFFSET(CÁLCULO!$AA$15:$AA$162,0,V$13))),2),0)</f>
        <v>0</v>
      </c>
      <c r="W44" s="620" cm="1">
        <f t="array" aca="1" ref="W44" ca="1">IF(AUTOEVENTO="Manual",ROUND(SUMPRODUCT((CÁLCULO!$M$15:$M$162=EVENTOS!$C44)*(OFFSET(CÁLCULO!$AA$15:$AA$162,0,W$13))),2),0)</f>
        <v>0</v>
      </c>
      <c r="X44" s="620" cm="1">
        <f t="array" aca="1" ref="X44" ca="1">IF(AUTOEVENTO="Manual",ROUND(SUMPRODUCT((CÁLCULO!$M$15:$M$162=EVENTOS!$C44)*(OFFSET(CÁLCULO!$AA$15:$AA$162,0,X$13))),2),0)</f>
        <v>0</v>
      </c>
      <c r="Y44" s="620" cm="1">
        <f t="array" aca="1" ref="Y44" ca="1">IF(AUTOEVENTO="Manual",ROUND(SUMPRODUCT((CÁLCULO!$M$15:$M$162=EVENTOS!$C44)*(OFFSET(CÁLCULO!$AA$15:$AA$162,0,Y$13))),2),0)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IF(AUTOEVENTO="Manual",ROUND(SUMPRODUCT((CÁLCULO!$M$15:$M$162=EVENTOS!$C45)*(OFFSET(CÁLCULO!$AA$15:$AA$162,0,E$13))),2),0)</f>
        <v>0</v>
      </c>
      <c r="F45" s="183">
        <f ca="1">IF(AUTOEVENTO="Manual",ROUND(SUMPRODUCT((CÁLCULO!$M$15:$M$162=EVENTOS!$C45)*(OFFSET(CÁLCULO!$AA$15,0,1):OFFSET(CÁLCULO!$AL$162,0,-1))),2),0)</f>
        <v>0</v>
      </c>
      <c r="G45" s="621" t="str">
        <f t="shared" ca="1" si="5"/>
        <v/>
      </c>
      <c r="H45" s="620" cm="1">
        <f t="array" aca="1" ref="H45" ca="1">IF(AUTOEVENTO="Manual",ROUND(SUMPRODUCT((CÁLCULO!$M$15:$M$162=EVENTOS!$C45)*(OFFSET(CÁLCULO!$AA$15:$AA$162,0,H$13))),2),0)</f>
        <v>0</v>
      </c>
      <c r="I45" s="620" cm="1">
        <f t="array" aca="1" ref="I45" ca="1">IF(AUTOEVENTO="Manual",ROUND(SUMPRODUCT((CÁLCULO!$M$15:$M$162=EVENTOS!$C45)*(OFFSET(CÁLCULO!$AA$15:$AA$162,0,I$13))),2),0)</f>
        <v>0</v>
      </c>
      <c r="J45" s="620" cm="1">
        <f t="array" aca="1" ref="J45" ca="1">IF(AUTOEVENTO="Manual",ROUND(SUMPRODUCT((CÁLCULO!$M$15:$M$162=EVENTOS!$C45)*(OFFSET(CÁLCULO!$AA$15:$AA$162,0,J$13))),2),0)</f>
        <v>0</v>
      </c>
      <c r="K45" s="620" cm="1">
        <f t="array" aca="1" ref="K45" ca="1">IF(AUTOEVENTO="Manual",ROUND(SUMPRODUCT((CÁLCULO!$M$15:$M$162=EVENTOS!$C45)*(OFFSET(CÁLCULO!$AA$15:$AA$162,0,K$13))),2),0)</f>
        <v>0</v>
      </c>
      <c r="L45" s="620" cm="1">
        <f t="array" aca="1" ref="L45" ca="1">IF(AUTOEVENTO="Manual",ROUND(SUMPRODUCT((CÁLCULO!$M$15:$M$162=EVENTOS!$C45)*(OFFSET(CÁLCULO!$AA$15:$AA$162,0,L$13))),2),0)</f>
        <v>0</v>
      </c>
      <c r="M45" s="620" cm="1">
        <f t="array" aca="1" ref="M45" ca="1">IF(AUTOEVENTO="Manual",ROUND(SUMPRODUCT((CÁLCULO!$M$15:$M$162=EVENTOS!$C45)*(OFFSET(CÁLCULO!$AA$15:$AA$162,0,M$13))),2),0)</f>
        <v>0</v>
      </c>
      <c r="N45" s="620" cm="1">
        <f t="array" aca="1" ref="N45" ca="1">IF(AUTOEVENTO="Manual",ROUND(SUMPRODUCT((CÁLCULO!$M$15:$M$162=EVENTOS!$C45)*(OFFSET(CÁLCULO!$AA$15:$AA$162,0,N$13))),2),0)</f>
        <v>0</v>
      </c>
      <c r="O45" s="620" cm="1">
        <f t="array" aca="1" ref="O45" ca="1">IF(AUTOEVENTO="Manual",ROUND(SUMPRODUCT((CÁLCULO!$M$15:$M$162=EVENTOS!$C45)*(OFFSET(CÁLCULO!$AA$15:$AA$162,0,O$13))),2),0)</f>
        <v>0</v>
      </c>
      <c r="P45" s="620" cm="1">
        <f t="array" aca="1" ref="P45" ca="1">IF(AUTOEVENTO="Manual",ROUND(SUMPRODUCT((CÁLCULO!$M$15:$M$162=EVENTOS!$C45)*(OFFSET(CÁLCULO!$AA$15:$AA$162,0,P$13))),2),0)</f>
        <v>0</v>
      </c>
      <c r="Q45" s="620" cm="1">
        <f t="array" aca="1" ref="Q45" ca="1">IF(AUTOEVENTO="Manual",ROUND(SUMPRODUCT((CÁLCULO!$M$15:$M$162=EVENTOS!$C45)*(OFFSET(CÁLCULO!$AA$15:$AA$162,0,Q$13))),2),0)</f>
        <v>0</v>
      </c>
      <c r="R45" s="620" cm="1">
        <f t="array" aca="1" ref="R45" ca="1">IF(AUTOEVENTO="Manual",ROUND(SUMPRODUCT((CÁLCULO!$M$15:$M$162=EVENTOS!$C45)*(OFFSET(CÁLCULO!$AA$15:$AA$162,0,R$13))),2),0)</f>
        <v>0</v>
      </c>
      <c r="S45" s="620" cm="1">
        <f t="array" aca="1" ref="S45" ca="1">IF(AUTOEVENTO="Manual",ROUND(SUMPRODUCT((CÁLCULO!$M$15:$M$162=EVENTOS!$C45)*(OFFSET(CÁLCULO!$AA$15:$AA$162,0,S$13))),2),0)</f>
        <v>0</v>
      </c>
      <c r="T45" s="620" cm="1">
        <f t="array" aca="1" ref="T45" ca="1">IF(AUTOEVENTO="Manual",ROUND(SUMPRODUCT((CÁLCULO!$M$15:$M$162=EVENTOS!$C45)*(OFFSET(CÁLCULO!$AA$15:$AA$162,0,T$13))),2),0)</f>
        <v>0</v>
      </c>
      <c r="U45" s="620" cm="1">
        <f t="array" aca="1" ref="U45" ca="1">IF(AUTOEVENTO="Manual",ROUND(SUMPRODUCT((CÁLCULO!$M$15:$M$162=EVENTOS!$C45)*(OFFSET(CÁLCULO!$AA$15:$AA$162,0,U$13))),2),0)</f>
        <v>0</v>
      </c>
      <c r="V45" s="620" cm="1">
        <f t="array" aca="1" ref="V45" ca="1">IF(AUTOEVENTO="Manual",ROUND(SUMPRODUCT((CÁLCULO!$M$15:$M$162=EVENTOS!$C45)*(OFFSET(CÁLCULO!$AA$15:$AA$162,0,V$13))),2),0)</f>
        <v>0</v>
      </c>
      <c r="W45" s="620" cm="1">
        <f t="array" aca="1" ref="W45" ca="1">IF(AUTOEVENTO="Manual",ROUND(SUMPRODUCT((CÁLCULO!$M$15:$M$162=EVENTOS!$C45)*(OFFSET(CÁLCULO!$AA$15:$AA$162,0,W$13))),2),0)</f>
        <v>0</v>
      </c>
      <c r="X45" s="620" cm="1">
        <f t="array" aca="1" ref="X45" ca="1">IF(AUTOEVENTO="Manual",ROUND(SUMPRODUCT((CÁLCULO!$M$15:$M$162=EVENTOS!$C45)*(OFFSET(CÁLCULO!$AA$15:$AA$162,0,X$13))),2),0)</f>
        <v>0</v>
      </c>
      <c r="Y45" s="620" cm="1">
        <f t="array" aca="1" ref="Y45" ca="1">IF(AUTOEVENTO="Manual",ROUND(SUMPRODUCT((CÁLCULO!$M$15:$M$162=EVENTOS!$C45)*(OFFSET(CÁLCULO!$AA$15:$AA$162,0,Y$13))),2),0)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IF(AUTOEVENTO="Manual",ROUND(SUMPRODUCT((CÁLCULO!$M$15:$M$162=EVENTOS!$C46)*(OFFSET(CÁLCULO!$AA$15:$AA$162,0,E$13))),2),0)</f>
        <v>0</v>
      </c>
      <c r="F46" s="183">
        <f ca="1">IF(AUTOEVENTO="Manual",ROUND(SUMPRODUCT((CÁLCULO!$M$15:$M$162=EVENTOS!$C46)*(OFFSET(CÁLCULO!$AA$15,0,1):OFFSET(CÁLCULO!$AL$162,0,-1))),2),0)</f>
        <v>0</v>
      </c>
      <c r="G46" s="621" t="str">
        <f t="shared" ca="1" si="5"/>
        <v/>
      </c>
      <c r="H46" s="620" cm="1">
        <f t="array" aca="1" ref="H46" ca="1">IF(AUTOEVENTO="Manual",ROUND(SUMPRODUCT((CÁLCULO!$M$15:$M$162=EVENTOS!$C46)*(OFFSET(CÁLCULO!$AA$15:$AA$162,0,H$13))),2),0)</f>
        <v>0</v>
      </c>
      <c r="I46" s="620" cm="1">
        <f t="array" aca="1" ref="I46" ca="1">IF(AUTOEVENTO="Manual",ROUND(SUMPRODUCT((CÁLCULO!$M$15:$M$162=EVENTOS!$C46)*(OFFSET(CÁLCULO!$AA$15:$AA$162,0,I$13))),2),0)</f>
        <v>0</v>
      </c>
      <c r="J46" s="620" cm="1">
        <f t="array" aca="1" ref="J46" ca="1">IF(AUTOEVENTO="Manual",ROUND(SUMPRODUCT((CÁLCULO!$M$15:$M$162=EVENTOS!$C46)*(OFFSET(CÁLCULO!$AA$15:$AA$162,0,J$13))),2),0)</f>
        <v>0</v>
      </c>
      <c r="K46" s="620" cm="1">
        <f t="array" aca="1" ref="K46" ca="1">IF(AUTOEVENTO="Manual",ROUND(SUMPRODUCT((CÁLCULO!$M$15:$M$162=EVENTOS!$C46)*(OFFSET(CÁLCULO!$AA$15:$AA$162,0,K$13))),2),0)</f>
        <v>0</v>
      </c>
      <c r="L46" s="620" cm="1">
        <f t="array" aca="1" ref="L46" ca="1">IF(AUTOEVENTO="Manual",ROUND(SUMPRODUCT((CÁLCULO!$M$15:$M$162=EVENTOS!$C46)*(OFFSET(CÁLCULO!$AA$15:$AA$162,0,L$13))),2),0)</f>
        <v>0</v>
      </c>
      <c r="M46" s="620" cm="1">
        <f t="array" aca="1" ref="M46" ca="1">IF(AUTOEVENTO="Manual",ROUND(SUMPRODUCT((CÁLCULO!$M$15:$M$162=EVENTOS!$C46)*(OFFSET(CÁLCULO!$AA$15:$AA$162,0,M$13))),2),0)</f>
        <v>0</v>
      </c>
      <c r="N46" s="620" cm="1">
        <f t="array" aca="1" ref="N46" ca="1">IF(AUTOEVENTO="Manual",ROUND(SUMPRODUCT((CÁLCULO!$M$15:$M$162=EVENTOS!$C46)*(OFFSET(CÁLCULO!$AA$15:$AA$162,0,N$13))),2),0)</f>
        <v>0</v>
      </c>
      <c r="O46" s="620" cm="1">
        <f t="array" aca="1" ref="O46" ca="1">IF(AUTOEVENTO="Manual",ROUND(SUMPRODUCT((CÁLCULO!$M$15:$M$162=EVENTOS!$C46)*(OFFSET(CÁLCULO!$AA$15:$AA$162,0,O$13))),2),0)</f>
        <v>0</v>
      </c>
      <c r="P46" s="620" cm="1">
        <f t="array" aca="1" ref="P46" ca="1">IF(AUTOEVENTO="Manual",ROUND(SUMPRODUCT((CÁLCULO!$M$15:$M$162=EVENTOS!$C46)*(OFFSET(CÁLCULO!$AA$15:$AA$162,0,P$13))),2),0)</f>
        <v>0</v>
      </c>
      <c r="Q46" s="620" cm="1">
        <f t="array" aca="1" ref="Q46" ca="1">IF(AUTOEVENTO="Manual",ROUND(SUMPRODUCT((CÁLCULO!$M$15:$M$162=EVENTOS!$C46)*(OFFSET(CÁLCULO!$AA$15:$AA$162,0,Q$13))),2),0)</f>
        <v>0</v>
      </c>
      <c r="R46" s="620" cm="1">
        <f t="array" aca="1" ref="R46" ca="1">IF(AUTOEVENTO="Manual",ROUND(SUMPRODUCT((CÁLCULO!$M$15:$M$162=EVENTOS!$C46)*(OFFSET(CÁLCULO!$AA$15:$AA$162,0,R$13))),2),0)</f>
        <v>0</v>
      </c>
      <c r="S46" s="620" cm="1">
        <f t="array" aca="1" ref="S46" ca="1">IF(AUTOEVENTO="Manual",ROUND(SUMPRODUCT((CÁLCULO!$M$15:$M$162=EVENTOS!$C46)*(OFFSET(CÁLCULO!$AA$15:$AA$162,0,S$13))),2),0)</f>
        <v>0</v>
      </c>
      <c r="T46" s="620" cm="1">
        <f t="array" aca="1" ref="T46" ca="1">IF(AUTOEVENTO="Manual",ROUND(SUMPRODUCT((CÁLCULO!$M$15:$M$162=EVENTOS!$C46)*(OFFSET(CÁLCULO!$AA$15:$AA$162,0,T$13))),2),0)</f>
        <v>0</v>
      </c>
      <c r="U46" s="620" cm="1">
        <f t="array" aca="1" ref="U46" ca="1">IF(AUTOEVENTO="Manual",ROUND(SUMPRODUCT((CÁLCULO!$M$15:$M$162=EVENTOS!$C46)*(OFFSET(CÁLCULO!$AA$15:$AA$162,0,U$13))),2),0)</f>
        <v>0</v>
      </c>
      <c r="V46" s="620" cm="1">
        <f t="array" aca="1" ref="V46" ca="1">IF(AUTOEVENTO="Manual",ROUND(SUMPRODUCT((CÁLCULO!$M$15:$M$162=EVENTOS!$C46)*(OFFSET(CÁLCULO!$AA$15:$AA$162,0,V$13))),2),0)</f>
        <v>0</v>
      </c>
      <c r="W46" s="620" cm="1">
        <f t="array" aca="1" ref="W46" ca="1">IF(AUTOEVENTO="Manual",ROUND(SUMPRODUCT((CÁLCULO!$M$15:$M$162=EVENTOS!$C46)*(OFFSET(CÁLCULO!$AA$15:$AA$162,0,W$13))),2),0)</f>
        <v>0</v>
      </c>
      <c r="X46" s="620" cm="1">
        <f t="array" aca="1" ref="X46" ca="1">IF(AUTOEVENTO="Manual",ROUND(SUMPRODUCT((CÁLCULO!$M$15:$M$162=EVENTOS!$C46)*(OFFSET(CÁLCULO!$AA$15:$AA$162,0,X$13))),2),0)</f>
        <v>0</v>
      </c>
      <c r="Y46" s="620" cm="1">
        <f t="array" aca="1" ref="Y46" ca="1">IF(AUTOEVENTO="Manual",ROUND(SUMPRODUCT((CÁLCULO!$M$15:$M$162=EVENTOS!$C46)*(OFFSET(CÁLCULO!$AA$15:$AA$162,0,Y$13))),2),0)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IF(AUTOEVENTO="Manual",ROUND(SUMPRODUCT((CÁLCULO!$M$15:$M$162=EVENTOS!$C47)*(OFFSET(CÁLCULO!$AA$15:$AA$162,0,E$13))),2),0)</f>
        <v>0</v>
      </c>
      <c r="F47" s="183">
        <f ca="1">IF(AUTOEVENTO="Manual",ROUND(SUMPRODUCT((CÁLCULO!$M$15:$M$162=EVENTOS!$C47)*(OFFSET(CÁLCULO!$AA$15,0,1):OFFSET(CÁLCULO!$AL$162,0,-1))),2),0)</f>
        <v>0</v>
      </c>
      <c r="G47" s="621" t="str">
        <f t="shared" ca="1" si="5"/>
        <v/>
      </c>
      <c r="H47" s="620" cm="1">
        <f t="array" aca="1" ref="H47" ca="1">IF(AUTOEVENTO="Manual",ROUND(SUMPRODUCT((CÁLCULO!$M$15:$M$162=EVENTOS!$C47)*(OFFSET(CÁLCULO!$AA$15:$AA$162,0,H$13))),2),0)</f>
        <v>0</v>
      </c>
      <c r="I47" s="620" cm="1">
        <f t="array" aca="1" ref="I47" ca="1">IF(AUTOEVENTO="Manual",ROUND(SUMPRODUCT((CÁLCULO!$M$15:$M$162=EVENTOS!$C47)*(OFFSET(CÁLCULO!$AA$15:$AA$162,0,I$13))),2),0)</f>
        <v>0</v>
      </c>
      <c r="J47" s="620" cm="1">
        <f t="array" aca="1" ref="J47" ca="1">IF(AUTOEVENTO="Manual",ROUND(SUMPRODUCT((CÁLCULO!$M$15:$M$162=EVENTOS!$C47)*(OFFSET(CÁLCULO!$AA$15:$AA$162,0,J$13))),2),0)</f>
        <v>0</v>
      </c>
      <c r="K47" s="620" cm="1">
        <f t="array" aca="1" ref="K47" ca="1">IF(AUTOEVENTO="Manual",ROUND(SUMPRODUCT((CÁLCULO!$M$15:$M$162=EVENTOS!$C47)*(OFFSET(CÁLCULO!$AA$15:$AA$162,0,K$13))),2),0)</f>
        <v>0</v>
      </c>
      <c r="L47" s="620" cm="1">
        <f t="array" aca="1" ref="L47" ca="1">IF(AUTOEVENTO="Manual",ROUND(SUMPRODUCT((CÁLCULO!$M$15:$M$162=EVENTOS!$C47)*(OFFSET(CÁLCULO!$AA$15:$AA$162,0,L$13))),2),0)</f>
        <v>0</v>
      </c>
      <c r="M47" s="620" cm="1">
        <f t="array" aca="1" ref="M47" ca="1">IF(AUTOEVENTO="Manual",ROUND(SUMPRODUCT((CÁLCULO!$M$15:$M$162=EVENTOS!$C47)*(OFFSET(CÁLCULO!$AA$15:$AA$162,0,M$13))),2),0)</f>
        <v>0</v>
      </c>
      <c r="N47" s="620" cm="1">
        <f t="array" aca="1" ref="N47" ca="1">IF(AUTOEVENTO="Manual",ROUND(SUMPRODUCT((CÁLCULO!$M$15:$M$162=EVENTOS!$C47)*(OFFSET(CÁLCULO!$AA$15:$AA$162,0,N$13))),2),0)</f>
        <v>0</v>
      </c>
      <c r="O47" s="620" cm="1">
        <f t="array" aca="1" ref="O47" ca="1">IF(AUTOEVENTO="Manual",ROUND(SUMPRODUCT((CÁLCULO!$M$15:$M$162=EVENTOS!$C47)*(OFFSET(CÁLCULO!$AA$15:$AA$162,0,O$13))),2),0)</f>
        <v>0</v>
      </c>
      <c r="P47" s="620" cm="1">
        <f t="array" aca="1" ref="P47" ca="1">IF(AUTOEVENTO="Manual",ROUND(SUMPRODUCT((CÁLCULO!$M$15:$M$162=EVENTOS!$C47)*(OFFSET(CÁLCULO!$AA$15:$AA$162,0,P$13))),2),0)</f>
        <v>0</v>
      </c>
      <c r="Q47" s="620" cm="1">
        <f t="array" aca="1" ref="Q47" ca="1">IF(AUTOEVENTO="Manual",ROUND(SUMPRODUCT((CÁLCULO!$M$15:$M$162=EVENTOS!$C47)*(OFFSET(CÁLCULO!$AA$15:$AA$162,0,Q$13))),2),0)</f>
        <v>0</v>
      </c>
      <c r="R47" s="620" cm="1">
        <f t="array" aca="1" ref="R47" ca="1">IF(AUTOEVENTO="Manual",ROUND(SUMPRODUCT((CÁLCULO!$M$15:$M$162=EVENTOS!$C47)*(OFFSET(CÁLCULO!$AA$15:$AA$162,0,R$13))),2),0)</f>
        <v>0</v>
      </c>
      <c r="S47" s="620" cm="1">
        <f t="array" aca="1" ref="S47" ca="1">IF(AUTOEVENTO="Manual",ROUND(SUMPRODUCT((CÁLCULO!$M$15:$M$162=EVENTOS!$C47)*(OFFSET(CÁLCULO!$AA$15:$AA$162,0,S$13))),2),0)</f>
        <v>0</v>
      </c>
      <c r="T47" s="620" cm="1">
        <f t="array" aca="1" ref="T47" ca="1">IF(AUTOEVENTO="Manual",ROUND(SUMPRODUCT((CÁLCULO!$M$15:$M$162=EVENTOS!$C47)*(OFFSET(CÁLCULO!$AA$15:$AA$162,0,T$13))),2),0)</f>
        <v>0</v>
      </c>
      <c r="U47" s="620" cm="1">
        <f t="array" aca="1" ref="U47" ca="1">IF(AUTOEVENTO="Manual",ROUND(SUMPRODUCT((CÁLCULO!$M$15:$M$162=EVENTOS!$C47)*(OFFSET(CÁLCULO!$AA$15:$AA$162,0,U$13))),2),0)</f>
        <v>0</v>
      </c>
      <c r="V47" s="620" cm="1">
        <f t="array" aca="1" ref="V47" ca="1">IF(AUTOEVENTO="Manual",ROUND(SUMPRODUCT((CÁLCULO!$M$15:$M$162=EVENTOS!$C47)*(OFFSET(CÁLCULO!$AA$15:$AA$162,0,V$13))),2),0)</f>
        <v>0</v>
      </c>
      <c r="W47" s="620" cm="1">
        <f t="array" aca="1" ref="W47" ca="1">IF(AUTOEVENTO="Manual",ROUND(SUMPRODUCT((CÁLCULO!$M$15:$M$162=EVENTOS!$C47)*(OFFSET(CÁLCULO!$AA$15:$AA$162,0,W$13))),2),0)</f>
        <v>0</v>
      </c>
      <c r="X47" s="620" cm="1">
        <f t="array" aca="1" ref="X47" ca="1">IF(AUTOEVENTO="Manual",ROUND(SUMPRODUCT((CÁLCULO!$M$15:$M$162=EVENTOS!$C47)*(OFFSET(CÁLCULO!$AA$15:$AA$162,0,X$13))),2),0)</f>
        <v>0</v>
      </c>
      <c r="Y47" s="620" cm="1">
        <f t="array" aca="1" ref="Y47" ca="1">IF(AUTOEVENTO="Manual",ROUND(SUMPRODUCT((CÁLCULO!$M$15:$M$162=EVENTOS!$C47)*(OFFSET(CÁLCULO!$AA$15:$AA$162,0,Y$13))),2),0)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IF(AUTOEVENTO="Manual",ROUND(SUMPRODUCT((CÁLCULO!$M$15:$M$162=EVENTOS!$C48)*(OFFSET(CÁLCULO!$AA$15:$AA$162,0,E$13))),2),0)</f>
        <v>0</v>
      </c>
      <c r="F48" s="183">
        <f ca="1">IF(AUTOEVENTO="Manual",ROUND(SUMPRODUCT((CÁLCULO!$M$15:$M$162=EVENTOS!$C48)*(OFFSET(CÁLCULO!$AA$15,0,1):OFFSET(CÁLCULO!$AL$162,0,-1))),2),0)</f>
        <v>0</v>
      </c>
      <c r="G48" s="621" t="str">
        <f t="shared" ref="G48:G64" ca="1" si="6">IF(AND(D48=0,F48&gt;0),"NOME",
 IF(AND(D48&lt;&gt;0,$F$14&gt;0,F48=0),"VALOR",
 IF(AND(Import.TipoArredondamento="TransfereGOV",$A48="F",LEN(D48)&gt;100),"Nome &gt;100","")))</f>
        <v/>
      </c>
      <c r="H48" s="620" cm="1">
        <f t="array" aca="1" ref="H48" ca="1">IF(AUTOEVENTO="Manual",ROUND(SUMPRODUCT((CÁLCULO!$M$15:$M$162=EVENTOS!$C48)*(OFFSET(CÁLCULO!$AA$15:$AA$162,0,H$13))),2),0)</f>
        <v>0</v>
      </c>
      <c r="I48" s="620" cm="1">
        <f t="array" aca="1" ref="I48" ca="1">IF(AUTOEVENTO="Manual",ROUND(SUMPRODUCT((CÁLCULO!$M$15:$M$162=EVENTOS!$C48)*(OFFSET(CÁLCULO!$AA$15:$AA$162,0,I$13))),2),0)</f>
        <v>0</v>
      </c>
      <c r="J48" s="620" cm="1">
        <f t="array" aca="1" ref="J48" ca="1">IF(AUTOEVENTO="Manual",ROUND(SUMPRODUCT((CÁLCULO!$M$15:$M$162=EVENTOS!$C48)*(OFFSET(CÁLCULO!$AA$15:$AA$162,0,J$13))),2),0)</f>
        <v>0</v>
      </c>
      <c r="K48" s="620" cm="1">
        <f t="array" aca="1" ref="K48" ca="1">IF(AUTOEVENTO="Manual",ROUND(SUMPRODUCT((CÁLCULO!$M$15:$M$162=EVENTOS!$C48)*(OFFSET(CÁLCULO!$AA$15:$AA$162,0,K$13))),2),0)</f>
        <v>0</v>
      </c>
      <c r="L48" s="620" cm="1">
        <f t="array" aca="1" ref="L48" ca="1">IF(AUTOEVENTO="Manual",ROUND(SUMPRODUCT((CÁLCULO!$M$15:$M$162=EVENTOS!$C48)*(OFFSET(CÁLCULO!$AA$15:$AA$162,0,L$13))),2),0)</f>
        <v>0</v>
      </c>
      <c r="M48" s="620" cm="1">
        <f t="array" aca="1" ref="M48" ca="1">IF(AUTOEVENTO="Manual",ROUND(SUMPRODUCT((CÁLCULO!$M$15:$M$162=EVENTOS!$C48)*(OFFSET(CÁLCULO!$AA$15:$AA$162,0,M$13))),2),0)</f>
        <v>0</v>
      </c>
      <c r="N48" s="620" cm="1">
        <f t="array" aca="1" ref="N48" ca="1">IF(AUTOEVENTO="Manual",ROUND(SUMPRODUCT((CÁLCULO!$M$15:$M$162=EVENTOS!$C48)*(OFFSET(CÁLCULO!$AA$15:$AA$162,0,N$13))),2),0)</f>
        <v>0</v>
      </c>
      <c r="O48" s="620" cm="1">
        <f t="array" aca="1" ref="O48" ca="1">IF(AUTOEVENTO="Manual",ROUND(SUMPRODUCT((CÁLCULO!$M$15:$M$162=EVENTOS!$C48)*(OFFSET(CÁLCULO!$AA$15:$AA$162,0,O$13))),2),0)</f>
        <v>0</v>
      </c>
      <c r="P48" s="620" cm="1">
        <f t="array" aca="1" ref="P48" ca="1">IF(AUTOEVENTO="Manual",ROUND(SUMPRODUCT((CÁLCULO!$M$15:$M$162=EVENTOS!$C48)*(OFFSET(CÁLCULO!$AA$15:$AA$162,0,P$13))),2),0)</f>
        <v>0</v>
      </c>
      <c r="Q48" s="620" cm="1">
        <f t="array" aca="1" ref="Q48" ca="1">IF(AUTOEVENTO="Manual",ROUND(SUMPRODUCT((CÁLCULO!$M$15:$M$162=EVENTOS!$C48)*(OFFSET(CÁLCULO!$AA$15:$AA$162,0,Q$13))),2),0)</f>
        <v>0</v>
      </c>
      <c r="R48" s="620" cm="1">
        <f t="array" aca="1" ref="R48" ca="1">IF(AUTOEVENTO="Manual",ROUND(SUMPRODUCT((CÁLCULO!$M$15:$M$162=EVENTOS!$C48)*(OFFSET(CÁLCULO!$AA$15:$AA$162,0,R$13))),2),0)</f>
        <v>0</v>
      </c>
      <c r="S48" s="620" cm="1">
        <f t="array" aca="1" ref="S48" ca="1">IF(AUTOEVENTO="Manual",ROUND(SUMPRODUCT((CÁLCULO!$M$15:$M$162=EVENTOS!$C48)*(OFFSET(CÁLCULO!$AA$15:$AA$162,0,S$13))),2),0)</f>
        <v>0</v>
      </c>
      <c r="T48" s="620" cm="1">
        <f t="array" aca="1" ref="T48" ca="1">IF(AUTOEVENTO="Manual",ROUND(SUMPRODUCT((CÁLCULO!$M$15:$M$162=EVENTOS!$C48)*(OFFSET(CÁLCULO!$AA$15:$AA$162,0,T$13))),2),0)</f>
        <v>0</v>
      </c>
      <c r="U48" s="620" cm="1">
        <f t="array" aca="1" ref="U48" ca="1">IF(AUTOEVENTO="Manual",ROUND(SUMPRODUCT((CÁLCULO!$M$15:$M$162=EVENTOS!$C48)*(OFFSET(CÁLCULO!$AA$15:$AA$162,0,U$13))),2),0)</f>
        <v>0</v>
      </c>
      <c r="V48" s="620" cm="1">
        <f t="array" aca="1" ref="V48" ca="1">IF(AUTOEVENTO="Manual",ROUND(SUMPRODUCT((CÁLCULO!$M$15:$M$162=EVENTOS!$C48)*(OFFSET(CÁLCULO!$AA$15:$AA$162,0,V$13))),2),0)</f>
        <v>0</v>
      </c>
      <c r="W48" s="620" cm="1">
        <f t="array" aca="1" ref="W48" ca="1">IF(AUTOEVENTO="Manual",ROUND(SUMPRODUCT((CÁLCULO!$M$15:$M$162=EVENTOS!$C48)*(OFFSET(CÁLCULO!$AA$15:$AA$162,0,W$13))),2),0)</f>
        <v>0</v>
      </c>
      <c r="X48" s="620" cm="1">
        <f t="array" aca="1" ref="X48" ca="1">IF(AUTOEVENTO="Manual",ROUND(SUMPRODUCT((CÁLCULO!$M$15:$M$162=EVENTOS!$C48)*(OFFSET(CÁLCULO!$AA$15:$AA$162,0,X$13))),2),0)</f>
        <v>0</v>
      </c>
      <c r="Y48" s="620" cm="1">
        <f t="array" aca="1" ref="Y48" ca="1">IF(AUTOEVENTO="Manual",ROUND(SUMPRODUCT((CÁLCULO!$M$15:$M$162=EVENTOS!$C48)*(OFFSET(CÁLCULO!$AA$15:$AA$162,0,Y$13))),2),0)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IF(AUTOEVENTO="Manual",ROUND(SUMPRODUCT((CÁLCULO!$M$15:$M$162=EVENTOS!$C49)*(OFFSET(CÁLCULO!$AA$15:$AA$162,0,E$13))),2),0)</f>
        <v>0</v>
      </c>
      <c r="F49" s="183">
        <f ca="1">IF(AUTOEVENTO="Manual",ROUND(SUMPRODUCT((CÁLCULO!$M$15:$M$162=EVENTOS!$C49)*(OFFSET(CÁLCULO!$AA$15,0,1):OFFSET(CÁLCULO!$AL$162,0,-1))),2),0)</f>
        <v>0</v>
      </c>
      <c r="G49" s="621" t="str">
        <f t="shared" ca="1" si="6"/>
        <v/>
      </c>
      <c r="H49" s="620" cm="1">
        <f t="array" aca="1" ref="H49" ca="1">IF(AUTOEVENTO="Manual",ROUND(SUMPRODUCT((CÁLCULO!$M$15:$M$162=EVENTOS!$C49)*(OFFSET(CÁLCULO!$AA$15:$AA$162,0,H$13))),2),0)</f>
        <v>0</v>
      </c>
      <c r="I49" s="620" cm="1">
        <f t="array" aca="1" ref="I49" ca="1">IF(AUTOEVENTO="Manual",ROUND(SUMPRODUCT((CÁLCULO!$M$15:$M$162=EVENTOS!$C49)*(OFFSET(CÁLCULO!$AA$15:$AA$162,0,I$13))),2),0)</f>
        <v>0</v>
      </c>
      <c r="J49" s="620" cm="1">
        <f t="array" aca="1" ref="J49" ca="1">IF(AUTOEVENTO="Manual",ROUND(SUMPRODUCT((CÁLCULO!$M$15:$M$162=EVENTOS!$C49)*(OFFSET(CÁLCULO!$AA$15:$AA$162,0,J$13))),2),0)</f>
        <v>0</v>
      </c>
      <c r="K49" s="620" cm="1">
        <f t="array" aca="1" ref="K49" ca="1">IF(AUTOEVENTO="Manual",ROUND(SUMPRODUCT((CÁLCULO!$M$15:$M$162=EVENTOS!$C49)*(OFFSET(CÁLCULO!$AA$15:$AA$162,0,K$13))),2),0)</f>
        <v>0</v>
      </c>
      <c r="L49" s="620" cm="1">
        <f t="array" aca="1" ref="L49" ca="1">IF(AUTOEVENTO="Manual",ROUND(SUMPRODUCT((CÁLCULO!$M$15:$M$162=EVENTOS!$C49)*(OFFSET(CÁLCULO!$AA$15:$AA$162,0,L$13))),2),0)</f>
        <v>0</v>
      </c>
      <c r="M49" s="620" cm="1">
        <f t="array" aca="1" ref="M49" ca="1">IF(AUTOEVENTO="Manual",ROUND(SUMPRODUCT((CÁLCULO!$M$15:$M$162=EVENTOS!$C49)*(OFFSET(CÁLCULO!$AA$15:$AA$162,0,M$13))),2),0)</f>
        <v>0</v>
      </c>
      <c r="N49" s="620" cm="1">
        <f t="array" aca="1" ref="N49" ca="1">IF(AUTOEVENTO="Manual",ROUND(SUMPRODUCT((CÁLCULO!$M$15:$M$162=EVENTOS!$C49)*(OFFSET(CÁLCULO!$AA$15:$AA$162,0,N$13))),2),0)</f>
        <v>0</v>
      </c>
      <c r="O49" s="620" cm="1">
        <f t="array" aca="1" ref="O49" ca="1">IF(AUTOEVENTO="Manual",ROUND(SUMPRODUCT((CÁLCULO!$M$15:$M$162=EVENTOS!$C49)*(OFFSET(CÁLCULO!$AA$15:$AA$162,0,O$13))),2),0)</f>
        <v>0</v>
      </c>
      <c r="P49" s="620" cm="1">
        <f t="array" aca="1" ref="P49" ca="1">IF(AUTOEVENTO="Manual",ROUND(SUMPRODUCT((CÁLCULO!$M$15:$M$162=EVENTOS!$C49)*(OFFSET(CÁLCULO!$AA$15:$AA$162,0,P$13))),2),0)</f>
        <v>0</v>
      </c>
      <c r="Q49" s="620" cm="1">
        <f t="array" aca="1" ref="Q49" ca="1">IF(AUTOEVENTO="Manual",ROUND(SUMPRODUCT((CÁLCULO!$M$15:$M$162=EVENTOS!$C49)*(OFFSET(CÁLCULO!$AA$15:$AA$162,0,Q$13))),2),0)</f>
        <v>0</v>
      </c>
      <c r="R49" s="620" cm="1">
        <f t="array" aca="1" ref="R49" ca="1">IF(AUTOEVENTO="Manual",ROUND(SUMPRODUCT((CÁLCULO!$M$15:$M$162=EVENTOS!$C49)*(OFFSET(CÁLCULO!$AA$15:$AA$162,0,R$13))),2),0)</f>
        <v>0</v>
      </c>
      <c r="S49" s="620" cm="1">
        <f t="array" aca="1" ref="S49" ca="1">IF(AUTOEVENTO="Manual",ROUND(SUMPRODUCT((CÁLCULO!$M$15:$M$162=EVENTOS!$C49)*(OFFSET(CÁLCULO!$AA$15:$AA$162,0,S$13))),2),0)</f>
        <v>0</v>
      </c>
      <c r="T49" s="620" cm="1">
        <f t="array" aca="1" ref="T49" ca="1">IF(AUTOEVENTO="Manual",ROUND(SUMPRODUCT((CÁLCULO!$M$15:$M$162=EVENTOS!$C49)*(OFFSET(CÁLCULO!$AA$15:$AA$162,0,T$13))),2),0)</f>
        <v>0</v>
      </c>
      <c r="U49" s="620" cm="1">
        <f t="array" aca="1" ref="U49" ca="1">IF(AUTOEVENTO="Manual",ROUND(SUMPRODUCT((CÁLCULO!$M$15:$M$162=EVENTOS!$C49)*(OFFSET(CÁLCULO!$AA$15:$AA$162,0,U$13))),2),0)</f>
        <v>0</v>
      </c>
      <c r="V49" s="620" cm="1">
        <f t="array" aca="1" ref="V49" ca="1">IF(AUTOEVENTO="Manual",ROUND(SUMPRODUCT((CÁLCULO!$M$15:$M$162=EVENTOS!$C49)*(OFFSET(CÁLCULO!$AA$15:$AA$162,0,V$13))),2),0)</f>
        <v>0</v>
      </c>
      <c r="W49" s="620" cm="1">
        <f t="array" aca="1" ref="W49" ca="1">IF(AUTOEVENTO="Manual",ROUND(SUMPRODUCT((CÁLCULO!$M$15:$M$162=EVENTOS!$C49)*(OFFSET(CÁLCULO!$AA$15:$AA$162,0,W$13))),2),0)</f>
        <v>0</v>
      </c>
      <c r="X49" s="620" cm="1">
        <f t="array" aca="1" ref="X49" ca="1">IF(AUTOEVENTO="Manual",ROUND(SUMPRODUCT((CÁLCULO!$M$15:$M$162=EVENTOS!$C49)*(OFFSET(CÁLCULO!$AA$15:$AA$162,0,X$13))),2),0)</f>
        <v>0</v>
      </c>
      <c r="Y49" s="620" cm="1">
        <f t="array" aca="1" ref="Y49" ca="1">IF(AUTOEVENTO="Manual",ROUND(SUMPRODUCT((CÁLCULO!$M$15:$M$162=EVENTOS!$C49)*(OFFSET(CÁLCULO!$AA$15:$AA$162,0,Y$13))),2),0)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IF(AUTOEVENTO="Manual",ROUND(SUMPRODUCT((CÁLCULO!$M$15:$M$162=EVENTOS!$C50)*(OFFSET(CÁLCULO!$AA$15:$AA$162,0,E$13))),2),0)</f>
        <v>0</v>
      </c>
      <c r="F50" s="183">
        <f ca="1">IF(AUTOEVENTO="Manual",ROUND(SUMPRODUCT((CÁLCULO!$M$15:$M$162=EVENTOS!$C50)*(OFFSET(CÁLCULO!$AA$15,0,1):OFFSET(CÁLCULO!$AL$162,0,-1))),2),0)</f>
        <v>0</v>
      </c>
      <c r="G50" s="621" t="str">
        <f t="shared" ca="1" si="6"/>
        <v/>
      </c>
      <c r="H50" s="620" cm="1">
        <f t="array" aca="1" ref="H50" ca="1">IF(AUTOEVENTO="Manual",ROUND(SUMPRODUCT((CÁLCULO!$M$15:$M$162=EVENTOS!$C50)*(OFFSET(CÁLCULO!$AA$15:$AA$162,0,H$13))),2),0)</f>
        <v>0</v>
      </c>
      <c r="I50" s="620" cm="1">
        <f t="array" aca="1" ref="I50" ca="1">IF(AUTOEVENTO="Manual",ROUND(SUMPRODUCT((CÁLCULO!$M$15:$M$162=EVENTOS!$C50)*(OFFSET(CÁLCULO!$AA$15:$AA$162,0,I$13))),2),0)</f>
        <v>0</v>
      </c>
      <c r="J50" s="620" cm="1">
        <f t="array" aca="1" ref="J50" ca="1">IF(AUTOEVENTO="Manual",ROUND(SUMPRODUCT((CÁLCULO!$M$15:$M$162=EVENTOS!$C50)*(OFFSET(CÁLCULO!$AA$15:$AA$162,0,J$13))),2),0)</f>
        <v>0</v>
      </c>
      <c r="K50" s="620" cm="1">
        <f t="array" aca="1" ref="K50" ca="1">IF(AUTOEVENTO="Manual",ROUND(SUMPRODUCT((CÁLCULO!$M$15:$M$162=EVENTOS!$C50)*(OFFSET(CÁLCULO!$AA$15:$AA$162,0,K$13))),2),0)</f>
        <v>0</v>
      </c>
      <c r="L50" s="620" cm="1">
        <f t="array" aca="1" ref="L50" ca="1">IF(AUTOEVENTO="Manual",ROUND(SUMPRODUCT((CÁLCULO!$M$15:$M$162=EVENTOS!$C50)*(OFFSET(CÁLCULO!$AA$15:$AA$162,0,L$13))),2),0)</f>
        <v>0</v>
      </c>
      <c r="M50" s="620" cm="1">
        <f t="array" aca="1" ref="M50" ca="1">IF(AUTOEVENTO="Manual",ROUND(SUMPRODUCT((CÁLCULO!$M$15:$M$162=EVENTOS!$C50)*(OFFSET(CÁLCULO!$AA$15:$AA$162,0,M$13))),2),0)</f>
        <v>0</v>
      </c>
      <c r="N50" s="620" cm="1">
        <f t="array" aca="1" ref="N50" ca="1">IF(AUTOEVENTO="Manual",ROUND(SUMPRODUCT((CÁLCULO!$M$15:$M$162=EVENTOS!$C50)*(OFFSET(CÁLCULO!$AA$15:$AA$162,0,N$13))),2),0)</f>
        <v>0</v>
      </c>
      <c r="O50" s="620" cm="1">
        <f t="array" aca="1" ref="O50" ca="1">IF(AUTOEVENTO="Manual",ROUND(SUMPRODUCT((CÁLCULO!$M$15:$M$162=EVENTOS!$C50)*(OFFSET(CÁLCULO!$AA$15:$AA$162,0,O$13))),2),0)</f>
        <v>0</v>
      </c>
      <c r="P50" s="620" cm="1">
        <f t="array" aca="1" ref="P50" ca="1">IF(AUTOEVENTO="Manual",ROUND(SUMPRODUCT((CÁLCULO!$M$15:$M$162=EVENTOS!$C50)*(OFFSET(CÁLCULO!$AA$15:$AA$162,0,P$13))),2),0)</f>
        <v>0</v>
      </c>
      <c r="Q50" s="620" cm="1">
        <f t="array" aca="1" ref="Q50" ca="1">IF(AUTOEVENTO="Manual",ROUND(SUMPRODUCT((CÁLCULO!$M$15:$M$162=EVENTOS!$C50)*(OFFSET(CÁLCULO!$AA$15:$AA$162,0,Q$13))),2),0)</f>
        <v>0</v>
      </c>
      <c r="R50" s="620" cm="1">
        <f t="array" aca="1" ref="R50" ca="1">IF(AUTOEVENTO="Manual",ROUND(SUMPRODUCT((CÁLCULO!$M$15:$M$162=EVENTOS!$C50)*(OFFSET(CÁLCULO!$AA$15:$AA$162,0,R$13))),2),0)</f>
        <v>0</v>
      </c>
      <c r="S50" s="620" cm="1">
        <f t="array" aca="1" ref="S50" ca="1">IF(AUTOEVENTO="Manual",ROUND(SUMPRODUCT((CÁLCULO!$M$15:$M$162=EVENTOS!$C50)*(OFFSET(CÁLCULO!$AA$15:$AA$162,0,S$13))),2),0)</f>
        <v>0</v>
      </c>
      <c r="T50" s="620" cm="1">
        <f t="array" aca="1" ref="T50" ca="1">IF(AUTOEVENTO="Manual",ROUND(SUMPRODUCT((CÁLCULO!$M$15:$M$162=EVENTOS!$C50)*(OFFSET(CÁLCULO!$AA$15:$AA$162,0,T$13))),2),0)</f>
        <v>0</v>
      </c>
      <c r="U50" s="620" cm="1">
        <f t="array" aca="1" ref="U50" ca="1">IF(AUTOEVENTO="Manual",ROUND(SUMPRODUCT((CÁLCULO!$M$15:$M$162=EVENTOS!$C50)*(OFFSET(CÁLCULO!$AA$15:$AA$162,0,U$13))),2),0)</f>
        <v>0</v>
      </c>
      <c r="V50" s="620" cm="1">
        <f t="array" aca="1" ref="V50" ca="1">IF(AUTOEVENTO="Manual",ROUND(SUMPRODUCT((CÁLCULO!$M$15:$M$162=EVENTOS!$C50)*(OFFSET(CÁLCULO!$AA$15:$AA$162,0,V$13))),2),0)</f>
        <v>0</v>
      </c>
      <c r="W50" s="620" cm="1">
        <f t="array" aca="1" ref="W50" ca="1">IF(AUTOEVENTO="Manual",ROUND(SUMPRODUCT((CÁLCULO!$M$15:$M$162=EVENTOS!$C50)*(OFFSET(CÁLCULO!$AA$15:$AA$162,0,W$13))),2),0)</f>
        <v>0</v>
      </c>
      <c r="X50" s="620" cm="1">
        <f t="array" aca="1" ref="X50" ca="1">IF(AUTOEVENTO="Manual",ROUND(SUMPRODUCT((CÁLCULO!$M$15:$M$162=EVENTOS!$C50)*(OFFSET(CÁLCULO!$AA$15:$AA$162,0,X$13))),2),0)</f>
        <v>0</v>
      </c>
      <c r="Y50" s="620" cm="1">
        <f t="array" aca="1" ref="Y50" ca="1">IF(AUTOEVENTO="Manual",ROUND(SUMPRODUCT((CÁLCULO!$M$15:$M$162=EVENTOS!$C50)*(OFFSET(CÁLCULO!$AA$15:$AA$162,0,Y$13))),2),0)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IF(AUTOEVENTO="Manual",ROUND(SUMPRODUCT((CÁLCULO!$M$15:$M$162=EVENTOS!$C51)*(OFFSET(CÁLCULO!$AA$15:$AA$162,0,E$13))),2),0)</f>
        <v>0</v>
      </c>
      <c r="F51" s="183">
        <f ca="1">IF(AUTOEVENTO="Manual",ROUND(SUMPRODUCT((CÁLCULO!$M$15:$M$162=EVENTOS!$C51)*(OFFSET(CÁLCULO!$AA$15,0,1):OFFSET(CÁLCULO!$AL$162,0,-1))),2),0)</f>
        <v>0</v>
      </c>
      <c r="G51" s="621" t="str">
        <f t="shared" ca="1" si="6"/>
        <v/>
      </c>
      <c r="H51" s="620" cm="1">
        <f t="array" aca="1" ref="H51" ca="1">IF(AUTOEVENTO="Manual",ROUND(SUMPRODUCT((CÁLCULO!$M$15:$M$162=EVENTOS!$C51)*(OFFSET(CÁLCULO!$AA$15:$AA$162,0,H$13))),2),0)</f>
        <v>0</v>
      </c>
      <c r="I51" s="620" cm="1">
        <f t="array" aca="1" ref="I51" ca="1">IF(AUTOEVENTO="Manual",ROUND(SUMPRODUCT((CÁLCULO!$M$15:$M$162=EVENTOS!$C51)*(OFFSET(CÁLCULO!$AA$15:$AA$162,0,I$13))),2),0)</f>
        <v>0</v>
      </c>
      <c r="J51" s="620" cm="1">
        <f t="array" aca="1" ref="J51" ca="1">IF(AUTOEVENTO="Manual",ROUND(SUMPRODUCT((CÁLCULO!$M$15:$M$162=EVENTOS!$C51)*(OFFSET(CÁLCULO!$AA$15:$AA$162,0,J$13))),2),0)</f>
        <v>0</v>
      </c>
      <c r="K51" s="620" cm="1">
        <f t="array" aca="1" ref="K51" ca="1">IF(AUTOEVENTO="Manual",ROUND(SUMPRODUCT((CÁLCULO!$M$15:$M$162=EVENTOS!$C51)*(OFFSET(CÁLCULO!$AA$15:$AA$162,0,K$13))),2),0)</f>
        <v>0</v>
      </c>
      <c r="L51" s="620" cm="1">
        <f t="array" aca="1" ref="L51" ca="1">IF(AUTOEVENTO="Manual",ROUND(SUMPRODUCT((CÁLCULO!$M$15:$M$162=EVENTOS!$C51)*(OFFSET(CÁLCULO!$AA$15:$AA$162,0,L$13))),2),0)</f>
        <v>0</v>
      </c>
      <c r="M51" s="620" cm="1">
        <f t="array" aca="1" ref="M51" ca="1">IF(AUTOEVENTO="Manual",ROUND(SUMPRODUCT((CÁLCULO!$M$15:$M$162=EVENTOS!$C51)*(OFFSET(CÁLCULO!$AA$15:$AA$162,0,M$13))),2),0)</f>
        <v>0</v>
      </c>
      <c r="N51" s="620" cm="1">
        <f t="array" aca="1" ref="N51" ca="1">IF(AUTOEVENTO="Manual",ROUND(SUMPRODUCT((CÁLCULO!$M$15:$M$162=EVENTOS!$C51)*(OFFSET(CÁLCULO!$AA$15:$AA$162,0,N$13))),2),0)</f>
        <v>0</v>
      </c>
      <c r="O51" s="620" cm="1">
        <f t="array" aca="1" ref="O51" ca="1">IF(AUTOEVENTO="Manual",ROUND(SUMPRODUCT((CÁLCULO!$M$15:$M$162=EVENTOS!$C51)*(OFFSET(CÁLCULO!$AA$15:$AA$162,0,O$13))),2),0)</f>
        <v>0</v>
      </c>
      <c r="P51" s="620" cm="1">
        <f t="array" aca="1" ref="P51" ca="1">IF(AUTOEVENTO="Manual",ROUND(SUMPRODUCT((CÁLCULO!$M$15:$M$162=EVENTOS!$C51)*(OFFSET(CÁLCULO!$AA$15:$AA$162,0,P$13))),2),0)</f>
        <v>0</v>
      </c>
      <c r="Q51" s="620" cm="1">
        <f t="array" aca="1" ref="Q51" ca="1">IF(AUTOEVENTO="Manual",ROUND(SUMPRODUCT((CÁLCULO!$M$15:$M$162=EVENTOS!$C51)*(OFFSET(CÁLCULO!$AA$15:$AA$162,0,Q$13))),2),0)</f>
        <v>0</v>
      </c>
      <c r="R51" s="620" cm="1">
        <f t="array" aca="1" ref="R51" ca="1">IF(AUTOEVENTO="Manual",ROUND(SUMPRODUCT((CÁLCULO!$M$15:$M$162=EVENTOS!$C51)*(OFFSET(CÁLCULO!$AA$15:$AA$162,0,R$13))),2),0)</f>
        <v>0</v>
      </c>
      <c r="S51" s="620" cm="1">
        <f t="array" aca="1" ref="S51" ca="1">IF(AUTOEVENTO="Manual",ROUND(SUMPRODUCT((CÁLCULO!$M$15:$M$162=EVENTOS!$C51)*(OFFSET(CÁLCULO!$AA$15:$AA$162,0,S$13))),2),0)</f>
        <v>0</v>
      </c>
      <c r="T51" s="620" cm="1">
        <f t="array" aca="1" ref="T51" ca="1">IF(AUTOEVENTO="Manual",ROUND(SUMPRODUCT((CÁLCULO!$M$15:$M$162=EVENTOS!$C51)*(OFFSET(CÁLCULO!$AA$15:$AA$162,0,T$13))),2),0)</f>
        <v>0</v>
      </c>
      <c r="U51" s="620" cm="1">
        <f t="array" aca="1" ref="U51" ca="1">IF(AUTOEVENTO="Manual",ROUND(SUMPRODUCT((CÁLCULO!$M$15:$M$162=EVENTOS!$C51)*(OFFSET(CÁLCULO!$AA$15:$AA$162,0,U$13))),2),0)</f>
        <v>0</v>
      </c>
      <c r="V51" s="620" cm="1">
        <f t="array" aca="1" ref="V51" ca="1">IF(AUTOEVENTO="Manual",ROUND(SUMPRODUCT((CÁLCULO!$M$15:$M$162=EVENTOS!$C51)*(OFFSET(CÁLCULO!$AA$15:$AA$162,0,V$13))),2),0)</f>
        <v>0</v>
      </c>
      <c r="W51" s="620" cm="1">
        <f t="array" aca="1" ref="W51" ca="1">IF(AUTOEVENTO="Manual",ROUND(SUMPRODUCT((CÁLCULO!$M$15:$M$162=EVENTOS!$C51)*(OFFSET(CÁLCULO!$AA$15:$AA$162,0,W$13))),2),0)</f>
        <v>0</v>
      </c>
      <c r="X51" s="620" cm="1">
        <f t="array" aca="1" ref="X51" ca="1">IF(AUTOEVENTO="Manual",ROUND(SUMPRODUCT((CÁLCULO!$M$15:$M$162=EVENTOS!$C51)*(OFFSET(CÁLCULO!$AA$15:$AA$162,0,X$13))),2),0)</f>
        <v>0</v>
      </c>
      <c r="Y51" s="620" cm="1">
        <f t="array" aca="1" ref="Y51" ca="1">IF(AUTOEVENTO="Manual",ROUND(SUMPRODUCT((CÁLCULO!$M$15:$M$162=EVENTOS!$C51)*(OFFSET(CÁLCULO!$AA$15:$AA$162,0,Y$13))),2),0)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IF(AUTOEVENTO="Manual",ROUND(SUMPRODUCT((CÁLCULO!$M$15:$M$162=EVENTOS!$C52)*(OFFSET(CÁLCULO!$AA$15:$AA$162,0,E$13))),2),0)</f>
        <v>0</v>
      </c>
      <c r="F52" s="183">
        <f ca="1">IF(AUTOEVENTO="Manual",ROUND(SUMPRODUCT((CÁLCULO!$M$15:$M$162=EVENTOS!$C52)*(OFFSET(CÁLCULO!$AA$15,0,1):OFFSET(CÁLCULO!$AL$162,0,-1))),2),0)</f>
        <v>0</v>
      </c>
      <c r="G52" s="621" t="str">
        <f t="shared" ca="1" si="6"/>
        <v/>
      </c>
      <c r="H52" s="620" cm="1">
        <f t="array" aca="1" ref="H52" ca="1">IF(AUTOEVENTO="Manual",ROUND(SUMPRODUCT((CÁLCULO!$M$15:$M$162=EVENTOS!$C52)*(OFFSET(CÁLCULO!$AA$15:$AA$162,0,H$13))),2),0)</f>
        <v>0</v>
      </c>
      <c r="I52" s="620" cm="1">
        <f t="array" aca="1" ref="I52" ca="1">IF(AUTOEVENTO="Manual",ROUND(SUMPRODUCT((CÁLCULO!$M$15:$M$162=EVENTOS!$C52)*(OFFSET(CÁLCULO!$AA$15:$AA$162,0,I$13))),2),0)</f>
        <v>0</v>
      </c>
      <c r="J52" s="620" cm="1">
        <f t="array" aca="1" ref="J52" ca="1">IF(AUTOEVENTO="Manual",ROUND(SUMPRODUCT((CÁLCULO!$M$15:$M$162=EVENTOS!$C52)*(OFFSET(CÁLCULO!$AA$15:$AA$162,0,J$13))),2),0)</f>
        <v>0</v>
      </c>
      <c r="K52" s="620" cm="1">
        <f t="array" aca="1" ref="K52" ca="1">IF(AUTOEVENTO="Manual",ROUND(SUMPRODUCT((CÁLCULO!$M$15:$M$162=EVENTOS!$C52)*(OFFSET(CÁLCULO!$AA$15:$AA$162,0,K$13))),2),0)</f>
        <v>0</v>
      </c>
      <c r="L52" s="620" cm="1">
        <f t="array" aca="1" ref="L52" ca="1">IF(AUTOEVENTO="Manual",ROUND(SUMPRODUCT((CÁLCULO!$M$15:$M$162=EVENTOS!$C52)*(OFFSET(CÁLCULO!$AA$15:$AA$162,0,L$13))),2),0)</f>
        <v>0</v>
      </c>
      <c r="M52" s="620" cm="1">
        <f t="array" aca="1" ref="M52" ca="1">IF(AUTOEVENTO="Manual",ROUND(SUMPRODUCT((CÁLCULO!$M$15:$M$162=EVENTOS!$C52)*(OFFSET(CÁLCULO!$AA$15:$AA$162,0,M$13))),2),0)</f>
        <v>0</v>
      </c>
      <c r="N52" s="620" cm="1">
        <f t="array" aca="1" ref="N52" ca="1">IF(AUTOEVENTO="Manual",ROUND(SUMPRODUCT((CÁLCULO!$M$15:$M$162=EVENTOS!$C52)*(OFFSET(CÁLCULO!$AA$15:$AA$162,0,N$13))),2),0)</f>
        <v>0</v>
      </c>
      <c r="O52" s="620" cm="1">
        <f t="array" aca="1" ref="O52" ca="1">IF(AUTOEVENTO="Manual",ROUND(SUMPRODUCT((CÁLCULO!$M$15:$M$162=EVENTOS!$C52)*(OFFSET(CÁLCULO!$AA$15:$AA$162,0,O$13))),2),0)</f>
        <v>0</v>
      </c>
      <c r="P52" s="620" cm="1">
        <f t="array" aca="1" ref="P52" ca="1">IF(AUTOEVENTO="Manual",ROUND(SUMPRODUCT((CÁLCULO!$M$15:$M$162=EVENTOS!$C52)*(OFFSET(CÁLCULO!$AA$15:$AA$162,0,P$13))),2),0)</f>
        <v>0</v>
      </c>
      <c r="Q52" s="620" cm="1">
        <f t="array" aca="1" ref="Q52" ca="1">IF(AUTOEVENTO="Manual",ROUND(SUMPRODUCT((CÁLCULO!$M$15:$M$162=EVENTOS!$C52)*(OFFSET(CÁLCULO!$AA$15:$AA$162,0,Q$13))),2),0)</f>
        <v>0</v>
      </c>
      <c r="R52" s="620" cm="1">
        <f t="array" aca="1" ref="R52" ca="1">IF(AUTOEVENTO="Manual",ROUND(SUMPRODUCT((CÁLCULO!$M$15:$M$162=EVENTOS!$C52)*(OFFSET(CÁLCULO!$AA$15:$AA$162,0,R$13))),2),0)</f>
        <v>0</v>
      </c>
      <c r="S52" s="620" cm="1">
        <f t="array" aca="1" ref="S52" ca="1">IF(AUTOEVENTO="Manual",ROUND(SUMPRODUCT((CÁLCULO!$M$15:$M$162=EVENTOS!$C52)*(OFFSET(CÁLCULO!$AA$15:$AA$162,0,S$13))),2),0)</f>
        <v>0</v>
      </c>
      <c r="T52" s="620" cm="1">
        <f t="array" aca="1" ref="T52" ca="1">IF(AUTOEVENTO="Manual",ROUND(SUMPRODUCT((CÁLCULO!$M$15:$M$162=EVENTOS!$C52)*(OFFSET(CÁLCULO!$AA$15:$AA$162,0,T$13))),2),0)</f>
        <v>0</v>
      </c>
      <c r="U52" s="620" cm="1">
        <f t="array" aca="1" ref="U52" ca="1">IF(AUTOEVENTO="Manual",ROUND(SUMPRODUCT((CÁLCULO!$M$15:$M$162=EVENTOS!$C52)*(OFFSET(CÁLCULO!$AA$15:$AA$162,0,U$13))),2),0)</f>
        <v>0</v>
      </c>
      <c r="V52" s="620" cm="1">
        <f t="array" aca="1" ref="V52" ca="1">IF(AUTOEVENTO="Manual",ROUND(SUMPRODUCT((CÁLCULO!$M$15:$M$162=EVENTOS!$C52)*(OFFSET(CÁLCULO!$AA$15:$AA$162,0,V$13))),2),0)</f>
        <v>0</v>
      </c>
      <c r="W52" s="620" cm="1">
        <f t="array" aca="1" ref="W52" ca="1">IF(AUTOEVENTO="Manual",ROUND(SUMPRODUCT((CÁLCULO!$M$15:$M$162=EVENTOS!$C52)*(OFFSET(CÁLCULO!$AA$15:$AA$162,0,W$13))),2),0)</f>
        <v>0</v>
      </c>
      <c r="X52" s="620" cm="1">
        <f t="array" aca="1" ref="X52" ca="1">IF(AUTOEVENTO="Manual",ROUND(SUMPRODUCT((CÁLCULO!$M$15:$M$162=EVENTOS!$C52)*(OFFSET(CÁLCULO!$AA$15:$AA$162,0,X$13))),2),0)</f>
        <v>0</v>
      </c>
      <c r="Y52" s="620" cm="1">
        <f t="array" aca="1" ref="Y52" ca="1">IF(AUTOEVENTO="Manual",ROUND(SUMPRODUCT((CÁLCULO!$M$15:$M$162=EVENTOS!$C52)*(OFFSET(CÁLCULO!$AA$15:$AA$162,0,Y$13))),2),0)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IF(AUTOEVENTO="Manual",ROUND(SUMPRODUCT((CÁLCULO!$M$15:$M$162=EVENTOS!$C53)*(OFFSET(CÁLCULO!$AA$15:$AA$162,0,E$13))),2),0)</f>
        <v>0</v>
      </c>
      <c r="F53" s="183">
        <f ca="1">IF(AUTOEVENTO="Manual",ROUND(SUMPRODUCT((CÁLCULO!$M$15:$M$162=EVENTOS!$C53)*(OFFSET(CÁLCULO!$AA$15,0,1):OFFSET(CÁLCULO!$AL$162,0,-1))),2),0)</f>
        <v>0</v>
      </c>
      <c r="G53" s="621" t="str">
        <f t="shared" ca="1" si="6"/>
        <v/>
      </c>
      <c r="H53" s="620" cm="1">
        <f t="array" aca="1" ref="H53" ca="1">IF(AUTOEVENTO="Manual",ROUND(SUMPRODUCT((CÁLCULO!$M$15:$M$162=EVENTOS!$C53)*(OFFSET(CÁLCULO!$AA$15:$AA$162,0,H$13))),2),0)</f>
        <v>0</v>
      </c>
      <c r="I53" s="620" cm="1">
        <f t="array" aca="1" ref="I53" ca="1">IF(AUTOEVENTO="Manual",ROUND(SUMPRODUCT((CÁLCULO!$M$15:$M$162=EVENTOS!$C53)*(OFFSET(CÁLCULO!$AA$15:$AA$162,0,I$13))),2),0)</f>
        <v>0</v>
      </c>
      <c r="J53" s="620" cm="1">
        <f t="array" aca="1" ref="J53" ca="1">IF(AUTOEVENTO="Manual",ROUND(SUMPRODUCT((CÁLCULO!$M$15:$M$162=EVENTOS!$C53)*(OFFSET(CÁLCULO!$AA$15:$AA$162,0,J$13))),2),0)</f>
        <v>0</v>
      </c>
      <c r="K53" s="620" cm="1">
        <f t="array" aca="1" ref="K53" ca="1">IF(AUTOEVENTO="Manual",ROUND(SUMPRODUCT((CÁLCULO!$M$15:$M$162=EVENTOS!$C53)*(OFFSET(CÁLCULO!$AA$15:$AA$162,0,K$13))),2),0)</f>
        <v>0</v>
      </c>
      <c r="L53" s="620" cm="1">
        <f t="array" aca="1" ref="L53" ca="1">IF(AUTOEVENTO="Manual",ROUND(SUMPRODUCT((CÁLCULO!$M$15:$M$162=EVENTOS!$C53)*(OFFSET(CÁLCULO!$AA$15:$AA$162,0,L$13))),2),0)</f>
        <v>0</v>
      </c>
      <c r="M53" s="620" cm="1">
        <f t="array" aca="1" ref="M53" ca="1">IF(AUTOEVENTO="Manual",ROUND(SUMPRODUCT((CÁLCULO!$M$15:$M$162=EVENTOS!$C53)*(OFFSET(CÁLCULO!$AA$15:$AA$162,0,M$13))),2),0)</f>
        <v>0</v>
      </c>
      <c r="N53" s="620" cm="1">
        <f t="array" aca="1" ref="N53" ca="1">IF(AUTOEVENTO="Manual",ROUND(SUMPRODUCT((CÁLCULO!$M$15:$M$162=EVENTOS!$C53)*(OFFSET(CÁLCULO!$AA$15:$AA$162,0,N$13))),2),0)</f>
        <v>0</v>
      </c>
      <c r="O53" s="620" cm="1">
        <f t="array" aca="1" ref="O53" ca="1">IF(AUTOEVENTO="Manual",ROUND(SUMPRODUCT((CÁLCULO!$M$15:$M$162=EVENTOS!$C53)*(OFFSET(CÁLCULO!$AA$15:$AA$162,0,O$13))),2),0)</f>
        <v>0</v>
      </c>
      <c r="P53" s="620" cm="1">
        <f t="array" aca="1" ref="P53" ca="1">IF(AUTOEVENTO="Manual",ROUND(SUMPRODUCT((CÁLCULO!$M$15:$M$162=EVENTOS!$C53)*(OFFSET(CÁLCULO!$AA$15:$AA$162,0,P$13))),2),0)</f>
        <v>0</v>
      </c>
      <c r="Q53" s="620" cm="1">
        <f t="array" aca="1" ref="Q53" ca="1">IF(AUTOEVENTO="Manual",ROUND(SUMPRODUCT((CÁLCULO!$M$15:$M$162=EVENTOS!$C53)*(OFFSET(CÁLCULO!$AA$15:$AA$162,0,Q$13))),2),0)</f>
        <v>0</v>
      </c>
      <c r="R53" s="620" cm="1">
        <f t="array" aca="1" ref="R53" ca="1">IF(AUTOEVENTO="Manual",ROUND(SUMPRODUCT((CÁLCULO!$M$15:$M$162=EVENTOS!$C53)*(OFFSET(CÁLCULO!$AA$15:$AA$162,0,R$13))),2),0)</f>
        <v>0</v>
      </c>
      <c r="S53" s="620" cm="1">
        <f t="array" aca="1" ref="S53" ca="1">IF(AUTOEVENTO="Manual",ROUND(SUMPRODUCT((CÁLCULO!$M$15:$M$162=EVENTOS!$C53)*(OFFSET(CÁLCULO!$AA$15:$AA$162,0,S$13))),2),0)</f>
        <v>0</v>
      </c>
      <c r="T53" s="620" cm="1">
        <f t="array" aca="1" ref="T53" ca="1">IF(AUTOEVENTO="Manual",ROUND(SUMPRODUCT((CÁLCULO!$M$15:$M$162=EVENTOS!$C53)*(OFFSET(CÁLCULO!$AA$15:$AA$162,0,T$13))),2),0)</f>
        <v>0</v>
      </c>
      <c r="U53" s="620" cm="1">
        <f t="array" aca="1" ref="U53" ca="1">IF(AUTOEVENTO="Manual",ROUND(SUMPRODUCT((CÁLCULO!$M$15:$M$162=EVENTOS!$C53)*(OFFSET(CÁLCULO!$AA$15:$AA$162,0,U$13))),2),0)</f>
        <v>0</v>
      </c>
      <c r="V53" s="620" cm="1">
        <f t="array" aca="1" ref="V53" ca="1">IF(AUTOEVENTO="Manual",ROUND(SUMPRODUCT((CÁLCULO!$M$15:$M$162=EVENTOS!$C53)*(OFFSET(CÁLCULO!$AA$15:$AA$162,0,V$13))),2),0)</f>
        <v>0</v>
      </c>
      <c r="W53" s="620" cm="1">
        <f t="array" aca="1" ref="W53" ca="1">IF(AUTOEVENTO="Manual",ROUND(SUMPRODUCT((CÁLCULO!$M$15:$M$162=EVENTOS!$C53)*(OFFSET(CÁLCULO!$AA$15:$AA$162,0,W$13))),2),0)</f>
        <v>0</v>
      </c>
      <c r="X53" s="620" cm="1">
        <f t="array" aca="1" ref="X53" ca="1">IF(AUTOEVENTO="Manual",ROUND(SUMPRODUCT((CÁLCULO!$M$15:$M$162=EVENTOS!$C53)*(OFFSET(CÁLCULO!$AA$15:$AA$162,0,X$13))),2),0)</f>
        <v>0</v>
      </c>
      <c r="Y53" s="620" cm="1">
        <f t="array" aca="1" ref="Y53" ca="1">IF(AUTOEVENTO="Manual",ROUND(SUMPRODUCT((CÁLCULO!$M$15:$M$162=EVENTOS!$C53)*(OFFSET(CÁLCULO!$AA$15:$AA$162,0,Y$13))),2),0)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IF(AUTOEVENTO="Manual",ROUND(SUMPRODUCT((CÁLCULO!$M$15:$M$162=EVENTOS!$C54)*(OFFSET(CÁLCULO!$AA$15:$AA$162,0,E$13))),2),0)</f>
        <v>0</v>
      </c>
      <c r="F54" s="183">
        <f ca="1">IF(AUTOEVENTO="Manual",ROUND(SUMPRODUCT((CÁLCULO!$M$15:$M$162=EVENTOS!$C54)*(OFFSET(CÁLCULO!$AA$15,0,1):OFFSET(CÁLCULO!$AL$162,0,-1))),2),0)</f>
        <v>0</v>
      </c>
      <c r="G54" s="621" t="str">
        <f t="shared" ca="1" si="6"/>
        <v/>
      </c>
      <c r="H54" s="620" cm="1">
        <f t="array" aca="1" ref="H54" ca="1">IF(AUTOEVENTO="Manual",ROUND(SUMPRODUCT((CÁLCULO!$M$15:$M$162=EVENTOS!$C54)*(OFFSET(CÁLCULO!$AA$15:$AA$162,0,H$13))),2),0)</f>
        <v>0</v>
      </c>
      <c r="I54" s="620" cm="1">
        <f t="array" aca="1" ref="I54" ca="1">IF(AUTOEVENTO="Manual",ROUND(SUMPRODUCT((CÁLCULO!$M$15:$M$162=EVENTOS!$C54)*(OFFSET(CÁLCULO!$AA$15:$AA$162,0,I$13))),2),0)</f>
        <v>0</v>
      </c>
      <c r="J54" s="620" cm="1">
        <f t="array" aca="1" ref="J54" ca="1">IF(AUTOEVENTO="Manual",ROUND(SUMPRODUCT((CÁLCULO!$M$15:$M$162=EVENTOS!$C54)*(OFFSET(CÁLCULO!$AA$15:$AA$162,0,J$13))),2),0)</f>
        <v>0</v>
      </c>
      <c r="K54" s="620" cm="1">
        <f t="array" aca="1" ref="K54" ca="1">IF(AUTOEVENTO="Manual",ROUND(SUMPRODUCT((CÁLCULO!$M$15:$M$162=EVENTOS!$C54)*(OFFSET(CÁLCULO!$AA$15:$AA$162,0,K$13))),2),0)</f>
        <v>0</v>
      </c>
      <c r="L54" s="620" cm="1">
        <f t="array" aca="1" ref="L54" ca="1">IF(AUTOEVENTO="Manual",ROUND(SUMPRODUCT((CÁLCULO!$M$15:$M$162=EVENTOS!$C54)*(OFFSET(CÁLCULO!$AA$15:$AA$162,0,L$13))),2),0)</f>
        <v>0</v>
      </c>
      <c r="M54" s="620" cm="1">
        <f t="array" aca="1" ref="M54" ca="1">IF(AUTOEVENTO="Manual",ROUND(SUMPRODUCT((CÁLCULO!$M$15:$M$162=EVENTOS!$C54)*(OFFSET(CÁLCULO!$AA$15:$AA$162,0,M$13))),2),0)</f>
        <v>0</v>
      </c>
      <c r="N54" s="620" cm="1">
        <f t="array" aca="1" ref="N54" ca="1">IF(AUTOEVENTO="Manual",ROUND(SUMPRODUCT((CÁLCULO!$M$15:$M$162=EVENTOS!$C54)*(OFFSET(CÁLCULO!$AA$15:$AA$162,0,N$13))),2),0)</f>
        <v>0</v>
      </c>
      <c r="O54" s="620" cm="1">
        <f t="array" aca="1" ref="O54" ca="1">IF(AUTOEVENTO="Manual",ROUND(SUMPRODUCT((CÁLCULO!$M$15:$M$162=EVENTOS!$C54)*(OFFSET(CÁLCULO!$AA$15:$AA$162,0,O$13))),2),0)</f>
        <v>0</v>
      </c>
      <c r="P54" s="620" cm="1">
        <f t="array" aca="1" ref="P54" ca="1">IF(AUTOEVENTO="Manual",ROUND(SUMPRODUCT((CÁLCULO!$M$15:$M$162=EVENTOS!$C54)*(OFFSET(CÁLCULO!$AA$15:$AA$162,0,P$13))),2),0)</f>
        <v>0</v>
      </c>
      <c r="Q54" s="620" cm="1">
        <f t="array" aca="1" ref="Q54" ca="1">IF(AUTOEVENTO="Manual",ROUND(SUMPRODUCT((CÁLCULO!$M$15:$M$162=EVENTOS!$C54)*(OFFSET(CÁLCULO!$AA$15:$AA$162,0,Q$13))),2),0)</f>
        <v>0</v>
      </c>
      <c r="R54" s="620" cm="1">
        <f t="array" aca="1" ref="R54" ca="1">IF(AUTOEVENTO="Manual",ROUND(SUMPRODUCT((CÁLCULO!$M$15:$M$162=EVENTOS!$C54)*(OFFSET(CÁLCULO!$AA$15:$AA$162,0,R$13))),2),0)</f>
        <v>0</v>
      </c>
      <c r="S54" s="620" cm="1">
        <f t="array" aca="1" ref="S54" ca="1">IF(AUTOEVENTO="Manual",ROUND(SUMPRODUCT((CÁLCULO!$M$15:$M$162=EVENTOS!$C54)*(OFFSET(CÁLCULO!$AA$15:$AA$162,0,S$13))),2),0)</f>
        <v>0</v>
      </c>
      <c r="T54" s="620" cm="1">
        <f t="array" aca="1" ref="T54" ca="1">IF(AUTOEVENTO="Manual",ROUND(SUMPRODUCT((CÁLCULO!$M$15:$M$162=EVENTOS!$C54)*(OFFSET(CÁLCULO!$AA$15:$AA$162,0,T$13))),2),0)</f>
        <v>0</v>
      </c>
      <c r="U54" s="620" cm="1">
        <f t="array" aca="1" ref="U54" ca="1">IF(AUTOEVENTO="Manual",ROUND(SUMPRODUCT((CÁLCULO!$M$15:$M$162=EVENTOS!$C54)*(OFFSET(CÁLCULO!$AA$15:$AA$162,0,U$13))),2),0)</f>
        <v>0</v>
      </c>
      <c r="V54" s="620" cm="1">
        <f t="array" aca="1" ref="V54" ca="1">IF(AUTOEVENTO="Manual",ROUND(SUMPRODUCT((CÁLCULO!$M$15:$M$162=EVENTOS!$C54)*(OFFSET(CÁLCULO!$AA$15:$AA$162,0,V$13))),2),0)</f>
        <v>0</v>
      </c>
      <c r="W54" s="620" cm="1">
        <f t="array" aca="1" ref="W54" ca="1">IF(AUTOEVENTO="Manual",ROUND(SUMPRODUCT((CÁLCULO!$M$15:$M$162=EVENTOS!$C54)*(OFFSET(CÁLCULO!$AA$15:$AA$162,0,W$13))),2),0)</f>
        <v>0</v>
      </c>
      <c r="X54" s="620" cm="1">
        <f t="array" aca="1" ref="X54" ca="1">IF(AUTOEVENTO="Manual",ROUND(SUMPRODUCT((CÁLCULO!$M$15:$M$162=EVENTOS!$C54)*(OFFSET(CÁLCULO!$AA$15:$AA$162,0,X$13))),2),0)</f>
        <v>0</v>
      </c>
      <c r="Y54" s="620" cm="1">
        <f t="array" aca="1" ref="Y54" ca="1">IF(AUTOEVENTO="Manual",ROUND(SUMPRODUCT((CÁLCULO!$M$15:$M$162=EVENTOS!$C54)*(OFFSET(CÁLCULO!$AA$15:$AA$162,0,Y$13))),2),0)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IF(AUTOEVENTO="Manual",ROUND(SUMPRODUCT((CÁLCULO!$M$15:$M$162=EVENTOS!$C55)*(OFFSET(CÁLCULO!$AA$15:$AA$162,0,E$13))),2),0)</f>
        <v>0</v>
      </c>
      <c r="F55" s="183">
        <f ca="1">IF(AUTOEVENTO="Manual",ROUND(SUMPRODUCT((CÁLCULO!$M$15:$M$162=EVENTOS!$C55)*(OFFSET(CÁLCULO!$AA$15,0,1):OFFSET(CÁLCULO!$AL$162,0,-1))),2),0)</f>
        <v>0</v>
      </c>
      <c r="G55" s="621" t="str">
        <f t="shared" ca="1" si="6"/>
        <v/>
      </c>
      <c r="H55" s="620" cm="1">
        <f t="array" aca="1" ref="H55" ca="1">IF(AUTOEVENTO="Manual",ROUND(SUMPRODUCT((CÁLCULO!$M$15:$M$162=EVENTOS!$C55)*(OFFSET(CÁLCULO!$AA$15:$AA$162,0,H$13))),2),0)</f>
        <v>0</v>
      </c>
      <c r="I55" s="620" cm="1">
        <f t="array" aca="1" ref="I55" ca="1">IF(AUTOEVENTO="Manual",ROUND(SUMPRODUCT((CÁLCULO!$M$15:$M$162=EVENTOS!$C55)*(OFFSET(CÁLCULO!$AA$15:$AA$162,0,I$13))),2),0)</f>
        <v>0</v>
      </c>
      <c r="J55" s="620" cm="1">
        <f t="array" aca="1" ref="J55" ca="1">IF(AUTOEVENTO="Manual",ROUND(SUMPRODUCT((CÁLCULO!$M$15:$M$162=EVENTOS!$C55)*(OFFSET(CÁLCULO!$AA$15:$AA$162,0,J$13))),2),0)</f>
        <v>0</v>
      </c>
      <c r="K55" s="620" cm="1">
        <f t="array" aca="1" ref="K55" ca="1">IF(AUTOEVENTO="Manual",ROUND(SUMPRODUCT((CÁLCULO!$M$15:$M$162=EVENTOS!$C55)*(OFFSET(CÁLCULO!$AA$15:$AA$162,0,K$13))),2),0)</f>
        <v>0</v>
      </c>
      <c r="L55" s="620" cm="1">
        <f t="array" aca="1" ref="L55" ca="1">IF(AUTOEVENTO="Manual",ROUND(SUMPRODUCT((CÁLCULO!$M$15:$M$162=EVENTOS!$C55)*(OFFSET(CÁLCULO!$AA$15:$AA$162,0,L$13))),2),0)</f>
        <v>0</v>
      </c>
      <c r="M55" s="620" cm="1">
        <f t="array" aca="1" ref="M55" ca="1">IF(AUTOEVENTO="Manual",ROUND(SUMPRODUCT((CÁLCULO!$M$15:$M$162=EVENTOS!$C55)*(OFFSET(CÁLCULO!$AA$15:$AA$162,0,M$13))),2),0)</f>
        <v>0</v>
      </c>
      <c r="N55" s="620" cm="1">
        <f t="array" aca="1" ref="N55" ca="1">IF(AUTOEVENTO="Manual",ROUND(SUMPRODUCT((CÁLCULO!$M$15:$M$162=EVENTOS!$C55)*(OFFSET(CÁLCULO!$AA$15:$AA$162,0,N$13))),2),0)</f>
        <v>0</v>
      </c>
      <c r="O55" s="620" cm="1">
        <f t="array" aca="1" ref="O55" ca="1">IF(AUTOEVENTO="Manual",ROUND(SUMPRODUCT((CÁLCULO!$M$15:$M$162=EVENTOS!$C55)*(OFFSET(CÁLCULO!$AA$15:$AA$162,0,O$13))),2),0)</f>
        <v>0</v>
      </c>
      <c r="P55" s="620" cm="1">
        <f t="array" aca="1" ref="P55" ca="1">IF(AUTOEVENTO="Manual",ROUND(SUMPRODUCT((CÁLCULO!$M$15:$M$162=EVENTOS!$C55)*(OFFSET(CÁLCULO!$AA$15:$AA$162,0,P$13))),2),0)</f>
        <v>0</v>
      </c>
      <c r="Q55" s="620" cm="1">
        <f t="array" aca="1" ref="Q55" ca="1">IF(AUTOEVENTO="Manual",ROUND(SUMPRODUCT((CÁLCULO!$M$15:$M$162=EVENTOS!$C55)*(OFFSET(CÁLCULO!$AA$15:$AA$162,0,Q$13))),2),0)</f>
        <v>0</v>
      </c>
      <c r="R55" s="620" cm="1">
        <f t="array" aca="1" ref="R55" ca="1">IF(AUTOEVENTO="Manual",ROUND(SUMPRODUCT((CÁLCULO!$M$15:$M$162=EVENTOS!$C55)*(OFFSET(CÁLCULO!$AA$15:$AA$162,0,R$13))),2),0)</f>
        <v>0</v>
      </c>
      <c r="S55" s="620" cm="1">
        <f t="array" aca="1" ref="S55" ca="1">IF(AUTOEVENTO="Manual",ROUND(SUMPRODUCT((CÁLCULO!$M$15:$M$162=EVENTOS!$C55)*(OFFSET(CÁLCULO!$AA$15:$AA$162,0,S$13))),2),0)</f>
        <v>0</v>
      </c>
      <c r="T55" s="620" cm="1">
        <f t="array" aca="1" ref="T55" ca="1">IF(AUTOEVENTO="Manual",ROUND(SUMPRODUCT((CÁLCULO!$M$15:$M$162=EVENTOS!$C55)*(OFFSET(CÁLCULO!$AA$15:$AA$162,0,T$13))),2),0)</f>
        <v>0</v>
      </c>
      <c r="U55" s="620" cm="1">
        <f t="array" aca="1" ref="U55" ca="1">IF(AUTOEVENTO="Manual",ROUND(SUMPRODUCT((CÁLCULO!$M$15:$M$162=EVENTOS!$C55)*(OFFSET(CÁLCULO!$AA$15:$AA$162,0,U$13))),2),0)</f>
        <v>0</v>
      </c>
      <c r="V55" s="620" cm="1">
        <f t="array" aca="1" ref="V55" ca="1">IF(AUTOEVENTO="Manual",ROUND(SUMPRODUCT((CÁLCULO!$M$15:$M$162=EVENTOS!$C55)*(OFFSET(CÁLCULO!$AA$15:$AA$162,0,V$13))),2),0)</f>
        <v>0</v>
      </c>
      <c r="W55" s="620" cm="1">
        <f t="array" aca="1" ref="W55" ca="1">IF(AUTOEVENTO="Manual",ROUND(SUMPRODUCT((CÁLCULO!$M$15:$M$162=EVENTOS!$C55)*(OFFSET(CÁLCULO!$AA$15:$AA$162,0,W$13))),2),0)</f>
        <v>0</v>
      </c>
      <c r="X55" s="620" cm="1">
        <f t="array" aca="1" ref="X55" ca="1">IF(AUTOEVENTO="Manual",ROUND(SUMPRODUCT((CÁLCULO!$M$15:$M$162=EVENTOS!$C55)*(OFFSET(CÁLCULO!$AA$15:$AA$162,0,X$13))),2),0)</f>
        <v>0</v>
      </c>
      <c r="Y55" s="620" cm="1">
        <f t="array" aca="1" ref="Y55" ca="1">IF(AUTOEVENTO="Manual",ROUND(SUMPRODUCT((CÁLCULO!$M$15:$M$162=EVENTOS!$C55)*(OFFSET(CÁLCULO!$AA$15:$AA$162,0,Y$13))),2),0)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IF(AUTOEVENTO="Manual",ROUND(SUMPRODUCT((CÁLCULO!$M$15:$M$162=EVENTOS!$C56)*(OFFSET(CÁLCULO!$AA$15:$AA$162,0,E$13))),2),0)</f>
        <v>0</v>
      </c>
      <c r="F56" s="183">
        <f ca="1">IF(AUTOEVENTO="Manual",ROUND(SUMPRODUCT((CÁLCULO!$M$15:$M$162=EVENTOS!$C56)*(OFFSET(CÁLCULO!$AA$15,0,1):OFFSET(CÁLCULO!$AL$162,0,-1))),2),0)</f>
        <v>0</v>
      </c>
      <c r="G56" s="621" t="str">
        <f t="shared" ca="1" si="6"/>
        <v/>
      </c>
      <c r="H56" s="620" cm="1">
        <f t="array" aca="1" ref="H56" ca="1">IF(AUTOEVENTO="Manual",ROUND(SUMPRODUCT((CÁLCULO!$M$15:$M$162=EVENTOS!$C56)*(OFFSET(CÁLCULO!$AA$15:$AA$162,0,H$13))),2),0)</f>
        <v>0</v>
      </c>
      <c r="I56" s="620" cm="1">
        <f t="array" aca="1" ref="I56" ca="1">IF(AUTOEVENTO="Manual",ROUND(SUMPRODUCT((CÁLCULO!$M$15:$M$162=EVENTOS!$C56)*(OFFSET(CÁLCULO!$AA$15:$AA$162,0,I$13))),2),0)</f>
        <v>0</v>
      </c>
      <c r="J56" s="620" cm="1">
        <f t="array" aca="1" ref="J56" ca="1">IF(AUTOEVENTO="Manual",ROUND(SUMPRODUCT((CÁLCULO!$M$15:$M$162=EVENTOS!$C56)*(OFFSET(CÁLCULO!$AA$15:$AA$162,0,J$13))),2),0)</f>
        <v>0</v>
      </c>
      <c r="K56" s="620" cm="1">
        <f t="array" aca="1" ref="K56" ca="1">IF(AUTOEVENTO="Manual",ROUND(SUMPRODUCT((CÁLCULO!$M$15:$M$162=EVENTOS!$C56)*(OFFSET(CÁLCULO!$AA$15:$AA$162,0,K$13))),2),0)</f>
        <v>0</v>
      </c>
      <c r="L56" s="620" cm="1">
        <f t="array" aca="1" ref="L56" ca="1">IF(AUTOEVENTO="Manual",ROUND(SUMPRODUCT((CÁLCULO!$M$15:$M$162=EVENTOS!$C56)*(OFFSET(CÁLCULO!$AA$15:$AA$162,0,L$13))),2),0)</f>
        <v>0</v>
      </c>
      <c r="M56" s="620" cm="1">
        <f t="array" aca="1" ref="M56" ca="1">IF(AUTOEVENTO="Manual",ROUND(SUMPRODUCT((CÁLCULO!$M$15:$M$162=EVENTOS!$C56)*(OFFSET(CÁLCULO!$AA$15:$AA$162,0,M$13))),2),0)</f>
        <v>0</v>
      </c>
      <c r="N56" s="620" cm="1">
        <f t="array" aca="1" ref="N56" ca="1">IF(AUTOEVENTO="Manual",ROUND(SUMPRODUCT((CÁLCULO!$M$15:$M$162=EVENTOS!$C56)*(OFFSET(CÁLCULO!$AA$15:$AA$162,0,N$13))),2),0)</f>
        <v>0</v>
      </c>
      <c r="O56" s="620" cm="1">
        <f t="array" aca="1" ref="O56" ca="1">IF(AUTOEVENTO="Manual",ROUND(SUMPRODUCT((CÁLCULO!$M$15:$M$162=EVENTOS!$C56)*(OFFSET(CÁLCULO!$AA$15:$AA$162,0,O$13))),2),0)</f>
        <v>0</v>
      </c>
      <c r="P56" s="620" cm="1">
        <f t="array" aca="1" ref="P56" ca="1">IF(AUTOEVENTO="Manual",ROUND(SUMPRODUCT((CÁLCULO!$M$15:$M$162=EVENTOS!$C56)*(OFFSET(CÁLCULO!$AA$15:$AA$162,0,P$13))),2),0)</f>
        <v>0</v>
      </c>
      <c r="Q56" s="620" cm="1">
        <f t="array" aca="1" ref="Q56" ca="1">IF(AUTOEVENTO="Manual",ROUND(SUMPRODUCT((CÁLCULO!$M$15:$M$162=EVENTOS!$C56)*(OFFSET(CÁLCULO!$AA$15:$AA$162,0,Q$13))),2),0)</f>
        <v>0</v>
      </c>
      <c r="R56" s="620" cm="1">
        <f t="array" aca="1" ref="R56" ca="1">IF(AUTOEVENTO="Manual",ROUND(SUMPRODUCT((CÁLCULO!$M$15:$M$162=EVENTOS!$C56)*(OFFSET(CÁLCULO!$AA$15:$AA$162,0,R$13))),2),0)</f>
        <v>0</v>
      </c>
      <c r="S56" s="620" cm="1">
        <f t="array" aca="1" ref="S56" ca="1">IF(AUTOEVENTO="Manual",ROUND(SUMPRODUCT((CÁLCULO!$M$15:$M$162=EVENTOS!$C56)*(OFFSET(CÁLCULO!$AA$15:$AA$162,0,S$13))),2),0)</f>
        <v>0</v>
      </c>
      <c r="T56" s="620" cm="1">
        <f t="array" aca="1" ref="T56" ca="1">IF(AUTOEVENTO="Manual",ROUND(SUMPRODUCT((CÁLCULO!$M$15:$M$162=EVENTOS!$C56)*(OFFSET(CÁLCULO!$AA$15:$AA$162,0,T$13))),2),0)</f>
        <v>0</v>
      </c>
      <c r="U56" s="620" cm="1">
        <f t="array" aca="1" ref="U56" ca="1">IF(AUTOEVENTO="Manual",ROUND(SUMPRODUCT((CÁLCULO!$M$15:$M$162=EVENTOS!$C56)*(OFFSET(CÁLCULO!$AA$15:$AA$162,0,U$13))),2),0)</f>
        <v>0</v>
      </c>
      <c r="V56" s="620" cm="1">
        <f t="array" aca="1" ref="V56" ca="1">IF(AUTOEVENTO="Manual",ROUND(SUMPRODUCT((CÁLCULO!$M$15:$M$162=EVENTOS!$C56)*(OFFSET(CÁLCULO!$AA$15:$AA$162,0,V$13))),2),0)</f>
        <v>0</v>
      </c>
      <c r="W56" s="620" cm="1">
        <f t="array" aca="1" ref="W56" ca="1">IF(AUTOEVENTO="Manual",ROUND(SUMPRODUCT((CÁLCULO!$M$15:$M$162=EVENTOS!$C56)*(OFFSET(CÁLCULO!$AA$15:$AA$162,0,W$13))),2),0)</f>
        <v>0</v>
      </c>
      <c r="X56" s="620" cm="1">
        <f t="array" aca="1" ref="X56" ca="1">IF(AUTOEVENTO="Manual",ROUND(SUMPRODUCT((CÁLCULO!$M$15:$M$162=EVENTOS!$C56)*(OFFSET(CÁLCULO!$AA$15:$AA$162,0,X$13))),2),0)</f>
        <v>0</v>
      </c>
      <c r="Y56" s="620" cm="1">
        <f t="array" aca="1" ref="Y56" ca="1">IF(AUTOEVENTO="Manual",ROUND(SUMPRODUCT((CÁLCULO!$M$15:$M$162=EVENTOS!$C56)*(OFFSET(CÁLCULO!$AA$15:$AA$162,0,Y$13))),2),0)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IF(AUTOEVENTO="Manual",ROUND(SUMPRODUCT((CÁLCULO!$M$15:$M$162=EVENTOS!$C57)*(OFFSET(CÁLCULO!$AA$15:$AA$162,0,E$13))),2),0)</f>
        <v>0</v>
      </c>
      <c r="F57" s="183">
        <f ca="1">IF(AUTOEVENTO="Manual",ROUND(SUMPRODUCT((CÁLCULO!$M$15:$M$162=EVENTOS!$C57)*(OFFSET(CÁLCULO!$AA$15,0,1):OFFSET(CÁLCULO!$AL$162,0,-1))),2),0)</f>
        <v>0</v>
      </c>
      <c r="G57" s="621" t="str">
        <f t="shared" ca="1" si="6"/>
        <v/>
      </c>
      <c r="H57" s="620" cm="1">
        <f t="array" aca="1" ref="H57" ca="1">IF(AUTOEVENTO="Manual",ROUND(SUMPRODUCT((CÁLCULO!$M$15:$M$162=EVENTOS!$C57)*(OFFSET(CÁLCULO!$AA$15:$AA$162,0,H$13))),2),0)</f>
        <v>0</v>
      </c>
      <c r="I57" s="620" cm="1">
        <f t="array" aca="1" ref="I57" ca="1">IF(AUTOEVENTO="Manual",ROUND(SUMPRODUCT((CÁLCULO!$M$15:$M$162=EVENTOS!$C57)*(OFFSET(CÁLCULO!$AA$15:$AA$162,0,I$13))),2),0)</f>
        <v>0</v>
      </c>
      <c r="J57" s="620" cm="1">
        <f t="array" aca="1" ref="J57" ca="1">IF(AUTOEVENTO="Manual",ROUND(SUMPRODUCT((CÁLCULO!$M$15:$M$162=EVENTOS!$C57)*(OFFSET(CÁLCULO!$AA$15:$AA$162,0,J$13))),2),0)</f>
        <v>0</v>
      </c>
      <c r="K57" s="620" cm="1">
        <f t="array" aca="1" ref="K57" ca="1">IF(AUTOEVENTO="Manual",ROUND(SUMPRODUCT((CÁLCULO!$M$15:$M$162=EVENTOS!$C57)*(OFFSET(CÁLCULO!$AA$15:$AA$162,0,K$13))),2),0)</f>
        <v>0</v>
      </c>
      <c r="L57" s="620" cm="1">
        <f t="array" aca="1" ref="L57" ca="1">IF(AUTOEVENTO="Manual",ROUND(SUMPRODUCT((CÁLCULO!$M$15:$M$162=EVENTOS!$C57)*(OFFSET(CÁLCULO!$AA$15:$AA$162,0,L$13))),2),0)</f>
        <v>0</v>
      </c>
      <c r="M57" s="620" cm="1">
        <f t="array" aca="1" ref="M57" ca="1">IF(AUTOEVENTO="Manual",ROUND(SUMPRODUCT((CÁLCULO!$M$15:$M$162=EVENTOS!$C57)*(OFFSET(CÁLCULO!$AA$15:$AA$162,0,M$13))),2),0)</f>
        <v>0</v>
      </c>
      <c r="N57" s="620" cm="1">
        <f t="array" aca="1" ref="N57" ca="1">IF(AUTOEVENTO="Manual",ROUND(SUMPRODUCT((CÁLCULO!$M$15:$M$162=EVENTOS!$C57)*(OFFSET(CÁLCULO!$AA$15:$AA$162,0,N$13))),2),0)</f>
        <v>0</v>
      </c>
      <c r="O57" s="620" cm="1">
        <f t="array" aca="1" ref="O57" ca="1">IF(AUTOEVENTO="Manual",ROUND(SUMPRODUCT((CÁLCULO!$M$15:$M$162=EVENTOS!$C57)*(OFFSET(CÁLCULO!$AA$15:$AA$162,0,O$13))),2),0)</f>
        <v>0</v>
      </c>
      <c r="P57" s="620" cm="1">
        <f t="array" aca="1" ref="P57" ca="1">IF(AUTOEVENTO="Manual",ROUND(SUMPRODUCT((CÁLCULO!$M$15:$M$162=EVENTOS!$C57)*(OFFSET(CÁLCULO!$AA$15:$AA$162,0,P$13))),2),0)</f>
        <v>0</v>
      </c>
      <c r="Q57" s="620" cm="1">
        <f t="array" aca="1" ref="Q57" ca="1">IF(AUTOEVENTO="Manual",ROUND(SUMPRODUCT((CÁLCULO!$M$15:$M$162=EVENTOS!$C57)*(OFFSET(CÁLCULO!$AA$15:$AA$162,0,Q$13))),2),0)</f>
        <v>0</v>
      </c>
      <c r="R57" s="620" cm="1">
        <f t="array" aca="1" ref="R57" ca="1">IF(AUTOEVENTO="Manual",ROUND(SUMPRODUCT((CÁLCULO!$M$15:$M$162=EVENTOS!$C57)*(OFFSET(CÁLCULO!$AA$15:$AA$162,0,R$13))),2),0)</f>
        <v>0</v>
      </c>
      <c r="S57" s="620" cm="1">
        <f t="array" aca="1" ref="S57" ca="1">IF(AUTOEVENTO="Manual",ROUND(SUMPRODUCT((CÁLCULO!$M$15:$M$162=EVENTOS!$C57)*(OFFSET(CÁLCULO!$AA$15:$AA$162,0,S$13))),2),0)</f>
        <v>0</v>
      </c>
      <c r="T57" s="620" cm="1">
        <f t="array" aca="1" ref="T57" ca="1">IF(AUTOEVENTO="Manual",ROUND(SUMPRODUCT((CÁLCULO!$M$15:$M$162=EVENTOS!$C57)*(OFFSET(CÁLCULO!$AA$15:$AA$162,0,T$13))),2),0)</f>
        <v>0</v>
      </c>
      <c r="U57" s="620" cm="1">
        <f t="array" aca="1" ref="U57" ca="1">IF(AUTOEVENTO="Manual",ROUND(SUMPRODUCT((CÁLCULO!$M$15:$M$162=EVENTOS!$C57)*(OFFSET(CÁLCULO!$AA$15:$AA$162,0,U$13))),2),0)</f>
        <v>0</v>
      </c>
      <c r="V57" s="620" cm="1">
        <f t="array" aca="1" ref="V57" ca="1">IF(AUTOEVENTO="Manual",ROUND(SUMPRODUCT((CÁLCULO!$M$15:$M$162=EVENTOS!$C57)*(OFFSET(CÁLCULO!$AA$15:$AA$162,0,V$13))),2),0)</f>
        <v>0</v>
      </c>
      <c r="W57" s="620" cm="1">
        <f t="array" aca="1" ref="W57" ca="1">IF(AUTOEVENTO="Manual",ROUND(SUMPRODUCT((CÁLCULO!$M$15:$M$162=EVENTOS!$C57)*(OFFSET(CÁLCULO!$AA$15:$AA$162,0,W$13))),2),0)</f>
        <v>0</v>
      </c>
      <c r="X57" s="620" cm="1">
        <f t="array" aca="1" ref="X57" ca="1">IF(AUTOEVENTO="Manual",ROUND(SUMPRODUCT((CÁLCULO!$M$15:$M$162=EVENTOS!$C57)*(OFFSET(CÁLCULO!$AA$15:$AA$162,0,X$13))),2),0)</f>
        <v>0</v>
      </c>
      <c r="Y57" s="620" cm="1">
        <f t="array" aca="1" ref="Y57" ca="1">IF(AUTOEVENTO="Manual",ROUND(SUMPRODUCT((CÁLCULO!$M$15:$M$162=EVENTOS!$C57)*(OFFSET(CÁLCULO!$AA$15:$AA$162,0,Y$13))),2),0)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IF(AUTOEVENTO="Manual",ROUND(SUMPRODUCT((CÁLCULO!$M$15:$M$162=EVENTOS!$C58)*(OFFSET(CÁLCULO!$AA$15:$AA$162,0,E$13))),2),0)</f>
        <v>0</v>
      </c>
      <c r="F58" s="183">
        <f ca="1">IF(AUTOEVENTO="Manual",ROUND(SUMPRODUCT((CÁLCULO!$M$15:$M$162=EVENTOS!$C58)*(OFFSET(CÁLCULO!$AA$15,0,1):OFFSET(CÁLCULO!$AL$162,0,-1))),2),0)</f>
        <v>0</v>
      </c>
      <c r="G58" s="621" t="str">
        <f t="shared" ca="1" si="6"/>
        <v/>
      </c>
      <c r="H58" s="620" cm="1">
        <f t="array" aca="1" ref="H58" ca="1">IF(AUTOEVENTO="Manual",ROUND(SUMPRODUCT((CÁLCULO!$M$15:$M$162=EVENTOS!$C58)*(OFFSET(CÁLCULO!$AA$15:$AA$162,0,H$13))),2),0)</f>
        <v>0</v>
      </c>
      <c r="I58" s="620" cm="1">
        <f t="array" aca="1" ref="I58" ca="1">IF(AUTOEVENTO="Manual",ROUND(SUMPRODUCT((CÁLCULO!$M$15:$M$162=EVENTOS!$C58)*(OFFSET(CÁLCULO!$AA$15:$AA$162,0,I$13))),2),0)</f>
        <v>0</v>
      </c>
      <c r="J58" s="620" cm="1">
        <f t="array" aca="1" ref="J58" ca="1">IF(AUTOEVENTO="Manual",ROUND(SUMPRODUCT((CÁLCULO!$M$15:$M$162=EVENTOS!$C58)*(OFFSET(CÁLCULO!$AA$15:$AA$162,0,J$13))),2),0)</f>
        <v>0</v>
      </c>
      <c r="K58" s="620" cm="1">
        <f t="array" aca="1" ref="K58" ca="1">IF(AUTOEVENTO="Manual",ROUND(SUMPRODUCT((CÁLCULO!$M$15:$M$162=EVENTOS!$C58)*(OFFSET(CÁLCULO!$AA$15:$AA$162,0,K$13))),2),0)</f>
        <v>0</v>
      </c>
      <c r="L58" s="620" cm="1">
        <f t="array" aca="1" ref="L58" ca="1">IF(AUTOEVENTO="Manual",ROUND(SUMPRODUCT((CÁLCULO!$M$15:$M$162=EVENTOS!$C58)*(OFFSET(CÁLCULO!$AA$15:$AA$162,0,L$13))),2),0)</f>
        <v>0</v>
      </c>
      <c r="M58" s="620" cm="1">
        <f t="array" aca="1" ref="M58" ca="1">IF(AUTOEVENTO="Manual",ROUND(SUMPRODUCT((CÁLCULO!$M$15:$M$162=EVENTOS!$C58)*(OFFSET(CÁLCULO!$AA$15:$AA$162,0,M$13))),2),0)</f>
        <v>0</v>
      </c>
      <c r="N58" s="620" cm="1">
        <f t="array" aca="1" ref="N58" ca="1">IF(AUTOEVENTO="Manual",ROUND(SUMPRODUCT((CÁLCULO!$M$15:$M$162=EVENTOS!$C58)*(OFFSET(CÁLCULO!$AA$15:$AA$162,0,N$13))),2),0)</f>
        <v>0</v>
      </c>
      <c r="O58" s="620" cm="1">
        <f t="array" aca="1" ref="O58" ca="1">IF(AUTOEVENTO="Manual",ROUND(SUMPRODUCT((CÁLCULO!$M$15:$M$162=EVENTOS!$C58)*(OFFSET(CÁLCULO!$AA$15:$AA$162,0,O$13))),2),0)</f>
        <v>0</v>
      </c>
      <c r="P58" s="620" cm="1">
        <f t="array" aca="1" ref="P58" ca="1">IF(AUTOEVENTO="Manual",ROUND(SUMPRODUCT((CÁLCULO!$M$15:$M$162=EVENTOS!$C58)*(OFFSET(CÁLCULO!$AA$15:$AA$162,0,P$13))),2),0)</f>
        <v>0</v>
      </c>
      <c r="Q58" s="620" cm="1">
        <f t="array" aca="1" ref="Q58" ca="1">IF(AUTOEVENTO="Manual",ROUND(SUMPRODUCT((CÁLCULO!$M$15:$M$162=EVENTOS!$C58)*(OFFSET(CÁLCULO!$AA$15:$AA$162,0,Q$13))),2),0)</f>
        <v>0</v>
      </c>
      <c r="R58" s="620" cm="1">
        <f t="array" aca="1" ref="R58" ca="1">IF(AUTOEVENTO="Manual",ROUND(SUMPRODUCT((CÁLCULO!$M$15:$M$162=EVENTOS!$C58)*(OFFSET(CÁLCULO!$AA$15:$AA$162,0,R$13))),2),0)</f>
        <v>0</v>
      </c>
      <c r="S58" s="620" cm="1">
        <f t="array" aca="1" ref="S58" ca="1">IF(AUTOEVENTO="Manual",ROUND(SUMPRODUCT((CÁLCULO!$M$15:$M$162=EVENTOS!$C58)*(OFFSET(CÁLCULO!$AA$15:$AA$162,0,S$13))),2),0)</f>
        <v>0</v>
      </c>
      <c r="T58" s="620" cm="1">
        <f t="array" aca="1" ref="T58" ca="1">IF(AUTOEVENTO="Manual",ROUND(SUMPRODUCT((CÁLCULO!$M$15:$M$162=EVENTOS!$C58)*(OFFSET(CÁLCULO!$AA$15:$AA$162,0,T$13))),2),0)</f>
        <v>0</v>
      </c>
      <c r="U58" s="620" cm="1">
        <f t="array" aca="1" ref="U58" ca="1">IF(AUTOEVENTO="Manual",ROUND(SUMPRODUCT((CÁLCULO!$M$15:$M$162=EVENTOS!$C58)*(OFFSET(CÁLCULO!$AA$15:$AA$162,0,U$13))),2),0)</f>
        <v>0</v>
      </c>
      <c r="V58" s="620" cm="1">
        <f t="array" aca="1" ref="V58" ca="1">IF(AUTOEVENTO="Manual",ROUND(SUMPRODUCT((CÁLCULO!$M$15:$M$162=EVENTOS!$C58)*(OFFSET(CÁLCULO!$AA$15:$AA$162,0,V$13))),2),0)</f>
        <v>0</v>
      </c>
      <c r="W58" s="620" cm="1">
        <f t="array" aca="1" ref="W58" ca="1">IF(AUTOEVENTO="Manual",ROUND(SUMPRODUCT((CÁLCULO!$M$15:$M$162=EVENTOS!$C58)*(OFFSET(CÁLCULO!$AA$15:$AA$162,0,W$13))),2),0)</f>
        <v>0</v>
      </c>
      <c r="X58" s="620" cm="1">
        <f t="array" aca="1" ref="X58" ca="1">IF(AUTOEVENTO="Manual",ROUND(SUMPRODUCT((CÁLCULO!$M$15:$M$162=EVENTOS!$C58)*(OFFSET(CÁLCULO!$AA$15:$AA$162,0,X$13))),2),0)</f>
        <v>0</v>
      </c>
      <c r="Y58" s="620" cm="1">
        <f t="array" aca="1" ref="Y58" ca="1">IF(AUTOEVENTO="Manual",ROUND(SUMPRODUCT((CÁLCULO!$M$15:$M$162=EVENTOS!$C58)*(OFFSET(CÁLCULO!$AA$15:$AA$162,0,Y$13))),2),0)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IF(AUTOEVENTO="Manual",ROUND(SUMPRODUCT((CÁLCULO!$M$15:$M$162=EVENTOS!$C59)*(OFFSET(CÁLCULO!$AA$15:$AA$162,0,E$13))),2),0)</f>
        <v>0</v>
      </c>
      <c r="F59" s="183">
        <f ca="1">IF(AUTOEVENTO="Manual",ROUND(SUMPRODUCT((CÁLCULO!$M$15:$M$162=EVENTOS!$C59)*(OFFSET(CÁLCULO!$AA$15,0,1):OFFSET(CÁLCULO!$AL$162,0,-1))),2),0)</f>
        <v>0</v>
      </c>
      <c r="G59" s="621" t="str">
        <f t="shared" ca="1" si="6"/>
        <v/>
      </c>
      <c r="H59" s="620" cm="1">
        <f t="array" aca="1" ref="H59" ca="1">IF(AUTOEVENTO="Manual",ROUND(SUMPRODUCT((CÁLCULO!$M$15:$M$162=EVENTOS!$C59)*(OFFSET(CÁLCULO!$AA$15:$AA$162,0,H$13))),2),0)</f>
        <v>0</v>
      </c>
      <c r="I59" s="620" cm="1">
        <f t="array" aca="1" ref="I59" ca="1">IF(AUTOEVENTO="Manual",ROUND(SUMPRODUCT((CÁLCULO!$M$15:$M$162=EVENTOS!$C59)*(OFFSET(CÁLCULO!$AA$15:$AA$162,0,I$13))),2),0)</f>
        <v>0</v>
      </c>
      <c r="J59" s="620" cm="1">
        <f t="array" aca="1" ref="J59" ca="1">IF(AUTOEVENTO="Manual",ROUND(SUMPRODUCT((CÁLCULO!$M$15:$M$162=EVENTOS!$C59)*(OFFSET(CÁLCULO!$AA$15:$AA$162,0,J$13))),2),0)</f>
        <v>0</v>
      </c>
      <c r="K59" s="620" cm="1">
        <f t="array" aca="1" ref="K59" ca="1">IF(AUTOEVENTO="Manual",ROUND(SUMPRODUCT((CÁLCULO!$M$15:$M$162=EVENTOS!$C59)*(OFFSET(CÁLCULO!$AA$15:$AA$162,0,K$13))),2),0)</f>
        <v>0</v>
      </c>
      <c r="L59" s="620" cm="1">
        <f t="array" aca="1" ref="L59" ca="1">IF(AUTOEVENTO="Manual",ROUND(SUMPRODUCT((CÁLCULO!$M$15:$M$162=EVENTOS!$C59)*(OFFSET(CÁLCULO!$AA$15:$AA$162,0,L$13))),2),0)</f>
        <v>0</v>
      </c>
      <c r="M59" s="620" cm="1">
        <f t="array" aca="1" ref="M59" ca="1">IF(AUTOEVENTO="Manual",ROUND(SUMPRODUCT((CÁLCULO!$M$15:$M$162=EVENTOS!$C59)*(OFFSET(CÁLCULO!$AA$15:$AA$162,0,M$13))),2),0)</f>
        <v>0</v>
      </c>
      <c r="N59" s="620" cm="1">
        <f t="array" aca="1" ref="N59" ca="1">IF(AUTOEVENTO="Manual",ROUND(SUMPRODUCT((CÁLCULO!$M$15:$M$162=EVENTOS!$C59)*(OFFSET(CÁLCULO!$AA$15:$AA$162,0,N$13))),2),0)</f>
        <v>0</v>
      </c>
      <c r="O59" s="620" cm="1">
        <f t="array" aca="1" ref="O59" ca="1">IF(AUTOEVENTO="Manual",ROUND(SUMPRODUCT((CÁLCULO!$M$15:$M$162=EVENTOS!$C59)*(OFFSET(CÁLCULO!$AA$15:$AA$162,0,O$13))),2),0)</f>
        <v>0</v>
      </c>
      <c r="P59" s="620" cm="1">
        <f t="array" aca="1" ref="P59" ca="1">IF(AUTOEVENTO="Manual",ROUND(SUMPRODUCT((CÁLCULO!$M$15:$M$162=EVENTOS!$C59)*(OFFSET(CÁLCULO!$AA$15:$AA$162,0,P$13))),2),0)</f>
        <v>0</v>
      </c>
      <c r="Q59" s="620" cm="1">
        <f t="array" aca="1" ref="Q59" ca="1">IF(AUTOEVENTO="Manual",ROUND(SUMPRODUCT((CÁLCULO!$M$15:$M$162=EVENTOS!$C59)*(OFFSET(CÁLCULO!$AA$15:$AA$162,0,Q$13))),2),0)</f>
        <v>0</v>
      </c>
      <c r="R59" s="620" cm="1">
        <f t="array" aca="1" ref="R59" ca="1">IF(AUTOEVENTO="Manual",ROUND(SUMPRODUCT((CÁLCULO!$M$15:$M$162=EVENTOS!$C59)*(OFFSET(CÁLCULO!$AA$15:$AA$162,0,R$13))),2),0)</f>
        <v>0</v>
      </c>
      <c r="S59" s="620" cm="1">
        <f t="array" aca="1" ref="S59" ca="1">IF(AUTOEVENTO="Manual",ROUND(SUMPRODUCT((CÁLCULO!$M$15:$M$162=EVENTOS!$C59)*(OFFSET(CÁLCULO!$AA$15:$AA$162,0,S$13))),2),0)</f>
        <v>0</v>
      </c>
      <c r="T59" s="620" cm="1">
        <f t="array" aca="1" ref="T59" ca="1">IF(AUTOEVENTO="Manual",ROUND(SUMPRODUCT((CÁLCULO!$M$15:$M$162=EVENTOS!$C59)*(OFFSET(CÁLCULO!$AA$15:$AA$162,0,T$13))),2),0)</f>
        <v>0</v>
      </c>
      <c r="U59" s="620" cm="1">
        <f t="array" aca="1" ref="U59" ca="1">IF(AUTOEVENTO="Manual",ROUND(SUMPRODUCT((CÁLCULO!$M$15:$M$162=EVENTOS!$C59)*(OFFSET(CÁLCULO!$AA$15:$AA$162,0,U$13))),2),0)</f>
        <v>0</v>
      </c>
      <c r="V59" s="620" cm="1">
        <f t="array" aca="1" ref="V59" ca="1">IF(AUTOEVENTO="Manual",ROUND(SUMPRODUCT((CÁLCULO!$M$15:$M$162=EVENTOS!$C59)*(OFFSET(CÁLCULO!$AA$15:$AA$162,0,V$13))),2),0)</f>
        <v>0</v>
      </c>
      <c r="W59" s="620" cm="1">
        <f t="array" aca="1" ref="W59" ca="1">IF(AUTOEVENTO="Manual",ROUND(SUMPRODUCT((CÁLCULO!$M$15:$M$162=EVENTOS!$C59)*(OFFSET(CÁLCULO!$AA$15:$AA$162,0,W$13))),2),0)</f>
        <v>0</v>
      </c>
      <c r="X59" s="620" cm="1">
        <f t="array" aca="1" ref="X59" ca="1">IF(AUTOEVENTO="Manual",ROUND(SUMPRODUCT((CÁLCULO!$M$15:$M$162=EVENTOS!$C59)*(OFFSET(CÁLCULO!$AA$15:$AA$162,0,X$13))),2),0)</f>
        <v>0</v>
      </c>
      <c r="Y59" s="620" cm="1">
        <f t="array" aca="1" ref="Y59" ca="1">IF(AUTOEVENTO="Manual",ROUND(SUMPRODUCT((CÁLCULO!$M$15:$M$162=EVENTOS!$C59)*(OFFSET(CÁLCULO!$AA$15:$AA$162,0,Y$13))),2),0)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IF(AUTOEVENTO="Manual",ROUND(SUMPRODUCT((CÁLCULO!$M$15:$M$162=EVENTOS!$C60)*(OFFSET(CÁLCULO!$AA$15:$AA$162,0,E$13))),2),0)</f>
        <v>0</v>
      </c>
      <c r="F60" s="183">
        <f ca="1">IF(AUTOEVENTO="Manual",ROUND(SUMPRODUCT((CÁLCULO!$M$15:$M$162=EVENTOS!$C60)*(OFFSET(CÁLCULO!$AA$15,0,1):OFFSET(CÁLCULO!$AL$162,0,-1))),2),0)</f>
        <v>0</v>
      </c>
      <c r="G60" s="621" t="str">
        <f t="shared" ca="1" si="6"/>
        <v/>
      </c>
      <c r="H60" s="620" cm="1">
        <f t="array" aca="1" ref="H60" ca="1">IF(AUTOEVENTO="Manual",ROUND(SUMPRODUCT((CÁLCULO!$M$15:$M$162=EVENTOS!$C60)*(OFFSET(CÁLCULO!$AA$15:$AA$162,0,H$13))),2),0)</f>
        <v>0</v>
      </c>
      <c r="I60" s="620" cm="1">
        <f t="array" aca="1" ref="I60" ca="1">IF(AUTOEVENTO="Manual",ROUND(SUMPRODUCT((CÁLCULO!$M$15:$M$162=EVENTOS!$C60)*(OFFSET(CÁLCULO!$AA$15:$AA$162,0,I$13))),2),0)</f>
        <v>0</v>
      </c>
      <c r="J60" s="620" cm="1">
        <f t="array" aca="1" ref="J60" ca="1">IF(AUTOEVENTO="Manual",ROUND(SUMPRODUCT((CÁLCULO!$M$15:$M$162=EVENTOS!$C60)*(OFFSET(CÁLCULO!$AA$15:$AA$162,0,J$13))),2),0)</f>
        <v>0</v>
      </c>
      <c r="K60" s="620" cm="1">
        <f t="array" aca="1" ref="K60" ca="1">IF(AUTOEVENTO="Manual",ROUND(SUMPRODUCT((CÁLCULO!$M$15:$M$162=EVENTOS!$C60)*(OFFSET(CÁLCULO!$AA$15:$AA$162,0,K$13))),2),0)</f>
        <v>0</v>
      </c>
      <c r="L60" s="620" cm="1">
        <f t="array" aca="1" ref="L60" ca="1">IF(AUTOEVENTO="Manual",ROUND(SUMPRODUCT((CÁLCULO!$M$15:$M$162=EVENTOS!$C60)*(OFFSET(CÁLCULO!$AA$15:$AA$162,0,L$13))),2),0)</f>
        <v>0</v>
      </c>
      <c r="M60" s="620" cm="1">
        <f t="array" aca="1" ref="M60" ca="1">IF(AUTOEVENTO="Manual",ROUND(SUMPRODUCT((CÁLCULO!$M$15:$M$162=EVENTOS!$C60)*(OFFSET(CÁLCULO!$AA$15:$AA$162,0,M$13))),2),0)</f>
        <v>0</v>
      </c>
      <c r="N60" s="620" cm="1">
        <f t="array" aca="1" ref="N60" ca="1">IF(AUTOEVENTO="Manual",ROUND(SUMPRODUCT((CÁLCULO!$M$15:$M$162=EVENTOS!$C60)*(OFFSET(CÁLCULO!$AA$15:$AA$162,0,N$13))),2),0)</f>
        <v>0</v>
      </c>
      <c r="O60" s="620" cm="1">
        <f t="array" aca="1" ref="O60" ca="1">IF(AUTOEVENTO="Manual",ROUND(SUMPRODUCT((CÁLCULO!$M$15:$M$162=EVENTOS!$C60)*(OFFSET(CÁLCULO!$AA$15:$AA$162,0,O$13))),2),0)</f>
        <v>0</v>
      </c>
      <c r="P60" s="620" cm="1">
        <f t="array" aca="1" ref="P60" ca="1">IF(AUTOEVENTO="Manual",ROUND(SUMPRODUCT((CÁLCULO!$M$15:$M$162=EVENTOS!$C60)*(OFFSET(CÁLCULO!$AA$15:$AA$162,0,P$13))),2),0)</f>
        <v>0</v>
      </c>
      <c r="Q60" s="620" cm="1">
        <f t="array" aca="1" ref="Q60" ca="1">IF(AUTOEVENTO="Manual",ROUND(SUMPRODUCT((CÁLCULO!$M$15:$M$162=EVENTOS!$C60)*(OFFSET(CÁLCULO!$AA$15:$AA$162,0,Q$13))),2),0)</f>
        <v>0</v>
      </c>
      <c r="R60" s="620" cm="1">
        <f t="array" aca="1" ref="R60" ca="1">IF(AUTOEVENTO="Manual",ROUND(SUMPRODUCT((CÁLCULO!$M$15:$M$162=EVENTOS!$C60)*(OFFSET(CÁLCULO!$AA$15:$AA$162,0,R$13))),2),0)</f>
        <v>0</v>
      </c>
      <c r="S60" s="620" cm="1">
        <f t="array" aca="1" ref="S60" ca="1">IF(AUTOEVENTO="Manual",ROUND(SUMPRODUCT((CÁLCULO!$M$15:$M$162=EVENTOS!$C60)*(OFFSET(CÁLCULO!$AA$15:$AA$162,0,S$13))),2),0)</f>
        <v>0</v>
      </c>
      <c r="T60" s="620" cm="1">
        <f t="array" aca="1" ref="T60" ca="1">IF(AUTOEVENTO="Manual",ROUND(SUMPRODUCT((CÁLCULO!$M$15:$M$162=EVENTOS!$C60)*(OFFSET(CÁLCULO!$AA$15:$AA$162,0,T$13))),2),0)</f>
        <v>0</v>
      </c>
      <c r="U60" s="620" cm="1">
        <f t="array" aca="1" ref="U60" ca="1">IF(AUTOEVENTO="Manual",ROUND(SUMPRODUCT((CÁLCULO!$M$15:$M$162=EVENTOS!$C60)*(OFFSET(CÁLCULO!$AA$15:$AA$162,0,U$13))),2),0)</f>
        <v>0</v>
      </c>
      <c r="V60" s="620" cm="1">
        <f t="array" aca="1" ref="V60" ca="1">IF(AUTOEVENTO="Manual",ROUND(SUMPRODUCT((CÁLCULO!$M$15:$M$162=EVENTOS!$C60)*(OFFSET(CÁLCULO!$AA$15:$AA$162,0,V$13))),2),0)</f>
        <v>0</v>
      </c>
      <c r="W60" s="620" cm="1">
        <f t="array" aca="1" ref="W60" ca="1">IF(AUTOEVENTO="Manual",ROUND(SUMPRODUCT((CÁLCULO!$M$15:$M$162=EVENTOS!$C60)*(OFFSET(CÁLCULO!$AA$15:$AA$162,0,W$13))),2),0)</f>
        <v>0</v>
      </c>
      <c r="X60" s="620" cm="1">
        <f t="array" aca="1" ref="X60" ca="1">IF(AUTOEVENTO="Manual",ROUND(SUMPRODUCT((CÁLCULO!$M$15:$M$162=EVENTOS!$C60)*(OFFSET(CÁLCULO!$AA$15:$AA$162,0,X$13))),2),0)</f>
        <v>0</v>
      </c>
      <c r="Y60" s="620" cm="1">
        <f t="array" aca="1" ref="Y60" ca="1">IF(AUTOEVENTO="Manual",ROUND(SUMPRODUCT((CÁLCULO!$M$15:$M$162=EVENTOS!$C60)*(OFFSET(CÁLCULO!$AA$15:$AA$162,0,Y$13))),2),0)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IF(AUTOEVENTO="Manual",ROUND(SUMPRODUCT((CÁLCULO!$M$15:$M$162=EVENTOS!$C61)*(OFFSET(CÁLCULO!$AA$15:$AA$162,0,E$13))),2),0)</f>
        <v>0</v>
      </c>
      <c r="F61" s="183">
        <f ca="1">IF(AUTOEVENTO="Manual",ROUND(SUMPRODUCT((CÁLCULO!$M$15:$M$162=EVENTOS!$C61)*(OFFSET(CÁLCULO!$AA$15,0,1):OFFSET(CÁLCULO!$AL$162,0,-1))),2),0)</f>
        <v>0</v>
      </c>
      <c r="G61" s="621" t="str">
        <f t="shared" ca="1" si="6"/>
        <v/>
      </c>
      <c r="H61" s="620" cm="1">
        <f t="array" aca="1" ref="H61" ca="1">IF(AUTOEVENTO="Manual",ROUND(SUMPRODUCT((CÁLCULO!$M$15:$M$162=EVENTOS!$C61)*(OFFSET(CÁLCULO!$AA$15:$AA$162,0,H$13))),2),0)</f>
        <v>0</v>
      </c>
      <c r="I61" s="620" cm="1">
        <f t="array" aca="1" ref="I61" ca="1">IF(AUTOEVENTO="Manual",ROUND(SUMPRODUCT((CÁLCULO!$M$15:$M$162=EVENTOS!$C61)*(OFFSET(CÁLCULO!$AA$15:$AA$162,0,I$13))),2),0)</f>
        <v>0</v>
      </c>
      <c r="J61" s="620" cm="1">
        <f t="array" aca="1" ref="J61" ca="1">IF(AUTOEVENTO="Manual",ROUND(SUMPRODUCT((CÁLCULO!$M$15:$M$162=EVENTOS!$C61)*(OFFSET(CÁLCULO!$AA$15:$AA$162,0,J$13))),2),0)</f>
        <v>0</v>
      </c>
      <c r="K61" s="620" cm="1">
        <f t="array" aca="1" ref="K61" ca="1">IF(AUTOEVENTO="Manual",ROUND(SUMPRODUCT((CÁLCULO!$M$15:$M$162=EVENTOS!$C61)*(OFFSET(CÁLCULO!$AA$15:$AA$162,0,K$13))),2),0)</f>
        <v>0</v>
      </c>
      <c r="L61" s="620" cm="1">
        <f t="array" aca="1" ref="L61" ca="1">IF(AUTOEVENTO="Manual",ROUND(SUMPRODUCT((CÁLCULO!$M$15:$M$162=EVENTOS!$C61)*(OFFSET(CÁLCULO!$AA$15:$AA$162,0,L$13))),2),0)</f>
        <v>0</v>
      </c>
      <c r="M61" s="620" cm="1">
        <f t="array" aca="1" ref="M61" ca="1">IF(AUTOEVENTO="Manual",ROUND(SUMPRODUCT((CÁLCULO!$M$15:$M$162=EVENTOS!$C61)*(OFFSET(CÁLCULO!$AA$15:$AA$162,0,M$13))),2),0)</f>
        <v>0</v>
      </c>
      <c r="N61" s="620" cm="1">
        <f t="array" aca="1" ref="N61" ca="1">IF(AUTOEVENTO="Manual",ROUND(SUMPRODUCT((CÁLCULO!$M$15:$M$162=EVENTOS!$C61)*(OFFSET(CÁLCULO!$AA$15:$AA$162,0,N$13))),2),0)</f>
        <v>0</v>
      </c>
      <c r="O61" s="620" cm="1">
        <f t="array" aca="1" ref="O61" ca="1">IF(AUTOEVENTO="Manual",ROUND(SUMPRODUCT((CÁLCULO!$M$15:$M$162=EVENTOS!$C61)*(OFFSET(CÁLCULO!$AA$15:$AA$162,0,O$13))),2),0)</f>
        <v>0</v>
      </c>
      <c r="P61" s="620" cm="1">
        <f t="array" aca="1" ref="P61" ca="1">IF(AUTOEVENTO="Manual",ROUND(SUMPRODUCT((CÁLCULO!$M$15:$M$162=EVENTOS!$C61)*(OFFSET(CÁLCULO!$AA$15:$AA$162,0,P$13))),2),0)</f>
        <v>0</v>
      </c>
      <c r="Q61" s="620" cm="1">
        <f t="array" aca="1" ref="Q61" ca="1">IF(AUTOEVENTO="Manual",ROUND(SUMPRODUCT((CÁLCULO!$M$15:$M$162=EVENTOS!$C61)*(OFFSET(CÁLCULO!$AA$15:$AA$162,0,Q$13))),2),0)</f>
        <v>0</v>
      </c>
      <c r="R61" s="620" cm="1">
        <f t="array" aca="1" ref="R61" ca="1">IF(AUTOEVENTO="Manual",ROUND(SUMPRODUCT((CÁLCULO!$M$15:$M$162=EVENTOS!$C61)*(OFFSET(CÁLCULO!$AA$15:$AA$162,0,R$13))),2),0)</f>
        <v>0</v>
      </c>
      <c r="S61" s="620" cm="1">
        <f t="array" aca="1" ref="S61" ca="1">IF(AUTOEVENTO="Manual",ROUND(SUMPRODUCT((CÁLCULO!$M$15:$M$162=EVENTOS!$C61)*(OFFSET(CÁLCULO!$AA$15:$AA$162,0,S$13))),2),0)</f>
        <v>0</v>
      </c>
      <c r="T61" s="620" cm="1">
        <f t="array" aca="1" ref="T61" ca="1">IF(AUTOEVENTO="Manual",ROUND(SUMPRODUCT((CÁLCULO!$M$15:$M$162=EVENTOS!$C61)*(OFFSET(CÁLCULO!$AA$15:$AA$162,0,T$13))),2),0)</f>
        <v>0</v>
      </c>
      <c r="U61" s="620" cm="1">
        <f t="array" aca="1" ref="U61" ca="1">IF(AUTOEVENTO="Manual",ROUND(SUMPRODUCT((CÁLCULO!$M$15:$M$162=EVENTOS!$C61)*(OFFSET(CÁLCULO!$AA$15:$AA$162,0,U$13))),2),0)</f>
        <v>0</v>
      </c>
      <c r="V61" s="620" cm="1">
        <f t="array" aca="1" ref="V61" ca="1">IF(AUTOEVENTO="Manual",ROUND(SUMPRODUCT((CÁLCULO!$M$15:$M$162=EVENTOS!$C61)*(OFFSET(CÁLCULO!$AA$15:$AA$162,0,V$13))),2),0)</f>
        <v>0</v>
      </c>
      <c r="W61" s="620" cm="1">
        <f t="array" aca="1" ref="W61" ca="1">IF(AUTOEVENTO="Manual",ROUND(SUMPRODUCT((CÁLCULO!$M$15:$M$162=EVENTOS!$C61)*(OFFSET(CÁLCULO!$AA$15:$AA$162,0,W$13))),2),0)</f>
        <v>0</v>
      </c>
      <c r="X61" s="620" cm="1">
        <f t="array" aca="1" ref="X61" ca="1">IF(AUTOEVENTO="Manual",ROUND(SUMPRODUCT((CÁLCULO!$M$15:$M$162=EVENTOS!$C61)*(OFFSET(CÁLCULO!$AA$15:$AA$162,0,X$13))),2),0)</f>
        <v>0</v>
      </c>
      <c r="Y61" s="620" cm="1">
        <f t="array" aca="1" ref="Y61" ca="1">IF(AUTOEVENTO="Manual",ROUND(SUMPRODUCT((CÁLCULO!$M$15:$M$162=EVENTOS!$C61)*(OFFSET(CÁLCULO!$AA$15:$AA$162,0,Y$13))),2),0)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IF(AUTOEVENTO="Manual",ROUND(SUMPRODUCT((CÁLCULO!$M$15:$M$162=EVENTOS!$C62)*(OFFSET(CÁLCULO!$AA$15:$AA$162,0,E$13))),2),0)</f>
        <v>0</v>
      </c>
      <c r="F62" s="183">
        <f ca="1">IF(AUTOEVENTO="Manual",ROUND(SUMPRODUCT((CÁLCULO!$M$15:$M$162=EVENTOS!$C62)*(OFFSET(CÁLCULO!$AA$15,0,1):OFFSET(CÁLCULO!$AL$162,0,-1))),2),0)</f>
        <v>0</v>
      </c>
      <c r="G62" s="621" t="str">
        <f t="shared" ca="1" si="6"/>
        <v/>
      </c>
      <c r="H62" s="620" cm="1">
        <f t="array" aca="1" ref="H62" ca="1">IF(AUTOEVENTO="Manual",ROUND(SUMPRODUCT((CÁLCULO!$M$15:$M$162=EVENTOS!$C62)*(OFFSET(CÁLCULO!$AA$15:$AA$162,0,H$13))),2),0)</f>
        <v>0</v>
      </c>
      <c r="I62" s="620" cm="1">
        <f t="array" aca="1" ref="I62" ca="1">IF(AUTOEVENTO="Manual",ROUND(SUMPRODUCT((CÁLCULO!$M$15:$M$162=EVENTOS!$C62)*(OFFSET(CÁLCULO!$AA$15:$AA$162,0,I$13))),2),0)</f>
        <v>0</v>
      </c>
      <c r="J62" s="620" cm="1">
        <f t="array" aca="1" ref="J62" ca="1">IF(AUTOEVENTO="Manual",ROUND(SUMPRODUCT((CÁLCULO!$M$15:$M$162=EVENTOS!$C62)*(OFFSET(CÁLCULO!$AA$15:$AA$162,0,J$13))),2),0)</f>
        <v>0</v>
      </c>
      <c r="K62" s="620" cm="1">
        <f t="array" aca="1" ref="K62" ca="1">IF(AUTOEVENTO="Manual",ROUND(SUMPRODUCT((CÁLCULO!$M$15:$M$162=EVENTOS!$C62)*(OFFSET(CÁLCULO!$AA$15:$AA$162,0,K$13))),2),0)</f>
        <v>0</v>
      </c>
      <c r="L62" s="620" cm="1">
        <f t="array" aca="1" ref="L62" ca="1">IF(AUTOEVENTO="Manual",ROUND(SUMPRODUCT((CÁLCULO!$M$15:$M$162=EVENTOS!$C62)*(OFFSET(CÁLCULO!$AA$15:$AA$162,0,L$13))),2),0)</f>
        <v>0</v>
      </c>
      <c r="M62" s="620" cm="1">
        <f t="array" aca="1" ref="M62" ca="1">IF(AUTOEVENTO="Manual",ROUND(SUMPRODUCT((CÁLCULO!$M$15:$M$162=EVENTOS!$C62)*(OFFSET(CÁLCULO!$AA$15:$AA$162,0,M$13))),2),0)</f>
        <v>0</v>
      </c>
      <c r="N62" s="620" cm="1">
        <f t="array" aca="1" ref="N62" ca="1">IF(AUTOEVENTO="Manual",ROUND(SUMPRODUCT((CÁLCULO!$M$15:$M$162=EVENTOS!$C62)*(OFFSET(CÁLCULO!$AA$15:$AA$162,0,N$13))),2),0)</f>
        <v>0</v>
      </c>
      <c r="O62" s="620" cm="1">
        <f t="array" aca="1" ref="O62" ca="1">IF(AUTOEVENTO="Manual",ROUND(SUMPRODUCT((CÁLCULO!$M$15:$M$162=EVENTOS!$C62)*(OFFSET(CÁLCULO!$AA$15:$AA$162,0,O$13))),2),0)</f>
        <v>0</v>
      </c>
      <c r="P62" s="620" cm="1">
        <f t="array" aca="1" ref="P62" ca="1">IF(AUTOEVENTO="Manual",ROUND(SUMPRODUCT((CÁLCULO!$M$15:$M$162=EVENTOS!$C62)*(OFFSET(CÁLCULO!$AA$15:$AA$162,0,P$13))),2),0)</f>
        <v>0</v>
      </c>
      <c r="Q62" s="620" cm="1">
        <f t="array" aca="1" ref="Q62" ca="1">IF(AUTOEVENTO="Manual",ROUND(SUMPRODUCT((CÁLCULO!$M$15:$M$162=EVENTOS!$C62)*(OFFSET(CÁLCULO!$AA$15:$AA$162,0,Q$13))),2),0)</f>
        <v>0</v>
      </c>
      <c r="R62" s="620" cm="1">
        <f t="array" aca="1" ref="R62" ca="1">IF(AUTOEVENTO="Manual",ROUND(SUMPRODUCT((CÁLCULO!$M$15:$M$162=EVENTOS!$C62)*(OFFSET(CÁLCULO!$AA$15:$AA$162,0,R$13))),2),0)</f>
        <v>0</v>
      </c>
      <c r="S62" s="620" cm="1">
        <f t="array" aca="1" ref="S62" ca="1">IF(AUTOEVENTO="Manual",ROUND(SUMPRODUCT((CÁLCULO!$M$15:$M$162=EVENTOS!$C62)*(OFFSET(CÁLCULO!$AA$15:$AA$162,0,S$13))),2),0)</f>
        <v>0</v>
      </c>
      <c r="T62" s="620" cm="1">
        <f t="array" aca="1" ref="T62" ca="1">IF(AUTOEVENTO="Manual",ROUND(SUMPRODUCT((CÁLCULO!$M$15:$M$162=EVENTOS!$C62)*(OFFSET(CÁLCULO!$AA$15:$AA$162,0,T$13))),2),0)</f>
        <v>0</v>
      </c>
      <c r="U62" s="620" cm="1">
        <f t="array" aca="1" ref="U62" ca="1">IF(AUTOEVENTO="Manual",ROUND(SUMPRODUCT((CÁLCULO!$M$15:$M$162=EVENTOS!$C62)*(OFFSET(CÁLCULO!$AA$15:$AA$162,0,U$13))),2),0)</f>
        <v>0</v>
      </c>
      <c r="V62" s="620" cm="1">
        <f t="array" aca="1" ref="V62" ca="1">IF(AUTOEVENTO="Manual",ROUND(SUMPRODUCT((CÁLCULO!$M$15:$M$162=EVENTOS!$C62)*(OFFSET(CÁLCULO!$AA$15:$AA$162,0,V$13))),2),0)</f>
        <v>0</v>
      </c>
      <c r="W62" s="620" cm="1">
        <f t="array" aca="1" ref="W62" ca="1">IF(AUTOEVENTO="Manual",ROUND(SUMPRODUCT((CÁLCULO!$M$15:$M$162=EVENTOS!$C62)*(OFFSET(CÁLCULO!$AA$15:$AA$162,0,W$13))),2),0)</f>
        <v>0</v>
      </c>
      <c r="X62" s="620" cm="1">
        <f t="array" aca="1" ref="X62" ca="1">IF(AUTOEVENTO="Manual",ROUND(SUMPRODUCT((CÁLCULO!$M$15:$M$162=EVENTOS!$C62)*(OFFSET(CÁLCULO!$AA$15:$AA$162,0,X$13))),2),0)</f>
        <v>0</v>
      </c>
      <c r="Y62" s="620" cm="1">
        <f t="array" aca="1" ref="Y62" ca="1">IF(AUTOEVENTO="Manual",ROUND(SUMPRODUCT((CÁLCULO!$M$15:$M$162=EVENTOS!$C62)*(OFFSET(CÁLCULO!$AA$15:$AA$162,0,Y$13))),2),0)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IF(AUTOEVENTO="Manual",ROUND(SUMPRODUCT((CÁLCULO!$M$15:$M$162=EVENTOS!$C63)*(OFFSET(CÁLCULO!$AA$15:$AA$162,0,E$13))),2),0)</f>
        <v>0</v>
      </c>
      <c r="F63" s="183">
        <f ca="1">IF(AUTOEVENTO="Manual",ROUND(SUMPRODUCT((CÁLCULO!$M$15:$M$162=EVENTOS!$C63)*(OFFSET(CÁLCULO!$AA$15,0,1):OFFSET(CÁLCULO!$AL$162,0,-1))),2),0)</f>
        <v>0</v>
      </c>
      <c r="G63" s="621" t="str">
        <f t="shared" ca="1" si="6"/>
        <v/>
      </c>
      <c r="H63" s="620" cm="1">
        <f t="array" aca="1" ref="H63" ca="1">IF(AUTOEVENTO="Manual",ROUND(SUMPRODUCT((CÁLCULO!$M$15:$M$162=EVENTOS!$C63)*(OFFSET(CÁLCULO!$AA$15:$AA$162,0,H$13))),2),0)</f>
        <v>0</v>
      </c>
      <c r="I63" s="620" cm="1">
        <f t="array" aca="1" ref="I63" ca="1">IF(AUTOEVENTO="Manual",ROUND(SUMPRODUCT((CÁLCULO!$M$15:$M$162=EVENTOS!$C63)*(OFFSET(CÁLCULO!$AA$15:$AA$162,0,I$13))),2),0)</f>
        <v>0</v>
      </c>
      <c r="J63" s="620" cm="1">
        <f t="array" aca="1" ref="J63" ca="1">IF(AUTOEVENTO="Manual",ROUND(SUMPRODUCT((CÁLCULO!$M$15:$M$162=EVENTOS!$C63)*(OFFSET(CÁLCULO!$AA$15:$AA$162,0,J$13))),2),0)</f>
        <v>0</v>
      </c>
      <c r="K63" s="620" cm="1">
        <f t="array" aca="1" ref="K63" ca="1">IF(AUTOEVENTO="Manual",ROUND(SUMPRODUCT((CÁLCULO!$M$15:$M$162=EVENTOS!$C63)*(OFFSET(CÁLCULO!$AA$15:$AA$162,0,K$13))),2),0)</f>
        <v>0</v>
      </c>
      <c r="L63" s="620" cm="1">
        <f t="array" aca="1" ref="L63" ca="1">IF(AUTOEVENTO="Manual",ROUND(SUMPRODUCT((CÁLCULO!$M$15:$M$162=EVENTOS!$C63)*(OFFSET(CÁLCULO!$AA$15:$AA$162,0,L$13))),2),0)</f>
        <v>0</v>
      </c>
      <c r="M63" s="620" cm="1">
        <f t="array" aca="1" ref="M63" ca="1">IF(AUTOEVENTO="Manual",ROUND(SUMPRODUCT((CÁLCULO!$M$15:$M$162=EVENTOS!$C63)*(OFFSET(CÁLCULO!$AA$15:$AA$162,0,M$13))),2),0)</f>
        <v>0</v>
      </c>
      <c r="N63" s="620" cm="1">
        <f t="array" aca="1" ref="N63" ca="1">IF(AUTOEVENTO="Manual",ROUND(SUMPRODUCT((CÁLCULO!$M$15:$M$162=EVENTOS!$C63)*(OFFSET(CÁLCULO!$AA$15:$AA$162,0,N$13))),2),0)</f>
        <v>0</v>
      </c>
      <c r="O63" s="620" cm="1">
        <f t="array" aca="1" ref="O63" ca="1">IF(AUTOEVENTO="Manual",ROUND(SUMPRODUCT((CÁLCULO!$M$15:$M$162=EVENTOS!$C63)*(OFFSET(CÁLCULO!$AA$15:$AA$162,0,O$13))),2),0)</f>
        <v>0</v>
      </c>
      <c r="P63" s="620" cm="1">
        <f t="array" aca="1" ref="P63" ca="1">IF(AUTOEVENTO="Manual",ROUND(SUMPRODUCT((CÁLCULO!$M$15:$M$162=EVENTOS!$C63)*(OFFSET(CÁLCULO!$AA$15:$AA$162,0,P$13))),2),0)</f>
        <v>0</v>
      </c>
      <c r="Q63" s="620" cm="1">
        <f t="array" aca="1" ref="Q63" ca="1">IF(AUTOEVENTO="Manual",ROUND(SUMPRODUCT((CÁLCULO!$M$15:$M$162=EVENTOS!$C63)*(OFFSET(CÁLCULO!$AA$15:$AA$162,0,Q$13))),2),0)</f>
        <v>0</v>
      </c>
      <c r="R63" s="620" cm="1">
        <f t="array" aca="1" ref="R63" ca="1">IF(AUTOEVENTO="Manual",ROUND(SUMPRODUCT((CÁLCULO!$M$15:$M$162=EVENTOS!$C63)*(OFFSET(CÁLCULO!$AA$15:$AA$162,0,R$13))),2),0)</f>
        <v>0</v>
      </c>
      <c r="S63" s="620" cm="1">
        <f t="array" aca="1" ref="S63" ca="1">IF(AUTOEVENTO="Manual",ROUND(SUMPRODUCT((CÁLCULO!$M$15:$M$162=EVENTOS!$C63)*(OFFSET(CÁLCULO!$AA$15:$AA$162,0,S$13))),2),0)</f>
        <v>0</v>
      </c>
      <c r="T63" s="620" cm="1">
        <f t="array" aca="1" ref="T63" ca="1">IF(AUTOEVENTO="Manual",ROUND(SUMPRODUCT((CÁLCULO!$M$15:$M$162=EVENTOS!$C63)*(OFFSET(CÁLCULO!$AA$15:$AA$162,0,T$13))),2),0)</f>
        <v>0</v>
      </c>
      <c r="U63" s="620" cm="1">
        <f t="array" aca="1" ref="U63" ca="1">IF(AUTOEVENTO="Manual",ROUND(SUMPRODUCT((CÁLCULO!$M$15:$M$162=EVENTOS!$C63)*(OFFSET(CÁLCULO!$AA$15:$AA$162,0,U$13))),2),0)</f>
        <v>0</v>
      </c>
      <c r="V63" s="620" cm="1">
        <f t="array" aca="1" ref="V63" ca="1">IF(AUTOEVENTO="Manual",ROUND(SUMPRODUCT((CÁLCULO!$M$15:$M$162=EVENTOS!$C63)*(OFFSET(CÁLCULO!$AA$15:$AA$162,0,V$13))),2),0)</f>
        <v>0</v>
      </c>
      <c r="W63" s="620" cm="1">
        <f t="array" aca="1" ref="W63" ca="1">IF(AUTOEVENTO="Manual",ROUND(SUMPRODUCT((CÁLCULO!$M$15:$M$162=EVENTOS!$C63)*(OFFSET(CÁLCULO!$AA$15:$AA$162,0,W$13))),2),0)</f>
        <v>0</v>
      </c>
      <c r="X63" s="620" cm="1">
        <f t="array" aca="1" ref="X63" ca="1">IF(AUTOEVENTO="Manual",ROUND(SUMPRODUCT((CÁLCULO!$M$15:$M$162=EVENTOS!$C63)*(OFFSET(CÁLCULO!$AA$15:$AA$162,0,X$13))),2),0)</f>
        <v>0</v>
      </c>
      <c r="Y63" s="620" cm="1">
        <f t="array" aca="1" ref="Y63" ca="1">IF(AUTOEVENTO="Manual",ROUND(SUMPRODUCT((CÁLCULO!$M$15:$M$162=EVENTOS!$C63)*(OFFSET(CÁLCULO!$AA$15:$AA$162,0,Y$13))),2),0)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IF(AUTOEVENTO="Manual",ROUND(SUMPRODUCT((CÁLCULO!$M$15:$M$162=EVENTOS!$C64)*(OFFSET(CÁLCULO!$AA$15:$AA$162,0,E$13))),2),0)</f>
        <v>0</v>
      </c>
      <c r="F64" s="183">
        <f ca="1">IF(AUTOEVENTO="Manual",ROUND(SUMPRODUCT((CÁLCULO!$M$15:$M$162=EVENTOS!$C64)*(OFFSET(CÁLCULO!$AA$15,0,1):OFFSET(CÁLCULO!$AL$162,0,-1))),2),0)</f>
        <v>0</v>
      </c>
      <c r="G64" s="621" t="str">
        <f t="shared" ca="1" si="6"/>
        <v/>
      </c>
      <c r="H64" s="620" cm="1">
        <f t="array" aca="1" ref="H64" ca="1">IF(AUTOEVENTO="Manual",ROUND(SUMPRODUCT((CÁLCULO!$M$15:$M$162=EVENTOS!$C64)*(OFFSET(CÁLCULO!$AA$15:$AA$162,0,H$13))),2),0)</f>
        <v>0</v>
      </c>
      <c r="I64" s="620" cm="1">
        <f t="array" aca="1" ref="I64" ca="1">IF(AUTOEVENTO="Manual",ROUND(SUMPRODUCT((CÁLCULO!$M$15:$M$162=EVENTOS!$C64)*(OFFSET(CÁLCULO!$AA$15:$AA$162,0,I$13))),2),0)</f>
        <v>0</v>
      </c>
      <c r="J64" s="620" cm="1">
        <f t="array" aca="1" ref="J64" ca="1">IF(AUTOEVENTO="Manual",ROUND(SUMPRODUCT((CÁLCULO!$M$15:$M$162=EVENTOS!$C64)*(OFFSET(CÁLCULO!$AA$15:$AA$162,0,J$13))),2),0)</f>
        <v>0</v>
      </c>
      <c r="K64" s="620" cm="1">
        <f t="array" aca="1" ref="K64" ca="1">IF(AUTOEVENTO="Manual",ROUND(SUMPRODUCT((CÁLCULO!$M$15:$M$162=EVENTOS!$C64)*(OFFSET(CÁLCULO!$AA$15:$AA$162,0,K$13))),2),0)</f>
        <v>0</v>
      </c>
      <c r="L64" s="620" cm="1">
        <f t="array" aca="1" ref="L64" ca="1">IF(AUTOEVENTO="Manual",ROUND(SUMPRODUCT((CÁLCULO!$M$15:$M$162=EVENTOS!$C64)*(OFFSET(CÁLCULO!$AA$15:$AA$162,0,L$13))),2),0)</f>
        <v>0</v>
      </c>
      <c r="M64" s="620" cm="1">
        <f t="array" aca="1" ref="M64" ca="1">IF(AUTOEVENTO="Manual",ROUND(SUMPRODUCT((CÁLCULO!$M$15:$M$162=EVENTOS!$C64)*(OFFSET(CÁLCULO!$AA$15:$AA$162,0,M$13))),2),0)</f>
        <v>0</v>
      </c>
      <c r="N64" s="620" cm="1">
        <f t="array" aca="1" ref="N64" ca="1">IF(AUTOEVENTO="Manual",ROUND(SUMPRODUCT((CÁLCULO!$M$15:$M$162=EVENTOS!$C64)*(OFFSET(CÁLCULO!$AA$15:$AA$162,0,N$13))),2),0)</f>
        <v>0</v>
      </c>
      <c r="O64" s="620" cm="1">
        <f t="array" aca="1" ref="O64" ca="1">IF(AUTOEVENTO="Manual",ROUND(SUMPRODUCT((CÁLCULO!$M$15:$M$162=EVENTOS!$C64)*(OFFSET(CÁLCULO!$AA$15:$AA$162,0,O$13))),2),0)</f>
        <v>0</v>
      </c>
      <c r="P64" s="620" cm="1">
        <f t="array" aca="1" ref="P64" ca="1">IF(AUTOEVENTO="Manual",ROUND(SUMPRODUCT((CÁLCULO!$M$15:$M$162=EVENTOS!$C64)*(OFFSET(CÁLCULO!$AA$15:$AA$162,0,P$13))),2),0)</f>
        <v>0</v>
      </c>
      <c r="Q64" s="620" cm="1">
        <f t="array" aca="1" ref="Q64" ca="1">IF(AUTOEVENTO="Manual",ROUND(SUMPRODUCT((CÁLCULO!$M$15:$M$162=EVENTOS!$C64)*(OFFSET(CÁLCULO!$AA$15:$AA$162,0,Q$13))),2),0)</f>
        <v>0</v>
      </c>
      <c r="R64" s="620" cm="1">
        <f t="array" aca="1" ref="R64" ca="1">IF(AUTOEVENTO="Manual",ROUND(SUMPRODUCT((CÁLCULO!$M$15:$M$162=EVENTOS!$C64)*(OFFSET(CÁLCULO!$AA$15:$AA$162,0,R$13))),2),0)</f>
        <v>0</v>
      </c>
      <c r="S64" s="620" cm="1">
        <f t="array" aca="1" ref="S64" ca="1">IF(AUTOEVENTO="Manual",ROUND(SUMPRODUCT((CÁLCULO!$M$15:$M$162=EVENTOS!$C64)*(OFFSET(CÁLCULO!$AA$15:$AA$162,0,S$13))),2),0)</f>
        <v>0</v>
      </c>
      <c r="T64" s="620" cm="1">
        <f t="array" aca="1" ref="T64" ca="1">IF(AUTOEVENTO="Manual",ROUND(SUMPRODUCT((CÁLCULO!$M$15:$M$162=EVENTOS!$C64)*(OFFSET(CÁLCULO!$AA$15:$AA$162,0,T$13))),2),0)</f>
        <v>0</v>
      </c>
      <c r="U64" s="620" cm="1">
        <f t="array" aca="1" ref="U64" ca="1">IF(AUTOEVENTO="Manual",ROUND(SUMPRODUCT((CÁLCULO!$M$15:$M$162=EVENTOS!$C64)*(OFFSET(CÁLCULO!$AA$15:$AA$162,0,U$13))),2),0)</f>
        <v>0</v>
      </c>
      <c r="V64" s="620" cm="1">
        <f t="array" aca="1" ref="V64" ca="1">IF(AUTOEVENTO="Manual",ROUND(SUMPRODUCT((CÁLCULO!$M$15:$M$162=EVENTOS!$C64)*(OFFSET(CÁLCULO!$AA$15:$AA$162,0,V$13))),2),0)</f>
        <v>0</v>
      </c>
      <c r="W64" s="620" cm="1">
        <f t="array" aca="1" ref="W64" ca="1">IF(AUTOEVENTO="Manual",ROUND(SUMPRODUCT((CÁLCULO!$M$15:$M$162=EVENTOS!$C64)*(OFFSET(CÁLCULO!$AA$15:$AA$162,0,W$13))),2),0)</f>
        <v>0</v>
      </c>
      <c r="X64" s="620" cm="1">
        <f t="array" aca="1" ref="X64" ca="1">IF(AUTOEVENTO="Manual",ROUND(SUMPRODUCT((CÁLCULO!$M$15:$M$162=EVENTOS!$C64)*(OFFSET(CÁLCULO!$AA$15:$AA$162,0,X$13))),2),0)</f>
        <v>0</v>
      </c>
      <c r="Y64" s="620" cm="1">
        <f t="array" aca="1" ref="Y64" ca="1">IF(AUTOEVENTO="Manual",ROUND(SUMPRODUCT((CÁLCULO!$M$15:$M$162=EVENTOS!$C64)*(OFFSET(CÁLCULO!$AA$15:$AA$162,0,Y$13))),2),0)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Passos / MG</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 xml:space="preserve">Nome: Mateus Junior Rosa </v>
      </c>
      <c r="V70" s="398" t="str">
        <f t="array" aca="1" ref="V70:V72" ca="1">OFFSET(Import.RespOrçamento,0,-1) &amp; " " &amp; Import.RespOrçamento</f>
        <v xml:space="preserve">Nome: Mateus Junior Rosa </v>
      </c>
    </row>
    <row r="71" spans="1:25" x14ac:dyDescent="0.2">
      <c r="A71" s="506" t="s">
        <v>536</v>
      </c>
      <c r="D71" s="494">
        <f>DADOS!$C$25</f>
        <v>46121</v>
      </c>
      <c r="L71" s="398" t="str">
        <f ca="1"/>
        <v>CREA/CAU: 386526 MG</v>
      </c>
      <c r="V71" s="398" t="str">
        <f ca="1"/>
        <v>CREA/CAU: 386526 MG</v>
      </c>
    </row>
    <row r="72" spans="1:25" x14ac:dyDescent="0.2">
      <c r="A72" s="506" t="s">
        <v>536</v>
      </c>
      <c r="D72" s="9" t="s">
        <v>694</v>
      </c>
      <c r="L72" s="398" t="str">
        <f ca="1"/>
        <v>ART/RRT: -</v>
      </c>
      <c r="V72" s="398" t="str">
        <f ca="1"/>
        <v>ART/RRT: -</v>
      </c>
    </row>
  </sheetData>
  <sheetProtection algorithmName="SHA-512" hashValue="U6ChJpvx9vWBQbsHbp4ETd92rqbAm1DJU0CqPw0UQ8PErBKghU6B4CaJgv/B+fnVjZuBBPhUINyAsV5wJRkA1g==" saltValue="vCPs7dKuXztYvNEFhcGJ9w=="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482" priority="1" stopIfTrue="1">
      <formula>OR(AUTOEVENTO&lt;&gt;"Manual",ACOMPANHAMENTO="BM",C$10=0,C$13=0,$C1=" ")</formula>
    </cfRule>
  </conditionalFormatting>
  <conditionalFormatting sqref="A15 C15:XFD15">
    <cfRule type="expression" dxfId="481"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430"/>
  <sheetViews>
    <sheetView showGridLines="0" view="pageBreakPreview" zoomScale="90" zoomScaleNormal="100" zoomScaleSheetLayoutView="90" workbookViewId="0">
      <pane xSplit="8" ySplit="15" topLeftCell="I60" activePane="bottomRight" state="frozen"/>
      <selection pane="topRight" activeCell="I1" sqref="I1"/>
      <selection pane="bottomLeft" activeCell="C16" sqref="C16"/>
      <selection pane="bottomRight" activeCell="I75" sqref="I75"/>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MEMÓRIA DE CÁLCULO</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 xml:space="preserve"> - (SELECIONAR)</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 xml:space="preserve">TRAVESSIA EM ADUELAS ESTRADA PRINCIPAL DO VIRA </v>
      </c>
      <c r="F10" s="703"/>
      <c r="G10" s="703" cm="1">
        <f t="array" ref="G10">Import.TransfereGOV</f>
        <v>0</v>
      </c>
      <c r="H10" s="703"/>
      <c r="I10" s="90">
        <f>Import.CR</f>
        <v>0</v>
      </c>
      <c r="K10" s="148">
        <f>Import.Proponente</f>
        <v>0</v>
      </c>
      <c r="L10" s="149"/>
      <c r="M10" s="100"/>
      <c r="N10" s="149"/>
      <c r="O10" s="149"/>
      <c r="P10" s="149"/>
      <c r="Q10" s="149"/>
      <c r="R10" s="91"/>
      <c r="S10" s="703">
        <f>Import.CR</f>
        <v>0</v>
      </c>
      <c r="T10" s="703"/>
      <c r="U10" s="703">
        <f>Import.Proponente</f>
        <v>0</v>
      </c>
      <c r="V10" s="703"/>
      <c r="W10" s="703"/>
      <c r="X10" s="703"/>
      <c r="Y10" s="703"/>
      <c r="Z10" s="703"/>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IF(COUNTIF($J$15:$J$162,"►E")&gt;0,"Não pode haver serviços sem agrupador de eventos",
  IF(COUNTIF($P$11:$AA$11,"▼")&gt;0,"Não pode haver frentes de obra sem quantidades",
  IF(COUNTIF($P$11:$AA$11,"Nome &gt;100")&gt;0,"Nome da frente de obra com mais de 100 caracteres","")))))</f>
        <v/>
      </c>
      <c r="N11" s="573" t="str">
        <f ca="1">IF(OR(COUNTIF($J$15:$J$162,"►E")&gt;0,COUNTIF($J$15:$J$162,"►Q")&gt;0),"",
IF(COUNTIF($J$15:$J$162,"►S")&gt;0,"Preencha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IF(COUNTIF($J$15:$J$162,"►E")&gt;0,"Falta Definir o Agrupador de Evento na linha "&amp;MATCH("►E",$J$15:$J$162,0)+ROW($J$14),
  IF(COUNTIF($J$15:$J$162,"►Q")&gt;0,"Falta preencher a quantidade do serviço na linha "&amp;MATCH("►Q",$J$15:$J$162,0)+ROW($J$14),
  IF(COUNTIF($J$15:$J$162,"►S")&gt;0,"Verifique as quantidades preenchidas na linha "&amp;MATCH("►S",$J$15:$J$162,0)+ROW($J$14),
  IF(AND(COUNTIF($P$11:$AA$11,"▼")=0,COUNTIF($J$15:$J$162,"◄")&gt;0),"Falta Preencher o Memorial de Cálculo na linha "&amp;MATCH("◄",$J$15:$J$162,0)+ROW($J$14),"")))))</f>
        <v/>
      </c>
      <c r="J12" s="151" t="s">
        <v>764</v>
      </c>
      <c r="K12" s="152" t="s">
        <v>770</v>
      </c>
      <c r="L12" s="151" t="s">
        <v>764</v>
      </c>
      <c r="M12" s="570" cm="1">
        <f t="array" ref="M12">IF(ACOMPANHAMENTO="BM",0,MAX($M$15:$M$162))</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CANTEIRO DE OBRA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35" t="str">
        <f>Import.DescLote</f>
        <v>REGIÃO DO ZÉ PRETO</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ROUND(SUM(OFFSET(AB$15,1,0):AB$162),2)</f>
        <v>0</v>
      </c>
      <c r="AC15" s="177">
        <f ca="1">SUM(OFFSET(AC$15,1,0):AC$162)</f>
        <v>0</v>
      </c>
      <c r="AD15" s="177">
        <f ca="1">SUM(OFFSET(AD$15,1,0):AD$162)</f>
        <v>0</v>
      </c>
      <c r="AE15" s="177">
        <f ca="1">SUM(OFFSET(AE$15,1,0):AE$162)</f>
        <v>0</v>
      </c>
      <c r="AF15" s="177">
        <f ca="1">SUM(OFFSET(AF$15,1,0):AF$162)</f>
        <v>0</v>
      </c>
      <c r="AG15" s="177">
        <f ca="1">SUM(OFFSET(AG$15,1,0):AG$162)</f>
        <v>0</v>
      </c>
      <c r="AH15" s="177">
        <f ca="1">SUM(OFFSET(AH$15,1,0):AH$162)</f>
        <v>0</v>
      </c>
      <c r="AI15" s="177">
        <f ca="1">SUM(OFFSET(AI$15,1,0):AI$162)</f>
        <v>0</v>
      </c>
      <c r="AJ15" s="177">
        <f ca="1">SUM(OFFSET(AJ$15,1,0):AJ$162)</f>
        <v>0</v>
      </c>
      <c r="AK15" s="177">
        <f ca="1">SUM(OFFSET(AK$15,1,0):AK$162)</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53"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CANTEIRO DE OBRA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53"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6.48</v>
      </c>
      <c r="I18" s="468" t="s">
        <v>1086</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20</v>
      </c>
      <c r="I19" s="468" t="s">
        <v>1043</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PRELIMINARES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12.7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20</v>
      </c>
      <c r="I20" s="468" t="s">
        <v>1043</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PRELIMINARES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1.2.</v>
      </c>
      <c r="F21" s="163" t="str">
        <f ca="1">OFFSET(ORÇAMENTO!R$15,$L21,0)</f>
        <v>INSTALAÇÃO DA OBRA</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38.25" x14ac:dyDescent="0.2">
      <c r="A22" s="7" t="str">
        <f t="shared" ca="1" si="8"/>
        <v>6</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3</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INSTALAÇÃO DA OBRA</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38.25" x14ac:dyDescent="0.2">
      <c r="A23" s="7" t="str">
        <f t="shared" ca="1" si="8"/>
        <v>6</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3</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INSTALAÇÃO DA OBRA</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38.25" x14ac:dyDescent="0.2">
      <c r="A24" s="7" t="str">
        <f ca="1">IFERROR(IF(AUTOEVENTO="Manual",IF(K24&lt;&gt;"",MIN(VALUE(LEFT(K24,FIND(".",K24)-1)),COUNTA(EVENTOS.Lista)),0),IF(OR($B24&gt;AUTOEVENTO,$B24="S",$B24=0),SUBSTITUTE(OFFSET($A24,-1,0),IF($D24="Serviço",".",""),""),$L24&amp;".")),0)</f>
        <v>6</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3</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ca="1">OFFSET(L24,-1,0)+1</f>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INSTALAÇÃO DA OBRA</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51" x14ac:dyDescent="0.2">
      <c r="A25" s="7" t="str">
        <f t="shared" ca="1" si="8"/>
        <v>6</v>
      </c>
      <c r="B25" s="7" t="str">
        <f ca="1">OFFSET(ORÇAMENTO!C$15,$L25,0)</f>
        <v>S</v>
      </c>
      <c r="C25" s="7" t="str">
        <f ca="1">OFFSET(ORÇAMENTO!L$15,$L25,0)</f>
        <v/>
      </c>
      <c r="D25" s="116" t="str">
        <f ca="1">OFFSET(ORÇAMENTO!N$15,$L25,0)</f>
        <v>Serviço</v>
      </c>
      <c r="E25" s="117" t="str">
        <f ca="1">OFFSET(ORÇAMENTO!O$15,$L25,0)</f>
        <v>-</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300</v>
      </c>
      <c r="I25" s="468" t="s">
        <v>1084</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INSTALAÇÃO DA OBRA</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ca="1">IFERROR(IF(AUTOEVENTO="Manual",IF(K26&lt;&gt;"",MIN(VALUE(LEFT(K26,FIND(".",K26)-1)),COUNTA(EVENTOS.Lista)),0),IF(OR($B26&gt;AUTOEVENTO,$B26="S",$B26=0),SUBSTITUTE(OFFSET($A26,-1,0),IF($D26="Serviço",".",""),""),$L26&amp;".")),0)</f>
        <v>6</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504</v>
      </c>
      <c r="I26" s="468" t="s">
        <v>1055</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ca="1">OFFSET(L26,-1,0)+1</f>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INSTALAÇÃO DA OBRA</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12.75" x14ac:dyDescent="0.2">
      <c r="A27" s="7" t="str">
        <f t="shared" ca="1" si="8"/>
        <v>12.</v>
      </c>
      <c r="B27" s="7">
        <f ca="1">OFFSET(ORÇAMENTO!C$15,$L27,0)</f>
        <v>1</v>
      </c>
      <c r="C27" s="7" t="str">
        <f ca="1">OFFSET(ORÇAMENTO!L$15,$L27,0)</f>
        <v>F</v>
      </c>
      <c r="D27" s="116" t="str">
        <f ca="1">OFFSET(ORÇAMENTO!N$15,$L27,0)</f>
        <v>Meta</v>
      </c>
      <c r="E27" s="117" t="str">
        <f ca="1">OFFSET(ORÇAMENTO!O$15,$L27,0)</f>
        <v>2.</v>
      </c>
      <c r="F27" s="163" t="str">
        <f ca="1">OFFSET(ORÇAMENTO!R$15,$L27,0)</f>
        <v>DEMOLIÇÕES E REMOÇÕES</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cm="1">
        <f t="array" aca="1" ref="AX27" ca="1">IF(OR($D27&lt;&gt;"Serviço",AND(AUTOEVENTO="Manual",$M27=$A$15),$M27&gt;(ROW(PLE.lastrow)-ROW(PLE.firstrow))),0,
           IF(OFFSET(PLE!$G$15,$M27-$A$15,AX$13)="",10^12,OFFSET(PLE!$G$15,$M27-$A$15,AX$13)))</f>
        <v>0</v>
      </c>
      <c r="AY27" s="172" cm="1">
        <f t="array" aca="1" ref="AY27" ca="1">IF(OR($D27&lt;&gt;"Serviço",AND(AUTOEVENTO="Manual",$M27=$A$15),$M27&gt;(ROW(PLE.lastrow)-ROW(PLE.firstrow))),0,
           IF(OFFSET(PLE!$G$15,$M27-$A$15,AY$13)="",10^12,OFFSET(PLE!$G$15,$M27-$A$15,AY$13)))</f>
        <v>0</v>
      </c>
      <c r="AZ27" s="172" cm="1">
        <f t="array" aca="1" ref="AZ27" ca="1">IF(OR($D27&lt;&gt;"Serviço",AND(AUTOEVENTO="Manual",$M27=$A$15),$M27&gt;(ROW(PLE.lastrow)-ROW(PLE.firstrow))),0,
           IF(OFFSET(PLE!$G$15,$M27-$A$15,AZ$13)="",10^12,OFFSET(PLE!$G$15,$M27-$A$15,AZ$13)))</f>
        <v>0</v>
      </c>
      <c r="BA27" s="172" cm="1">
        <f t="array" aca="1" ref="BA27" ca="1">IF(OR($D27&lt;&gt;"Serviço",AND(AUTOEVENTO="Manual",$M27=$A$15),$M27&gt;(ROW(PLE.lastrow)-ROW(PLE.firstrow))),0,
           IF(OFFSET(PLE!$G$15,$M27-$A$15,BA$13)="",10^12,OFFSET(PLE!$G$15,$M27-$A$15,BA$13)))</f>
        <v>0</v>
      </c>
      <c r="BB27" s="172" cm="1">
        <f t="array" aca="1" ref="BB27" ca="1">IF(OR($D27&lt;&gt;"Serviço",AND(AUTOEVENTO="Manual",$M27=$A$15),$M27&gt;(ROW(PLE.lastrow)-ROW(PLE.firstrow))),0,
           IF(OFFSET(PLE!$G$15,$M27-$A$15,BB$13)="",10^12,OFFSET(PLE!$G$15,$M27-$A$15,BB$13)))</f>
        <v>0</v>
      </c>
      <c r="BC27" s="172" cm="1">
        <f t="array" aca="1" ref="BC27" ca="1">IF(OR($D27&lt;&gt;"Serviço",AND(AUTOEVENTO="Manual",$M27=$A$15),$M27&gt;(ROW(PLE.lastrow)-ROW(PLE.firstrow))),0,
           IF(OFFSET(PLE!$G$15,$M27-$A$15,BC$13)="",10^12,OFFSET(PLE!$G$15,$M27-$A$15,BC$13)))</f>
        <v>0</v>
      </c>
      <c r="BD27" s="172" cm="1">
        <f t="array" aca="1" ref="BD27" ca="1">IF(OR($D27&lt;&gt;"Serviço",AND(AUTOEVENTO="Manual",$M27=$A$15),$M27&gt;(ROW(PLE.lastrow)-ROW(PLE.firstrow))),0,
           IF(OFFSET(PLE!$G$15,$M27-$A$15,BD$13)="",10^12,OFFSET(PLE!$G$15,$M27-$A$15,BD$13)))</f>
        <v>0</v>
      </c>
      <c r="BE27" s="172" cm="1">
        <f t="array" aca="1" ref="BE27" ca="1">IF(OR($D27&lt;&gt;"Serviço",AND(AUTOEVENTO="Manual",$M27=$A$15),$M27&gt;(ROW(PLE.lastrow)-ROW(PLE.firstrow))),0,
           IF(OFFSET(PLE!$G$15,$M27-$A$15,BE$13)="",10^12,OFFSET(PLE!$G$15,$M27-$A$15,BE$13)))</f>
        <v>0</v>
      </c>
      <c r="BF27" s="172" cm="1">
        <f t="array" aca="1" ref="BF27" ca="1">IF(OR($D27&lt;&gt;"Serviço",AND(AUTOEVENTO="Manual",$M27=$A$15),$M27&gt;(ROW(PLE.lastrow)-ROW(PLE.firstrow))),0,
           IF(OFFSET(PLE!$G$15,$M27-$A$15,BF$13)="",10^12,OFFSET(PLE!$G$15,$M27-$A$15,BF$13)))</f>
        <v>0</v>
      </c>
      <c r="BG27" s="172" cm="1">
        <f t="array" aca="1" ref="BG27" ca="1">IF(OR($D27&lt;&gt;"Serviço",AND(AUTOEVENTO="Manual",$M27=$A$15),$M27&gt;(ROW(PLE.lastrow)-ROW(PLE.firstrow))),0,
           IF(OFFSET(PLE!$G$15,$M27-$A$15,BG$13)="",10^12,OFFSET(PLE!$G$15,$M27-$A$15,BG$13)))</f>
        <v>0</v>
      </c>
    </row>
    <row r="28" spans="1:59" ht="12.75" x14ac:dyDescent="0.2">
      <c r="A28" s="7" t="str">
        <f t="shared" ca="1" si="8"/>
        <v>13.</v>
      </c>
      <c r="B28" s="7">
        <f ca="1">OFFSET(ORÇAMENTO!C$15,$L28,0)</f>
        <v>2</v>
      </c>
      <c r="C28" s="7" t="str">
        <f ca="1">OFFSET(ORÇAMENTO!L$15,$L28,0)</f>
        <v>F</v>
      </c>
      <c r="D28" s="116" t="str">
        <f ca="1">OFFSET(ORÇAMENTO!N$15,$L28,0)</f>
        <v>Nível 2</v>
      </c>
      <c r="E28" s="117" t="str">
        <f ca="1">OFFSET(ORÇAMENTO!O$15,$L28,0)</f>
        <v>2.1.</v>
      </c>
      <c r="F28" s="163" t="str">
        <f ca="1">OFFSET(ORÇAMENTO!R$15,$L28,0)</f>
        <v>DEMOLIÇÕES E REMOÇÕES</v>
      </c>
      <c r="G28" s="164" t="str">
        <f ca="1">IF($D28&lt;&gt;"Serviço","",OFFSET(ORÇAMENTO!S$15,$L28,0))</f>
        <v/>
      </c>
      <c r="H28" s="122" cm="1">
        <f t="array" aca="1" ref="H28" ca="1">IF($D28&lt;&gt;"Serviço",0,IF(ACOMPANHAMENTO="BM",ROUND(OFFSET(ORÇAMENTO!AJ$15,$L28,0),15-13*ORÇAMENTO!$AF$7),IF(IFERROR(CÁLCULO.FrentesPreenchidas,0)=0,0,SUM(ROUND(OFFSET($P28,0,1,1,CÁLCULO.FrentesPreenchidas),15-13*ORÇAMENTO!$AF$7)))))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cm="1">
        <f t="array" aca="1" ref="AX28" ca="1">IF(OR($D28&lt;&gt;"Serviço",AND(AUTOEVENTO="Manual",$M28=$A$15),$M28&gt;(ROW(PLE.lastrow)-ROW(PLE.firstrow))),0,
           IF(OFFSET(PLE!$G$15,$M28-$A$15,AX$13)="",10^12,OFFSET(PLE!$G$15,$M28-$A$15,AX$13)))</f>
        <v>0</v>
      </c>
      <c r="AY28" s="172" cm="1">
        <f t="array" aca="1" ref="AY28" ca="1">IF(OR($D28&lt;&gt;"Serviço",AND(AUTOEVENTO="Manual",$M28=$A$15),$M28&gt;(ROW(PLE.lastrow)-ROW(PLE.firstrow))),0,
           IF(OFFSET(PLE!$G$15,$M28-$A$15,AY$13)="",10^12,OFFSET(PLE!$G$15,$M28-$A$15,AY$13)))</f>
        <v>0</v>
      </c>
      <c r="AZ28" s="172" cm="1">
        <f t="array" aca="1" ref="AZ28" ca="1">IF(OR($D28&lt;&gt;"Serviço",AND(AUTOEVENTO="Manual",$M28=$A$15),$M28&gt;(ROW(PLE.lastrow)-ROW(PLE.firstrow))),0,
           IF(OFFSET(PLE!$G$15,$M28-$A$15,AZ$13)="",10^12,OFFSET(PLE!$G$15,$M28-$A$15,AZ$13)))</f>
        <v>0</v>
      </c>
      <c r="BA28" s="172" cm="1">
        <f t="array" aca="1" ref="BA28" ca="1">IF(OR($D28&lt;&gt;"Serviço",AND(AUTOEVENTO="Manual",$M28=$A$15),$M28&gt;(ROW(PLE.lastrow)-ROW(PLE.firstrow))),0,
           IF(OFFSET(PLE!$G$15,$M28-$A$15,BA$13)="",10^12,OFFSET(PLE!$G$15,$M28-$A$15,BA$13)))</f>
        <v>0</v>
      </c>
      <c r="BB28" s="172" cm="1">
        <f t="array" aca="1" ref="BB28" ca="1">IF(OR($D28&lt;&gt;"Serviço",AND(AUTOEVENTO="Manual",$M28=$A$15),$M28&gt;(ROW(PLE.lastrow)-ROW(PLE.firstrow))),0,
           IF(OFFSET(PLE!$G$15,$M28-$A$15,BB$13)="",10^12,OFFSET(PLE!$G$15,$M28-$A$15,BB$13)))</f>
        <v>0</v>
      </c>
      <c r="BC28" s="172" cm="1">
        <f t="array" aca="1" ref="BC28" ca="1">IF(OR($D28&lt;&gt;"Serviço",AND(AUTOEVENTO="Manual",$M28=$A$15),$M28&gt;(ROW(PLE.lastrow)-ROW(PLE.firstrow))),0,
           IF(OFFSET(PLE!$G$15,$M28-$A$15,BC$13)="",10^12,OFFSET(PLE!$G$15,$M28-$A$15,BC$13)))</f>
        <v>0</v>
      </c>
      <c r="BD28" s="172" cm="1">
        <f t="array" aca="1" ref="BD28" ca="1">IF(OR($D28&lt;&gt;"Serviço",AND(AUTOEVENTO="Manual",$M28=$A$15),$M28&gt;(ROW(PLE.lastrow)-ROW(PLE.firstrow))),0,
           IF(OFFSET(PLE!$G$15,$M28-$A$15,BD$13)="",10^12,OFFSET(PLE!$G$15,$M28-$A$15,BD$13)))</f>
        <v>0</v>
      </c>
      <c r="BE28" s="172" cm="1">
        <f t="array" aca="1" ref="BE28" ca="1">IF(OR($D28&lt;&gt;"Serviço",AND(AUTOEVENTO="Manual",$M28=$A$15),$M28&gt;(ROW(PLE.lastrow)-ROW(PLE.firstrow))),0,
           IF(OFFSET(PLE!$G$15,$M28-$A$15,BE$13)="",10^12,OFFSET(PLE!$G$15,$M28-$A$15,BE$13)))</f>
        <v>0</v>
      </c>
      <c r="BF28" s="172" cm="1">
        <f t="array" aca="1" ref="BF28" ca="1">IF(OR($D28&lt;&gt;"Serviço",AND(AUTOEVENTO="Manual",$M28=$A$15),$M28&gt;(ROW(PLE.lastrow)-ROW(PLE.firstrow))),0,
           IF(OFFSET(PLE!$G$15,$M28-$A$15,BF$13)="",10^12,OFFSET(PLE!$G$15,$M28-$A$15,BF$13)))</f>
        <v>0</v>
      </c>
      <c r="BG28" s="172" cm="1">
        <f t="array" aca="1" ref="BG28" ca="1">IF(OR($D28&lt;&gt;"Serviço",AND(AUTOEVENTO="Manual",$M28=$A$15),$M28&gt;(ROW(PLE.lastrow)-ROW(PLE.firstrow))),0,
           IF(OFFSET(PLE!$G$15,$M28-$A$15,BG$13)="",10^12,OFFSET(PLE!$G$15,$M28-$A$15,BG$13)))</f>
        <v>0</v>
      </c>
    </row>
    <row r="29" spans="1:59" ht="38.25" x14ac:dyDescent="0.2">
      <c r="A29" s="7" t="str">
        <f t="shared" ca="1" si="8"/>
        <v>13</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178.64</v>
      </c>
      <c r="I29" s="468" t="s">
        <v>1044</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DEMOLIÇÕES E REMOÇÕES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5.5" x14ac:dyDescent="0.2">
      <c r="A30" s="7" t="str">
        <f ca="1">IFERROR(IF(AUTOEVENTO="Manual",IF(K30&lt;&gt;"",MIN(VALUE(LEFT(K30,FIND(".",K30)-1)),COUNTA(EVENTOS.Lista)),0),IF(OR($B30&gt;AUTOEVENTO,$B30="S",$B30=0),SUBSTITUTE(OFFSET($A30,-1,0),IF($D30="Serviço",".",""),""),$L30&amp;".")),0)</f>
        <v>13</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5</v>
      </c>
      <c r="I30" s="468" t="s">
        <v>1045</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DEMOLIÇÕES E REMOÇÕES</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8"/>
        <v>13</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5</v>
      </c>
      <c r="I31" s="468" t="s">
        <v>1046</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DEMOLIÇÕES E REMOÇÕES</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12.75" x14ac:dyDescent="0.2">
      <c r="A32" s="7" t="str">
        <f t="shared" ca="1" si="8"/>
        <v>13</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6</v>
      </c>
      <c r="I32" s="468" t="s">
        <v>1069</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DEMOLIÇÕES E REMOÇÕES</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51" x14ac:dyDescent="0.2">
      <c r="A33" s="7" t="str">
        <f t="shared" ca="1" si="8"/>
        <v>13</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21</v>
      </c>
      <c r="I33" s="468" t="s">
        <v>1047</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DEMOLIÇÕES E REMOÇÕES</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38.25" x14ac:dyDescent="0.2">
      <c r="A34" s="7" t="str">
        <f t="shared" ca="1" si="8"/>
        <v>13</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420</v>
      </c>
      <c r="I34" s="468" t="s">
        <v>1048</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DEMOLIÇÕES E REMOÇÕES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12.75" x14ac:dyDescent="0.2">
      <c r="A35" s="7" t="str">
        <f t="shared" ca="1" si="8"/>
        <v>20.</v>
      </c>
      <c r="B35" s="7">
        <f ca="1">OFFSET(ORÇAMENTO!C$15,$L35,0)</f>
        <v>1</v>
      </c>
      <c r="C35" s="7" t="str">
        <f ca="1">OFFSET(ORÇAMENTO!L$15,$L35,0)</f>
        <v>F</v>
      </c>
      <c r="D35" s="116" t="str">
        <f ca="1">OFFSET(ORÇAMENTO!N$15,$L35,0)</f>
        <v>Meta</v>
      </c>
      <c r="E35" s="117" t="str">
        <f ca="1">OFFSET(ORÇAMENTO!O$15,$L35,0)</f>
        <v>3.</v>
      </c>
      <c r="F35" s="163" t="str">
        <f ca="1">OFFSET(ORÇAMENTO!R$15,$L35,0)</f>
        <v>MOVIMENTAÇÃO DE TERRA</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ht="12.75" x14ac:dyDescent="0.2">
      <c r="A36" s="7" t="str">
        <f ca="1">IFERROR(IF(AUTOEVENTO="Manual",IF(K36&lt;&gt;"",MIN(VALUE(LEFT(K36,FIND(".",K36)-1)),COUNTA(EVENTOS.Lista)),0),IF(OR($B36&gt;AUTOEVENTO,$B36="S",$B36=0),SUBSTITUTE(OFFSET($A36,-1,0),IF($D36="Serviço",".",""),""),$L36&amp;".")),0)</f>
        <v>21.</v>
      </c>
      <c r="B36" s="7">
        <f ca="1">OFFSET(ORÇAMENTO!C$15,$L36,0)</f>
        <v>2</v>
      </c>
      <c r="C36" s="7" t="str">
        <f ca="1">OFFSET(ORÇAMENTO!L$15,$L36,0)</f>
        <v>F</v>
      </c>
      <c r="D36" s="116" t="str">
        <f ca="1">OFFSET(ORÇAMENTO!N$15,$L36,0)</f>
        <v>Nível 2</v>
      </c>
      <c r="E36" s="117" t="str">
        <f ca="1">OFFSET(ORÇAMENTO!O$15,$L36,0)</f>
        <v>3.1.</v>
      </c>
      <c r="F36" s="163" t="str">
        <f ca="1">OFFSET(ORÇAMENTO!R$15,$L36,0)</f>
        <v>CORTA RIO</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ca="1">OFFSET(L36,-1,0)+1</f>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cm="1">
        <f t="array" aca="1" ref="AX36" ca="1">IF(OR($D36&lt;&gt;"Serviço",AND(AUTOEVENTO="Manual",$M36=$A$15),$M36&gt;(ROW(PLE.lastrow)-ROW(PLE.firstrow))),0,
           IF(OFFSET(PLE!$G$15,$M36-$A$15,AX$13)="",10^12,OFFSET(PLE!$G$15,$M36-$A$15,AX$13)))</f>
        <v>0</v>
      </c>
      <c r="AY36" s="172" cm="1">
        <f t="array" aca="1" ref="AY36" ca="1">IF(OR($D36&lt;&gt;"Serviço",AND(AUTOEVENTO="Manual",$M36=$A$15),$M36&gt;(ROW(PLE.lastrow)-ROW(PLE.firstrow))),0,
           IF(OFFSET(PLE!$G$15,$M36-$A$15,AY$13)="",10^12,OFFSET(PLE!$G$15,$M36-$A$15,AY$13)))</f>
        <v>0</v>
      </c>
      <c r="AZ36" s="172" cm="1">
        <f t="array" aca="1" ref="AZ36" ca="1">IF(OR($D36&lt;&gt;"Serviço",AND(AUTOEVENTO="Manual",$M36=$A$15),$M36&gt;(ROW(PLE.lastrow)-ROW(PLE.firstrow))),0,
           IF(OFFSET(PLE!$G$15,$M36-$A$15,AZ$13)="",10^12,OFFSET(PLE!$G$15,$M36-$A$15,AZ$13)))</f>
        <v>0</v>
      </c>
      <c r="BA36" s="172" cm="1">
        <f t="array" aca="1" ref="BA36" ca="1">IF(OR($D36&lt;&gt;"Serviço",AND(AUTOEVENTO="Manual",$M36=$A$15),$M36&gt;(ROW(PLE.lastrow)-ROW(PLE.firstrow))),0,
           IF(OFFSET(PLE!$G$15,$M36-$A$15,BA$13)="",10^12,OFFSET(PLE!$G$15,$M36-$A$15,BA$13)))</f>
        <v>0</v>
      </c>
      <c r="BB36" s="172" cm="1">
        <f t="array" aca="1" ref="BB36" ca="1">IF(OR($D36&lt;&gt;"Serviço",AND(AUTOEVENTO="Manual",$M36=$A$15),$M36&gt;(ROW(PLE.lastrow)-ROW(PLE.firstrow))),0,
           IF(OFFSET(PLE!$G$15,$M36-$A$15,BB$13)="",10^12,OFFSET(PLE!$G$15,$M36-$A$15,BB$13)))</f>
        <v>0</v>
      </c>
      <c r="BC36" s="172" cm="1">
        <f t="array" aca="1" ref="BC36" ca="1">IF(OR($D36&lt;&gt;"Serviço",AND(AUTOEVENTO="Manual",$M36=$A$15),$M36&gt;(ROW(PLE.lastrow)-ROW(PLE.firstrow))),0,
           IF(OFFSET(PLE!$G$15,$M36-$A$15,BC$13)="",10^12,OFFSET(PLE!$G$15,$M36-$A$15,BC$13)))</f>
        <v>0</v>
      </c>
      <c r="BD36" s="172" cm="1">
        <f t="array" aca="1" ref="BD36" ca="1">IF(OR($D36&lt;&gt;"Serviço",AND(AUTOEVENTO="Manual",$M36=$A$15),$M36&gt;(ROW(PLE.lastrow)-ROW(PLE.firstrow))),0,
           IF(OFFSET(PLE!$G$15,$M36-$A$15,BD$13)="",10^12,OFFSET(PLE!$G$15,$M36-$A$15,BD$13)))</f>
        <v>0</v>
      </c>
      <c r="BE36" s="172" cm="1">
        <f t="array" aca="1" ref="BE36" ca="1">IF(OR($D36&lt;&gt;"Serviço",AND(AUTOEVENTO="Manual",$M36=$A$15),$M36&gt;(ROW(PLE.lastrow)-ROW(PLE.firstrow))),0,
           IF(OFFSET(PLE!$G$15,$M36-$A$15,BE$13)="",10^12,OFFSET(PLE!$G$15,$M36-$A$15,BE$13)))</f>
        <v>0</v>
      </c>
      <c r="BF36" s="172" cm="1">
        <f t="array" aca="1" ref="BF36" ca="1">IF(OR($D36&lt;&gt;"Serviço",AND(AUTOEVENTO="Manual",$M36=$A$15),$M36&gt;(ROW(PLE.lastrow)-ROW(PLE.firstrow))),0,
           IF(OFFSET(PLE!$G$15,$M36-$A$15,BF$13)="",10^12,OFFSET(PLE!$G$15,$M36-$A$15,BF$13)))</f>
        <v>0</v>
      </c>
      <c r="BG36" s="172" cm="1">
        <f t="array" aca="1" ref="BG36" ca="1">IF(OR($D36&lt;&gt;"Serviço",AND(AUTOEVENTO="Manual",$M36=$A$15),$M36&gt;(ROW(PLE.lastrow)-ROW(PLE.firstrow))),0,
           IF(OFFSET(PLE!$G$15,$M36-$A$15,BG$13)="",10^12,OFFSET(PLE!$G$15,$M36-$A$15,BG$13)))</f>
        <v>0</v>
      </c>
    </row>
    <row r="37" spans="1:59" ht="51" x14ac:dyDescent="0.2">
      <c r="A37" s="7" t="str">
        <f ca="1">IFERROR(IF(AUTOEVENTO="Manual",IF(K37&lt;&gt;"",MIN(VALUE(LEFT(K37,FIND(".",K37)-1)),COUNTA(EVENTOS.Lista)),0),IF(OR($B37&gt;AUTOEVENTO,$B37="S",$B37=0),SUBSTITUTE(OFFSET($A37,-1,0),IF($D37="Serviço",".",""),""),$L37&amp;".")),0)</f>
        <v>21</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96</v>
      </c>
      <c r="I37" s="468" t="s">
        <v>1049</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ref="L37:L38" ca="1" si="10">OFFSET(L37,-1,0)+1</f>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CORTA RIO</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51" x14ac:dyDescent="0.2">
      <c r="A38" s="7" t="str">
        <f ca="1">IFERROR(IF(AUTOEVENTO="Manual",IF(K38&lt;&gt;"",MIN(VALUE(LEFT(K38,FIND(".",K38)-1)),COUNTA(EVENTOS.Lista)),0),IF(OR($B38&gt;AUTOEVENTO,$B38="S",$B38=0),SUBSTITUTE(OFFSET($A38,-1,0),IF($D38="Serviço",".",""),""),$L38&amp;".")),0)</f>
        <v>21</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96</v>
      </c>
      <c r="I38" s="468" t="s">
        <v>1050</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10"/>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CORTA RIO</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12.75" x14ac:dyDescent="0.2">
      <c r="A39" s="7" t="str">
        <f t="shared" ca="1" si="8"/>
        <v>24.</v>
      </c>
      <c r="B39" s="7">
        <f ca="1">OFFSET(ORÇAMENTO!C$15,$L39,0)</f>
        <v>2</v>
      </c>
      <c r="C39" s="7" t="str">
        <f ca="1">OFFSET(ORÇAMENTO!L$15,$L39,0)</f>
        <v>F</v>
      </c>
      <c r="D39" s="116" t="str">
        <f ca="1">OFFSET(ORÇAMENTO!N$15,$L39,0)</f>
        <v>Nível 2</v>
      </c>
      <c r="E39" s="117" t="str">
        <f ca="1">OFFSET(ORÇAMENTO!O$15,$L39,0)</f>
        <v>3.2.</v>
      </c>
      <c r="F39" s="163" t="str">
        <f ca="1">OFFSET(ORÇAMENTO!R$15,$L39,0)</f>
        <v>MOVIMENTAÇÃO DE TERRA</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cm="1">
        <f t="array" aca="1" ref="AX39" ca="1">IF(OR($D39&lt;&gt;"Serviço",AND(AUTOEVENTO="Manual",$M39=$A$15),$M39&gt;(ROW(PLE.lastrow)-ROW(PLE.firstrow))),0,
           IF(OFFSET(PLE!$G$15,$M39-$A$15,AX$13)="",10^12,OFFSET(PLE!$G$15,$M39-$A$15,AX$13)))</f>
        <v>0</v>
      </c>
      <c r="AY39" s="172" cm="1">
        <f t="array" aca="1" ref="AY39" ca="1">IF(OR($D39&lt;&gt;"Serviço",AND(AUTOEVENTO="Manual",$M39=$A$15),$M39&gt;(ROW(PLE.lastrow)-ROW(PLE.firstrow))),0,
           IF(OFFSET(PLE!$G$15,$M39-$A$15,AY$13)="",10^12,OFFSET(PLE!$G$15,$M39-$A$15,AY$13)))</f>
        <v>0</v>
      </c>
      <c r="AZ39" s="172" cm="1">
        <f t="array" aca="1" ref="AZ39" ca="1">IF(OR($D39&lt;&gt;"Serviço",AND(AUTOEVENTO="Manual",$M39=$A$15),$M39&gt;(ROW(PLE.lastrow)-ROW(PLE.firstrow))),0,
           IF(OFFSET(PLE!$G$15,$M39-$A$15,AZ$13)="",10^12,OFFSET(PLE!$G$15,$M39-$A$15,AZ$13)))</f>
        <v>0</v>
      </c>
      <c r="BA39" s="172" cm="1">
        <f t="array" aca="1" ref="BA39" ca="1">IF(OR($D39&lt;&gt;"Serviço",AND(AUTOEVENTO="Manual",$M39=$A$15),$M39&gt;(ROW(PLE.lastrow)-ROW(PLE.firstrow))),0,
           IF(OFFSET(PLE!$G$15,$M39-$A$15,BA$13)="",10^12,OFFSET(PLE!$G$15,$M39-$A$15,BA$13)))</f>
        <v>0</v>
      </c>
      <c r="BB39" s="172" cm="1">
        <f t="array" aca="1" ref="BB39" ca="1">IF(OR($D39&lt;&gt;"Serviço",AND(AUTOEVENTO="Manual",$M39=$A$15),$M39&gt;(ROW(PLE.lastrow)-ROW(PLE.firstrow))),0,
           IF(OFFSET(PLE!$G$15,$M39-$A$15,BB$13)="",10^12,OFFSET(PLE!$G$15,$M39-$A$15,BB$13)))</f>
        <v>0</v>
      </c>
      <c r="BC39" s="172" cm="1">
        <f t="array" aca="1" ref="BC39" ca="1">IF(OR($D39&lt;&gt;"Serviço",AND(AUTOEVENTO="Manual",$M39=$A$15),$M39&gt;(ROW(PLE.lastrow)-ROW(PLE.firstrow))),0,
           IF(OFFSET(PLE!$G$15,$M39-$A$15,BC$13)="",10^12,OFFSET(PLE!$G$15,$M39-$A$15,BC$13)))</f>
        <v>0</v>
      </c>
      <c r="BD39" s="172" cm="1">
        <f t="array" aca="1" ref="BD39" ca="1">IF(OR($D39&lt;&gt;"Serviço",AND(AUTOEVENTO="Manual",$M39=$A$15),$M39&gt;(ROW(PLE.lastrow)-ROW(PLE.firstrow))),0,
           IF(OFFSET(PLE!$G$15,$M39-$A$15,BD$13)="",10^12,OFFSET(PLE!$G$15,$M39-$A$15,BD$13)))</f>
        <v>0</v>
      </c>
      <c r="BE39" s="172" cm="1">
        <f t="array" aca="1" ref="BE39" ca="1">IF(OR($D39&lt;&gt;"Serviço",AND(AUTOEVENTO="Manual",$M39=$A$15),$M39&gt;(ROW(PLE.lastrow)-ROW(PLE.firstrow))),0,
           IF(OFFSET(PLE!$G$15,$M39-$A$15,BE$13)="",10^12,OFFSET(PLE!$G$15,$M39-$A$15,BE$13)))</f>
        <v>0</v>
      </c>
      <c r="BF39" s="172" cm="1">
        <f t="array" aca="1" ref="BF39" ca="1">IF(OR($D39&lt;&gt;"Serviço",AND(AUTOEVENTO="Manual",$M39=$A$15),$M39&gt;(ROW(PLE.lastrow)-ROW(PLE.firstrow))),0,
           IF(OFFSET(PLE!$G$15,$M39-$A$15,BF$13)="",10^12,OFFSET(PLE!$G$15,$M39-$A$15,BF$13)))</f>
        <v>0</v>
      </c>
      <c r="BG39" s="172" cm="1">
        <f t="array" aca="1" ref="BG39" ca="1">IF(OR($D39&lt;&gt;"Serviço",AND(AUTOEVENTO="Manual",$M39=$A$15),$M39&gt;(ROW(PLE.lastrow)-ROW(PLE.firstrow))),0,
           IF(OFFSET(PLE!$G$15,$M39-$A$15,BG$13)="",10^12,OFFSET(PLE!$G$15,$M39-$A$15,BG$13)))</f>
        <v>0</v>
      </c>
    </row>
    <row r="40" spans="1:59" ht="76.5" x14ac:dyDescent="0.2">
      <c r="A40" s="7" t="str">
        <f t="shared" ca="1" si="8"/>
        <v>24</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199.5</v>
      </c>
      <c r="I40" s="468" t="s">
        <v>1087</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f ca="1">IF($D40&lt;&gt;"Serviço","",
          IF(AUTOEVENTO="manual",$A40,
                IF(ISERROR(MATCH($A40,$A$15:OFFSET($A40,-1,0),0)),MAX($M$15:OFFSET(M40,-1,0))+1,
                      INDEX($M$15:OFFSET(M40,-1,0),MATCH($A40,$A$15:OFFSET($A40,-1,0),0)))))</f>
        <v>5</v>
      </c>
      <c r="N40" s="167" t="str">
        <f ca="1">IF($D40&lt;&gt;"Serviço","",
         IF(AUTOEVENTO="Manual",
                IF($A40=0,"&lt;-- defina o número do agrupador",
                       OFFSET(EVENTOS!$D$15,$A40-$A$15,0)),
                OFFSET($F$15,$A40,0)))</f>
        <v>MOVIMENTAÇÃO DE TERRA</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63.75" x14ac:dyDescent="0.2">
      <c r="A41" s="7" t="str">
        <f ca="1">IFERROR(IF(AUTOEVENTO="Manual",IF(K41&lt;&gt;"",MIN(VALUE(LEFT(K41,FIND(".",K41)-1)),COUNTA(EVENTOS.Lista)),0),IF(OR($B41&gt;AUTOEVENTO,$B41="S",$B41=0),SUBSTITUTE(OFFSET($A41,-1,0),IF($D41="Serviço",".",""),""),$L41&amp;".")),0)</f>
        <v>24</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82.11</v>
      </c>
      <c r="I41" s="468" t="s">
        <v>1051</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ca="1">OFFSET(L41,-1,0)+1</f>
        <v>26</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MOVIMENTAÇÃO DE TERRA</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51" x14ac:dyDescent="0.2">
      <c r="A42" s="7" t="str">
        <f ca="1">IFERROR(IF(AUTOEVENTO="Manual",IF(K42&lt;&gt;"",MIN(VALUE(LEFT(K42,FIND(".",K42)-1)),COUNTA(EVENTOS.Lista)),0),IF(OR($B42&gt;AUTOEVENTO,$B42="S",$B42=0),SUBSTITUTE(OFFSET($A42,-1,0),IF($D42="Serviço",".",""),""),$L42&amp;".")),0)</f>
        <v>24</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237.03</v>
      </c>
      <c r="I42" s="468" t="s">
        <v>1088</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ca="1">OFFSET(L42,-1,0)+1</f>
        <v>27</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MOVIMENTAÇÃO DE TERRA</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38.25" x14ac:dyDescent="0.2">
      <c r="A43" s="7" t="str">
        <f ca="1">IFERROR(IF(AUTOEVENTO="Manual",IF(K43&lt;&gt;"",MIN(VALUE(LEFT(K43,FIND(".",K43)-1)),COUNTA(EVENTOS.Lista)),0),IF(OR($B43&gt;AUTOEVENTO,$B43="S",$B43=0),SUBSTITUTE(OFFSET($A43,-1,0),IF($D43="Serviço",".",""),""),$L43&amp;".")),0)</f>
        <v>24</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37.53</v>
      </c>
      <c r="I43" s="468" t="s">
        <v>1065</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ca="1">OFFSET(L43,-1,0)+1</f>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MOVIMENTAÇÃO DE TERRA</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51" x14ac:dyDescent="0.2">
      <c r="A44" s="7" t="str">
        <f t="shared" ca="1" si="8"/>
        <v>24</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119.64</v>
      </c>
      <c r="I44" s="468" t="s">
        <v>1052</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MOVIMENTAÇÃO DE TERRA</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38.25" x14ac:dyDescent="0.2">
      <c r="A45" s="7" t="str">
        <f ca="1">IFERROR(IF(AUTOEVENTO="Manual",IF(K45&lt;&gt;"",MIN(VALUE(LEFT(K45,FIND(".",K45)-1)),COUNTA(EVENTOS.Lista)),0),IF(OR($B45&gt;AUTOEVENTO,$B45="S",$B45=0),SUBSTITUTE(OFFSET($A45,-1,0),IF($D45="Serviço",".",""),""),$L45&amp;".")),0)</f>
        <v>24</v>
      </c>
      <c r="B45" s="7" t="str">
        <f ca="1">OFFSET(ORÇAMENTO!C$15,$L45,0)</f>
        <v>S</v>
      </c>
      <c r="C45" s="7" t="str">
        <f ca="1">OFFSET(ORÇAMENTO!L$15,$L45,0)</f>
        <v/>
      </c>
      <c r="D45" s="116" t="str">
        <f ca="1">OFFSET(ORÇAMENTO!N$15,$L45,0)</f>
        <v>Serviço</v>
      </c>
      <c r="E45" s="117" t="str">
        <f ca="1">OFFSET(ORÇAMENTO!O$15,$L45,0)</f>
        <v>-</v>
      </c>
      <c r="F45" s="163" t="str">
        <f ca="1">OFFSET(ORÇAMENTO!R$15,$L45,0)</f>
        <v>(Código não identificado nas referências)</v>
      </c>
      <c r="G45" s="164" t="str">
        <f ca="1">IF($D45&lt;&gt;"Serviço","",OFFSET(ORÇAMENTO!S$15,$L45,0))</f>
        <v>-</v>
      </c>
      <c r="H45" s="122" cm="1">
        <f t="array" aca="1" ref="H45" ca="1">IF($D45&lt;&gt;"Serviço",0,IF(ACOMPANHAMENTO="BM",ROUND(OFFSET(ORÇAMENTO!AJ$15,$L45,0),15-13*ORÇAMENTO!$AF$7),IF(IFERROR(CÁLCULO.FrentesPreenchidas,0)=0,0,SUM(ROUND(OFFSET($P45,0,1,1,CÁLCULO.FrentesPreenchidas),15-13*ORÇAMENTO!$AF$7)))))</f>
        <v>1196.4000000000001</v>
      </c>
      <c r="I45" s="468" t="s">
        <v>1048</v>
      </c>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ca="1">OFFSET(L45,-1,0)+1</f>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MOVIMENTAÇÃO DE TERRA</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12.75" x14ac:dyDescent="0.2">
      <c r="A46" s="7" t="str">
        <f t="shared" ca="1" si="8"/>
        <v>31.</v>
      </c>
      <c r="B46" s="7">
        <f ca="1">OFFSET(ORÇAMENTO!C$15,$L46,0)</f>
        <v>1</v>
      </c>
      <c r="C46" s="7" t="str">
        <f ca="1">OFFSET(ORÇAMENTO!L$15,$L46,0)</f>
        <v>F</v>
      </c>
      <c r="D46" s="116" t="str">
        <f ca="1">OFFSET(ORÇAMENTO!N$15,$L46,0)</f>
        <v>Meta</v>
      </c>
      <c r="E46" s="117" t="str">
        <f ca="1">OFFSET(ORÇAMENTO!O$15,$L46,0)</f>
        <v>4.</v>
      </c>
      <c r="F46" s="163" t="str">
        <f ca="1">OFFSET(ORÇAMENTO!R$15,$L46,0)</f>
        <v>FUNDAÇÕES</v>
      </c>
      <c r="G46" s="164" t="str">
        <f ca="1">IF($D46&lt;&gt;"Serviço","",OFFSET(ORÇAMENTO!S$15,$L46,0))</f>
        <v/>
      </c>
      <c r="H46" s="122" cm="1">
        <f t="array" aca="1" ref="H46" ca="1">IF($D46&lt;&gt;"Serviço",0,IF(ACOMPANHAMENTO="BM",ROUND(OFFSET(ORÇAMENTO!AJ$15,$L46,0),15-13*ORÇAMENTO!$AF$7),IF(IFERROR(CÁLCULO.FrentesPreenchidas,0)=0,0,SUM(ROUND(OFFSET($P46,0,1,1,CÁLCULO.FrentesPreenchidas),15-13*ORÇAMENTO!$AF$7)))))</f>
        <v>0</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t="str">
        <f ca="1">IF($D46&lt;&gt;"Serviço","",
          IF(AUTOEVENTO="manual",$A46,
                IF(ISERROR(MATCH($A46,$A$15:OFFSET($A46,-1,0),0)),MAX($M$15:OFFSET(M46,-1,0))+1,
                      INDEX($M$15:OFFSET(M46,-1,0),MATCH($A46,$A$15:OFFSET($A46,-1,0),0)))))</f>
        <v/>
      </c>
      <c r="N46" s="167" t="str">
        <f ca="1">IF($D46&lt;&gt;"Serviço","",
         IF(AUTOEVENTO="Manual",
                IF($A46=0,"&lt;-- defina o número do agrupador",
                       OFFSET(EVENTOS!$D$15,$A46-$A$15,0)),
                OFFSET($F$15,$A46,0)))</f>
        <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0</v>
      </c>
      <c r="AN46" s="171">
        <f ca="1">IF(OR($D46&lt;&gt;"Serviço",AND(AUTOEVENTO="Manual",$M46=$A$15)),0,
         IF(OFFSET(CRONOPLE!$F$15,$M46-$A$15,AN$13)=0,10^12,OFFSET(CRONOPLE!$F$15,$M46-$A$15,AN$13)))</f>
        <v>0</v>
      </c>
      <c r="AO46" s="171">
        <f ca="1">IF(OR($D46&lt;&gt;"Serviço",AND(AUTOEVENTO="Manual",$M46=$A$15)),0,
         IF(OFFSET(CRONOPLE!$F$15,$M46-$A$15,AO$13)=0,10^12,OFFSET(CRONOPLE!$F$15,$M46-$A$15,AO$13)))</f>
        <v>0</v>
      </c>
      <c r="AP46" s="171">
        <f ca="1">IF(OR($D46&lt;&gt;"Serviço",AND(AUTOEVENTO="Manual",$M46=$A$15)),0,
         IF(OFFSET(CRONOPLE!$F$15,$M46-$A$15,AP$13)=0,10^12,OFFSET(CRONOPLE!$F$15,$M46-$A$15,AP$13)))</f>
        <v>0</v>
      </c>
      <c r="AQ46" s="171">
        <f ca="1">IF(OR($D46&lt;&gt;"Serviço",AND(AUTOEVENTO="Manual",$M46=$A$15)),0,
         IF(OFFSET(CRONOPLE!$F$15,$M46-$A$15,AQ$13)=0,10^12,OFFSET(CRONOPLE!$F$15,$M46-$A$15,AQ$13)))</f>
        <v>0</v>
      </c>
      <c r="AR46" s="171">
        <f ca="1">IF(OR($D46&lt;&gt;"Serviço",AND(AUTOEVENTO="Manual",$M46=$A$15)),0,
         IF(OFFSET(CRONOPLE!$F$15,$M46-$A$15,AR$13)=0,10^12,OFFSET(CRONOPLE!$F$15,$M46-$A$15,AR$13)))</f>
        <v>0</v>
      </c>
      <c r="AS46" s="171">
        <f ca="1">IF(OR($D46&lt;&gt;"Serviço",AND(AUTOEVENTO="Manual",$M46=$A$15)),0,
         IF(OFFSET(CRONOPLE!$F$15,$M46-$A$15,AS$13)=0,10^12,OFFSET(CRONOPLE!$F$15,$M46-$A$15,AS$13)))</f>
        <v>0</v>
      </c>
      <c r="AT46" s="171">
        <f ca="1">IF(OR($D46&lt;&gt;"Serviço",AND(AUTOEVENTO="Manual",$M46=$A$15)),0,
         IF(OFFSET(CRONOPLE!$F$15,$M46-$A$15,AT$13)=0,10^12,OFFSET(CRONOPLE!$F$15,$M46-$A$15,AT$13)))</f>
        <v>0</v>
      </c>
      <c r="AU46" s="171">
        <f ca="1">IF(OR($D46&lt;&gt;"Serviço",AND(AUTOEVENTO="Manual",$M46=$A$15)),0,
         IF(OFFSET(CRONOPLE!$F$15,$M46-$A$15,AU$13)=0,10^12,OFFSET(CRONOPLE!$F$15,$M46-$A$15,AU$13)))</f>
        <v>0</v>
      </c>
      <c r="AV46" s="171">
        <f ca="1">IF(OR($D46&lt;&gt;"Serviço",AND(AUTOEVENTO="Manual",$M46=$A$15)),0,
         IF(OFFSET(CRONOPLE!$F$15,$M46-$A$15,AV$13)=0,10^12,OFFSET(CRONOPLE!$F$15,$M46-$A$15,AV$13)))</f>
        <v>0</v>
      </c>
      <c r="AX46" s="172" cm="1">
        <f t="array" aca="1" ref="AX46" ca="1">IF(OR($D46&lt;&gt;"Serviço",AND(AUTOEVENTO="Manual",$M46=$A$15),$M46&gt;(ROW(PLE.lastrow)-ROW(PLE.firstrow))),0,
           IF(OFFSET(PLE!$G$15,$M46-$A$15,AX$13)="",10^12,OFFSET(PLE!$G$15,$M46-$A$15,AX$13)))</f>
        <v>0</v>
      </c>
      <c r="AY46" s="172" cm="1">
        <f t="array" aca="1" ref="AY46" ca="1">IF(OR($D46&lt;&gt;"Serviço",AND(AUTOEVENTO="Manual",$M46=$A$15),$M46&gt;(ROW(PLE.lastrow)-ROW(PLE.firstrow))),0,
           IF(OFFSET(PLE!$G$15,$M46-$A$15,AY$13)="",10^12,OFFSET(PLE!$G$15,$M46-$A$15,AY$13)))</f>
        <v>0</v>
      </c>
      <c r="AZ46" s="172" cm="1">
        <f t="array" aca="1" ref="AZ46" ca="1">IF(OR($D46&lt;&gt;"Serviço",AND(AUTOEVENTO="Manual",$M46=$A$15),$M46&gt;(ROW(PLE.lastrow)-ROW(PLE.firstrow))),0,
           IF(OFFSET(PLE!$G$15,$M46-$A$15,AZ$13)="",10^12,OFFSET(PLE!$G$15,$M46-$A$15,AZ$13)))</f>
        <v>0</v>
      </c>
      <c r="BA46" s="172" cm="1">
        <f t="array" aca="1" ref="BA46" ca="1">IF(OR($D46&lt;&gt;"Serviço",AND(AUTOEVENTO="Manual",$M46=$A$15),$M46&gt;(ROW(PLE.lastrow)-ROW(PLE.firstrow))),0,
           IF(OFFSET(PLE!$G$15,$M46-$A$15,BA$13)="",10^12,OFFSET(PLE!$G$15,$M46-$A$15,BA$13)))</f>
        <v>0</v>
      </c>
      <c r="BB46" s="172" cm="1">
        <f t="array" aca="1" ref="BB46" ca="1">IF(OR($D46&lt;&gt;"Serviço",AND(AUTOEVENTO="Manual",$M46=$A$15),$M46&gt;(ROW(PLE.lastrow)-ROW(PLE.firstrow))),0,
           IF(OFFSET(PLE!$G$15,$M46-$A$15,BB$13)="",10^12,OFFSET(PLE!$G$15,$M46-$A$15,BB$13)))</f>
        <v>0</v>
      </c>
      <c r="BC46" s="172" cm="1">
        <f t="array" aca="1" ref="BC46" ca="1">IF(OR($D46&lt;&gt;"Serviço",AND(AUTOEVENTO="Manual",$M46=$A$15),$M46&gt;(ROW(PLE.lastrow)-ROW(PLE.firstrow))),0,
           IF(OFFSET(PLE!$G$15,$M46-$A$15,BC$13)="",10^12,OFFSET(PLE!$G$15,$M46-$A$15,BC$13)))</f>
        <v>0</v>
      </c>
      <c r="BD46" s="172" cm="1">
        <f t="array" aca="1" ref="BD46" ca="1">IF(OR($D46&lt;&gt;"Serviço",AND(AUTOEVENTO="Manual",$M46=$A$15),$M46&gt;(ROW(PLE.lastrow)-ROW(PLE.firstrow))),0,
           IF(OFFSET(PLE!$G$15,$M46-$A$15,BD$13)="",10^12,OFFSET(PLE!$G$15,$M46-$A$15,BD$13)))</f>
        <v>0</v>
      </c>
      <c r="BE46" s="172" cm="1">
        <f t="array" aca="1" ref="BE46" ca="1">IF(OR($D46&lt;&gt;"Serviço",AND(AUTOEVENTO="Manual",$M46=$A$15),$M46&gt;(ROW(PLE.lastrow)-ROW(PLE.firstrow))),0,
           IF(OFFSET(PLE!$G$15,$M46-$A$15,BE$13)="",10^12,OFFSET(PLE!$G$15,$M46-$A$15,BE$13)))</f>
        <v>0</v>
      </c>
      <c r="BF46" s="172" cm="1">
        <f t="array" aca="1" ref="BF46" ca="1">IF(OR($D46&lt;&gt;"Serviço",AND(AUTOEVENTO="Manual",$M46=$A$15),$M46&gt;(ROW(PLE.lastrow)-ROW(PLE.firstrow))),0,
           IF(OFFSET(PLE!$G$15,$M46-$A$15,BF$13)="",10^12,OFFSET(PLE!$G$15,$M46-$A$15,BF$13)))</f>
        <v>0</v>
      </c>
      <c r="BG46" s="172" cm="1">
        <f t="array" aca="1" ref="BG46" ca="1">IF(OR($D46&lt;&gt;"Serviço",AND(AUTOEVENTO="Manual",$M46=$A$15),$M46&gt;(ROW(PLE.lastrow)-ROW(PLE.firstrow))),0,
           IF(OFFSET(PLE!$G$15,$M46-$A$15,BG$13)="",10^12,OFFSET(PLE!$G$15,$M46-$A$15,BG$13)))</f>
        <v>0</v>
      </c>
    </row>
    <row r="47" spans="1:59" ht="12.75" x14ac:dyDescent="0.2">
      <c r="A47" s="7" t="str">
        <f t="shared" ca="1" si="8"/>
        <v>32.</v>
      </c>
      <c r="B47" s="7">
        <f ca="1">OFFSET(ORÇAMENTO!C$15,$L47,0)</f>
        <v>2</v>
      </c>
      <c r="C47" s="7" t="str">
        <f ca="1">OFFSET(ORÇAMENTO!L$15,$L47,0)</f>
        <v>F</v>
      </c>
      <c r="D47" s="116" t="str">
        <f ca="1">OFFSET(ORÇAMENTO!N$15,$L47,0)</f>
        <v>Nível 2</v>
      </c>
      <c r="E47" s="117" t="str">
        <f ca="1">OFFSET(ORÇAMENTO!O$15,$L47,0)</f>
        <v>4.1.</v>
      </c>
      <c r="F47" s="163" t="str">
        <f ca="1">OFFSET(ORÇAMENTO!R$15,$L47,0)</f>
        <v>FUNDAÇÕES</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ht="25.5" x14ac:dyDescent="0.2">
      <c r="A48" s="7" t="str">
        <f t="shared" ca="1" si="8"/>
        <v>32</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82.11</v>
      </c>
      <c r="I48" s="468" t="s">
        <v>1056</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6</v>
      </c>
      <c r="N48" s="167" t="str">
        <f ca="1">IF($D48&lt;&gt;"Serviço","",
         IF(AUTOEVENTO="Manual",
                IF($A48=0,"&lt;-- defina o número do agrupador",
                       OFFSET(EVENTOS!$D$15,$A48-$A$15,0)),
                OFFSET($F$15,$A48,0)))</f>
        <v>FUNDAÇÕES</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25.5" x14ac:dyDescent="0.2">
      <c r="A49" s="7" t="str">
        <f t="shared" ca="1" si="8"/>
        <v>32</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205.28</v>
      </c>
      <c r="I49" s="468" t="s">
        <v>1057</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6</v>
      </c>
      <c r="N49" s="167" t="str">
        <f ca="1">IF($D49&lt;&gt;"Serviço","",
         IF(AUTOEVENTO="Manual",
                IF($A49=0,"&lt;-- defina o número do agrupador",
                       OFFSET(EVENTOS!$D$15,$A49-$A$15,0)),
                OFFSET($F$15,$A49,0)))</f>
        <v>FUNDAÇÕES</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38.25" x14ac:dyDescent="0.2">
      <c r="A50" s="7" t="str">
        <f ca="1">IFERROR(IF(AUTOEVENTO="Manual",IF(K50&lt;&gt;"",MIN(VALUE(LEFT(K50,FIND(".",K50)-1)),COUNTA(EVENTOS.Lista)),0),IF(OR($B50&gt;AUTOEVENTO,$B50="S",$B50=0),SUBSTITUTE(OFFSET($A50,-1,0),IF($D50="Serviço",".",""),""),$L50&amp;".")),0)</f>
        <v>32</v>
      </c>
      <c r="B50" s="7" t="str">
        <f ca="1">OFFSET(ORÇAMENTO!C$15,$L50,0)</f>
        <v>S</v>
      </c>
      <c r="C50" s="7" t="str">
        <f ca="1">OFFSET(ORÇAMENTO!L$15,$L50,0)</f>
        <v/>
      </c>
      <c r="D50" s="116" t="str">
        <f ca="1">OFFSET(ORÇAMENTO!N$15,$L50,0)</f>
        <v>Serviço</v>
      </c>
      <c r="E50" s="117" t="str">
        <f ca="1">OFFSET(ORÇAMENTO!O$15,$L50,0)</f>
        <v>-</v>
      </c>
      <c r="F50" s="163" t="str">
        <f ca="1">OFFSET(ORÇAMENTO!R$15,$L50,0)</f>
        <v>(Código não identificado nas referências)</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1642.2</v>
      </c>
      <c r="I50" s="468" t="s">
        <v>1058</v>
      </c>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ca="1">OFFSET(L50,-1,0)+1</f>
        <v>35</v>
      </c>
      <c r="M50" s="166">
        <f ca="1">IF($D50&lt;&gt;"Serviço","",
          IF(AUTOEVENTO="manual",$A50,
                IF(ISERROR(MATCH($A50,$A$15:OFFSET($A50,-1,0),0)),MAX($M$15:OFFSET(M50,-1,0))+1,
                      INDEX($M$15:OFFSET(M50,-1,0),MATCH($A50,$A$15:OFFSET($A50,-1,0),0)))))</f>
        <v>6</v>
      </c>
      <c r="N50" s="167" t="str">
        <f ca="1">IF($D50&lt;&gt;"Serviço","",
         IF(AUTOEVENTO="Manual",
                IF($A50=0,"&lt;-- defina o número do agrupador",
                       OFFSET(EVENTOS!$D$15,$A50-$A$15,0)),
                OFFSET($F$15,$A50,0)))</f>
        <v>FUNDAÇÕES</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12.75" x14ac:dyDescent="0.2">
      <c r="A51" s="7" t="str">
        <f t="shared" ca="1" si="8"/>
        <v>36.</v>
      </c>
      <c r="B51" s="7">
        <f ca="1">OFFSET(ORÇAMENTO!C$15,$L51,0)</f>
        <v>1</v>
      </c>
      <c r="C51" s="7" t="str">
        <f ca="1">OFFSET(ORÇAMENTO!L$15,$L51,0)</f>
        <v>F</v>
      </c>
      <c r="D51" s="116" t="str">
        <f ca="1">OFFSET(ORÇAMENTO!N$15,$L51,0)</f>
        <v>Meta</v>
      </c>
      <c r="E51" s="117" t="str">
        <f ca="1">OFFSET(ORÇAMENTO!O$15,$L51,0)</f>
        <v>5.</v>
      </c>
      <c r="F51" s="163" t="str">
        <f ca="1">OFFSET(ORÇAMENTO!R$15,$L51,0)</f>
        <v>DRENAGEM PROFUNDA E SUPERFICIAL</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0</v>
      </c>
      <c r="AN51" s="171">
        <f ca="1">IF(OR($D51&lt;&gt;"Serviço",AND(AUTOEVENTO="Manual",$M51=$A$15)),0,
         IF(OFFSET(CRONOPLE!$F$15,$M51-$A$15,AN$13)=0,10^12,OFFSET(CRONOPLE!$F$15,$M51-$A$15,AN$13)))</f>
        <v>0</v>
      </c>
      <c r="AO51" s="171">
        <f ca="1">IF(OR($D51&lt;&gt;"Serviço",AND(AUTOEVENTO="Manual",$M51=$A$15)),0,
         IF(OFFSET(CRONOPLE!$F$15,$M51-$A$15,AO$13)=0,10^12,OFFSET(CRONOPLE!$F$15,$M51-$A$15,AO$13)))</f>
        <v>0</v>
      </c>
      <c r="AP51" s="171">
        <f ca="1">IF(OR($D51&lt;&gt;"Serviço",AND(AUTOEVENTO="Manual",$M51=$A$15)),0,
         IF(OFFSET(CRONOPLE!$F$15,$M51-$A$15,AP$13)=0,10^12,OFFSET(CRONOPLE!$F$15,$M51-$A$15,AP$13)))</f>
        <v>0</v>
      </c>
      <c r="AQ51" s="171">
        <f ca="1">IF(OR($D51&lt;&gt;"Serviço",AND(AUTOEVENTO="Manual",$M51=$A$15)),0,
         IF(OFFSET(CRONOPLE!$F$15,$M51-$A$15,AQ$13)=0,10^12,OFFSET(CRONOPLE!$F$15,$M51-$A$15,AQ$13)))</f>
        <v>0</v>
      </c>
      <c r="AR51" s="171">
        <f ca="1">IF(OR($D51&lt;&gt;"Serviço",AND(AUTOEVENTO="Manual",$M51=$A$15)),0,
         IF(OFFSET(CRONOPLE!$F$15,$M51-$A$15,AR$13)=0,10^12,OFFSET(CRONOPLE!$F$15,$M51-$A$15,AR$13)))</f>
        <v>0</v>
      </c>
      <c r="AS51" s="171">
        <f ca="1">IF(OR($D51&lt;&gt;"Serviço",AND(AUTOEVENTO="Manual",$M51=$A$15)),0,
         IF(OFFSET(CRONOPLE!$F$15,$M51-$A$15,AS$13)=0,10^12,OFFSET(CRONOPLE!$F$15,$M51-$A$15,AS$13)))</f>
        <v>0</v>
      </c>
      <c r="AT51" s="171">
        <f ca="1">IF(OR($D51&lt;&gt;"Serviço",AND(AUTOEVENTO="Manual",$M51=$A$15)),0,
         IF(OFFSET(CRONOPLE!$F$15,$M51-$A$15,AT$13)=0,10^12,OFFSET(CRONOPLE!$F$15,$M51-$A$15,AT$13)))</f>
        <v>0</v>
      </c>
      <c r="AU51" s="171">
        <f ca="1">IF(OR($D51&lt;&gt;"Serviço",AND(AUTOEVENTO="Manual",$M51=$A$15)),0,
         IF(OFFSET(CRONOPLE!$F$15,$M51-$A$15,AU$13)=0,10^12,OFFSET(CRONOPLE!$F$15,$M51-$A$15,AU$13)))</f>
        <v>0</v>
      </c>
      <c r="AV51" s="171">
        <f ca="1">IF(OR($D51&lt;&gt;"Serviço",AND(AUTOEVENTO="Manual",$M51=$A$15)),0,
         IF(OFFSET(CRONOPLE!$F$15,$M51-$A$15,AV$13)=0,10^12,OFFSET(CRONOPLE!$F$15,$M51-$A$15,AV$13)))</f>
        <v>0</v>
      </c>
      <c r="AX51" s="172" cm="1">
        <f t="array" aca="1" ref="AX51" ca="1">IF(OR($D51&lt;&gt;"Serviço",AND(AUTOEVENTO="Manual",$M51=$A$15),$M51&gt;(ROW(PLE.lastrow)-ROW(PLE.firstrow))),0,
           IF(OFFSET(PLE!$G$15,$M51-$A$15,AX$13)="",10^12,OFFSET(PLE!$G$15,$M51-$A$15,AX$13)))</f>
        <v>0</v>
      </c>
      <c r="AY51" s="172" cm="1">
        <f t="array" aca="1" ref="AY51" ca="1">IF(OR($D51&lt;&gt;"Serviço",AND(AUTOEVENTO="Manual",$M51=$A$15),$M51&gt;(ROW(PLE.lastrow)-ROW(PLE.firstrow))),0,
           IF(OFFSET(PLE!$G$15,$M51-$A$15,AY$13)="",10^12,OFFSET(PLE!$G$15,$M51-$A$15,AY$13)))</f>
        <v>0</v>
      </c>
      <c r="AZ51" s="172" cm="1">
        <f t="array" aca="1" ref="AZ51" ca="1">IF(OR($D51&lt;&gt;"Serviço",AND(AUTOEVENTO="Manual",$M51=$A$15),$M51&gt;(ROW(PLE.lastrow)-ROW(PLE.firstrow))),0,
           IF(OFFSET(PLE!$G$15,$M51-$A$15,AZ$13)="",10^12,OFFSET(PLE!$G$15,$M51-$A$15,AZ$13)))</f>
        <v>0</v>
      </c>
      <c r="BA51" s="172" cm="1">
        <f t="array" aca="1" ref="BA51" ca="1">IF(OR($D51&lt;&gt;"Serviço",AND(AUTOEVENTO="Manual",$M51=$A$15),$M51&gt;(ROW(PLE.lastrow)-ROW(PLE.firstrow))),0,
           IF(OFFSET(PLE!$G$15,$M51-$A$15,BA$13)="",10^12,OFFSET(PLE!$G$15,$M51-$A$15,BA$13)))</f>
        <v>0</v>
      </c>
      <c r="BB51" s="172" cm="1">
        <f t="array" aca="1" ref="BB51" ca="1">IF(OR($D51&lt;&gt;"Serviço",AND(AUTOEVENTO="Manual",$M51=$A$15),$M51&gt;(ROW(PLE.lastrow)-ROW(PLE.firstrow))),0,
           IF(OFFSET(PLE!$G$15,$M51-$A$15,BB$13)="",10^12,OFFSET(PLE!$G$15,$M51-$A$15,BB$13)))</f>
        <v>0</v>
      </c>
      <c r="BC51" s="172" cm="1">
        <f t="array" aca="1" ref="BC51" ca="1">IF(OR($D51&lt;&gt;"Serviço",AND(AUTOEVENTO="Manual",$M51=$A$15),$M51&gt;(ROW(PLE.lastrow)-ROW(PLE.firstrow))),0,
           IF(OFFSET(PLE!$G$15,$M51-$A$15,BC$13)="",10^12,OFFSET(PLE!$G$15,$M51-$A$15,BC$13)))</f>
        <v>0</v>
      </c>
      <c r="BD51" s="172" cm="1">
        <f t="array" aca="1" ref="BD51" ca="1">IF(OR($D51&lt;&gt;"Serviço",AND(AUTOEVENTO="Manual",$M51=$A$15),$M51&gt;(ROW(PLE.lastrow)-ROW(PLE.firstrow))),0,
           IF(OFFSET(PLE!$G$15,$M51-$A$15,BD$13)="",10^12,OFFSET(PLE!$G$15,$M51-$A$15,BD$13)))</f>
        <v>0</v>
      </c>
      <c r="BE51" s="172" cm="1">
        <f t="array" aca="1" ref="BE51" ca="1">IF(OR($D51&lt;&gt;"Serviço",AND(AUTOEVENTO="Manual",$M51=$A$15),$M51&gt;(ROW(PLE.lastrow)-ROW(PLE.firstrow))),0,
           IF(OFFSET(PLE!$G$15,$M51-$A$15,BE$13)="",10^12,OFFSET(PLE!$G$15,$M51-$A$15,BE$13)))</f>
        <v>0</v>
      </c>
      <c r="BF51" s="172" cm="1">
        <f t="array" aca="1" ref="BF51" ca="1">IF(OR($D51&lt;&gt;"Serviço",AND(AUTOEVENTO="Manual",$M51=$A$15),$M51&gt;(ROW(PLE.lastrow)-ROW(PLE.firstrow))),0,
           IF(OFFSET(PLE!$G$15,$M51-$A$15,BF$13)="",10^12,OFFSET(PLE!$G$15,$M51-$A$15,BF$13)))</f>
        <v>0</v>
      </c>
      <c r="BG51" s="172" cm="1">
        <f t="array" aca="1" ref="BG51" ca="1">IF(OR($D51&lt;&gt;"Serviço",AND(AUTOEVENTO="Manual",$M51=$A$15),$M51&gt;(ROW(PLE.lastrow)-ROW(PLE.firstrow))),0,
           IF(OFFSET(PLE!$G$15,$M51-$A$15,BG$13)="",10^12,OFFSET(PLE!$G$15,$M51-$A$15,BG$13)))</f>
        <v>0</v>
      </c>
    </row>
    <row r="52" spans="1:59" ht="12.75" x14ac:dyDescent="0.2">
      <c r="A52" s="7" t="str">
        <f t="shared" ca="1" si="8"/>
        <v>37.</v>
      </c>
      <c r="B52" s="7">
        <f ca="1">OFFSET(ORÇAMENTO!C$15,$L52,0)</f>
        <v>2</v>
      </c>
      <c r="C52" s="7" t="str">
        <f ca="1">OFFSET(ORÇAMENTO!L$15,$L52,0)</f>
        <v>F</v>
      </c>
      <c r="D52" s="116" t="str">
        <f ca="1">OFFSET(ORÇAMENTO!N$15,$L52,0)</f>
        <v>Nível 2</v>
      </c>
      <c r="E52" s="117" t="str">
        <f ca="1">OFFSET(ORÇAMENTO!O$15,$L52,0)</f>
        <v>5.1.</v>
      </c>
      <c r="F52" s="163" t="str">
        <f ca="1">OFFSET(ORÇAMENTO!R$15,$L52,0)</f>
        <v>ESCORAMENTO</v>
      </c>
      <c r="G52" s="164" t="str">
        <f ca="1">IF($D52&lt;&gt;"Serviço","",OFFSET(ORÇAMENTO!S$15,$L52,0))</f>
        <v/>
      </c>
      <c r="H52" s="122" cm="1">
        <f t="array" aca="1" ref="H52" ca="1">IF($D52&lt;&gt;"Serviço",0,IF(ACOMPANHAMENTO="BM",ROUND(OFFSET(ORÇAMENTO!AJ$15,$L52,0),15-13*ORÇAMENTO!$AF$7),IF(IFERROR(CÁLCULO.FrentesPreenchidas,0)=0,0,SUM(ROUND(OFFSET($P52,0,1,1,CÁLCULO.FrentesPreenchidas),15-13*ORÇAMENTO!$AF$7)))))</f>
        <v>0</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0</v>
      </c>
      <c r="AN52" s="171">
        <f ca="1">IF(OR($D52&lt;&gt;"Serviço",AND(AUTOEVENTO="Manual",$M52=$A$15)),0,
         IF(OFFSET(CRONOPLE!$F$15,$M52-$A$15,AN$13)=0,10^12,OFFSET(CRONOPLE!$F$15,$M52-$A$15,AN$13)))</f>
        <v>0</v>
      </c>
      <c r="AO52" s="171">
        <f ca="1">IF(OR($D52&lt;&gt;"Serviço",AND(AUTOEVENTO="Manual",$M52=$A$15)),0,
         IF(OFFSET(CRONOPLE!$F$15,$M52-$A$15,AO$13)=0,10^12,OFFSET(CRONOPLE!$F$15,$M52-$A$15,AO$13)))</f>
        <v>0</v>
      </c>
      <c r="AP52" s="171">
        <f ca="1">IF(OR($D52&lt;&gt;"Serviço",AND(AUTOEVENTO="Manual",$M52=$A$15)),0,
         IF(OFFSET(CRONOPLE!$F$15,$M52-$A$15,AP$13)=0,10^12,OFFSET(CRONOPLE!$F$15,$M52-$A$15,AP$13)))</f>
        <v>0</v>
      </c>
      <c r="AQ52" s="171">
        <f ca="1">IF(OR($D52&lt;&gt;"Serviço",AND(AUTOEVENTO="Manual",$M52=$A$15)),0,
         IF(OFFSET(CRONOPLE!$F$15,$M52-$A$15,AQ$13)=0,10^12,OFFSET(CRONOPLE!$F$15,$M52-$A$15,AQ$13)))</f>
        <v>0</v>
      </c>
      <c r="AR52" s="171">
        <f ca="1">IF(OR($D52&lt;&gt;"Serviço",AND(AUTOEVENTO="Manual",$M52=$A$15)),0,
         IF(OFFSET(CRONOPLE!$F$15,$M52-$A$15,AR$13)=0,10^12,OFFSET(CRONOPLE!$F$15,$M52-$A$15,AR$13)))</f>
        <v>0</v>
      </c>
      <c r="AS52" s="171">
        <f ca="1">IF(OR($D52&lt;&gt;"Serviço",AND(AUTOEVENTO="Manual",$M52=$A$15)),0,
         IF(OFFSET(CRONOPLE!$F$15,$M52-$A$15,AS$13)=0,10^12,OFFSET(CRONOPLE!$F$15,$M52-$A$15,AS$13)))</f>
        <v>0</v>
      </c>
      <c r="AT52" s="171">
        <f ca="1">IF(OR($D52&lt;&gt;"Serviço",AND(AUTOEVENTO="Manual",$M52=$A$15)),0,
         IF(OFFSET(CRONOPLE!$F$15,$M52-$A$15,AT$13)=0,10^12,OFFSET(CRONOPLE!$F$15,$M52-$A$15,AT$13)))</f>
        <v>0</v>
      </c>
      <c r="AU52" s="171">
        <f ca="1">IF(OR($D52&lt;&gt;"Serviço",AND(AUTOEVENTO="Manual",$M52=$A$15)),0,
         IF(OFFSET(CRONOPLE!$F$15,$M52-$A$15,AU$13)=0,10^12,OFFSET(CRONOPLE!$F$15,$M52-$A$15,AU$13)))</f>
        <v>0</v>
      </c>
      <c r="AV52" s="171">
        <f ca="1">IF(OR($D52&lt;&gt;"Serviço",AND(AUTOEVENTO="Manual",$M52=$A$15)),0,
         IF(OFFSET(CRONOPLE!$F$15,$M52-$A$15,AV$13)=0,10^12,OFFSET(CRONOPLE!$F$15,$M52-$A$15,AV$13)))</f>
        <v>0</v>
      </c>
      <c r="AX52" s="172" cm="1">
        <f t="array" aca="1" ref="AX52" ca="1">IF(OR($D52&lt;&gt;"Serviço",AND(AUTOEVENTO="Manual",$M52=$A$15),$M52&gt;(ROW(PLE.lastrow)-ROW(PLE.firstrow))),0,
           IF(OFFSET(PLE!$G$15,$M52-$A$15,AX$13)="",10^12,OFFSET(PLE!$G$15,$M52-$A$15,AX$13)))</f>
        <v>0</v>
      </c>
      <c r="AY52" s="172" cm="1">
        <f t="array" aca="1" ref="AY52" ca="1">IF(OR($D52&lt;&gt;"Serviço",AND(AUTOEVENTO="Manual",$M52=$A$15),$M52&gt;(ROW(PLE.lastrow)-ROW(PLE.firstrow))),0,
           IF(OFFSET(PLE!$G$15,$M52-$A$15,AY$13)="",10^12,OFFSET(PLE!$G$15,$M52-$A$15,AY$13)))</f>
        <v>0</v>
      </c>
      <c r="AZ52" s="172" cm="1">
        <f t="array" aca="1" ref="AZ52" ca="1">IF(OR($D52&lt;&gt;"Serviço",AND(AUTOEVENTO="Manual",$M52=$A$15),$M52&gt;(ROW(PLE.lastrow)-ROW(PLE.firstrow))),0,
           IF(OFFSET(PLE!$G$15,$M52-$A$15,AZ$13)="",10^12,OFFSET(PLE!$G$15,$M52-$A$15,AZ$13)))</f>
        <v>0</v>
      </c>
      <c r="BA52" s="172" cm="1">
        <f t="array" aca="1" ref="BA52" ca="1">IF(OR($D52&lt;&gt;"Serviço",AND(AUTOEVENTO="Manual",$M52=$A$15),$M52&gt;(ROW(PLE.lastrow)-ROW(PLE.firstrow))),0,
           IF(OFFSET(PLE!$G$15,$M52-$A$15,BA$13)="",10^12,OFFSET(PLE!$G$15,$M52-$A$15,BA$13)))</f>
        <v>0</v>
      </c>
      <c r="BB52" s="172" cm="1">
        <f t="array" aca="1" ref="BB52" ca="1">IF(OR($D52&lt;&gt;"Serviço",AND(AUTOEVENTO="Manual",$M52=$A$15),$M52&gt;(ROW(PLE.lastrow)-ROW(PLE.firstrow))),0,
           IF(OFFSET(PLE!$G$15,$M52-$A$15,BB$13)="",10^12,OFFSET(PLE!$G$15,$M52-$A$15,BB$13)))</f>
        <v>0</v>
      </c>
      <c r="BC52" s="172" cm="1">
        <f t="array" aca="1" ref="BC52" ca="1">IF(OR($D52&lt;&gt;"Serviço",AND(AUTOEVENTO="Manual",$M52=$A$15),$M52&gt;(ROW(PLE.lastrow)-ROW(PLE.firstrow))),0,
           IF(OFFSET(PLE!$G$15,$M52-$A$15,BC$13)="",10^12,OFFSET(PLE!$G$15,$M52-$A$15,BC$13)))</f>
        <v>0</v>
      </c>
      <c r="BD52" s="172" cm="1">
        <f t="array" aca="1" ref="BD52" ca="1">IF(OR($D52&lt;&gt;"Serviço",AND(AUTOEVENTO="Manual",$M52=$A$15),$M52&gt;(ROW(PLE.lastrow)-ROW(PLE.firstrow))),0,
           IF(OFFSET(PLE!$G$15,$M52-$A$15,BD$13)="",10^12,OFFSET(PLE!$G$15,$M52-$A$15,BD$13)))</f>
        <v>0</v>
      </c>
      <c r="BE52" s="172" cm="1">
        <f t="array" aca="1" ref="BE52" ca="1">IF(OR($D52&lt;&gt;"Serviço",AND(AUTOEVENTO="Manual",$M52=$A$15),$M52&gt;(ROW(PLE.lastrow)-ROW(PLE.firstrow))),0,
           IF(OFFSET(PLE!$G$15,$M52-$A$15,BE$13)="",10^12,OFFSET(PLE!$G$15,$M52-$A$15,BE$13)))</f>
        <v>0</v>
      </c>
      <c r="BF52" s="172" cm="1">
        <f t="array" aca="1" ref="BF52" ca="1">IF(OR($D52&lt;&gt;"Serviço",AND(AUTOEVENTO="Manual",$M52=$A$15),$M52&gt;(ROW(PLE.lastrow)-ROW(PLE.firstrow))),0,
           IF(OFFSET(PLE!$G$15,$M52-$A$15,BF$13)="",10^12,OFFSET(PLE!$G$15,$M52-$A$15,BF$13)))</f>
        <v>0</v>
      </c>
      <c r="BG52" s="172" cm="1">
        <f t="array" aca="1" ref="BG52" ca="1">IF(OR($D52&lt;&gt;"Serviço",AND(AUTOEVENTO="Manual",$M52=$A$15),$M52&gt;(ROW(PLE.lastrow)-ROW(PLE.firstrow))),0,
           IF(OFFSET(PLE!$G$15,$M52-$A$15,BG$13)="",10^12,OFFSET(PLE!$G$15,$M52-$A$15,BG$13)))</f>
        <v>0</v>
      </c>
    </row>
    <row r="53" spans="1:59" ht="38.25" x14ac:dyDescent="0.2">
      <c r="A53" s="7" t="str">
        <f t="shared" ca="1" si="8"/>
        <v>37</v>
      </c>
      <c r="B53" s="7" t="str">
        <f ca="1">OFFSET(ORÇAMENTO!C$15,$L53,0)</f>
        <v>S</v>
      </c>
      <c r="C53" s="7" t="str">
        <f ca="1">OFFSET(ORÇAMENTO!L$15,$L53,0)</f>
        <v/>
      </c>
      <c r="D53" s="116" t="str">
        <f ca="1">OFFSET(ORÇAMENTO!N$15,$L53,0)</f>
        <v>Serviço</v>
      </c>
      <c r="E53" s="117" t="str">
        <f ca="1">OFFSET(ORÇAMENTO!O$15,$L53,0)</f>
        <v>-</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66</v>
      </c>
      <c r="I53" s="468" t="s">
        <v>1059</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7</v>
      </c>
      <c r="N53" s="167" t="str">
        <f ca="1">IF($D53&lt;&gt;"Serviço","",
         IF(AUTOEVENTO="Manual",
                IF($A53=0,"&lt;-- defina o número do agrupador",
                       OFFSET(EVENTOS!$D$15,$A53-$A$15,0)),
                OFFSET($F$15,$A53,0)))</f>
        <v>ESCORAMENTO</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12.75" x14ac:dyDescent="0.2">
      <c r="A54" s="7" t="str">
        <f t="shared" ref="A54:A69" ca="1" si="11">IFERROR(IF(AUTOEVENTO="Manual",IF(K54&lt;&gt;"",MIN(VALUE(LEFT(K54,FIND(".",K54)-1)),COUNTA(EVENTOS.Lista)),0),IF(OR($B54&gt;AUTOEVENTO,$B54="S",$B54=0),SUBSTITUTE(OFFSET($A54,-1,0),IF($D54="Serviço",".",""),""),$L54&amp;".")),0)</f>
        <v>39.</v>
      </c>
      <c r="B54" s="7">
        <f ca="1">OFFSET(ORÇAMENTO!C$15,$L54,0)</f>
        <v>2</v>
      </c>
      <c r="C54" s="7" t="str">
        <f ca="1">OFFSET(ORÇAMENTO!L$15,$L54,0)</f>
        <v>F</v>
      </c>
      <c r="D54" s="116" t="str">
        <f ca="1">OFFSET(ORÇAMENTO!N$15,$L54,0)</f>
        <v>Nível 2</v>
      </c>
      <c r="E54" s="117" t="str">
        <f ca="1">OFFSET(ORÇAMENTO!O$15,$L54,0)</f>
        <v>5.2.</v>
      </c>
      <c r="F54" s="163" t="str">
        <f ca="1">OFFSET(ORÇAMENTO!R$15,$L54,0)</f>
        <v>DISPOSITIVOS DE DRENAGEM</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ref="L54:L69" ca="1" si="12">OFFSET(L54,-1,0)+1</f>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ht="25.5" x14ac:dyDescent="0.2">
      <c r="A55" s="7" t="str">
        <f t="shared" ca="1" si="11"/>
        <v>39</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78.83</v>
      </c>
      <c r="I55" s="468" t="s">
        <v>1089</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12"/>
        <v>40</v>
      </c>
      <c r="M55" s="166">
        <f ca="1">IF($D55&lt;&gt;"Serviço","",
          IF(AUTOEVENTO="manual",$A55,
                IF(ISERROR(MATCH($A55,$A$15:OFFSET($A55,-1,0),0)),MAX($M$15:OFFSET(M55,-1,0))+1,
                      INDEX($M$15:OFFSET(M55,-1,0),MATCH($A55,$A$15:OFFSET($A55,-1,0),0)))))</f>
        <v>8</v>
      </c>
      <c r="N55" s="167" t="str">
        <f ca="1">IF($D55&lt;&gt;"Serviço","",
         IF(AUTOEVENTO="Manual",
                IF($A55=0,"&lt;-- defina o número do agrupador",
                       OFFSET(EVENTOS!$D$15,$A55-$A$15,0)),
                OFFSET($F$15,$A55,0)))</f>
        <v>DISPOSITIVOS DE DRENAGEM</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12.75" x14ac:dyDescent="0.2">
      <c r="A56" s="7" t="str">
        <f ca="1">IFERROR(IF(AUTOEVENTO="Manual",IF(K56&lt;&gt;"",MIN(VALUE(LEFT(K56,FIND(".",K56)-1)),COUNTA(EVENTOS.Lista)),0),IF(OR($B56&gt;AUTOEVENTO,$B56="S",$B56=0),SUBSTITUTE(OFFSET($A56,-1,0),IF($D56="Serviço",".",""),""),$L56&amp;".")),0)</f>
        <v>39</v>
      </c>
      <c r="B56" s="7" t="str">
        <f ca="1">OFFSET(ORÇAMENTO!C$15,$L56,0)</f>
        <v>S</v>
      </c>
      <c r="C56" s="7" t="str">
        <f ca="1">OFFSET(ORÇAMENTO!L$15,$L56,0)</f>
        <v/>
      </c>
      <c r="D56" s="116" t="str">
        <f ca="1">OFFSET(ORÇAMENTO!N$15,$L56,0)</f>
        <v>Serviço</v>
      </c>
      <c r="E56" s="117" t="str">
        <f ca="1">OFFSET(ORÇAMENTO!O$15,$L56,0)</f>
        <v>-</v>
      </c>
      <c r="F56" s="163" t="str">
        <f ca="1">OFFSET(ORÇAMENTO!R$15,$L56,0)</f>
        <v>(Código não identificado nas referências)</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4</v>
      </c>
      <c r="I56" s="468" t="s">
        <v>1090</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ca="1">OFFSET(L56,-1,0)+1</f>
        <v>41</v>
      </c>
      <c r="M56" s="166">
        <f ca="1">IF($D56&lt;&gt;"Serviço","",
          IF(AUTOEVENTO="manual",$A56,
                IF(ISERROR(MATCH($A56,$A$15:OFFSET($A56,-1,0),0)),MAX($M$15:OFFSET(M56,-1,0))+1,
                      INDEX($M$15:OFFSET(M56,-1,0),MATCH($A56,$A$15:OFFSET($A56,-1,0),0)))))</f>
        <v>8</v>
      </c>
      <c r="N56" s="167" t="str">
        <f ca="1">IF($D56&lt;&gt;"Serviço","",
         IF(AUTOEVENTO="Manual",
                IF($A56=0,"&lt;-- defina o número do agrupador",
                       OFFSET(EVENTOS!$D$15,$A56-$A$15,0)),
                OFFSET($F$15,$A56,0)))</f>
        <v>DISPOSITIVOS DE DRENAGEM</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25.5" x14ac:dyDescent="0.2">
      <c r="A57" s="7" t="str">
        <f ca="1">IFERROR(IF(AUTOEVENTO="Manual",IF(K57&lt;&gt;"",MIN(VALUE(LEFT(K57,FIND(".",K57)-1)),COUNTA(EVENTOS.Lista)),0),IF(OR($B57&gt;AUTOEVENTO,$B57="S",$B57=0),SUBSTITUTE(OFFSET($A57,-1,0),IF($D57="Serviço",".",""),""),$L57&amp;".")),0)</f>
        <v>39</v>
      </c>
      <c r="B57" s="7" t="str">
        <f ca="1">OFFSET(ORÇAMENTO!C$15,$L57,0)</f>
        <v>S</v>
      </c>
      <c r="C57" s="7" t="str">
        <f ca="1">OFFSET(ORÇAMENTO!L$15,$L57,0)</f>
        <v/>
      </c>
      <c r="D57" s="116" t="str">
        <f ca="1">OFFSET(ORÇAMENTO!N$15,$L57,0)</f>
        <v>Serviço</v>
      </c>
      <c r="E57" s="117" t="str">
        <f ca="1">OFFSET(ORÇAMENTO!O$15,$L57,0)</f>
        <v>-</v>
      </c>
      <c r="F57" s="163" t="str">
        <f ca="1">OFFSET(ORÇAMENTO!R$15,$L57,0)</f>
        <v>(Código não identificado nas referências)</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18.43</v>
      </c>
      <c r="I57" s="468" t="s">
        <v>1091</v>
      </c>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ca="1">OFFSET(L57,-1,0)+1</f>
        <v>42</v>
      </c>
      <c r="M57" s="166">
        <f ca="1">IF($D57&lt;&gt;"Serviço","",
          IF(AUTOEVENTO="manual",$A57,
                IF(ISERROR(MATCH($A57,$A$15:OFFSET($A57,-1,0),0)),MAX($M$15:OFFSET(M57,-1,0))+1,
                      INDEX($M$15:OFFSET(M57,-1,0),MATCH($A57,$A$15:OFFSET($A57,-1,0),0)))))</f>
        <v>8</v>
      </c>
      <c r="N57" s="167" t="str">
        <f ca="1">IF($D57&lt;&gt;"Serviço","",
         IF(AUTOEVENTO="Manual",
                IF($A57=0,"&lt;-- defina o número do agrupador",
                       OFFSET(EVENTOS!$D$15,$A57-$A$15,0)),
                OFFSET($F$15,$A57,0)))</f>
        <v>DISPOSITIVOS DE DRENAGEM</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12.75" x14ac:dyDescent="0.2">
      <c r="A58" s="7" t="str">
        <f t="shared" ca="1" si="11"/>
        <v>43.</v>
      </c>
      <c r="B58" s="7">
        <f ca="1">OFFSET(ORÇAMENTO!C$15,$L58,0)</f>
        <v>2</v>
      </c>
      <c r="C58" s="7" t="str">
        <f ca="1">OFFSET(ORÇAMENTO!L$15,$L58,0)</f>
        <v>F</v>
      </c>
      <c r="D58" s="116" t="str">
        <f ca="1">OFFSET(ORÇAMENTO!N$15,$L58,0)</f>
        <v>Nível 2</v>
      </c>
      <c r="E58" s="117" t="str">
        <f ca="1">OFFSET(ORÇAMENTO!O$15,$L58,0)</f>
        <v>5.3.</v>
      </c>
      <c r="F58" s="163" t="str">
        <f ca="1">OFFSET(ORÇAMENTO!R$15,$L58,0)</f>
        <v>CANAL E DRENOS</v>
      </c>
      <c r="G58" s="164" t="str">
        <f ca="1">IF($D58&lt;&gt;"Serviço","",OFFSET(ORÇAMENTO!S$15,$L58,0))</f>
        <v/>
      </c>
      <c r="H58" s="122" cm="1">
        <f t="array" aca="1" ref="H58" ca="1">IF($D58&lt;&gt;"Serviço",0,IF(ACOMPANHAMENTO="BM",ROUND(OFFSET(ORÇAMENTO!AJ$15,$L58,0),15-13*ORÇAMENTO!$AF$7),IF(IFERROR(CÁLCULO.FrentesPreenchidas,0)=0,0,SUM(ROUND(OFFSET($P58,0,1,1,CÁLCULO.FrentesPreenchidas),15-13*ORÇAMENTO!$AF$7)))))</f>
        <v>0</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12"/>
        <v>43</v>
      </c>
      <c r="M58" s="166" t="str">
        <f ca="1">IF($D58&lt;&gt;"Serviço","",
          IF(AUTOEVENTO="manual",$A58,
                IF(ISERROR(MATCH($A58,$A$15:OFFSET($A58,-1,0),0)),MAX($M$15:OFFSET(M58,-1,0))+1,
                      INDEX($M$15:OFFSET(M58,-1,0),MATCH($A58,$A$15:OFFSET($A58,-1,0),0)))))</f>
        <v/>
      </c>
      <c r="N58" s="167" t="str">
        <f ca="1">IF($D58&lt;&gt;"Serviço","",
         IF(AUTOEVENTO="Manual",
                IF($A58=0,"&lt;-- defina o número do agrupador",
                       OFFSET(EVENTOS!$D$15,$A58-$A$15,0)),
                OFFSET($F$15,$A58,0)))</f>
        <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0</v>
      </c>
      <c r="AN58" s="171">
        <f ca="1">IF(OR($D58&lt;&gt;"Serviço",AND(AUTOEVENTO="Manual",$M58=$A$15)),0,
         IF(OFFSET(CRONOPLE!$F$15,$M58-$A$15,AN$13)=0,10^12,OFFSET(CRONOPLE!$F$15,$M58-$A$15,AN$13)))</f>
        <v>0</v>
      </c>
      <c r="AO58" s="171">
        <f ca="1">IF(OR($D58&lt;&gt;"Serviço",AND(AUTOEVENTO="Manual",$M58=$A$15)),0,
         IF(OFFSET(CRONOPLE!$F$15,$M58-$A$15,AO$13)=0,10^12,OFFSET(CRONOPLE!$F$15,$M58-$A$15,AO$13)))</f>
        <v>0</v>
      </c>
      <c r="AP58" s="171">
        <f ca="1">IF(OR($D58&lt;&gt;"Serviço",AND(AUTOEVENTO="Manual",$M58=$A$15)),0,
         IF(OFFSET(CRONOPLE!$F$15,$M58-$A$15,AP$13)=0,10^12,OFFSET(CRONOPLE!$F$15,$M58-$A$15,AP$13)))</f>
        <v>0</v>
      </c>
      <c r="AQ58" s="171">
        <f ca="1">IF(OR($D58&lt;&gt;"Serviço",AND(AUTOEVENTO="Manual",$M58=$A$15)),0,
         IF(OFFSET(CRONOPLE!$F$15,$M58-$A$15,AQ$13)=0,10^12,OFFSET(CRONOPLE!$F$15,$M58-$A$15,AQ$13)))</f>
        <v>0</v>
      </c>
      <c r="AR58" s="171">
        <f ca="1">IF(OR($D58&lt;&gt;"Serviço",AND(AUTOEVENTO="Manual",$M58=$A$15)),0,
         IF(OFFSET(CRONOPLE!$F$15,$M58-$A$15,AR$13)=0,10^12,OFFSET(CRONOPLE!$F$15,$M58-$A$15,AR$13)))</f>
        <v>0</v>
      </c>
      <c r="AS58" s="171">
        <f ca="1">IF(OR($D58&lt;&gt;"Serviço",AND(AUTOEVENTO="Manual",$M58=$A$15)),0,
         IF(OFFSET(CRONOPLE!$F$15,$M58-$A$15,AS$13)=0,10^12,OFFSET(CRONOPLE!$F$15,$M58-$A$15,AS$13)))</f>
        <v>0</v>
      </c>
      <c r="AT58" s="171">
        <f ca="1">IF(OR($D58&lt;&gt;"Serviço",AND(AUTOEVENTO="Manual",$M58=$A$15)),0,
         IF(OFFSET(CRONOPLE!$F$15,$M58-$A$15,AT$13)=0,10^12,OFFSET(CRONOPLE!$F$15,$M58-$A$15,AT$13)))</f>
        <v>0</v>
      </c>
      <c r="AU58" s="171">
        <f ca="1">IF(OR($D58&lt;&gt;"Serviço",AND(AUTOEVENTO="Manual",$M58=$A$15)),0,
         IF(OFFSET(CRONOPLE!$F$15,$M58-$A$15,AU$13)=0,10^12,OFFSET(CRONOPLE!$F$15,$M58-$A$15,AU$13)))</f>
        <v>0</v>
      </c>
      <c r="AV58" s="171">
        <f ca="1">IF(OR($D58&lt;&gt;"Serviço",AND(AUTOEVENTO="Manual",$M58=$A$15)),0,
         IF(OFFSET(CRONOPLE!$F$15,$M58-$A$15,AV$13)=0,10^12,OFFSET(CRONOPLE!$F$15,$M58-$A$15,AV$13)))</f>
        <v>0</v>
      </c>
      <c r="AX58" s="172" cm="1">
        <f t="array" aca="1" ref="AX58" ca="1">IF(OR($D58&lt;&gt;"Serviço",AND(AUTOEVENTO="Manual",$M58=$A$15),$M58&gt;(ROW(PLE.lastrow)-ROW(PLE.firstrow))),0,
           IF(OFFSET(PLE!$G$15,$M58-$A$15,AX$13)="",10^12,OFFSET(PLE!$G$15,$M58-$A$15,AX$13)))</f>
        <v>0</v>
      </c>
      <c r="AY58" s="172" cm="1">
        <f t="array" aca="1" ref="AY58" ca="1">IF(OR($D58&lt;&gt;"Serviço",AND(AUTOEVENTO="Manual",$M58=$A$15),$M58&gt;(ROW(PLE.lastrow)-ROW(PLE.firstrow))),0,
           IF(OFFSET(PLE!$G$15,$M58-$A$15,AY$13)="",10^12,OFFSET(PLE!$G$15,$M58-$A$15,AY$13)))</f>
        <v>0</v>
      </c>
      <c r="AZ58" s="172" cm="1">
        <f t="array" aca="1" ref="AZ58" ca="1">IF(OR($D58&lt;&gt;"Serviço",AND(AUTOEVENTO="Manual",$M58=$A$15),$M58&gt;(ROW(PLE.lastrow)-ROW(PLE.firstrow))),0,
           IF(OFFSET(PLE!$G$15,$M58-$A$15,AZ$13)="",10^12,OFFSET(PLE!$G$15,$M58-$A$15,AZ$13)))</f>
        <v>0</v>
      </c>
      <c r="BA58" s="172" cm="1">
        <f t="array" aca="1" ref="BA58" ca="1">IF(OR($D58&lt;&gt;"Serviço",AND(AUTOEVENTO="Manual",$M58=$A$15),$M58&gt;(ROW(PLE.lastrow)-ROW(PLE.firstrow))),0,
           IF(OFFSET(PLE!$G$15,$M58-$A$15,BA$13)="",10^12,OFFSET(PLE!$G$15,$M58-$A$15,BA$13)))</f>
        <v>0</v>
      </c>
      <c r="BB58" s="172" cm="1">
        <f t="array" aca="1" ref="BB58" ca="1">IF(OR($D58&lt;&gt;"Serviço",AND(AUTOEVENTO="Manual",$M58=$A$15),$M58&gt;(ROW(PLE.lastrow)-ROW(PLE.firstrow))),0,
           IF(OFFSET(PLE!$G$15,$M58-$A$15,BB$13)="",10^12,OFFSET(PLE!$G$15,$M58-$A$15,BB$13)))</f>
        <v>0</v>
      </c>
      <c r="BC58" s="172" cm="1">
        <f t="array" aca="1" ref="BC58" ca="1">IF(OR($D58&lt;&gt;"Serviço",AND(AUTOEVENTO="Manual",$M58=$A$15),$M58&gt;(ROW(PLE.lastrow)-ROW(PLE.firstrow))),0,
           IF(OFFSET(PLE!$G$15,$M58-$A$15,BC$13)="",10^12,OFFSET(PLE!$G$15,$M58-$A$15,BC$13)))</f>
        <v>0</v>
      </c>
      <c r="BD58" s="172" cm="1">
        <f t="array" aca="1" ref="BD58" ca="1">IF(OR($D58&lt;&gt;"Serviço",AND(AUTOEVENTO="Manual",$M58=$A$15),$M58&gt;(ROW(PLE.lastrow)-ROW(PLE.firstrow))),0,
           IF(OFFSET(PLE!$G$15,$M58-$A$15,BD$13)="",10^12,OFFSET(PLE!$G$15,$M58-$A$15,BD$13)))</f>
        <v>0</v>
      </c>
      <c r="BE58" s="172" cm="1">
        <f t="array" aca="1" ref="BE58" ca="1">IF(OR($D58&lt;&gt;"Serviço",AND(AUTOEVENTO="Manual",$M58=$A$15),$M58&gt;(ROW(PLE.lastrow)-ROW(PLE.firstrow))),0,
           IF(OFFSET(PLE!$G$15,$M58-$A$15,BE$13)="",10^12,OFFSET(PLE!$G$15,$M58-$A$15,BE$13)))</f>
        <v>0</v>
      </c>
      <c r="BF58" s="172" cm="1">
        <f t="array" aca="1" ref="BF58" ca="1">IF(OR($D58&lt;&gt;"Serviço",AND(AUTOEVENTO="Manual",$M58=$A$15),$M58&gt;(ROW(PLE.lastrow)-ROW(PLE.firstrow))),0,
           IF(OFFSET(PLE!$G$15,$M58-$A$15,BF$13)="",10^12,OFFSET(PLE!$G$15,$M58-$A$15,BF$13)))</f>
        <v>0</v>
      </c>
      <c r="BG58" s="172" cm="1">
        <f t="array" aca="1" ref="BG58" ca="1">IF(OR($D58&lt;&gt;"Serviço",AND(AUTOEVENTO="Manual",$M58=$A$15),$M58&gt;(ROW(PLE.lastrow)-ROW(PLE.firstrow))),0,
           IF(OFFSET(PLE!$G$15,$M58-$A$15,BG$13)="",10^12,OFFSET(PLE!$G$15,$M58-$A$15,BG$13)))</f>
        <v>0</v>
      </c>
    </row>
    <row r="59" spans="1:59" ht="25.5" x14ac:dyDescent="0.2">
      <c r="A59" s="7" t="str">
        <f t="shared" ca="1" si="11"/>
        <v>43</v>
      </c>
      <c r="B59" s="7" t="str">
        <f ca="1">OFFSET(ORÇAMENTO!C$15,$L59,0)</f>
        <v>S</v>
      </c>
      <c r="C59" s="7" t="str">
        <f ca="1">OFFSET(ORÇAMENTO!L$15,$L59,0)</f>
        <v/>
      </c>
      <c r="D59" s="116" t="str">
        <f ca="1">OFFSET(ORÇAMENTO!N$15,$L59,0)</f>
        <v>Serviço</v>
      </c>
      <c r="E59" s="117" t="str">
        <f ca="1">OFFSET(ORÇAMENTO!O$15,$L59,0)</f>
        <v>-</v>
      </c>
      <c r="F59" s="163" t="str">
        <f ca="1">OFFSET(ORÇAMENTO!R$15,$L59,0)</f>
        <v>(Código não identificado nas referências)</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11</v>
      </c>
      <c r="I59" s="468" t="s">
        <v>1066</v>
      </c>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12"/>
        <v>44</v>
      </c>
      <c r="M59" s="166">
        <f ca="1">IF($D59&lt;&gt;"Serviço","",
          IF(AUTOEVENTO="manual",$A59,
                IF(ISERROR(MATCH($A59,$A$15:OFFSET($A59,-1,0),0)),MAX($M$15:OFFSET(M59,-1,0))+1,
                      INDEX($M$15:OFFSET(M59,-1,0),MATCH($A59,$A$15:OFFSET($A59,-1,0),0)))))</f>
        <v>9</v>
      </c>
      <c r="N59" s="167" t="str">
        <f ca="1">IF($D59&lt;&gt;"Serviço","",
         IF(AUTOEVENTO="Manual",
                IF($A59=0,"&lt;-- defina o número do agrupador",
                       OFFSET(EVENTOS!$D$15,$A59-$A$15,0)),
                OFFSET($F$15,$A59,0)))</f>
        <v>CANAL E DRENOS</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25.5" x14ac:dyDescent="0.2">
      <c r="A60" s="7" t="str">
        <f ca="1">IFERROR(IF(AUTOEVENTO="Manual",IF(K60&lt;&gt;"",MIN(VALUE(LEFT(K60,FIND(".",K60)-1)),COUNTA(EVENTOS.Lista)),0),IF(OR($B60&gt;AUTOEVENTO,$B60="S",$B60=0),SUBSTITUTE(OFFSET($A60,-1,0),IF($D60="Serviço",".",""),""),$L60&amp;".")),0)</f>
        <v>43</v>
      </c>
      <c r="B60" s="7" t="str">
        <f ca="1">OFFSET(ORÇAMENTO!C$15,$L60,0)</f>
        <v>S</v>
      </c>
      <c r="C60" s="7" t="str">
        <f ca="1">OFFSET(ORÇAMENTO!L$15,$L60,0)</f>
        <v/>
      </c>
      <c r="D60" s="116" t="str">
        <f ca="1">OFFSET(ORÇAMENTO!N$15,$L60,0)</f>
        <v>Serviço</v>
      </c>
      <c r="E60" s="117" t="str">
        <f ca="1">OFFSET(ORÇAMENTO!O$15,$L60,0)</f>
        <v>-</v>
      </c>
      <c r="F60" s="163" t="str">
        <f ca="1">OFFSET(ORÇAMENTO!R$15,$L60,0)</f>
        <v>(Código não identificado nas referências)</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1</v>
      </c>
      <c r="I60" s="468" t="s">
        <v>1092</v>
      </c>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ca="1">OFFSET(L60,-1,0)+1</f>
        <v>45</v>
      </c>
      <c r="M60" s="166">
        <f ca="1">IF($D60&lt;&gt;"Serviço","",
          IF(AUTOEVENTO="manual",$A60,
                IF(ISERROR(MATCH($A60,$A$15:OFFSET($A60,-1,0),0)),MAX($M$15:OFFSET(M60,-1,0))+1,
                      INDEX($M$15:OFFSET(M60,-1,0),MATCH($A60,$A$15:OFFSET($A60,-1,0),0)))))</f>
        <v>9</v>
      </c>
      <c r="N60" s="167" t="str">
        <f ca="1">IF($D60&lt;&gt;"Serviço","",
         IF(AUTOEVENTO="Manual",
                IF($A60=0,"&lt;-- defina o número do agrupador",
                       OFFSET(EVENTOS!$D$15,$A60-$A$15,0)),
                OFFSET($F$15,$A60,0)))</f>
        <v>CANAL E DRENOS</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12.75" x14ac:dyDescent="0.2">
      <c r="A61" s="7" t="str">
        <f ca="1">IFERROR(IF(AUTOEVENTO="Manual",IF(K61&lt;&gt;"",MIN(VALUE(LEFT(K61,FIND(".",K61)-1)),COUNTA(EVENTOS.Lista)),0),IF(OR($B61&gt;AUTOEVENTO,$B61="S",$B61=0),SUBSTITUTE(OFFSET($A61,-1,0),IF($D61="Serviço",".",""),""),$L61&amp;".")),0)</f>
        <v>43</v>
      </c>
      <c r="B61" s="7" t="str">
        <f ca="1">OFFSET(ORÇAMENTO!C$15,$L61,0)</f>
        <v>S</v>
      </c>
      <c r="C61" s="7" t="str">
        <f ca="1">OFFSET(ORÇAMENTO!L$15,$L61,0)</f>
        <v/>
      </c>
      <c r="D61" s="116" t="str">
        <f ca="1">OFFSET(ORÇAMENTO!N$15,$L61,0)</f>
        <v>Serviço</v>
      </c>
      <c r="E61" s="117" t="str">
        <f ca="1">OFFSET(ORÇAMENTO!O$15,$L61,0)</f>
        <v>-</v>
      </c>
      <c r="F61" s="163" t="str">
        <f ca="1">OFFSET(ORÇAMENTO!R$15,$L61,0)</f>
        <v>(Código não identificado nas referências)</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1</v>
      </c>
      <c r="I61" s="468" t="s">
        <v>1093</v>
      </c>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ca="1">OFFSET(L61,-1,0)+1</f>
        <v>46</v>
      </c>
      <c r="M61" s="166">
        <f ca="1">IF($D61&lt;&gt;"Serviço","",
          IF(AUTOEVENTO="manual",$A61,
                IF(ISERROR(MATCH($A61,$A$15:OFFSET($A61,-1,0),0)),MAX($M$15:OFFSET(M61,-1,0))+1,
                      INDEX($M$15:OFFSET(M61,-1,0),MATCH($A61,$A$15:OFFSET($A61,-1,0),0)))))</f>
        <v>9</v>
      </c>
      <c r="N61" s="167" t="str">
        <f ca="1">IF($D61&lt;&gt;"Serviço","",
         IF(AUTOEVENTO="Manual",
                IF($A61=0,"&lt;-- defina o número do agrupador",
                       OFFSET(EVENTOS!$D$15,$A61-$A$15,0)),
                OFFSET($F$15,$A61,0)))</f>
        <v>CANAL E DRENOS</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51" x14ac:dyDescent="0.2">
      <c r="A62" s="7" t="str">
        <f t="shared" ca="1" si="11"/>
        <v>43</v>
      </c>
      <c r="B62" s="7" t="str">
        <f ca="1">OFFSET(ORÇAMENTO!C$15,$L62,0)</f>
        <v>S</v>
      </c>
      <c r="C62" s="7" t="str">
        <f ca="1">OFFSET(ORÇAMENTO!L$15,$L62,0)</f>
        <v/>
      </c>
      <c r="D62" s="116" t="str">
        <f ca="1">OFFSET(ORÇAMENTO!N$15,$L62,0)</f>
        <v>Serviço</v>
      </c>
      <c r="E62" s="117" t="str">
        <f ca="1">OFFSET(ORÇAMENTO!O$15,$L62,0)</f>
        <v>-</v>
      </c>
      <c r="F62" s="163" t="str">
        <f ca="1">OFFSET(ORÇAMENTO!R$15,$L62,0)</f>
        <v>(Código não identificado nas referências)</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44</v>
      </c>
      <c r="I62" s="468" t="s">
        <v>1067</v>
      </c>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12"/>
        <v>47</v>
      </c>
      <c r="M62" s="166">
        <f ca="1">IF($D62&lt;&gt;"Serviço","",
          IF(AUTOEVENTO="manual",$A62,
                IF(ISERROR(MATCH($A62,$A$15:OFFSET($A62,-1,0),0)),MAX($M$15:OFFSET(M62,-1,0))+1,
                      INDEX($M$15:OFFSET(M62,-1,0),MATCH($A62,$A$15:OFFSET($A62,-1,0),0)))))</f>
        <v>9</v>
      </c>
      <c r="N62" s="167" t="str">
        <f ca="1">IF($D62&lt;&gt;"Serviço","",
         IF(AUTOEVENTO="Manual",
                IF($A62=0,"&lt;-- defina o número do agrupador",
                       OFFSET(EVENTOS!$D$15,$A62-$A$15,0)),
                OFFSET($F$15,$A62,0)))</f>
        <v>CANAL E DRENOS</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38.25" x14ac:dyDescent="0.2">
      <c r="A63" s="7" t="str">
        <f t="shared" ca="1" si="11"/>
        <v>43</v>
      </c>
      <c r="B63" s="7" t="str">
        <f ca="1">OFFSET(ORÇAMENTO!C$15,$L63,0)</f>
        <v>S</v>
      </c>
      <c r="C63" s="7" t="str">
        <f ca="1">OFFSET(ORÇAMENTO!L$15,$L63,0)</f>
        <v/>
      </c>
      <c r="D63" s="116" t="str">
        <f ca="1">OFFSET(ORÇAMENTO!N$15,$L63,0)</f>
        <v>Serviço</v>
      </c>
      <c r="E63" s="117" t="str">
        <f ca="1">OFFSET(ORÇAMENTO!O$15,$L63,0)</f>
        <v>-</v>
      </c>
      <c r="F63" s="163" t="str">
        <f ca="1">OFFSET(ORÇAMENTO!R$15,$L63,0)</f>
        <v>(Código não identificado nas referências)</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21.81</v>
      </c>
      <c r="I63" s="468" t="s">
        <v>1068</v>
      </c>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12"/>
        <v>48</v>
      </c>
      <c r="M63" s="166">
        <f ca="1">IF($D63&lt;&gt;"Serviço","",
          IF(AUTOEVENTO="manual",$A63,
                IF(ISERROR(MATCH($A63,$A$15:OFFSET($A63,-1,0),0)),MAX($M$15:OFFSET(M63,-1,0))+1,
                      INDEX($M$15:OFFSET(M63,-1,0),MATCH($A63,$A$15:OFFSET($A63,-1,0),0)))))</f>
        <v>9</v>
      </c>
      <c r="N63" s="167" t="str">
        <f ca="1">IF($D63&lt;&gt;"Serviço","",
         IF(AUTOEVENTO="Manual",
                IF($A63=0,"&lt;-- defina o número do agrupador",
                       OFFSET(EVENTOS!$D$15,$A63-$A$15,0)),
                OFFSET($F$15,$A63,0)))</f>
        <v>CANAL E DRENOS</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12.75" x14ac:dyDescent="0.2">
      <c r="A64" s="7" t="str">
        <f t="shared" ca="1" si="11"/>
        <v>49.</v>
      </c>
      <c r="B64" s="7">
        <f ca="1">OFFSET(ORÇAMENTO!C$15,$L64,0)</f>
        <v>1</v>
      </c>
      <c r="C64" s="7" t="str">
        <f ca="1">OFFSET(ORÇAMENTO!L$15,$L64,0)</f>
        <v>F</v>
      </c>
      <c r="D64" s="116" t="str">
        <f ca="1">OFFSET(ORÇAMENTO!N$15,$L64,0)</f>
        <v>Meta</v>
      </c>
      <c r="E64" s="117" t="str">
        <f ca="1">OFFSET(ORÇAMENTO!O$15,$L64,0)</f>
        <v>6.</v>
      </c>
      <c r="F64" s="163" t="str">
        <f ca="1">OFFSET(ORÇAMENTO!R$15,$L64,0)</f>
        <v>SINALIZAÇÃO VIÁRIA</v>
      </c>
      <c r="G64" s="164" t="str">
        <f ca="1">IF($D64&lt;&gt;"Serviço","",OFFSET(ORÇAMENTO!S$15,$L64,0))</f>
        <v/>
      </c>
      <c r="H64" s="122" cm="1">
        <f t="array" aca="1" ref="H64" ca="1">IF($D64&lt;&gt;"Serviço",0,IF(ACOMPANHAMENTO="BM",ROUND(OFFSET(ORÇAMENTO!AJ$15,$L64,0),15-13*ORÇAMENTO!$AF$7),IF(IFERROR(CÁLCULO.FrentesPreenchidas,0)=0,0,SUM(ROUND(OFFSET($P64,0,1,1,CÁLCULO.FrentesPreenchidas),15-13*ORÇAMENTO!$AF$7)))))</f>
        <v>0</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12"/>
        <v>49</v>
      </c>
      <c r="M64" s="166" t="str">
        <f ca="1">IF($D64&lt;&gt;"Serviço","",
          IF(AUTOEVENTO="manual",$A64,
                IF(ISERROR(MATCH($A64,$A$15:OFFSET($A64,-1,0),0)),MAX($M$15:OFFSET(M64,-1,0))+1,
                      INDEX($M$15:OFFSET(M64,-1,0),MATCH($A64,$A$15:OFFSET($A64,-1,0),0)))))</f>
        <v/>
      </c>
      <c r="N64" s="167" t="str">
        <f ca="1">IF($D64&lt;&gt;"Serviço","",
         IF(AUTOEVENTO="Manual",
                IF($A64=0,"&lt;-- defina o número do agrupador",
                       OFFSET(EVENTOS!$D$15,$A64-$A$15,0)),
                OFFSET($F$15,$A64,0)))</f>
        <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0</v>
      </c>
      <c r="AN64" s="171">
        <f ca="1">IF(OR($D64&lt;&gt;"Serviço",AND(AUTOEVENTO="Manual",$M64=$A$15)),0,
         IF(OFFSET(CRONOPLE!$F$15,$M64-$A$15,AN$13)=0,10^12,OFFSET(CRONOPLE!$F$15,$M64-$A$15,AN$13)))</f>
        <v>0</v>
      </c>
      <c r="AO64" s="171">
        <f ca="1">IF(OR($D64&lt;&gt;"Serviço",AND(AUTOEVENTO="Manual",$M64=$A$15)),0,
         IF(OFFSET(CRONOPLE!$F$15,$M64-$A$15,AO$13)=0,10^12,OFFSET(CRONOPLE!$F$15,$M64-$A$15,AO$13)))</f>
        <v>0</v>
      </c>
      <c r="AP64" s="171">
        <f ca="1">IF(OR($D64&lt;&gt;"Serviço",AND(AUTOEVENTO="Manual",$M64=$A$15)),0,
         IF(OFFSET(CRONOPLE!$F$15,$M64-$A$15,AP$13)=0,10^12,OFFSET(CRONOPLE!$F$15,$M64-$A$15,AP$13)))</f>
        <v>0</v>
      </c>
      <c r="AQ64" s="171">
        <f ca="1">IF(OR($D64&lt;&gt;"Serviço",AND(AUTOEVENTO="Manual",$M64=$A$15)),0,
         IF(OFFSET(CRONOPLE!$F$15,$M64-$A$15,AQ$13)=0,10^12,OFFSET(CRONOPLE!$F$15,$M64-$A$15,AQ$13)))</f>
        <v>0</v>
      </c>
      <c r="AR64" s="171">
        <f ca="1">IF(OR($D64&lt;&gt;"Serviço",AND(AUTOEVENTO="Manual",$M64=$A$15)),0,
         IF(OFFSET(CRONOPLE!$F$15,$M64-$A$15,AR$13)=0,10^12,OFFSET(CRONOPLE!$F$15,$M64-$A$15,AR$13)))</f>
        <v>0</v>
      </c>
      <c r="AS64" s="171">
        <f ca="1">IF(OR($D64&lt;&gt;"Serviço",AND(AUTOEVENTO="Manual",$M64=$A$15)),0,
         IF(OFFSET(CRONOPLE!$F$15,$M64-$A$15,AS$13)=0,10^12,OFFSET(CRONOPLE!$F$15,$M64-$A$15,AS$13)))</f>
        <v>0</v>
      </c>
      <c r="AT64" s="171">
        <f ca="1">IF(OR($D64&lt;&gt;"Serviço",AND(AUTOEVENTO="Manual",$M64=$A$15)),0,
         IF(OFFSET(CRONOPLE!$F$15,$M64-$A$15,AT$13)=0,10^12,OFFSET(CRONOPLE!$F$15,$M64-$A$15,AT$13)))</f>
        <v>0</v>
      </c>
      <c r="AU64" s="171">
        <f ca="1">IF(OR($D64&lt;&gt;"Serviço",AND(AUTOEVENTO="Manual",$M64=$A$15)),0,
         IF(OFFSET(CRONOPLE!$F$15,$M64-$A$15,AU$13)=0,10^12,OFFSET(CRONOPLE!$F$15,$M64-$A$15,AU$13)))</f>
        <v>0</v>
      </c>
      <c r="AV64" s="171">
        <f ca="1">IF(OR($D64&lt;&gt;"Serviço",AND(AUTOEVENTO="Manual",$M64=$A$15)),0,
         IF(OFFSET(CRONOPLE!$F$15,$M64-$A$15,AV$13)=0,10^12,OFFSET(CRONOPLE!$F$15,$M64-$A$15,AV$13)))</f>
        <v>0</v>
      </c>
      <c r="AX64" s="172" cm="1">
        <f t="array" aca="1" ref="AX64" ca="1">IF(OR($D64&lt;&gt;"Serviço",AND(AUTOEVENTO="Manual",$M64=$A$15),$M64&gt;(ROW(PLE.lastrow)-ROW(PLE.firstrow))),0,
           IF(OFFSET(PLE!$G$15,$M64-$A$15,AX$13)="",10^12,OFFSET(PLE!$G$15,$M64-$A$15,AX$13)))</f>
        <v>0</v>
      </c>
      <c r="AY64" s="172" cm="1">
        <f t="array" aca="1" ref="AY64" ca="1">IF(OR($D64&lt;&gt;"Serviço",AND(AUTOEVENTO="Manual",$M64=$A$15),$M64&gt;(ROW(PLE.lastrow)-ROW(PLE.firstrow))),0,
           IF(OFFSET(PLE!$G$15,$M64-$A$15,AY$13)="",10^12,OFFSET(PLE!$G$15,$M64-$A$15,AY$13)))</f>
        <v>0</v>
      </c>
      <c r="AZ64" s="172" cm="1">
        <f t="array" aca="1" ref="AZ64" ca="1">IF(OR($D64&lt;&gt;"Serviço",AND(AUTOEVENTO="Manual",$M64=$A$15),$M64&gt;(ROW(PLE.lastrow)-ROW(PLE.firstrow))),0,
           IF(OFFSET(PLE!$G$15,$M64-$A$15,AZ$13)="",10^12,OFFSET(PLE!$G$15,$M64-$A$15,AZ$13)))</f>
        <v>0</v>
      </c>
      <c r="BA64" s="172" cm="1">
        <f t="array" aca="1" ref="BA64" ca="1">IF(OR($D64&lt;&gt;"Serviço",AND(AUTOEVENTO="Manual",$M64=$A$15),$M64&gt;(ROW(PLE.lastrow)-ROW(PLE.firstrow))),0,
           IF(OFFSET(PLE!$G$15,$M64-$A$15,BA$13)="",10^12,OFFSET(PLE!$G$15,$M64-$A$15,BA$13)))</f>
        <v>0</v>
      </c>
      <c r="BB64" s="172" cm="1">
        <f t="array" aca="1" ref="BB64" ca="1">IF(OR($D64&lt;&gt;"Serviço",AND(AUTOEVENTO="Manual",$M64=$A$15),$M64&gt;(ROW(PLE.lastrow)-ROW(PLE.firstrow))),0,
           IF(OFFSET(PLE!$G$15,$M64-$A$15,BB$13)="",10^12,OFFSET(PLE!$G$15,$M64-$A$15,BB$13)))</f>
        <v>0</v>
      </c>
      <c r="BC64" s="172" cm="1">
        <f t="array" aca="1" ref="BC64" ca="1">IF(OR($D64&lt;&gt;"Serviço",AND(AUTOEVENTO="Manual",$M64=$A$15),$M64&gt;(ROW(PLE.lastrow)-ROW(PLE.firstrow))),0,
           IF(OFFSET(PLE!$G$15,$M64-$A$15,BC$13)="",10^12,OFFSET(PLE!$G$15,$M64-$A$15,BC$13)))</f>
        <v>0</v>
      </c>
      <c r="BD64" s="172" cm="1">
        <f t="array" aca="1" ref="BD64" ca="1">IF(OR($D64&lt;&gt;"Serviço",AND(AUTOEVENTO="Manual",$M64=$A$15),$M64&gt;(ROW(PLE.lastrow)-ROW(PLE.firstrow))),0,
           IF(OFFSET(PLE!$G$15,$M64-$A$15,BD$13)="",10^12,OFFSET(PLE!$G$15,$M64-$A$15,BD$13)))</f>
        <v>0</v>
      </c>
      <c r="BE64" s="172" cm="1">
        <f t="array" aca="1" ref="BE64" ca="1">IF(OR($D64&lt;&gt;"Serviço",AND(AUTOEVENTO="Manual",$M64=$A$15),$M64&gt;(ROW(PLE.lastrow)-ROW(PLE.firstrow))),0,
           IF(OFFSET(PLE!$G$15,$M64-$A$15,BE$13)="",10^12,OFFSET(PLE!$G$15,$M64-$A$15,BE$13)))</f>
        <v>0</v>
      </c>
      <c r="BF64" s="172" cm="1">
        <f t="array" aca="1" ref="BF64" ca="1">IF(OR($D64&lt;&gt;"Serviço",AND(AUTOEVENTO="Manual",$M64=$A$15),$M64&gt;(ROW(PLE.lastrow)-ROW(PLE.firstrow))),0,
           IF(OFFSET(PLE!$G$15,$M64-$A$15,BF$13)="",10^12,OFFSET(PLE!$G$15,$M64-$A$15,BF$13)))</f>
        <v>0</v>
      </c>
      <c r="BG64" s="172" cm="1">
        <f t="array" aca="1" ref="BG64" ca="1">IF(OR($D64&lt;&gt;"Serviço",AND(AUTOEVENTO="Manual",$M64=$A$15),$M64&gt;(ROW(PLE.lastrow)-ROW(PLE.firstrow))),0,
           IF(OFFSET(PLE!$G$15,$M64-$A$15,BG$13)="",10^12,OFFSET(PLE!$G$15,$M64-$A$15,BG$13)))</f>
        <v>0</v>
      </c>
    </row>
    <row r="65" spans="1:59" ht="12.75" x14ac:dyDescent="0.2">
      <c r="A65" s="7" t="str">
        <f t="shared" ca="1" si="11"/>
        <v>50.</v>
      </c>
      <c r="B65" s="7">
        <f ca="1">OFFSET(ORÇAMENTO!C$15,$L65,0)</f>
        <v>2</v>
      </c>
      <c r="C65" s="7" t="str">
        <f ca="1">OFFSET(ORÇAMENTO!L$15,$L65,0)</f>
        <v>F</v>
      </c>
      <c r="D65" s="116" t="str">
        <f ca="1">OFFSET(ORÇAMENTO!N$15,$L65,0)</f>
        <v>Nível 2</v>
      </c>
      <c r="E65" s="117" t="str">
        <f ca="1">OFFSET(ORÇAMENTO!O$15,$L65,0)</f>
        <v>6.1.</v>
      </c>
      <c r="F65" s="163" t="str">
        <f ca="1">OFFSET(ORÇAMENTO!R$15,$L65,0)</f>
        <v>SINALIZAÇÃO VERTICAL</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12"/>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0</v>
      </c>
      <c r="AN65" s="171">
        <f ca="1">IF(OR($D65&lt;&gt;"Serviço",AND(AUTOEVENTO="Manual",$M65=$A$15)),0,
         IF(OFFSET(CRONOPLE!$F$15,$M65-$A$15,AN$13)=0,10^12,OFFSET(CRONOPLE!$F$15,$M65-$A$15,AN$13)))</f>
        <v>0</v>
      </c>
      <c r="AO65" s="171">
        <f ca="1">IF(OR($D65&lt;&gt;"Serviço",AND(AUTOEVENTO="Manual",$M65=$A$15)),0,
         IF(OFFSET(CRONOPLE!$F$15,$M65-$A$15,AO$13)=0,10^12,OFFSET(CRONOPLE!$F$15,$M65-$A$15,AO$13)))</f>
        <v>0</v>
      </c>
      <c r="AP65" s="171">
        <f ca="1">IF(OR($D65&lt;&gt;"Serviço",AND(AUTOEVENTO="Manual",$M65=$A$15)),0,
         IF(OFFSET(CRONOPLE!$F$15,$M65-$A$15,AP$13)=0,10^12,OFFSET(CRONOPLE!$F$15,$M65-$A$15,AP$13)))</f>
        <v>0</v>
      </c>
      <c r="AQ65" s="171">
        <f ca="1">IF(OR($D65&lt;&gt;"Serviço",AND(AUTOEVENTO="Manual",$M65=$A$15)),0,
         IF(OFFSET(CRONOPLE!$F$15,$M65-$A$15,AQ$13)=0,10^12,OFFSET(CRONOPLE!$F$15,$M65-$A$15,AQ$13)))</f>
        <v>0</v>
      </c>
      <c r="AR65" s="171">
        <f ca="1">IF(OR($D65&lt;&gt;"Serviço",AND(AUTOEVENTO="Manual",$M65=$A$15)),0,
         IF(OFFSET(CRONOPLE!$F$15,$M65-$A$15,AR$13)=0,10^12,OFFSET(CRONOPLE!$F$15,$M65-$A$15,AR$13)))</f>
        <v>0</v>
      </c>
      <c r="AS65" s="171">
        <f ca="1">IF(OR($D65&lt;&gt;"Serviço",AND(AUTOEVENTO="Manual",$M65=$A$15)),0,
         IF(OFFSET(CRONOPLE!$F$15,$M65-$A$15,AS$13)=0,10^12,OFFSET(CRONOPLE!$F$15,$M65-$A$15,AS$13)))</f>
        <v>0</v>
      </c>
      <c r="AT65" s="171">
        <f ca="1">IF(OR($D65&lt;&gt;"Serviço",AND(AUTOEVENTO="Manual",$M65=$A$15)),0,
         IF(OFFSET(CRONOPLE!$F$15,$M65-$A$15,AT$13)=0,10^12,OFFSET(CRONOPLE!$F$15,$M65-$A$15,AT$13)))</f>
        <v>0</v>
      </c>
      <c r="AU65" s="171">
        <f ca="1">IF(OR($D65&lt;&gt;"Serviço",AND(AUTOEVENTO="Manual",$M65=$A$15)),0,
         IF(OFFSET(CRONOPLE!$F$15,$M65-$A$15,AU$13)=0,10^12,OFFSET(CRONOPLE!$F$15,$M65-$A$15,AU$13)))</f>
        <v>0</v>
      </c>
      <c r="AV65" s="171">
        <f ca="1">IF(OR($D65&lt;&gt;"Serviço",AND(AUTOEVENTO="Manual",$M65=$A$15)),0,
         IF(OFFSET(CRONOPLE!$F$15,$M65-$A$15,AV$13)=0,10^12,OFFSET(CRONOPLE!$F$15,$M65-$A$15,AV$13)))</f>
        <v>0</v>
      </c>
      <c r="AX65" s="172" cm="1">
        <f t="array" aca="1" ref="AX65" ca="1">IF(OR($D65&lt;&gt;"Serviço",AND(AUTOEVENTO="Manual",$M65=$A$15),$M65&gt;(ROW(PLE.lastrow)-ROW(PLE.firstrow))),0,
           IF(OFFSET(PLE!$G$15,$M65-$A$15,AX$13)="",10^12,OFFSET(PLE!$G$15,$M65-$A$15,AX$13)))</f>
        <v>0</v>
      </c>
      <c r="AY65" s="172" cm="1">
        <f t="array" aca="1" ref="AY65" ca="1">IF(OR($D65&lt;&gt;"Serviço",AND(AUTOEVENTO="Manual",$M65=$A$15),$M65&gt;(ROW(PLE.lastrow)-ROW(PLE.firstrow))),0,
           IF(OFFSET(PLE!$G$15,$M65-$A$15,AY$13)="",10^12,OFFSET(PLE!$G$15,$M65-$A$15,AY$13)))</f>
        <v>0</v>
      </c>
      <c r="AZ65" s="172" cm="1">
        <f t="array" aca="1" ref="AZ65" ca="1">IF(OR($D65&lt;&gt;"Serviço",AND(AUTOEVENTO="Manual",$M65=$A$15),$M65&gt;(ROW(PLE.lastrow)-ROW(PLE.firstrow))),0,
           IF(OFFSET(PLE!$G$15,$M65-$A$15,AZ$13)="",10^12,OFFSET(PLE!$G$15,$M65-$A$15,AZ$13)))</f>
        <v>0</v>
      </c>
      <c r="BA65" s="172" cm="1">
        <f t="array" aca="1" ref="BA65" ca="1">IF(OR($D65&lt;&gt;"Serviço",AND(AUTOEVENTO="Manual",$M65=$A$15),$M65&gt;(ROW(PLE.lastrow)-ROW(PLE.firstrow))),0,
           IF(OFFSET(PLE!$G$15,$M65-$A$15,BA$13)="",10^12,OFFSET(PLE!$G$15,$M65-$A$15,BA$13)))</f>
        <v>0</v>
      </c>
      <c r="BB65" s="172" cm="1">
        <f t="array" aca="1" ref="BB65" ca="1">IF(OR($D65&lt;&gt;"Serviço",AND(AUTOEVENTO="Manual",$M65=$A$15),$M65&gt;(ROW(PLE.lastrow)-ROW(PLE.firstrow))),0,
           IF(OFFSET(PLE!$G$15,$M65-$A$15,BB$13)="",10^12,OFFSET(PLE!$G$15,$M65-$A$15,BB$13)))</f>
        <v>0</v>
      </c>
      <c r="BC65" s="172" cm="1">
        <f t="array" aca="1" ref="BC65" ca="1">IF(OR($D65&lt;&gt;"Serviço",AND(AUTOEVENTO="Manual",$M65=$A$15),$M65&gt;(ROW(PLE.lastrow)-ROW(PLE.firstrow))),0,
           IF(OFFSET(PLE!$G$15,$M65-$A$15,BC$13)="",10^12,OFFSET(PLE!$G$15,$M65-$A$15,BC$13)))</f>
        <v>0</v>
      </c>
      <c r="BD65" s="172" cm="1">
        <f t="array" aca="1" ref="BD65" ca="1">IF(OR($D65&lt;&gt;"Serviço",AND(AUTOEVENTO="Manual",$M65=$A$15),$M65&gt;(ROW(PLE.lastrow)-ROW(PLE.firstrow))),0,
           IF(OFFSET(PLE!$G$15,$M65-$A$15,BD$13)="",10^12,OFFSET(PLE!$G$15,$M65-$A$15,BD$13)))</f>
        <v>0</v>
      </c>
      <c r="BE65" s="172" cm="1">
        <f t="array" aca="1" ref="BE65" ca="1">IF(OR($D65&lt;&gt;"Serviço",AND(AUTOEVENTO="Manual",$M65=$A$15),$M65&gt;(ROW(PLE.lastrow)-ROW(PLE.firstrow))),0,
           IF(OFFSET(PLE!$G$15,$M65-$A$15,BE$13)="",10^12,OFFSET(PLE!$G$15,$M65-$A$15,BE$13)))</f>
        <v>0</v>
      </c>
      <c r="BF65" s="172" cm="1">
        <f t="array" aca="1" ref="BF65" ca="1">IF(OR($D65&lt;&gt;"Serviço",AND(AUTOEVENTO="Manual",$M65=$A$15),$M65&gt;(ROW(PLE.lastrow)-ROW(PLE.firstrow))),0,
           IF(OFFSET(PLE!$G$15,$M65-$A$15,BF$13)="",10^12,OFFSET(PLE!$G$15,$M65-$A$15,BF$13)))</f>
        <v>0</v>
      </c>
      <c r="BG65" s="172" cm="1">
        <f t="array" aca="1" ref="BG65" ca="1">IF(OR($D65&lt;&gt;"Serviço",AND(AUTOEVENTO="Manual",$M65=$A$15),$M65&gt;(ROW(PLE.lastrow)-ROW(PLE.firstrow))),0,
           IF(OFFSET(PLE!$G$15,$M65-$A$15,BG$13)="",10^12,OFFSET(PLE!$G$15,$M65-$A$15,BG$13)))</f>
        <v>0</v>
      </c>
    </row>
    <row r="66" spans="1:59" ht="25.5" x14ac:dyDescent="0.2">
      <c r="A66" s="7" t="str">
        <f t="shared" ca="1" si="11"/>
        <v>50</v>
      </c>
      <c r="B66" s="7" t="str">
        <f ca="1">OFFSET(ORÇAMENTO!C$15,$L66,0)</f>
        <v>S</v>
      </c>
      <c r="C66" s="7" t="str">
        <f ca="1">OFFSET(ORÇAMENTO!L$15,$L66,0)</f>
        <v/>
      </c>
      <c r="D66" s="116" t="str">
        <f ca="1">OFFSET(ORÇAMENTO!N$15,$L66,0)</f>
        <v>Serviço</v>
      </c>
      <c r="E66" s="117" t="str">
        <f ca="1">OFFSET(ORÇAMENTO!O$15,$L66,0)</f>
        <v>-</v>
      </c>
      <c r="F66" s="163" t="str">
        <f ca="1">OFFSET(ORÇAMENTO!R$15,$L66,0)</f>
        <v>(Código não identificado nas referências)</v>
      </c>
      <c r="G66" s="164" t="str">
        <f ca="1">IF($D66&lt;&gt;"Serviço","",OFFSET(ORÇAMENTO!S$15,$L66,0))</f>
        <v>M2</v>
      </c>
      <c r="H66" s="122" cm="1">
        <f t="array" aca="1" ref="H66" ca="1">IF($D66&lt;&gt;"Serviço",0,IF(ACOMPANHAMENTO="BM",ROUND(OFFSET(ORÇAMENTO!AJ$15,$L66,0),15-13*ORÇAMENTO!$AF$7),IF(IFERROR(CÁLCULO.FrentesPreenchidas,0)=0,0,SUM(ROUND(OFFSET($P66,0,1,1,CÁLCULO.FrentesPreenchidas),15-13*ORÇAMENTO!$AF$7)))))</f>
        <v>0.72</v>
      </c>
      <c r="I66" s="468" t="s">
        <v>1060</v>
      </c>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12"/>
        <v>51</v>
      </c>
      <c r="M66" s="166">
        <f ca="1">IF($D66&lt;&gt;"Serviço","",
          IF(AUTOEVENTO="manual",$A66,
                IF(ISERROR(MATCH($A66,$A$15:OFFSET($A66,-1,0),0)),MAX($M$15:OFFSET(M66,-1,0))+1,
                      INDEX($M$15:OFFSET(M66,-1,0),MATCH($A66,$A$15:OFFSET($A66,-1,0),0)))))</f>
        <v>10</v>
      </c>
      <c r="N66" s="167" t="str">
        <f ca="1">IF($D66&lt;&gt;"Serviço","",
         IF(AUTOEVENTO="Manual",
                IF($A66=0,"&lt;-- defina o número do agrupador",
                       OFFSET(EVENTOS!$D$15,$A66-$A$15,0)),
                OFFSET($F$15,$A66,0)))</f>
        <v>SINALIZAÇÃO VERTICAL</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25.5" x14ac:dyDescent="0.2">
      <c r="A67" s="7" t="str">
        <f t="shared" ca="1" si="11"/>
        <v>50</v>
      </c>
      <c r="B67" s="7" t="str">
        <f ca="1">OFFSET(ORÇAMENTO!C$15,$L67,0)</f>
        <v>S</v>
      </c>
      <c r="C67" s="7" t="str">
        <f ca="1">OFFSET(ORÇAMENTO!L$15,$L67,0)</f>
        <v/>
      </c>
      <c r="D67" s="116" t="str">
        <f ca="1">OFFSET(ORÇAMENTO!N$15,$L67,0)</f>
        <v>Serviço</v>
      </c>
      <c r="E67" s="117" t="str">
        <f ca="1">OFFSET(ORÇAMENTO!O$15,$L67,0)</f>
        <v>-</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2</v>
      </c>
      <c r="I67" s="468" t="s">
        <v>1061</v>
      </c>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12"/>
        <v>52</v>
      </c>
      <c r="M67" s="166">
        <f ca="1">IF($D67&lt;&gt;"Serviço","",
          IF(AUTOEVENTO="manual",$A67,
                IF(ISERROR(MATCH($A67,$A$15:OFFSET($A67,-1,0),0)),MAX($M$15:OFFSET(M67,-1,0))+1,
                      INDEX($M$15:OFFSET(M67,-1,0),MATCH($A67,$A$15:OFFSET($A67,-1,0),0)))))</f>
        <v>10</v>
      </c>
      <c r="N67" s="167" t="str">
        <f ca="1">IF($D67&lt;&gt;"Serviço","",
         IF(AUTOEVENTO="Manual",
                IF($A67=0,"&lt;-- defina o número do agrupador",
                       OFFSET(EVENTOS!$D$15,$A67-$A$15,0)),
                OFFSET($F$15,$A67,0)))</f>
        <v>SINALIZAÇÃO VERTICAL</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12.75" x14ac:dyDescent="0.2">
      <c r="A68" s="7" t="str">
        <f t="shared" ca="1" si="11"/>
        <v>53.</v>
      </c>
      <c r="B68" s="7">
        <f ca="1">OFFSET(ORÇAMENTO!C$15,$L68,0)</f>
        <v>2</v>
      </c>
      <c r="C68" s="7" t="str">
        <f ca="1">OFFSET(ORÇAMENTO!L$15,$L68,0)</f>
        <v>F</v>
      </c>
      <c r="D68" s="116" t="str">
        <f ca="1">OFFSET(ORÇAMENTO!N$15,$L68,0)</f>
        <v>Nível 2</v>
      </c>
      <c r="E68" s="117" t="str">
        <f ca="1">OFFSET(ORÇAMENTO!O$15,$L68,0)</f>
        <v>6.2.</v>
      </c>
      <c r="F68" s="163" t="str">
        <f ca="1">OFFSET(ORÇAMENTO!R$15,$L68,0)</f>
        <v>OBRAS COMPLEMENTARES</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t="shared" ca="1" si="12"/>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ht="25.5" x14ac:dyDescent="0.2">
      <c r="A69" s="7" t="str">
        <f t="shared" ca="1" si="11"/>
        <v>53</v>
      </c>
      <c r="B69" s="7" t="str">
        <f ca="1">OFFSET(ORÇAMENTO!C$15,$L69,0)</f>
        <v>S</v>
      </c>
      <c r="C69" s="7" t="str">
        <f ca="1">OFFSET(ORÇAMENTO!L$15,$L69,0)</f>
        <v/>
      </c>
      <c r="D69" s="116" t="str">
        <f ca="1">OFFSET(ORÇAMENTO!N$15,$L69,0)</f>
        <v>Serviço</v>
      </c>
      <c r="E69" s="117" t="str">
        <f ca="1">OFFSET(ORÇAMENTO!O$15,$L69,0)</f>
        <v>-</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20.09</v>
      </c>
      <c r="I69" s="468" t="s">
        <v>1094</v>
      </c>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12"/>
        <v>54</v>
      </c>
      <c r="M69" s="166">
        <f ca="1">IF($D69&lt;&gt;"Serviço","",
          IF(AUTOEVENTO="manual",$A69,
                IF(ISERROR(MATCH($A69,$A$15:OFFSET($A69,-1,0),0)),MAX($M$15:OFFSET(M69,-1,0))+1,
                      INDEX($M$15:OFFSET(M69,-1,0),MATCH($A69,$A$15:OFFSET($A69,-1,0),0)))))</f>
        <v>11</v>
      </c>
      <c r="N69" s="167" t="str">
        <f ca="1">IF($D69&lt;&gt;"Serviço","",
         IF(AUTOEVENTO="Manual",
                IF($A69=0,"&lt;-- defina o número do agrupador",
                       OFFSET(EVENTOS!$D$15,$A69-$A$15,0)),
                OFFSET($F$15,$A69,0)))</f>
        <v>OBRAS COMPLEMENTARES</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25.5" x14ac:dyDescent="0.2">
      <c r="A70" s="7" t="str">
        <f ca="1">IFERROR(IF(AUTOEVENTO="Manual",IF(K70&lt;&gt;"",MIN(VALUE(LEFT(K70,FIND(".",K70)-1)),COUNTA(EVENTOS.Lista)),0),IF(OR($B70&gt;AUTOEVENTO,$B70="S",$B70=0),SUBSTITUTE(OFFSET($A70,-1,0),IF($D70="Serviço",".",""),""),$L70&amp;".")),0)</f>
        <v>53</v>
      </c>
      <c r="B70" s="7" t="str">
        <f ca="1">OFFSET(ORÇAMENTO!C$15,$L70,0)</f>
        <v>S</v>
      </c>
      <c r="C70" s="7" t="str">
        <f ca="1">OFFSET(ORÇAMENTO!L$15,$L70,0)</f>
        <v/>
      </c>
      <c r="D70" s="116" t="str">
        <f ca="1">OFFSET(ORÇAMENTO!N$15,$L70,0)</f>
        <v>Serviço</v>
      </c>
      <c r="E70" s="117" t="str">
        <f ca="1">OFFSET(ORÇAMENTO!O$15,$L70,0)</f>
        <v>-</v>
      </c>
      <c r="F70" s="163" t="str">
        <f ca="1">OFFSET(ORÇAMENTO!R$15,$L70,0)</f>
        <v>(Código não identificado nas referências)</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178.63</v>
      </c>
      <c r="I70" s="468" t="s">
        <v>1095</v>
      </c>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ca="1">OFFSET(L70,-1,0)+1</f>
        <v>55</v>
      </c>
      <c r="M70" s="166">
        <f ca="1">IF($D70&lt;&gt;"Serviço","",
          IF(AUTOEVENTO="manual",$A70,
                IF(ISERROR(MATCH($A70,$A$15:OFFSET($A70,-1,0),0)),MAX($M$15:OFFSET(M70,-1,0))+1,
                      INDEX($M$15:OFFSET(M70,-1,0),MATCH($A70,$A$15:OFFSET($A70,-1,0),0)))))</f>
        <v>11</v>
      </c>
      <c r="N70" s="167" t="str">
        <f ca="1">IF($D70&lt;&gt;"Serviço","",
         IF(AUTOEVENTO="Manual",
                IF($A70=0,"&lt;-- defina o número do agrupador",
                       OFFSET(EVENTOS!$D$15,$A70-$A$15,0)),
                OFFSET($F$15,$A70,0)))</f>
        <v>OBRAS COMPLEMENTARES</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25.5" x14ac:dyDescent="0.2">
      <c r="A71" s="7" t="str">
        <f ca="1">IFERROR(IF(AUTOEVENTO="Manual",IF(K71&lt;&gt;"",MIN(VALUE(LEFT(K71,FIND(".",K71)-1)),COUNTA(EVENTOS.Lista)),0),IF(OR($B71&gt;AUTOEVENTO,$B71="S",$B71=0),SUBSTITUTE(OFFSET($A71,-1,0),IF($D71="Serviço",".",""),""),$L71&amp;".")),0)</f>
        <v>53</v>
      </c>
      <c r="B71" s="7" t="str">
        <f ca="1">OFFSET(ORÇAMENTO!C$15,$L71,0)</f>
        <v>S</v>
      </c>
      <c r="C71" s="7" t="str">
        <f ca="1">OFFSET(ORÇAMENTO!L$15,$L71,0)</f>
        <v/>
      </c>
      <c r="D71" s="116" t="str">
        <f ca="1">OFFSET(ORÇAMENTO!N$15,$L71,0)</f>
        <v>Serviço</v>
      </c>
      <c r="E71" s="117" t="str">
        <f ca="1">OFFSET(ORÇAMENTO!O$15,$L71,0)</f>
        <v>-</v>
      </c>
      <c r="F71" s="163" t="str">
        <f ca="1">OFFSET(ORÇAMENTO!R$15,$L71,0)</f>
        <v>(Código não identificado nas referências)</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16.04</v>
      </c>
      <c r="I71" s="468" t="s">
        <v>1096</v>
      </c>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ca="1">OFFSET(L71,-1,0)+1</f>
        <v>56</v>
      </c>
      <c r="M71" s="166">
        <f ca="1">IF($D71&lt;&gt;"Serviço","",
          IF(AUTOEVENTO="manual",$A71,
                IF(ISERROR(MATCH($A71,$A$15:OFFSET($A71,-1,0),0)),MAX($M$15:OFFSET(M71,-1,0))+1,
                      INDEX($M$15:OFFSET(M71,-1,0),MATCH($A71,$A$15:OFFSET($A71,-1,0),0)))))</f>
        <v>11</v>
      </c>
      <c r="N71" s="167" t="str">
        <f ca="1">IF($D71&lt;&gt;"Serviço","",
         IF(AUTOEVENTO="Manual",
                IF($A71=0,"&lt;-- defina o número do agrupador",
                       OFFSET(EVENTOS!$D$15,$A71-$A$15,0)),
                OFFSET($F$15,$A71,0)))</f>
        <v>OBRAS COMPLEMENTARES</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38.25" x14ac:dyDescent="0.2">
      <c r="A72" s="7" t="str">
        <f ca="1">IFERROR(IF(AUTOEVENTO="Manual",IF(K72&lt;&gt;"",MIN(VALUE(LEFT(K72,FIND(".",K72)-1)),COUNTA(EVENTOS.Lista)),0),IF(OR($B72&gt;AUTOEVENTO,$B72="S",$B72=0),SUBSTITUTE(OFFSET($A72,-1,0),IF($D72="Serviço",".",""),""),$L72&amp;".")),0)</f>
        <v>53</v>
      </c>
      <c r="B72" s="7" t="str">
        <f ca="1">OFFSET(ORÇAMENTO!C$15,$L72,0)</f>
        <v>S</v>
      </c>
      <c r="C72" s="7" t="str">
        <f ca="1">OFFSET(ORÇAMENTO!L$15,$L72,0)</f>
        <v/>
      </c>
      <c r="D72" s="116" t="str">
        <f ca="1">OFFSET(ORÇAMENTO!N$15,$L72,0)</f>
        <v>Serviço</v>
      </c>
      <c r="E72" s="117" t="str">
        <f ca="1">OFFSET(ORÇAMENTO!O$15,$L72,0)</f>
        <v>-</v>
      </c>
      <c r="F72" s="163" t="str">
        <f ca="1">OFFSET(ORÇAMENTO!R$15,$L72,0)</f>
        <v>(Código não identificado nas referências)</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16.04</v>
      </c>
      <c r="I72" s="468" t="s">
        <v>1097</v>
      </c>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ca="1">OFFSET(L72,-1,0)+1</f>
        <v>57</v>
      </c>
      <c r="M72" s="166">
        <f ca="1">IF($D72&lt;&gt;"Serviço","",
          IF(AUTOEVENTO="manual",$A72,
                IF(ISERROR(MATCH($A72,$A$15:OFFSET($A72,-1,0),0)),MAX($M$15:OFFSET(M72,-1,0))+1,
                      INDEX($M$15:OFFSET(M72,-1,0),MATCH($A72,$A$15:OFFSET($A72,-1,0),0)))))</f>
        <v>11</v>
      </c>
      <c r="N72" s="167" t="str">
        <f ca="1">IF($D72&lt;&gt;"Serviço","",
         IF(AUTOEVENTO="Manual",
                IF($A72=0,"&lt;-- defina o número do agrupador",
                       OFFSET(EVENTOS!$D$15,$A72-$A$15,0)),
                OFFSET($F$15,$A72,0)))</f>
        <v>OBRAS COMPLEMENTARES</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12.75" x14ac:dyDescent="0.2">
      <c r="A73" s="7" t="str">
        <f t="shared" ref="A73:A103" ca="1" si="13">IFERROR(IF(AUTOEVENTO="Manual",IF(K73&lt;&gt;"",MIN(VALUE(LEFT(K73,FIND(".",K73)-1)),COUNTA(EVENTOS.Lista)),0),IF(OR($B73&gt;AUTOEVENTO,$B73="S",$B73=0),SUBSTITUTE(OFFSET($A73,-1,0),IF($D73="Serviço",".",""),""),$L73&amp;".")),0)</f>
        <v>58.</v>
      </c>
      <c r="B73" s="7">
        <f ca="1">OFFSET(ORÇAMENTO!C$15,$L73,0)</f>
        <v>1</v>
      </c>
      <c r="C73" s="7" t="str">
        <f ca="1">OFFSET(ORÇAMENTO!L$15,$L73,0)</f>
        <v>F</v>
      </c>
      <c r="D73" s="116" t="str">
        <f ca="1">OFFSET(ORÇAMENTO!N$15,$L73,0)</f>
        <v>Meta</v>
      </c>
      <c r="E73" s="117" t="str">
        <f ca="1">OFFSET(ORÇAMENTO!O$15,$L73,0)</f>
        <v>7.</v>
      </c>
      <c r="F73" s="163" t="str">
        <f ca="1">OFFSET(ORÇAMENTO!R$15,$L73,0)</f>
        <v xml:space="preserve">ADMINISTRAÇÃO LOCAL </v>
      </c>
      <c r="G73" s="164" t="str">
        <f ca="1">IF($D73&lt;&gt;"Serviço","",OFFSET(ORÇAMENTO!S$15,$L73,0))</f>
        <v/>
      </c>
      <c r="H73" s="122" cm="1">
        <f t="array" aca="1" ref="H73" ca="1">IF($D73&lt;&gt;"Serviço",0,IF(ACOMPANHAMENTO="BM",ROUND(OFFSET(ORÇAMENTO!AJ$15,$L73,0),15-13*ORÇAMENTO!$AF$7),IF(IFERROR(CÁLCULO.FrentesPreenchidas,0)=0,0,SUM(ROUND(OFFSET($P73,0,1,1,CÁLCULO.FrentesPreenchidas),15-13*ORÇAMENTO!$AF$7)))))</f>
        <v>0</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t="shared" ref="L73:L103" ca="1" si="14">OFFSET(L73,-1,0)+1</f>
        <v>58</v>
      </c>
      <c r="M73" s="166" t="str">
        <f ca="1">IF($D73&lt;&gt;"Serviço","",
          IF(AUTOEVENTO="manual",$A73,
                IF(ISERROR(MATCH($A73,$A$15:OFFSET($A73,-1,0),0)),MAX($M$15:OFFSET(M73,-1,0))+1,
                      INDEX($M$15:OFFSET(M73,-1,0),MATCH($A73,$A$15:OFFSET($A73,-1,0),0)))))</f>
        <v/>
      </c>
      <c r="N73" s="167" t="str">
        <f ca="1">IF($D73&lt;&gt;"Serviço","",
         IF(AUTOEVENTO="Manual",
                IF($A73=0,"&lt;-- defina o número do agrupador",
                       OFFSET(EVENTOS!$D$15,$A73-$A$15,0)),
                OFFSET($F$15,$A73,0)))</f>
        <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0</v>
      </c>
      <c r="AN73" s="171">
        <f ca="1">IF(OR($D73&lt;&gt;"Serviço",AND(AUTOEVENTO="Manual",$M73=$A$15)),0,
         IF(OFFSET(CRONOPLE!$F$15,$M73-$A$15,AN$13)=0,10^12,OFFSET(CRONOPLE!$F$15,$M73-$A$15,AN$13)))</f>
        <v>0</v>
      </c>
      <c r="AO73" s="171">
        <f ca="1">IF(OR($D73&lt;&gt;"Serviço",AND(AUTOEVENTO="Manual",$M73=$A$15)),0,
         IF(OFFSET(CRONOPLE!$F$15,$M73-$A$15,AO$13)=0,10^12,OFFSET(CRONOPLE!$F$15,$M73-$A$15,AO$13)))</f>
        <v>0</v>
      </c>
      <c r="AP73" s="171">
        <f ca="1">IF(OR($D73&lt;&gt;"Serviço",AND(AUTOEVENTO="Manual",$M73=$A$15)),0,
         IF(OFFSET(CRONOPLE!$F$15,$M73-$A$15,AP$13)=0,10^12,OFFSET(CRONOPLE!$F$15,$M73-$A$15,AP$13)))</f>
        <v>0</v>
      </c>
      <c r="AQ73" s="171">
        <f ca="1">IF(OR($D73&lt;&gt;"Serviço",AND(AUTOEVENTO="Manual",$M73=$A$15)),0,
         IF(OFFSET(CRONOPLE!$F$15,$M73-$A$15,AQ$13)=0,10^12,OFFSET(CRONOPLE!$F$15,$M73-$A$15,AQ$13)))</f>
        <v>0</v>
      </c>
      <c r="AR73" s="171">
        <f ca="1">IF(OR($D73&lt;&gt;"Serviço",AND(AUTOEVENTO="Manual",$M73=$A$15)),0,
         IF(OFFSET(CRONOPLE!$F$15,$M73-$A$15,AR$13)=0,10^12,OFFSET(CRONOPLE!$F$15,$M73-$A$15,AR$13)))</f>
        <v>0</v>
      </c>
      <c r="AS73" s="171">
        <f ca="1">IF(OR($D73&lt;&gt;"Serviço",AND(AUTOEVENTO="Manual",$M73=$A$15)),0,
         IF(OFFSET(CRONOPLE!$F$15,$M73-$A$15,AS$13)=0,10^12,OFFSET(CRONOPLE!$F$15,$M73-$A$15,AS$13)))</f>
        <v>0</v>
      </c>
      <c r="AT73" s="171">
        <f ca="1">IF(OR($D73&lt;&gt;"Serviço",AND(AUTOEVENTO="Manual",$M73=$A$15)),0,
         IF(OFFSET(CRONOPLE!$F$15,$M73-$A$15,AT$13)=0,10^12,OFFSET(CRONOPLE!$F$15,$M73-$A$15,AT$13)))</f>
        <v>0</v>
      </c>
      <c r="AU73" s="171">
        <f ca="1">IF(OR($D73&lt;&gt;"Serviço",AND(AUTOEVENTO="Manual",$M73=$A$15)),0,
         IF(OFFSET(CRONOPLE!$F$15,$M73-$A$15,AU$13)=0,10^12,OFFSET(CRONOPLE!$F$15,$M73-$A$15,AU$13)))</f>
        <v>0</v>
      </c>
      <c r="AV73" s="171">
        <f ca="1">IF(OR($D73&lt;&gt;"Serviço",AND(AUTOEVENTO="Manual",$M73=$A$15)),0,
         IF(OFFSET(CRONOPLE!$F$15,$M73-$A$15,AV$13)=0,10^12,OFFSET(CRONOPLE!$F$15,$M73-$A$15,AV$13)))</f>
        <v>0</v>
      </c>
      <c r="AX73" s="172" cm="1">
        <f t="array" aca="1" ref="AX73" ca="1">IF(OR($D73&lt;&gt;"Serviço",AND(AUTOEVENTO="Manual",$M73=$A$15),$M73&gt;(ROW(PLE.lastrow)-ROW(PLE.firstrow))),0,
           IF(OFFSET(PLE!$G$15,$M73-$A$15,AX$13)="",10^12,OFFSET(PLE!$G$15,$M73-$A$15,AX$13)))</f>
        <v>0</v>
      </c>
      <c r="AY73" s="172" cm="1">
        <f t="array" aca="1" ref="AY73" ca="1">IF(OR($D73&lt;&gt;"Serviço",AND(AUTOEVENTO="Manual",$M73=$A$15),$M73&gt;(ROW(PLE.lastrow)-ROW(PLE.firstrow))),0,
           IF(OFFSET(PLE!$G$15,$M73-$A$15,AY$13)="",10^12,OFFSET(PLE!$G$15,$M73-$A$15,AY$13)))</f>
        <v>0</v>
      </c>
      <c r="AZ73" s="172" cm="1">
        <f t="array" aca="1" ref="AZ73" ca="1">IF(OR($D73&lt;&gt;"Serviço",AND(AUTOEVENTO="Manual",$M73=$A$15),$M73&gt;(ROW(PLE.lastrow)-ROW(PLE.firstrow))),0,
           IF(OFFSET(PLE!$G$15,$M73-$A$15,AZ$13)="",10^12,OFFSET(PLE!$G$15,$M73-$A$15,AZ$13)))</f>
        <v>0</v>
      </c>
      <c r="BA73" s="172" cm="1">
        <f t="array" aca="1" ref="BA73" ca="1">IF(OR($D73&lt;&gt;"Serviço",AND(AUTOEVENTO="Manual",$M73=$A$15),$M73&gt;(ROW(PLE.lastrow)-ROW(PLE.firstrow))),0,
           IF(OFFSET(PLE!$G$15,$M73-$A$15,BA$13)="",10^12,OFFSET(PLE!$G$15,$M73-$A$15,BA$13)))</f>
        <v>0</v>
      </c>
      <c r="BB73" s="172" cm="1">
        <f t="array" aca="1" ref="BB73" ca="1">IF(OR($D73&lt;&gt;"Serviço",AND(AUTOEVENTO="Manual",$M73=$A$15),$M73&gt;(ROW(PLE.lastrow)-ROW(PLE.firstrow))),0,
           IF(OFFSET(PLE!$G$15,$M73-$A$15,BB$13)="",10^12,OFFSET(PLE!$G$15,$M73-$A$15,BB$13)))</f>
        <v>0</v>
      </c>
      <c r="BC73" s="172" cm="1">
        <f t="array" aca="1" ref="BC73" ca="1">IF(OR($D73&lt;&gt;"Serviço",AND(AUTOEVENTO="Manual",$M73=$A$15),$M73&gt;(ROW(PLE.lastrow)-ROW(PLE.firstrow))),0,
           IF(OFFSET(PLE!$G$15,$M73-$A$15,BC$13)="",10^12,OFFSET(PLE!$G$15,$M73-$A$15,BC$13)))</f>
        <v>0</v>
      </c>
      <c r="BD73" s="172" cm="1">
        <f t="array" aca="1" ref="BD73" ca="1">IF(OR($D73&lt;&gt;"Serviço",AND(AUTOEVENTO="Manual",$M73=$A$15),$M73&gt;(ROW(PLE.lastrow)-ROW(PLE.firstrow))),0,
           IF(OFFSET(PLE!$G$15,$M73-$A$15,BD$13)="",10^12,OFFSET(PLE!$G$15,$M73-$A$15,BD$13)))</f>
        <v>0</v>
      </c>
      <c r="BE73" s="172" cm="1">
        <f t="array" aca="1" ref="BE73" ca="1">IF(OR($D73&lt;&gt;"Serviço",AND(AUTOEVENTO="Manual",$M73=$A$15),$M73&gt;(ROW(PLE.lastrow)-ROW(PLE.firstrow))),0,
           IF(OFFSET(PLE!$G$15,$M73-$A$15,BE$13)="",10^12,OFFSET(PLE!$G$15,$M73-$A$15,BE$13)))</f>
        <v>0</v>
      </c>
      <c r="BF73" s="172" cm="1">
        <f t="array" aca="1" ref="BF73" ca="1">IF(OR($D73&lt;&gt;"Serviço",AND(AUTOEVENTO="Manual",$M73=$A$15),$M73&gt;(ROW(PLE.lastrow)-ROW(PLE.firstrow))),0,
           IF(OFFSET(PLE!$G$15,$M73-$A$15,BF$13)="",10^12,OFFSET(PLE!$G$15,$M73-$A$15,BF$13)))</f>
        <v>0</v>
      </c>
      <c r="BG73" s="172" cm="1">
        <f t="array" aca="1" ref="BG73" ca="1">IF(OR($D73&lt;&gt;"Serviço",AND(AUTOEVENTO="Manual",$M73=$A$15),$M73&gt;(ROW(PLE.lastrow)-ROW(PLE.firstrow))),0,
           IF(OFFSET(PLE!$G$15,$M73-$A$15,BG$13)="",10^12,OFFSET(PLE!$G$15,$M73-$A$15,BG$13)))</f>
        <v>0</v>
      </c>
    </row>
    <row r="74" spans="1:59" ht="12.75" x14ac:dyDescent="0.2">
      <c r="A74" s="7" t="str">
        <f t="shared" ca="1" si="13"/>
        <v>59.</v>
      </c>
      <c r="B74" s="7">
        <f ca="1">OFFSET(ORÇAMENTO!C$15,$L74,0)</f>
        <v>2</v>
      </c>
      <c r="C74" s="7" t="str">
        <f ca="1">OFFSET(ORÇAMENTO!L$15,$L74,0)</f>
        <v>F</v>
      </c>
      <c r="D74" s="116" t="str">
        <f ca="1">OFFSET(ORÇAMENTO!N$15,$L74,0)</f>
        <v>Nível 2</v>
      </c>
      <c r="E74" s="117" t="str">
        <f ca="1">OFFSET(ORÇAMENTO!O$15,$L74,0)</f>
        <v>7.1.</v>
      </c>
      <c r="F74" s="163" t="str">
        <f ca="1">OFFSET(ORÇAMENTO!R$15,$L74,0)</f>
        <v xml:space="preserve">ADMINISTRAÇÃO LOCAL </v>
      </c>
      <c r="G74" s="164" t="str">
        <f ca="1">IF($D74&lt;&gt;"Serviço","",OFFSET(ORÇAMENTO!S$15,$L74,0))</f>
        <v/>
      </c>
      <c r="H74" s="122" cm="1">
        <f t="array" aca="1" ref="H74" ca="1">IF($D74&lt;&gt;"Serviço",0,IF(ACOMPANHAMENTO="BM",ROUND(OFFSET(ORÇAMENTO!AJ$15,$L74,0),15-13*ORÇAMENTO!$AF$7),IF(IFERROR(CÁLCULO.FrentesPreenchidas,0)=0,0,SUM(ROUND(OFFSET($P74,0,1,1,CÁLCULO.FrentesPreenchidas),15-13*ORÇAMENTO!$AF$7)))))</f>
        <v>0</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t="shared" ca="1" si="14"/>
        <v>59</v>
      </c>
      <c r="M74" s="166" t="str">
        <f ca="1">IF($D74&lt;&gt;"Serviço","",
          IF(AUTOEVENTO="manual",$A74,
                IF(ISERROR(MATCH($A74,$A$15:OFFSET($A74,-1,0),0)),MAX($M$15:OFFSET(M74,-1,0))+1,
                      INDEX($M$15:OFFSET(M74,-1,0),MATCH($A74,$A$15:OFFSET($A74,-1,0),0)))))</f>
        <v/>
      </c>
      <c r="N74" s="167" t="str">
        <f ca="1">IF($D74&lt;&gt;"Serviço","",
         IF(AUTOEVENTO="Manual",
                IF($A74=0,"&lt;-- defina o número do agrupador",
                       OFFSET(EVENTOS!$D$15,$A74-$A$15,0)),
                OFFSET($F$15,$A74,0)))</f>
        <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0</v>
      </c>
      <c r="AN74" s="171">
        <f ca="1">IF(OR($D74&lt;&gt;"Serviço",AND(AUTOEVENTO="Manual",$M74=$A$15)),0,
         IF(OFFSET(CRONOPLE!$F$15,$M74-$A$15,AN$13)=0,10^12,OFFSET(CRONOPLE!$F$15,$M74-$A$15,AN$13)))</f>
        <v>0</v>
      </c>
      <c r="AO74" s="171">
        <f ca="1">IF(OR($D74&lt;&gt;"Serviço",AND(AUTOEVENTO="Manual",$M74=$A$15)),0,
         IF(OFFSET(CRONOPLE!$F$15,$M74-$A$15,AO$13)=0,10^12,OFFSET(CRONOPLE!$F$15,$M74-$A$15,AO$13)))</f>
        <v>0</v>
      </c>
      <c r="AP74" s="171">
        <f ca="1">IF(OR($D74&lt;&gt;"Serviço",AND(AUTOEVENTO="Manual",$M74=$A$15)),0,
         IF(OFFSET(CRONOPLE!$F$15,$M74-$A$15,AP$13)=0,10^12,OFFSET(CRONOPLE!$F$15,$M74-$A$15,AP$13)))</f>
        <v>0</v>
      </c>
      <c r="AQ74" s="171">
        <f ca="1">IF(OR($D74&lt;&gt;"Serviço",AND(AUTOEVENTO="Manual",$M74=$A$15)),0,
         IF(OFFSET(CRONOPLE!$F$15,$M74-$A$15,AQ$13)=0,10^12,OFFSET(CRONOPLE!$F$15,$M74-$A$15,AQ$13)))</f>
        <v>0</v>
      </c>
      <c r="AR74" s="171">
        <f ca="1">IF(OR($D74&lt;&gt;"Serviço",AND(AUTOEVENTO="Manual",$M74=$A$15)),0,
         IF(OFFSET(CRONOPLE!$F$15,$M74-$A$15,AR$13)=0,10^12,OFFSET(CRONOPLE!$F$15,$M74-$A$15,AR$13)))</f>
        <v>0</v>
      </c>
      <c r="AS74" s="171">
        <f ca="1">IF(OR($D74&lt;&gt;"Serviço",AND(AUTOEVENTO="Manual",$M74=$A$15)),0,
         IF(OFFSET(CRONOPLE!$F$15,$M74-$A$15,AS$13)=0,10^12,OFFSET(CRONOPLE!$F$15,$M74-$A$15,AS$13)))</f>
        <v>0</v>
      </c>
      <c r="AT74" s="171">
        <f ca="1">IF(OR($D74&lt;&gt;"Serviço",AND(AUTOEVENTO="Manual",$M74=$A$15)),0,
         IF(OFFSET(CRONOPLE!$F$15,$M74-$A$15,AT$13)=0,10^12,OFFSET(CRONOPLE!$F$15,$M74-$A$15,AT$13)))</f>
        <v>0</v>
      </c>
      <c r="AU74" s="171">
        <f ca="1">IF(OR($D74&lt;&gt;"Serviço",AND(AUTOEVENTO="Manual",$M74=$A$15)),0,
         IF(OFFSET(CRONOPLE!$F$15,$M74-$A$15,AU$13)=0,10^12,OFFSET(CRONOPLE!$F$15,$M74-$A$15,AU$13)))</f>
        <v>0</v>
      </c>
      <c r="AV74" s="171">
        <f ca="1">IF(OR($D74&lt;&gt;"Serviço",AND(AUTOEVENTO="Manual",$M74=$A$15)),0,
         IF(OFFSET(CRONOPLE!$F$15,$M74-$A$15,AV$13)=0,10^12,OFFSET(CRONOPLE!$F$15,$M74-$A$15,AV$13)))</f>
        <v>0</v>
      </c>
      <c r="AX74" s="172" cm="1">
        <f t="array" aca="1" ref="AX74" ca="1">IF(OR($D74&lt;&gt;"Serviço",AND(AUTOEVENTO="Manual",$M74=$A$15),$M74&gt;(ROW(PLE.lastrow)-ROW(PLE.firstrow))),0,
           IF(OFFSET(PLE!$G$15,$M74-$A$15,AX$13)="",10^12,OFFSET(PLE!$G$15,$M74-$A$15,AX$13)))</f>
        <v>0</v>
      </c>
      <c r="AY74" s="172" cm="1">
        <f t="array" aca="1" ref="AY74" ca="1">IF(OR($D74&lt;&gt;"Serviço",AND(AUTOEVENTO="Manual",$M74=$A$15),$M74&gt;(ROW(PLE.lastrow)-ROW(PLE.firstrow))),0,
           IF(OFFSET(PLE!$G$15,$M74-$A$15,AY$13)="",10^12,OFFSET(PLE!$G$15,$M74-$A$15,AY$13)))</f>
        <v>0</v>
      </c>
      <c r="AZ74" s="172" cm="1">
        <f t="array" aca="1" ref="AZ74" ca="1">IF(OR($D74&lt;&gt;"Serviço",AND(AUTOEVENTO="Manual",$M74=$A$15),$M74&gt;(ROW(PLE.lastrow)-ROW(PLE.firstrow))),0,
           IF(OFFSET(PLE!$G$15,$M74-$A$15,AZ$13)="",10^12,OFFSET(PLE!$G$15,$M74-$A$15,AZ$13)))</f>
        <v>0</v>
      </c>
      <c r="BA74" s="172" cm="1">
        <f t="array" aca="1" ref="BA74" ca="1">IF(OR($D74&lt;&gt;"Serviço",AND(AUTOEVENTO="Manual",$M74=$A$15),$M74&gt;(ROW(PLE.lastrow)-ROW(PLE.firstrow))),0,
           IF(OFFSET(PLE!$G$15,$M74-$A$15,BA$13)="",10^12,OFFSET(PLE!$G$15,$M74-$A$15,BA$13)))</f>
        <v>0</v>
      </c>
      <c r="BB74" s="172" cm="1">
        <f t="array" aca="1" ref="BB74" ca="1">IF(OR($D74&lt;&gt;"Serviço",AND(AUTOEVENTO="Manual",$M74=$A$15),$M74&gt;(ROW(PLE.lastrow)-ROW(PLE.firstrow))),0,
           IF(OFFSET(PLE!$G$15,$M74-$A$15,BB$13)="",10^12,OFFSET(PLE!$G$15,$M74-$A$15,BB$13)))</f>
        <v>0</v>
      </c>
      <c r="BC74" s="172" cm="1">
        <f t="array" aca="1" ref="BC74" ca="1">IF(OR($D74&lt;&gt;"Serviço",AND(AUTOEVENTO="Manual",$M74=$A$15),$M74&gt;(ROW(PLE.lastrow)-ROW(PLE.firstrow))),0,
           IF(OFFSET(PLE!$G$15,$M74-$A$15,BC$13)="",10^12,OFFSET(PLE!$G$15,$M74-$A$15,BC$13)))</f>
        <v>0</v>
      </c>
      <c r="BD74" s="172" cm="1">
        <f t="array" aca="1" ref="BD74" ca="1">IF(OR($D74&lt;&gt;"Serviço",AND(AUTOEVENTO="Manual",$M74=$A$15),$M74&gt;(ROW(PLE.lastrow)-ROW(PLE.firstrow))),0,
           IF(OFFSET(PLE!$G$15,$M74-$A$15,BD$13)="",10^12,OFFSET(PLE!$G$15,$M74-$A$15,BD$13)))</f>
        <v>0</v>
      </c>
      <c r="BE74" s="172" cm="1">
        <f t="array" aca="1" ref="BE74" ca="1">IF(OR($D74&lt;&gt;"Serviço",AND(AUTOEVENTO="Manual",$M74=$A$15),$M74&gt;(ROW(PLE.lastrow)-ROW(PLE.firstrow))),0,
           IF(OFFSET(PLE!$G$15,$M74-$A$15,BE$13)="",10^12,OFFSET(PLE!$G$15,$M74-$A$15,BE$13)))</f>
        <v>0</v>
      </c>
      <c r="BF74" s="172" cm="1">
        <f t="array" aca="1" ref="BF74" ca="1">IF(OR($D74&lt;&gt;"Serviço",AND(AUTOEVENTO="Manual",$M74=$A$15),$M74&gt;(ROW(PLE.lastrow)-ROW(PLE.firstrow))),0,
           IF(OFFSET(PLE!$G$15,$M74-$A$15,BF$13)="",10^12,OFFSET(PLE!$G$15,$M74-$A$15,BF$13)))</f>
        <v>0</v>
      </c>
      <c r="BG74" s="172" cm="1">
        <f t="array" aca="1" ref="BG74" ca="1">IF(OR($D74&lt;&gt;"Serviço",AND(AUTOEVENTO="Manual",$M74=$A$15),$M74&gt;(ROW(PLE.lastrow)-ROW(PLE.firstrow))),0,
           IF(OFFSET(PLE!$G$15,$M74-$A$15,BG$13)="",10^12,OFFSET(PLE!$G$15,$M74-$A$15,BG$13)))</f>
        <v>0</v>
      </c>
    </row>
    <row r="75" spans="1:59" ht="12.75" x14ac:dyDescent="0.2">
      <c r="A75" s="7" t="str">
        <f t="shared" ca="1" si="13"/>
        <v>59</v>
      </c>
      <c r="B75" s="7" t="str">
        <f ca="1">OFFSET(ORÇAMENTO!C$15,$L75,0)</f>
        <v>S</v>
      </c>
      <c r="C75" s="7" t="str">
        <f ca="1">OFFSET(ORÇAMENTO!L$15,$L75,0)</f>
        <v/>
      </c>
      <c r="D75" s="116" t="str">
        <f ca="1">OFFSET(ORÇAMENTO!N$15,$L75,0)</f>
        <v>Serviço</v>
      </c>
      <c r="E75" s="117" t="str">
        <f ca="1">OFFSET(ORÇAMENTO!O$15,$L75,0)</f>
        <v>-</v>
      </c>
      <c r="F75" s="163" t="str">
        <f ca="1">OFFSET(ORÇAMENTO!R$15,$L75,0)</f>
        <v>(Código não identificado nas referências)</v>
      </c>
      <c r="G75" s="164" t="str">
        <f ca="1">IF($D75&lt;&gt;"Serviço","",OFFSET(ORÇAMENTO!S$15,$L75,0))</f>
        <v>-</v>
      </c>
      <c r="H75" s="122" cm="1">
        <f t="array" aca="1" ref="H75" ca="1">IF($D75&lt;&gt;"Serviço",0,IF(ACOMPANHAMENTO="BM",ROUND(OFFSET(ORÇAMENTO!AJ$15,$L75,0),15-13*ORÇAMENTO!$AF$7),IF(IFERROR(CÁLCULO.FrentesPreenchidas,0)=0,0,SUM(ROUND(OFFSET($P75,0,1,1,CÁLCULO.FrentesPreenchidas),15-13*ORÇAMENTO!$AF$7)))))</f>
        <v>3</v>
      </c>
      <c r="I75" s="468" t="s">
        <v>1098</v>
      </c>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14"/>
        <v>60</v>
      </c>
      <c r="M75" s="166">
        <f ca="1">IF($D75&lt;&gt;"Serviço","",
          IF(AUTOEVENTO="manual",$A75,
                IF(ISERROR(MATCH($A75,$A$15:OFFSET($A75,-1,0),0)),MAX($M$15:OFFSET(M75,-1,0))+1,
                      INDEX($M$15:OFFSET(M75,-1,0),MATCH($A75,$A$15:OFFSET($A75,-1,0),0)))))</f>
        <v>12</v>
      </c>
      <c r="N75" s="167" t="str">
        <f ca="1">IF($D75&lt;&gt;"Serviço","",
         IF(AUTOEVENTO="Manual",
                IF($A75=0,"&lt;-- defina o número do agrupador",
                       OFFSET(EVENTOS!$D$15,$A75-$A$15,0)),
                OFFSET($F$15,$A75,0)))</f>
        <v xml:space="preserve">ADMINISTRAÇÃO LOCAL </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12.75" hidden="1" x14ac:dyDescent="0.2">
      <c r="A76" s="7" t="str">
        <f t="shared" ca="1" si="13"/>
        <v>59</v>
      </c>
      <c r="B76" s="7" t="str">
        <f ca="1">OFFSET(ORÇAMENTO!C$15,$L76,0)</f>
        <v>S</v>
      </c>
      <c r="C76" s="7" t="str">
        <f ca="1">OFFSET(ORÇAMENTO!L$15,$L76,0)</f>
        <v/>
      </c>
      <c r="D76" s="116" t="str">
        <f ca="1">OFFSET(ORÇAMENTO!N$15,$L76,0)</f>
        <v>Serviço</v>
      </c>
      <c r="E76" s="117" t="str">
        <f ca="1">OFFSET(ORÇAMENTO!O$15,$L76,0)</f>
        <v>-</v>
      </c>
      <c r="F76" s="163" t="str">
        <f ca="1">OFFSET(ORÇAMENTO!R$15,$L76,0)</f>
        <v>(Sem Código)</v>
      </c>
      <c r="G76" s="164" t="str">
        <f ca="1">IF($D76&lt;&gt;"Serviço","",OFFSET(ORÇAMENTO!S$15,$L76,0))</f>
        <v>-</v>
      </c>
      <c r="H76" s="122" cm="1">
        <f t="array" aca="1" ref="H76" ca="1">IF($D76&lt;&gt;"Serviço",0,IF(ACOMPANHAMENTO="BM",ROUND(OFFSET(ORÇAMENTO!AJ$15,$L76,0),15-13*ORÇAMENTO!$AF$7),IF(IFERROR(CÁLCULO.FrentesPreenchidas,0)=0,0,SUM(ROUND(OFFSET($P76,0,1,1,CÁLCULO.FrentesPreenchidas),15-13*ORÇAMENTO!$AF$7)))))</f>
        <v>0</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t="shared" ca="1" si="14"/>
        <v>61</v>
      </c>
      <c r="M76" s="166">
        <f ca="1">IF($D76&lt;&gt;"Serviço","",
          IF(AUTOEVENTO="manual",$A76,
                IF(ISERROR(MATCH($A76,$A$15:OFFSET($A76,-1,0),0)),MAX($M$15:OFFSET(M76,-1,0))+1,
                      INDEX($M$15:OFFSET(M76,-1,0),MATCH($A76,$A$15:OFFSET($A76,-1,0),0)))))</f>
        <v>12</v>
      </c>
      <c r="N76" s="167" t="str">
        <f ca="1">IF($D76&lt;&gt;"Serviço","",
         IF(AUTOEVENTO="Manual",
                IF($A76=0,"&lt;-- defina o número do agrupador",
                       OFFSET(EVENTOS!$D$15,$A76-$A$15,0)),
                OFFSET($F$15,$A76,0)))</f>
        <v xml:space="preserve">ADMINISTRAÇÃO LOCAL </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1000000000000</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12.75" hidden="1" x14ac:dyDescent="0.2">
      <c r="A77" s="7" t="str">
        <f t="shared" ca="1" si="13"/>
        <v>59</v>
      </c>
      <c r="B77" s="7" t="str">
        <f ca="1">OFFSET(ORÇAMENTO!C$15,$L77,0)</f>
        <v>S</v>
      </c>
      <c r="C77" s="7" t="str">
        <f ca="1">OFFSET(ORÇAMENTO!L$15,$L77,0)</f>
        <v/>
      </c>
      <c r="D77" s="116" t="str">
        <f ca="1">OFFSET(ORÇAMENTO!N$15,$L77,0)</f>
        <v>Serviço</v>
      </c>
      <c r="E77" s="117" t="str">
        <f ca="1">OFFSET(ORÇAMENTO!O$15,$L77,0)</f>
        <v>-</v>
      </c>
      <c r="F77" s="163" t="str">
        <f ca="1">OFFSET(ORÇAMENTO!R$15,$L77,0)</f>
        <v>(Sem Código)</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0</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14"/>
        <v>62</v>
      </c>
      <c r="M77" s="166">
        <f ca="1">IF($D77&lt;&gt;"Serviço","",
          IF(AUTOEVENTO="manual",$A77,
                IF(ISERROR(MATCH($A77,$A$15:OFFSET($A77,-1,0),0)),MAX($M$15:OFFSET(M77,-1,0))+1,
                      INDEX($M$15:OFFSET(M77,-1,0),MATCH($A77,$A$15:OFFSET($A77,-1,0),0)))))</f>
        <v>12</v>
      </c>
      <c r="N77" s="167" t="str">
        <f ca="1">IF($D77&lt;&gt;"Serviço","",
         IF(AUTOEVENTO="Manual",
                IF($A77=0,"&lt;-- defina o número do agrupador",
                       OFFSET(EVENTOS!$D$15,$A77-$A$15,0)),
                OFFSET($F$15,$A77,0)))</f>
        <v xml:space="preserve">ADMINISTRAÇÃO LOCAL </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1000000000000</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12.75" hidden="1" x14ac:dyDescent="0.2">
      <c r="A78" s="7" t="str">
        <f t="shared" ca="1" si="13"/>
        <v>59</v>
      </c>
      <c r="B78" s="7" t="str">
        <f ca="1">OFFSET(ORÇAMENTO!C$15,$L78,0)</f>
        <v>S</v>
      </c>
      <c r="C78" s="7" t="str">
        <f ca="1">OFFSET(ORÇAMENTO!L$15,$L78,0)</f>
        <v/>
      </c>
      <c r="D78" s="116" t="str">
        <f ca="1">OFFSET(ORÇAMENTO!N$15,$L78,0)</f>
        <v>Serviço</v>
      </c>
      <c r="E78" s="117" t="str">
        <f ca="1">OFFSET(ORÇAMENTO!O$15,$L78,0)</f>
        <v>-</v>
      </c>
      <c r="F78" s="163" t="str">
        <f ca="1">OFFSET(ORÇAMENTO!R$15,$L78,0)</f>
        <v>(Sem Código)</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0</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t="shared" ca="1" si="14"/>
        <v>63</v>
      </c>
      <c r="M78" s="166">
        <f ca="1">IF($D78&lt;&gt;"Serviço","",
          IF(AUTOEVENTO="manual",$A78,
                IF(ISERROR(MATCH($A78,$A$15:OFFSET($A78,-1,0),0)),MAX($M$15:OFFSET(M78,-1,0))+1,
                      INDEX($M$15:OFFSET(M78,-1,0),MATCH($A78,$A$15:OFFSET($A78,-1,0),0)))))</f>
        <v>12</v>
      </c>
      <c r="N78" s="167" t="str">
        <f ca="1">IF($D78&lt;&gt;"Serviço","",
         IF(AUTOEVENTO="Manual",
                IF($A78=0,"&lt;-- defina o número do agrupador",
                       OFFSET(EVENTOS!$D$15,$A78-$A$15,0)),
                OFFSET($F$15,$A78,0)))</f>
        <v xml:space="preserve">ADMINISTRAÇÃO LOCAL </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12.75" hidden="1" x14ac:dyDescent="0.2">
      <c r="A79" s="7" t="str">
        <f t="shared" ca="1" si="13"/>
        <v>59</v>
      </c>
      <c r="B79" s="7" t="str">
        <f ca="1">OFFSET(ORÇAMENTO!C$15,$L79,0)</f>
        <v>S</v>
      </c>
      <c r="C79" s="7" t="str">
        <f ca="1">OFFSET(ORÇAMENTO!L$15,$L79,0)</f>
        <v/>
      </c>
      <c r="D79" s="116" t="str">
        <f ca="1">OFFSET(ORÇAMENTO!N$15,$L79,0)</f>
        <v>Serviço</v>
      </c>
      <c r="E79" s="117" t="str">
        <f ca="1">OFFSET(ORÇAMENTO!O$15,$L79,0)</f>
        <v>-</v>
      </c>
      <c r="F79" s="163" t="str">
        <f ca="1">OFFSET(ORÇAMENTO!R$15,$L79,0)</f>
        <v>(Sem Código)</v>
      </c>
      <c r="G79" s="164" t="str">
        <f ca="1">IF($D79&lt;&gt;"Serviço","",OFFSET(ORÇAMENTO!S$15,$L79,0))</f>
        <v>-</v>
      </c>
      <c r="H79" s="122" cm="1">
        <f t="array" aca="1" ref="H79" ca="1">IF($D79&lt;&gt;"Serviço",0,IF(ACOMPANHAMENTO="BM",ROUND(OFFSET(ORÇAMENTO!AJ$15,$L79,0),15-13*ORÇAMENTO!$AF$7),IF(IFERROR(CÁLCULO.FrentesPreenchidas,0)=0,0,SUM(ROUND(OFFSET($P79,0,1,1,CÁLCULO.FrentesPreenchidas),15-13*ORÇAMENTO!$AF$7)))))</f>
        <v>0</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14"/>
        <v>64</v>
      </c>
      <c r="M79" s="166">
        <f ca="1">IF($D79&lt;&gt;"Serviço","",
          IF(AUTOEVENTO="manual",$A79,
                IF(ISERROR(MATCH($A79,$A$15:OFFSET($A79,-1,0),0)),MAX($M$15:OFFSET(M79,-1,0))+1,
                      INDEX($M$15:OFFSET(M79,-1,0),MATCH($A79,$A$15:OFFSET($A79,-1,0),0)))))</f>
        <v>12</v>
      </c>
      <c r="N79" s="167" t="str">
        <f ca="1">IF($D79&lt;&gt;"Serviço","",
         IF(AUTOEVENTO="Manual",
                IF($A79=0,"&lt;-- defina o número do agrupador",
                       OFFSET(EVENTOS!$D$15,$A79-$A$15,0)),
                OFFSET($F$15,$A79,0)))</f>
        <v xml:space="preserve">ADMINISTRAÇÃO LOCAL </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1000000000000</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12.75" hidden="1" x14ac:dyDescent="0.2">
      <c r="A80" s="7" t="str">
        <f t="shared" ca="1" si="13"/>
        <v>59</v>
      </c>
      <c r="B80" s="7" t="str">
        <f ca="1">OFFSET(ORÇAMENTO!C$15,$L80,0)</f>
        <v>S</v>
      </c>
      <c r="C80" s="7" t="str">
        <f ca="1">OFFSET(ORÇAMENTO!L$15,$L80,0)</f>
        <v/>
      </c>
      <c r="D80" s="116" t="str">
        <f ca="1">OFFSET(ORÇAMENTO!N$15,$L80,0)</f>
        <v>Serviço</v>
      </c>
      <c r="E80" s="117" t="str">
        <f ca="1">OFFSET(ORÇAMENTO!O$15,$L80,0)</f>
        <v>-</v>
      </c>
      <c r="F80" s="163" t="str">
        <f ca="1">OFFSET(ORÇAMENTO!R$15,$L80,0)</f>
        <v>(Sem Código)</v>
      </c>
      <c r="G80" s="164" t="str">
        <f ca="1">IF($D80&lt;&gt;"Serviço","",OFFSET(ORÇAMENTO!S$15,$L80,0))</f>
        <v>-</v>
      </c>
      <c r="H80" s="122" cm="1">
        <f t="array" aca="1" ref="H80" ca="1">IF($D80&lt;&gt;"Serviço",0,IF(ACOMPANHAMENTO="BM",ROUND(OFFSET(ORÇAMENTO!AJ$15,$L80,0),15-13*ORÇAMENTO!$AF$7),IF(IFERROR(CÁLCULO.FrentesPreenchidas,0)=0,0,SUM(ROUND(OFFSET($P80,0,1,1,CÁLCULO.FrentesPreenchidas),15-13*ORÇAMENTO!$AF$7)))))</f>
        <v>0</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t="shared" ca="1" si="14"/>
        <v>65</v>
      </c>
      <c r="M80" s="166">
        <f ca="1">IF($D80&lt;&gt;"Serviço","",
          IF(AUTOEVENTO="manual",$A80,
                IF(ISERROR(MATCH($A80,$A$15:OFFSET($A80,-1,0),0)),MAX($M$15:OFFSET(M80,-1,0))+1,
                      INDEX($M$15:OFFSET(M80,-1,0),MATCH($A80,$A$15:OFFSET($A80,-1,0),0)))))</f>
        <v>12</v>
      </c>
      <c r="N80" s="167" t="str">
        <f ca="1">IF($D80&lt;&gt;"Serviço","",
         IF(AUTOEVENTO="Manual",
                IF($A80=0,"&lt;-- defina o número do agrupador",
                       OFFSET(EVENTOS!$D$15,$A80-$A$15,0)),
                OFFSET($F$15,$A80,0)))</f>
        <v xml:space="preserve">ADMINISTRAÇÃO LOCAL </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1000000000000</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12.75" hidden="1" x14ac:dyDescent="0.2">
      <c r="A81" s="7" t="str">
        <f t="shared" ca="1" si="13"/>
        <v>59</v>
      </c>
      <c r="B81" s="7" t="str">
        <f ca="1">OFFSET(ORÇAMENTO!C$15,$L81,0)</f>
        <v>S</v>
      </c>
      <c r="C81" s="7" t="str">
        <f ca="1">OFFSET(ORÇAMENTO!L$15,$L81,0)</f>
        <v/>
      </c>
      <c r="D81" s="116" t="str">
        <f ca="1">OFFSET(ORÇAMENTO!N$15,$L81,0)</f>
        <v>Serviço</v>
      </c>
      <c r="E81" s="117" t="str">
        <f ca="1">OFFSET(ORÇAMENTO!O$15,$L81,0)</f>
        <v>-</v>
      </c>
      <c r="F81" s="163" t="str">
        <f ca="1">OFFSET(ORÇAMENTO!R$15,$L81,0)</f>
        <v>(Sem Código)</v>
      </c>
      <c r="G81" s="164" t="str">
        <f ca="1">IF($D81&lt;&gt;"Serviço","",OFFSET(ORÇAMENTO!S$15,$L81,0))</f>
        <v>-</v>
      </c>
      <c r="H81" s="122" cm="1">
        <f t="array" aca="1" ref="H81" ca="1">IF($D81&lt;&gt;"Serviço",0,IF(ACOMPANHAMENTO="BM",ROUND(OFFSET(ORÇAMENTO!AJ$15,$L81,0),15-13*ORÇAMENTO!$AF$7),IF(IFERROR(CÁLCULO.FrentesPreenchidas,0)=0,0,SUM(ROUND(OFFSET($P81,0,1,1,CÁLCULO.FrentesPreenchidas),15-13*ORÇAMENTO!$AF$7)))))</f>
        <v>0</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t="shared" ca="1" si="14"/>
        <v>66</v>
      </c>
      <c r="M81" s="166">
        <f ca="1">IF($D81&lt;&gt;"Serviço","",
          IF(AUTOEVENTO="manual",$A81,
                IF(ISERROR(MATCH($A81,$A$15:OFFSET($A81,-1,0),0)),MAX($M$15:OFFSET(M81,-1,0))+1,
                      INDEX($M$15:OFFSET(M81,-1,0),MATCH($A81,$A$15:OFFSET($A81,-1,0),0)))))</f>
        <v>12</v>
      </c>
      <c r="N81" s="167" t="str">
        <f ca="1">IF($D81&lt;&gt;"Serviço","",
         IF(AUTOEVENTO="Manual",
                IF($A81=0,"&lt;-- defina o número do agrupador",
                       OFFSET(EVENTOS!$D$15,$A81-$A$15,0)),
                OFFSET($F$15,$A81,0)))</f>
        <v xml:space="preserve">ADMINISTRAÇÃO LOCAL </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1000000000000</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12.75" hidden="1" x14ac:dyDescent="0.2">
      <c r="A82" s="7" t="str">
        <f t="shared" ca="1" si="13"/>
        <v>59</v>
      </c>
      <c r="B82" s="7" t="str">
        <f ca="1">OFFSET(ORÇAMENTO!C$15,$L82,0)</f>
        <v>S</v>
      </c>
      <c r="C82" s="7" t="str">
        <f ca="1">OFFSET(ORÇAMENTO!L$15,$L82,0)</f>
        <v/>
      </c>
      <c r="D82" s="116" t="str">
        <f ca="1">OFFSET(ORÇAMENTO!N$15,$L82,0)</f>
        <v>Serviço</v>
      </c>
      <c r="E82" s="117" t="str">
        <f ca="1">OFFSET(ORÇAMENTO!O$15,$L82,0)</f>
        <v>-</v>
      </c>
      <c r="F82" s="163" t="str">
        <f ca="1">OFFSET(ORÇAMENTO!R$15,$L82,0)</f>
        <v>(Sem Código)</v>
      </c>
      <c r="G82" s="164" t="str">
        <f ca="1">IF($D82&lt;&gt;"Serviço","",OFFSET(ORÇAMENTO!S$15,$L82,0))</f>
        <v>-</v>
      </c>
      <c r="H82" s="122" cm="1">
        <f t="array" aca="1" ref="H82" ca="1">IF($D82&lt;&gt;"Serviço",0,IF(ACOMPANHAMENTO="BM",ROUND(OFFSET(ORÇAMENTO!AJ$15,$L82,0),15-13*ORÇAMENTO!$AF$7),IF(IFERROR(CÁLCULO.FrentesPreenchidas,0)=0,0,SUM(ROUND(OFFSET($P82,0,1,1,CÁLCULO.FrentesPreenchidas),15-13*ORÇAMENTO!$AF$7)))))</f>
        <v>0</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t="shared" ca="1" si="14"/>
        <v>67</v>
      </c>
      <c r="M82" s="166">
        <f ca="1">IF($D82&lt;&gt;"Serviço","",
          IF(AUTOEVENTO="manual",$A82,
                IF(ISERROR(MATCH($A82,$A$15:OFFSET($A82,-1,0),0)),MAX($M$15:OFFSET(M82,-1,0))+1,
                      INDEX($M$15:OFFSET(M82,-1,0),MATCH($A82,$A$15:OFFSET($A82,-1,0),0)))))</f>
        <v>12</v>
      </c>
      <c r="N82" s="167" t="str">
        <f ca="1">IF($D82&lt;&gt;"Serviço","",
         IF(AUTOEVENTO="Manual",
                IF($A82=0,"&lt;-- defina o número do agrupador",
                       OFFSET(EVENTOS!$D$15,$A82-$A$15,0)),
                OFFSET($F$15,$A82,0)))</f>
        <v xml:space="preserve">ADMINISTRAÇÃO LOCAL </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1000000000000</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12.75" hidden="1" x14ac:dyDescent="0.2">
      <c r="A83" s="7" t="str">
        <f t="shared" ca="1" si="13"/>
        <v>59</v>
      </c>
      <c r="B83" s="7" t="str">
        <f ca="1">OFFSET(ORÇAMENTO!C$15,$L83,0)</f>
        <v>S</v>
      </c>
      <c r="C83" s="7" t="str">
        <f ca="1">OFFSET(ORÇAMENTO!L$15,$L83,0)</f>
        <v/>
      </c>
      <c r="D83" s="116" t="str">
        <f ca="1">OFFSET(ORÇAMENTO!N$15,$L83,0)</f>
        <v>Serviço</v>
      </c>
      <c r="E83" s="117" t="str">
        <f ca="1">OFFSET(ORÇAMENTO!O$15,$L83,0)</f>
        <v>-</v>
      </c>
      <c r="F83" s="163" t="str">
        <f ca="1">OFFSET(ORÇAMENTO!R$15,$L83,0)</f>
        <v>(Sem Código)</v>
      </c>
      <c r="G83" s="164" t="str">
        <f ca="1">IF($D83&lt;&gt;"Serviço","",OFFSET(ORÇAMENTO!S$15,$L83,0))</f>
        <v>-</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14"/>
        <v>68</v>
      </c>
      <c r="M83" s="166">
        <f ca="1">IF($D83&lt;&gt;"Serviço","",
          IF(AUTOEVENTO="manual",$A83,
                IF(ISERROR(MATCH($A83,$A$15:OFFSET($A83,-1,0),0)),MAX($M$15:OFFSET(M83,-1,0))+1,
                      INDEX($M$15:OFFSET(M83,-1,0),MATCH($A83,$A$15:OFFSET($A83,-1,0),0)))))</f>
        <v>12</v>
      </c>
      <c r="N83" s="167" t="str">
        <f ca="1">IF($D83&lt;&gt;"Serviço","",
         IF(AUTOEVENTO="Manual",
                IF($A83=0,"&lt;-- defina o número do agrupador",
                       OFFSET(EVENTOS!$D$15,$A83-$A$15,0)),
                OFFSET($F$15,$A83,0)))</f>
        <v xml:space="preserve">ADMINISTRAÇÃO LOCAL </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1000000000000</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ht="12.75" hidden="1" x14ac:dyDescent="0.2">
      <c r="A84" s="7" t="str">
        <f t="shared" ca="1" si="13"/>
        <v>59</v>
      </c>
      <c r="B84" s="7" t="str">
        <f ca="1">OFFSET(ORÇAMENTO!C$15,$L84,0)</f>
        <v>S</v>
      </c>
      <c r="C84" s="7" t="str">
        <f ca="1">OFFSET(ORÇAMENTO!L$15,$L84,0)</f>
        <v/>
      </c>
      <c r="D84" s="116" t="str">
        <f ca="1">OFFSET(ORÇAMENTO!N$15,$L84,0)</f>
        <v>Serviço</v>
      </c>
      <c r="E84" s="117" t="str">
        <f ca="1">OFFSET(ORÇAMENTO!O$15,$L84,0)</f>
        <v>-</v>
      </c>
      <c r="F84" s="163" t="str">
        <f ca="1">OFFSET(ORÇAMENTO!R$15,$L84,0)</f>
        <v>(Sem Código)</v>
      </c>
      <c r="G84" s="164" t="str">
        <f ca="1">IF($D84&lt;&gt;"Serviço","",OFFSET(ORÇAMENTO!S$15,$L84,0))</f>
        <v>-</v>
      </c>
      <c r="H84" s="122" cm="1">
        <f t="array" aca="1" ref="H84" ca="1">IF($D84&lt;&gt;"Serviço",0,IF(ACOMPANHAMENTO="BM",ROUND(OFFSET(ORÇAMENTO!AJ$15,$L84,0),15-13*ORÇAMENTO!$AF$7),IF(IFERROR(CÁLCULO.FrentesPreenchidas,0)=0,0,SUM(ROUND(OFFSET($P84,0,1,1,CÁLCULO.FrentesPreenchidas),15-13*ORÇAMENTO!$AF$7)))))</f>
        <v>0</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t="shared" ca="1" si="14"/>
        <v>69</v>
      </c>
      <c r="M84" s="166">
        <f ca="1">IF($D84&lt;&gt;"Serviço","",
          IF(AUTOEVENTO="manual",$A84,
                IF(ISERROR(MATCH($A84,$A$15:OFFSET($A84,-1,0),0)),MAX($M$15:OFFSET(M84,-1,0))+1,
                      INDEX($M$15:OFFSET(M84,-1,0),MATCH($A84,$A$15:OFFSET($A84,-1,0),0)))))</f>
        <v>12</v>
      </c>
      <c r="N84" s="167" t="str">
        <f ca="1">IF($D84&lt;&gt;"Serviço","",
         IF(AUTOEVENTO="Manual",
                IF($A84=0,"&lt;-- defina o número do agrupador",
                       OFFSET(EVENTOS!$D$15,$A84-$A$15,0)),
                OFFSET($F$15,$A84,0)))</f>
        <v xml:space="preserve">ADMINISTRAÇÃO LOCAL </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12.75" hidden="1" x14ac:dyDescent="0.2">
      <c r="A85" s="7" t="str">
        <f t="shared" ca="1" si="13"/>
        <v>59</v>
      </c>
      <c r="B85" s="7" t="str">
        <f ca="1">OFFSET(ORÇAMENTO!C$15,$L85,0)</f>
        <v>S</v>
      </c>
      <c r="C85" s="7" t="str">
        <f ca="1">OFFSET(ORÇAMENTO!L$15,$L85,0)</f>
        <v/>
      </c>
      <c r="D85" s="116" t="str">
        <f ca="1">OFFSET(ORÇAMENTO!N$15,$L85,0)</f>
        <v>Serviço</v>
      </c>
      <c r="E85" s="117" t="str">
        <f ca="1">OFFSET(ORÇAMENTO!O$15,$L85,0)</f>
        <v>-</v>
      </c>
      <c r="F85" s="163" t="str">
        <f ca="1">OFFSET(ORÇAMENTO!R$15,$L85,0)</f>
        <v>(Sem Código)</v>
      </c>
      <c r="G85" s="164" t="str">
        <f ca="1">IF($D85&lt;&gt;"Serviço","",OFFSET(ORÇAMENTO!S$15,$L85,0))</f>
        <v>-</v>
      </c>
      <c r="H85" s="122" cm="1">
        <f t="array" aca="1" ref="H85" ca="1">IF($D85&lt;&gt;"Serviço",0,IF(ACOMPANHAMENTO="BM",ROUND(OFFSET(ORÇAMENTO!AJ$15,$L85,0),15-13*ORÇAMENTO!$AF$7),IF(IFERROR(CÁLCULO.FrentesPreenchidas,0)=0,0,SUM(ROUND(OFFSET($P85,0,1,1,CÁLCULO.FrentesPreenchidas),15-13*ORÇAMENTO!$AF$7)))))</f>
        <v>0</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ca="1" si="14"/>
        <v>70</v>
      </c>
      <c r="M85" s="166">
        <f ca="1">IF($D85&lt;&gt;"Serviço","",
          IF(AUTOEVENTO="manual",$A85,
                IF(ISERROR(MATCH($A85,$A$15:OFFSET($A85,-1,0),0)),MAX($M$15:OFFSET(M85,-1,0))+1,
                      INDEX($M$15:OFFSET(M85,-1,0),MATCH($A85,$A$15:OFFSET($A85,-1,0),0)))))</f>
        <v>12</v>
      </c>
      <c r="N85" s="167" t="str">
        <f ca="1">IF($D85&lt;&gt;"Serviço","",
         IF(AUTOEVENTO="Manual",
                IF($A85=0,"&lt;-- defina o número do agrupador",
                       OFFSET(EVENTOS!$D$15,$A85-$A$15,0)),
                OFFSET($F$15,$A85,0)))</f>
        <v xml:space="preserve">ADMINISTRAÇÃO LOCAL </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1000000000000</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12.75" hidden="1" x14ac:dyDescent="0.2">
      <c r="A86" s="7" t="str">
        <f t="shared" ca="1" si="13"/>
        <v>59</v>
      </c>
      <c r="B86" s="7" t="str">
        <f ca="1">OFFSET(ORÇAMENTO!C$15,$L86,0)</f>
        <v>S</v>
      </c>
      <c r="C86" s="7" t="str">
        <f ca="1">OFFSET(ORÇAMENTO!L$15,$L86,0)</f>
        <v/>
      </c>
      <c r="D86" s="116" t="str">
        <f ca="1">OFFSET(ORÇAMENTO!N$15,$L86,0)</f>
        <v>Serviço</v>
      </c>
      <c r="E86" s="117" t="str">
        <f ca="1">OFFSET(ORÇAMENTO!O$15,$L86,0)</f>
        <v>-</v>
      </c>
      <c r="F86" s="163" t="str">
        <f ca="1">OFFSET(ORÇAMENTO!R$15,$L86,0)</f>
        <v>(Sem Código)</v>
      </c>
      <c r="G86" s="164" t="str">
        <f ca="1">IF($D86&lt;&gt;"Serviço","",OFFSET(ORÇAMENTO!S$15,$L86,0))</f>
        <v>-</v>
      </c>
      <c r="H86" s="122" cm="1">
        <f t="array" aca="1" ref="H86" ca="1">IF($D86&lt;&gt;"Serviço",0,IF(ACOMPANHAMENTO="BM",ROUND(OFFSET(ORÇAMENTO!AJ$15,$L86,0),15-13*ORÇAMENTO!$AF$7),IF(IFERROR(CÁLCULO.FrentesPreenchidas,0)=0,0,SUM(ROUND(OFFSET($P86,0,1,1,CÁLCULO.FrentesPreenchidas),15-13*ORÇAMENTO!$AF$7)))))</f>
        <v>0</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14"/>
        <v>71</v>
      </c>
      <c r="M86" s="166">
        <f ca="1">IF($D86&lt;&gt;"Serviço","",
          IF(AUTOEVENTO="manual",$A86,
                IF(ISERROR(MATCH($A86,$A$15:OFFSET($A86,-1,0),0)),MAX($M$15:OFFSET(M86,-1,0))+1,
                      INDEX($M$15:OFFSET(M86,-1,0),MATCH($A86,$A$15:OFFSET($A86,-1,0),0)))))</f>
        <v>12</v>
      </c>
      <c r="N86" s="167" t="str">
        <f ca="1">IF($D86&lt;&gt;"Serviço","",
         IF(AUTOEVENTO="Manual",
                IF($A86=0,"&lt;-- defina o número do agrupador",
                       OFFSET(EVENTOS!$D$15,$A86-$A$15,0)),
                OFFSET($F$15,$A86,0)))</f>
        <v xml:space="preserve">ADMINISTRAÇÃO LOCAL </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1000000000000</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12.75" hidden="1" x14ac:dyDescent="0.2">
      <c r="A87" s="7" t="str">
        <f t="shared" ca="1" si="13"/>
        <v>59</v>
      </c>
      <c r="B87" s="7" t="str">
        <f ca="1">OFFSET(ORÇAMENTO!C$15,$L87,0)</f>
        <v>S</v>
      </c>
      <c r="C87" s="7" t="str">
        <f ca="1">OFFSET(ORÇAMENTO!L$15,$L87,0)</f>
        <v/>
      </c>
      <c r="D87" s="116" t="str">
        <f ca="1">OFFSET(ORÇAMENTO!N$15,$L87,0)</f>
        <v>Serviço</v>
      </c>
      <c r="E87" s="117" t="str">
        <f ca="1">OFFSET(ORÇAMENTO!O$15,$L87,0)</f>
        <v>-</v>
      </c>
      <c r="F87" s="163" t="str">
        <f ca="1">OFFSET(ORÇAMENTO!R$15,$L87,0)</f>
        <v>(Sem Código)</v>
      </c>
      <c r="G87" s="164" t="str">
        <f ca="1">IF($D87&lt;&gt;"Serviço","",OFFSET(ORÇAMENTO!S$15,$L87,0))</f>
        <v>-</v>
      </c>
      <c r="H87" s="122" cm="1">
        <f t="array" aca="1" ref="H87" ca="1">IF($D87&lt;&gt;"Serviço",0,IF(ACOMPANHAMENTO="BM",ROUND(OFFSET(ORÇAMENTO!AJ$15,$L87,0),15-13*ORÇAMENTO!$AF$7),IF(IFERROR(CÁLCULO.FrentesPreenchidas,0)=0,0,SUM(ROUND(OFFSET($P87,0,1,1,CÁLCULO.FrentesPreenchidas),15-13*ORÇAMENTO!$AF$7)))))</f>
        <v>0</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14"/>
        <v>72</v>
      </c>
      <c r="M87" s="166">
        <f ca="1">IF($D87&lt;&gt;"Serviço","",
          IF(AUTOEVENTO="manual",$A87,
                IF(ISERROR(MATCH($A87,$A$15:OFFSET($A87,-1,0),0)),MAX($M$15:OFFSET(M87,-1,0))+1,
                      INDEX($M$15:OFFSET(M87,-1,0),MATCH($A87,$A$15:OFFSET($A87,-1,0),0)))))</f>
        <v>12</v>
      </c>
      <c r="N87" s="167" t="str">
        <f ca="1">IF($D87&lt;&gt;"Serviço","",
         IF(AUTOEVENTO="Manual",
                IF($A87=0,"&lt;-- defina o número do agrupador",
                       OFFSET(EVENTOS!$D$15,$A87-$A$15,0)),
                OFFSET($F$15,$A87,0)))</f>
        <v xml:space="preserve">ADMINISTRAÇÃO LOCAL </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1000000000000</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12.75" hidden="1" x14ac:dyDescent="0.2">
      <c r="A88" s="7" t="str">
        <f t="shared" ca="1" si="13"/>
        <v>59</v>
      </c>
      <c r="B88" s="7" t="str">
        <f ca="1">OFFSET(ORÇAMENTO!C$15,$L88,0)</f>
        <v>S</v>
      </c>
      <c r="C88" s="7" t="str">
        <f ca="1">OFFSET(ORÇAMENTO!L$15,$L88,0)</f>
        <v/>
      </c>
      <c r="D88" s="116" t="str">
        <f ca="1">OFFSET(ORÇAMENTO!N$15,$L88,0)</f>
        <v>Serviço</v>
      </c>
      <c r="E88" s="117" t="str">
        <f ca="1">OFFSET(ORÇAMENTO!O$15,$L88,0)</f>
        <v>-</v>
      </c>
      <c r="F88" s="163" t="str">
        <f ca="1">OFFSET(ORÇAMENTO!R$15,$L88,0)</f>
        <v>(Sem Código)</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0</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t="shared" ca="1" si="14"/>
        <v>73</v>
      </c>
      <c r="M88" s="166">
        <f ca="1">IF($D88&lt;&gt;"Serviço","",
          IF(AUTOEVENTO="manual",$A88,
                IF(ISERROR(MATCH($A88,$A$15:OFFSET($A88,-1,0),0)),MAX($M$15:OFFSET(M88,-1,0))+1,
                      INDEX($M$15:OFFSET(M88,-1,0),MATCH($A88,$A$15:OFFSET($A88,-1,0),0)))))</f>
        <v>12</v>
      </c>
      <c r="N88" s="167" t="str">
        <f ca="1">IF($D88&lt;&gt;"Serviço","",
         IF(AUTOEVENTO="Manual",
                IF($A88=0,"&lt;-- defina o número do agrupador",
                       OFFSET(EVENTOS!$D$15,$A88-$A$15,0)),
                OFFSET($F$15,$A88,0)))</f>
        <v xml:space="preserve">ADMINISTRAÇÃO LOCAL </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12.75" hidden="1" x14ac:dyDescent="0.2">
      <c r="A89" s="7" t="str">
        <f t="shared" ca="1" si="13"/>
        <v>59</v>
      </c>
      <c r="B89" s="7" t="str">
        <f ca="1">OFFSET(ORÇAMENTO!C$15,$L89,0)</f>
        <v>S</v>
      </c>
      <c r="C89" s="7" t="str">
        <f ca="1">OFFSET(ORÇAMENTO!L$15,$L89,0)</f>
        <v/>
      </c>
      <c r="D89" s="116" t="str">
        <f ca="1">OFFSET(ORÇAMENTO!N$15,$L89,0)</f>
        <v>Serviço</v>
      </c>
      <c r="E89" s="117" t="str">
        <f ca="1">OFFSET(ORÇAMENTO!O$15,$L89,0)</f>
        <v>-</v>
      </c>
      <c r="F89" s="163" t="str">
        <f ca="1">OFFSET(ORÇAMENTO!R$15,$L89,0)</f>
        <v>(Sem Código)</v>
      </c>
      <c r="G89" s="164" t="str">
        <f ca="1">IF($D89&lt;&gt;"Serviço","",OFFSET(ORÇAMENTO!S$15,$L89,0))</f>
        <v>-</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ca="1" si="14"/>
        <v>74</v>
      </c>
      <c r="M89" s="166">
        <f ca="1">IF($D89&lt;&gt;"Serviço","",
          IF(AUTOEVENTO="manual",$A89,
                IF(ISERROR(MATCH($A89,$A$15:OFFSET($A89,-1,0),0)),MAX($M$15:OFFSET(M89,-1,0))+1,
                      INDEX($M$15:OFFSET(M89,-1,0),MATCH($A89,$A$15:OFFSET($A89,-1,0),0)))))</f>
        <v>12</v>
      </c>
      <c r="N89" s="167" t="str">
        <f ca="1">IF($D89&lt;&gt;"Serviço","",
         IF(AUTOEVENTO="Manual",
                IF($A89=0,"&lt;-- defina o número do agrupador",
                       OFFSET(EVENTOS!$D$15,$A89-$A$15,0)),
                OFFSET($F$15,$A89,0)))</f>
        <v xml:space="preserve">ADMINISTRAÇÃO LOCAL </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1000000000000</v>
      </c>
      <c r="AN89" s="171">
        <f ca="1">IF(OR($D89&lt;&gt;"Serviço",AND(AUTOEVENTO="Manual",$M89=$A$15)),0,
         IF(OFFSET(CRONOPLE!$F$15,$M89-$A$15,AN$13)=0,10^12,OFFSET(CRONOPLE!$F$15,$M89-$A$15,AN$13)))</f>
        <v>1000000000000</v>
      </c>
      <c r="AO89" s="171">
        <f ca="1">IF(OR($D89&lt;&gt;"Serviço",AND(AUTOEVENTO="Manual",$M89=$A$15)),0,
         IF(OFFSET(CRONOPLE!$F$15,$M89-$A$15,AO$13)=0,10^12,OFFSET(CRONOPLE!$F$15,$M89-$A$15,AO$13)))</f>
        <v>1000000000000</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ht="12.75" hidden="1" x14ac:dyDescent="0.2">
      <c r="A90" s="7" t="str">
        <f t="shared" ca="1" si="13"/>
        <v>59</v>
      </c>
      <c r="B90" s="7" t="str">
        <f ca="1">OFFSET(ORÇAMENTO!C$15,$L90,0)</f>
        <v>S</v>
      </c>
      <c r="C90" s="7" t="str">
        <f ca="1">OFFSET(ORÇAMENTO!L$15,$L90,0)</f>
        <v/>
      </c>
      <c r="D90" s="116" t="str">
        <f ca="1">OFFSET(ORÇAMENTO!N$15,$L90,0)</f>
        <v>Serviço</v>
      </c>
      <c r="E90" s="117" t="str">
        <f ca="1">OFFSET(ORÇAMENTO!O$15,$L90,0)</f>
        <v>-</v>
      </c>
      <c r="F90" s="163" t="str">
        <f ca="1">OFFSET(ORÇAMENTO!R$15,$L90,0)</f>
        <v>(Sem Código)</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0</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14"/>
        <v>75</v>
      </c>
      <c r="M90" s="166">
        <f ca="1">IF($D90&lt;&gt;"Serviço","",
          IF(AUTOEVENTO="manual",$A90,
                IF(ISERROR(MATCH($A90,$A$15:OFFSET($A90,-1,0),0)),MAX($M$15:OFFSET(M90,-1,0))+1,
                      INDEX($M$15:OFFSET(M90,-1,0),MATCH($A90,$A$15:OFFSET($A90,-1,0),0)))))</f>
        <v>12</v>
      </c>
      <c r="N90" s="167" t="str">
        <f ca="1">IF($D90&lt;&gt;"Serviço","",
         IF(AUTOEVENTO="Manual",
                IF($A90=0,"&lt;-- defina o número do agrupador",
                       OFFSET(EVENTOS!$D$15,$A90-$A$15,0)),
                OFFSET($F$15,$A90,0)))</f>
        <v xml:space="preserve">ADMINISTRAÇÃO LOCAL </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1000000000000</v>
      </c>
      <c r="AN90" s="171">
        <f ca="1">IF(OR($D90&lt;&gt;"Serviço",AND(AUTOEVENTO="Manual",$M90=$A$15)),0,
         IF(OFFSET(CRONOPLE!$F$15,$M90-$A$15,AN$13)=0,10^12,OFFSET(CRONOPLE!$F$15,$M90-$A$15,AN$13)))</f>
        <v>1000000000000</v>
      </c>
      <c r="AO90" s="171">
        <f ca="1">IF(OR($D90&lt;&gt;"Serviço",AND(AUTOEVENTO="Manual",$M90=$A$15)),0,
         IF(OFFSET(CRONOPLE!$F$15,$M90-$A$15,AO$13)=0,10^12,OFFSET(CRONOPLE!$F$15,$M90-$A$15,AO$13)))</f>
        <v>1000000000000</v>
      </c>
      <c r="AP90" s="171">
        <f ca="1">IF(OR($D90&lt;&gt;"Serviço",AND(AUTOEVENTO="Manual",$M90=$A$15)),0,
         IF(OFFSET(CRONOPLE!$F$15,$M90-$A$15,AP$13)=0,10^12,OFFSET(CRONOPLE!$F$15,$M90-$A$15,AP$13)))</f>
        <v>1000000000000</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ht="12.75" hidden="1" x14ac:dyDescent="0.2">
      <c r="A91" s="7" t="str">
        <f t="shared" ca="1" si="13"/>
        <v>59</v>
      </c>
      <c r="B91" s="7" t="str">
        <f ca="1">OFFSET(ORÇAMENTO!C$15,$L91,0)</f>
        <v>S</v>
      </c>
      <c r="C91" s="7" t="str">
        <f ca="1">OFFSET(ORÇAMENTO!L$15,$L91,0)</f>
        <v/>
      </c>
      <c r="D91" s="116" t="str">
        <f ca="1">OFFSET(ORÇAMENTO!N$15,$L91,0)</f>
        <v>Serviço</v>
      </c>
      <c r="E91" s="117" t="str">
        <f ca="1">OFFSET(ORÇAMENTO!O$15,$L91,0)</f>
        <v>-</v>
      </c>
      <c r="F91" s="163" t="str">
        <f ca="1">OFFSET(ORÇAMENTO!R$15,$L91,0)</f>
        <v>(Sem Código)</v>
      </c>
      <c r="G91" s="164" t="str">
        <f ca="1">IF($D91&lt;&gt;"Serviço","",OFFSET(ORÇAMENTO!S$15,$L91,0))</f>
        <v>-</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14"/>
        <v>76</v>
      </c>
      <c r="M91" s="166">
        <f ca="1">IF($D91&lt;&gt;"Serviço","",
          IF(AUTOEVENTO="manual",$A91,
                IF(ISERROR(MATCH($A91,$A$15:OFFSET($A91,-1,0),0)),MAX($M$15:OFFSET(M91,-1,0))+1,
                      INDEX($M$15:OFFSET(M91,-1,0),MATCH($A91,$A$15:OFFSET($A91,-1,0),0)))))</f>
        <v>12</v>
      </c>
      <c r="N91" s="167" t="str">
        <f ca="1">IF($D91&lt;&gt;"Serviço","",
         IF(AUTOEVENTO="Manual",
                IF($A91=0,"&lt;-- defina o número do agrupador",
                       OFFSET(EVENTOS!$D$15,$A91-$A$15,0)),
                OFFSET($F$15,$A91,0)))</f>
        <v xml:space="preserve">ADMINISTRAÇÃO LOCAL </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12.75" hidden="1" x14ac:dyDescent="0.2">
      <c r="A92" s="7" t="str">
        <f t="shared" ca="1" si="13"/>
        <v>59</v>
      </c>
      <c r="B92" s="7" t="str">
        <f ca="1">OFFSET(ORÇAMENTO!C$15,$L92,0)</f>
        <v>S</v>
      </c>
      <c r="C92" s="7" t="str">
        <f ca="1">OFFSET(ORÇAMENTO!L$15,$L92,0)</f>
        <v/>
      </c>
      <c r="D92" s="116" t="str">
        <f ca="1">OFFSET(ORÇAMENTO!N$15,$L92,0)</f>
        <v>Serviço</v>
      </c>
      <c r="E92" s="117" t="str">
        <f ca="1">OFFSET(ORÇAMENTO!O$15,$L92,0)</f>
        <v>-</v>
      </c>
      <c r="F92" s="163" t="str">
        <f ca="1">OFFSET(ORÇAMENTO!R$15,$L92,0)</f>
        <v>(Sem Código)</v>
      </c>
      <c r="G92" s="164" t="str">
        <f ca="1">IF($D92&lt;&gt;"Serviço","",OFFSET(ORÇAMENTO!S$15,$L92,0))</f>
        <v>-</v>
      </c>
      <c r="H92" s="122" cm="1">
        <f t="array" aca="1" ref="H92" ca="1">IF($D92&lt;&gt;"Serviço",0,IF(ACOMPANHAMENTO="BM",ROUND(OFFSET(ORÇAMENTO!AJ$15,$L92,0),15-13*ORÇAMENTO!$AF$7),IF(IFERROR(CÁLCULO.FrentesPreenchidas,0)=0,0,SUM(ROUND(OFFSET($P92,0,1,1,CÁLCULO.FrentesPreenchidas),15-13*ORÇAMENTO!$AF$7)))))</f>
        <v>0</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t="shared" ca="1" si="14"/>
        <v>77</v>
      </c>
      <c r="M92" s="166">
        <f ca="1">IF($D92&lt;&gt;"Serviço","",
          IF(AUTOEVENTO="manual",$A92,
                IF(ISERROR(MATCH($A92,$A$15:OFFSET($A92,-1,0),0)),MAX($M$15:OFFSET(M92,-1,0))+1,
                      INDEX($M$15:OFFSET(M92,-1,0),MATCH($A92,$A$15:OFFSET($A92,-1,0),0)))))</f>
        <v>12</v>
      </c>
      <c r="N92" s="167" t="str">
        <f ca="1">IF($D92&lt;&gt;"Serviço","",
         IF(AUTOEVENTO="Manual",
                IF($A92=0,"&lt;-- defina o número do agrupador",
                       OFFSET(EVENTOS!$D$15,$A92-$A$15,0)),
                OFFSET($F$15,$A92,0)))</f>
        <v xml:space="preserve">ADMINISTRAÇÃO LOCAL </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1000000000000</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12.75" hidden="1" x14ac:dyDescent="0.2">
      <c r="A93" s="7" t="str">
        <f t="shared" ca="1" si="13"/>
        <v>59</v>
      </c>
      <c r="B93" s="7" t="str">
        <f ca="1">OFFSET(ORÇAMENTO!C$15,$L93,0)</f>
        <v>S</v>
      </c>
      <c r="C93" s="7" t="str">
        <f ca="1">OFFSET(ORÇAMENTO!L$15,$L93,0)</f>
        <v/>
      </c>
      <c r="D93" s="116" t="str">
        <f ca="1">OFFSET(ORÇAMENTO!N$15,$L93,0)</f>
        <v>Serviço</v>
      </c>
      <c r="E93" s="117" t="str">
        <f ca="1">OFFSET(ORÇAMENTO!O$15,$L93,0)</f>
        <v>-</v>
      </c>
      <c r="F93" s="163" t="str">
        <f ca="1">OFFSET(ORÇAMENTO!R$15,$L93,0)</f>
        <v>(Sem Código)</v>
      </c>
      <c r="G93" s="164" t="str">
        <f ca="1">IF($D93&lt;&gt;"Serviço","",OFFSET(ORÇAMENTO!S$15,$L93,0))</f>
        <v>-</v>
      </c>
      <c r="H93" s="122" cm="1">
        <f t="array" aca="1" ref="H93" ca="1">IF($D93&lt;&gt;"Serviço",0,IF(ACOMPANHAMENTO="BM",ROUND(OFFSET(ORÇAMENTO!AJ$15,$L93,0),15-13*ORÇAMENTO!$AF$7),IF(IFERROR(CÁLCULO.FrentesPreenchidas,0)=0,0,SUM(ROUND(OFFSET($P93,0,1,1,CÁLCULO.FrentesPreenchidas),15-13*ORÇAMENTO!$AF$7)))))</f>
        <v>0</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t="shared" ca="1" si="14"/>
        <v>78</v>
      </c>
      <c r="M93" s="166">
        <f ca="1">IF($D93&lt;&gt;"Serviço","",
          IF(AUTOEVENTO="manual",$A93,
                IF(ISERROR(MATCH($A93,$A$15:OFFSET($A93,-1,0),0)),MAX($M$15:OFFSET(M93,-1,0))+1,
                      INDEX($M$15:OFFSET(M93,-1,0),MATCH($A93,$A$15:OFFSET($A93,-1,0),0)))))</f>
        <v>12</v>
      </c>
      <c r="N93" s="167" t="str">
        <f ca="1">IF($D93&lt;&gt;"Serviço","",
         IF(AUTOEVENTO="Manual",
                IF($A93=0,"&lt;-- defina o número do agrupador",
                       OFFSET(EVENTOS!$D$15,$A93-$A$15,0)),
                OFFSET($F$15,$A93,0)))</f>
        <v xml:space="preserve">ADMINISTRAÇÃO LOCAL </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1000000000000</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12.75" hidden="1" x14ac:dyDescent="0.2">
      <c r="A94" s="7" t="str">
        <f t="shared" ca="1" si="13"/>
        <v>59</v>
      </c>
      <c r="B94" s="7" t="str">
        <f ca="1">OFFSET(ORÇAMENTO!C$15,$L94,0)</f>
        <v>S</v>
      </c>
      <c r="C94" s="7" t="str">
        <f ca="1">OFFSET(ORÇAMENTO!L$15,$L94,0)</f>
        <v/>
      </c>
      <c r="D94" s="116" t="str">
        <f ca="1">OFFSET(ORÇAMENTO!N$15,$L94,0)</f>
        <v>Serviço</v>
      </c>
      <c r="E94" s="117" t="str">
        <f ca="1">OFFSET(ORÇAMENTO!O$15,$L94,0)</f>
        <v>-</v>
      </c>
      <c r="F94" s="163" t="str">
        <f ca="1">OFFSET(ORÇAMENTO!R$15,$L94,0)</f>
        <v>(Sem Código)</v>
      </c>
      <c r="G94" s="164" t="str">
        <f ca="1">IF($D94&lt;&gt;"Serviço","",OFFSET(ORÇAMENTO!S$15,$L94,0))</f>
        <v>-</v>
      </c>
      <c r="H94" s="122" cm="1">
        <f t="array" aca="1" ref="H94" ca="1">IF($D94&lt;&gt;"Serviço",0,IF(ACOMPANHAMENTO="BM",ROUND(OFFSET(ORÇAMENTO!AJ$15,$L94,0),15-13*ORÇAMENTO!$AF$7),IF(IFERROR(CÁLCULO.FrentesPreenchidas,0)=0,0,SUM(ROUND(OFFSET($P94,0,1,1,CÁLCULO.FrentesPreenchidas),15-13*ORÇAMENTO!$AF$7)))))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t="shared" ca="1" si="14"/>
        <v>79</v>
      </c>
      <c r="M94" s="166">
        <f ca="1">IF($D94&lt;&gt;"Serviço","",
          IF(AUTOEVENTO="manual",$A94,
                IF(ISERROR(MATCH($A94,$A$15:OFFSET($A94,-1,0),0)),MAX($M$15:OFFSET(M94,-1,0))+1,
                      INDEX($M$15:OFFSET(M94,-1,0),MATCH($A94,$A$15:OFFSET($A94,-1,0),0)))))</f>
        <v>12</v>
      </c>
      <c r="N94" s="167" t="str">
        <f ca="1">IF($D94&lt;&gt;"Serviço","",
         IF(AUTOEVENTO="Manual",
                IF($A94=0,"&lt;-- defina o número do agrupador",
                       OFFSET(EVENTOS!$D$15,$A94-$A$15,0)),
                OFFSET($F$15,$A94,0)))</f>
        <v xml:space="preserve">ADMINISTRAÇÃO LOCAL </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1000000000000</v>
      </c>
      <c r="AN94" s="171">
        <f ca="1">IF(OR($D94&lt;&gt;"Serviço",AND(AUTOEVENTO="Manual",$M94=$A$15)),0,
         IF(OFFSET(CRONOPLE!$F$15,$M94-$A$15,AN$13)=0,10^12,OFFSET(CRONOPLE!$F$15,$M94-$A$15,AN$13)))</f>
        <v>1000000000000</v>
      </c>
      <c r="AO94" s="171">
        <f ca="1">IF(OR($D94&lt;&gt;"Serviço",AND(AUTOEVENTO="Manual",$M94=$A$15)),0,
         IF(OFFSET(CRONOPLE!$F$15,$M94-$A$15,AO$13)=0,10^12,OFFSET(CRONOPLE!$F$15,$M94-$A$15,AO$13)))</f>
        <v>1000000000000</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ht="12.75" hidden="1" x14ac:dyDescent="0.2">
      <c r="A95" s="7" t="str">
        <f t="shared" ca="1" si="13"/>
        <v>59</v>
      </c>
      <c r="B95" s="7" t="str">
        <f ca="1">OFFSET(ORÇAMENTO!C$15,$L95,0)</f>
        <v>S</v>
      </c>
      <c r="C95" s="7" t="str">
        <f ca="1">OFFSET(ORÇAMENTO!L$15,$L95,0)</f>
        <v/>
      </c>
      <c r="D95" s="116" t="str">
        <f ca="1">OFFSET(ORÇAMENTO!N$15,$L95,0)</f>
        <v>Serviço</v>
      </c>
      <c r="E95" s="117" t="str">
        <f ca="1">OFFSET(ORÇAMENTO!O$15,$L95,0)</f>
        <v>-</v>
      </c>
      <c r="F95" s="163" t="str">
        <f ca="1">OFFSET(ORÇAMENTO!R$15,$L95,0)</f>
        <v>(Sem Código)</v>
      </c>
      <c r="G95" s="164" t="str">
        <f ca="1">IF($D95&lt;&gt;"Serviço","",OFFSET(ORÇAMENTO!S$15,$L95,0))</f>
        <v>-</v>
      </c>
      <c r="H95" s="122" cm="1">
        <f t="array" aca="1" ref="H95" ca="1">IF($D95&lt;&gt;"Serviço",0,IF(ACOMPANHAMENTO="BM",ROUND(OFFSET(ORÇAMENTO!AJ$15,$L95,0),15-13*ORÇAMENTO!$AF$7),IF(IFERROR(CÁLCULO.FrentesPreenchidas,0)=0,0,SUM(ROUND(OFFSET($P95,0,1,1,CÁLCULO.FrentesPreenchidas),15-13*ORÇAMENTO!$AF$7)))))</f>
        <v>0</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t="shared" ca="1" si="14"/>
        <v>80</v>
      </c>
      <c r="M95" s="166">
        <f ca="1">IF($D95&lt;&gt;"Serviço","",
          IF(AUTOEVENTO="manual",$A95,
                IF(ISERROR(MATCH($A95,$A$15:OFFSET($A95,-1,0),0)),MAX($M$15:OFFSET(M95,-1,0))+1,
                      INDEX($M$15:OFFSET(M95,-1,0),MATCH($A95,$A$15:OFFSET($A95,-1,0),0)))))</f>
        <v>12</v>
      </c>
      <c r="N95" s="167" t="str">
        <f ca="1">IF($D95&lt;&gt;"Serviço","",
         IF(AUTOEVENTO="Manual",
                IF($A95=0,"&lt;-- defina o número do agrupador",
                       OFFSET(EVENTOS!$D$15,$A95-$A$15,0)),
                OFFSET($F$15,$A95,0)))</f>
        <v xml:space="preserve">ADMINISTRAÇÃO LOCAL </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1000000000000</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12.75" hidden="1" x14ac:dyDescent="0.2">
      <c r="A96" s="7" t="str">
        <f t="shared" ca="1" si="13"/>
        <v>59</v>
      </c>
      <c r="B96" s="7" t="str">
        <f ca="1">OFFSET(ORÇAMENTO!C$15,$L96,0)</f>
        <v>S</v>
      </c>
      <c r="C96" s="7" t="str">
        <f ca="1">OFFSET(ORÇAMENTO!L$15,$L96,0)</f>
        <v/>
      </c>
      <c r="D96" s="116" t="str">
        <f ca="1">OFFSET(ORÇAMENTO!N$15,$L96,0)</f>
        <v>Serviço</v>
      </c>
      <c r="E96" s="117" t="str">
        <f ca="1">OFFSET(ORÇAMENTO!O$15,$L96,0)</f>
        <v>-</v>
      </c>
      <c r="F96" s="163" t="str">
        <f ca="1">OFFSET(ORÇAMENTO!R$15,$L96,0)</f>
        <v>(Sem Código)</v>
      </c>
      <c r="G96" s="164" t="str">
        <f ca="1">IF($D96&lt;&gt;"Serviço","",OFFSET(ORÇAMENTO!S$15,$L96,0))</f>
        <v>-</v>
      </c>
      <c r="H96" s="122" cm="1">
        <f t="array" aca="1" ref="H96" ca="1">IF($D96&lt;&gt;"Serviço",0,IF(ACOMPANHAMENTO="BM",ROUND(OFFSET(ORÇAMENTO!AJ$15,$L96,0),15-13*ORÇAMENTO!$AF$7),IF(IFERROR(CÁLCULO.FrentesPreenchidas,0)=0,0,SUM(ROUND(OFFSET($P96,0,1,1,CÁLCULO.FrentesPreenchidas),15-13*ORÇAMENTO!$AF$7)))))</f>
        <v>0</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t="shared" ca="1" si="14"/>
        <v>81</v>
      </c>
      <c r="M96" s="166">
        <f ca="1">IF($D96&lt;&gt;"Serviço","",
          IF(AUTOEVENTO="manual",$A96,
                IF(ISERROR(MATCH($A96,$A$15:OFFSET($A96,-1,0),0)),MAX($M$15:OFFSET(M96,-1,0))+1,
                      INDEX($M$15:OFFSET(M96,-1,0),MATCH($A96,$A$15:OFFSET($A96,-1,0),0)))))</f>
        <v>12</v>
      </c>
      <c r="N96" s="167" t="str">
        <f ca="1">IF($D96&lt;&gt;"Serviço","",
         IF(AUTOEVENTO="Manual",
                IF($A96=0,"&lt;-- defina o número do agrupador",
                       OFFSET(EVENTOS!$D$15,$A96-$A$15,0)),
                OFFSET($F$15,$A96,0)))</f>
        <v xml:space="preserve">ADMINISTRAÇÃO LOCAL </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1000000000000</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12.75" hidden="1" x14ac:dyDescent="0.2">
      <c r="A97" s="7" t="str">
        <f t="shared" ca="1" si="13"/>
        <v>59</v>
      </c>
      <c r="B97" s="7" t="str">
        <f ca="1">OFFSET(ORÇAMENTO!C$15,$L97,0)</f>
        <v>S</v>
      </c>
      <c r="C97" s="7" t="str">
        <f ca="1">OFFSET(ORÇAMENTO!L$15,$L97,0)</f>
        <v/>
      </c>
      <c r="D97" s="116" t="str">
        <f ca="1">OFFSET(ORÇAMENTO!N$15,$L97,0)</f>
        <v>Serviço</v>
      </c>
      <c r="E97" s="117" t="str">
        <f ca="1">OFFSET(ORÇAMENTO!O$15,$L97,0)</f>
        <v>-</v>
      </c>
      <c r="F97" s="163" t="str">
        <f ca="1">OFFSET(ORÇAMENTO!R$15,$L97,0)</f>
        <v>(Sem Código)</v>
      </c>
      <c r="G97" s="164" t="str">
        <f ca="1">IF($D97&lt;&gt;"Serviço","",OFFSET(ORÇAMENTO!S$15,$L97,0))</f>
        <v>-</v>
      </c>
      <c r="H97" s="122" cm="1">
        <f t="array" aca="1" ref="H97" ca="1">IF($D97&lt;&gt;"Serviço",0,IF(ACOMPANHAMENTO="BM",ROUND(OFFSET(ORÇAMENTO!AJ$15,$L97,0),15-13*ORÇAMENTO!$AF$7),IF(IFERROR(CÁLCULO.FrentesPreenchidas,0)=0,0,SUM(ROUND(OFFSET($P97,0,1,1,CÁLCULO.FrentesPreenchidas),15-13*ORÇAMENTO!$AF$7)))))</f>
        <v>0</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ca="1" si="14"/>
        <v>82</v>
      </c>
      <c r="M97" s="166">
        <f ca="1">IF($D97&lt;&gt;"Serviço","",
          IF(AUTOEVENTO="manual",$A97,
                IF(ISERROR(MATCH($A97,$A$15:OFFSET($A97,-1,0),0)),MAX($M$15:OFFSET(M97,-1,0))+1,
                      INDEX($M$15:OFFSET(M97,-1,0),MATCH($A97,$A$15:OFFSET($A97,-1,0),0)))))</f>
        <v>12</v>
      </c>
      <c r="N97" s="167" t="str">
        <f ca="1">IF($D97&lt;&gt;"Serviço","",
         IF(AUTOEVENTO="Manual",
                IF($A97=0,"&lt;-- defina o número do agrupador",
                       OFFSET(EVENTOS!$D$15,$A97-$A$15,0)),
                OFFSET($F$15,$A97,0)))</f>
        <v xml:space="preserve">ADMINISTRAÇÃO LOCAL </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1000000000000</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12.75" hidden="1" x14ac:dyDescent="0.2">
      <c r="A98" s="7" t="str">
        <f t="shared" ca="1" si="13"/>
        <v>59</v>
      </c>
      <c r="B98" s="7" t="str">
        <f ca="1">OFFSET(ORÇAMENTO!C$15,$L98,0)</f>
        <v>S</v>
      </c>
      <c r="C98" s="7" t="str">
        <f ca="1">OFFSET(ORÇAMENTO!L$15,$L98,0)</f>
        <v/>
      </c>
      <c r="D98" s="116" t="str">
        <f ca="1">OFFSET(ORÇAMENTO!N$15,$L98,0)</f>
        <v>Serviço</v>
      </c>
      <c r="E98" s="117" t="str">
        <f ca="1">OFFSET(ORÇAMENTO!O$15,$L98,0)</f>
        <v>-</v>
      </c>
      <c r="F98" s="163" t="str">
        <f ca="1">OFFSET(ORÇAMENTO!R$15,$L98,0)</f>
        <v>(Sem Código)</v>
      </c>
      <c r="G98" s="164" t="str">
        <f ca="1">IF($D98&lt;&gt;"Serviço","",OFFSET(ORÇAMENTO!S$15,$L98,0))</f>
        <v>-</v>
      </c>
      <c r="H98" s="122" cm="1">
        <f t="array" aca="1" ref="H98" ca="1">IF($D98&lt;&gt;"Serviço",0,IF(ACOMPANHAMENTO="BM",ROUND(OFFSET(ORÇAMENTO!AJ$15,$L98,0),15-13*ORÇAMENTO!$AF$7),IF(IFERROR(CÁLCULO.FrentesPreenchidas,0)=0,0,SUM(ROUND(OFFSET($P98,0,1,1,CÁLCULO.FrentesPreenchidas),15-13*ORÇAMENTO!$AF$7)))))</f>
        <v>0</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14"/>
        <v>83</v>
      </c>
      <c r="M98" s="166">
        <f ca="1">IF($D98&lt;&gt;"Serviço","",
          IF(AUTOEVENTO="manual",$A98,
                IF(ISERROR(MATCH($A98,$A$15:OFFSET($A98,-1,0),0)),MAX($M$15:OFFSET(M98,-1,0))+1,
                      INDEX($M$15:OFFSET(M98,-1,0),MATCH($A98,$A$15:OFFSET($A98,-1,0),0)))))</f>
        <v>12</v>
      </c>
      <c r="N98" s="167" t="str">
        <f ca="1">IF($D98&lt;&gt;"Serviço","",
         IF(AUTOEVENTO="Manual",
                IF($A98=0,"&lt;-- defina o número do agrupador",
                       OFFSET(EVENTOS!$D$15,$A98-$A$15,0)),
                OFFSET($F$15,$A98,0)))</f>
        <v xml:space="preserve">ADMINISTRAÇÃO LOCAL </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1000000000000</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12.75" hidden="1" x14ac:dyDescent="0.2">
      <c r="A99" s="7" t="str">
        <f t="shared" ca="1" si="13"/>
        <v>59</v>
      </c>
      <c r="B99" s="7" t="str">
        <f ca="1">OFFSET(ORÇAMENTO!C$15,$L99,0)</f>
        <v>S</v>
      </c>
      <c r="C99" s="7" t="str">
        <f ca="1">OFFSET(ORÇAMENTO!L$15,$L99,0)</f>
        <v/>
      </c>
      <c r="D99" s="116" t="str">
        <f ca="1">OFFSET(ORÇAMENTO!N$15,$L99,0)</f>
        <v>Serviço</v>
      </c>
      <c r="E99" s="117" t="str">
        <f ca="1">OFFSET(ORÇAMENTO!O$15,$L99,0)</f>
        <v>-</v>
      </c>
      <c r="F99" s="163" t="str">
        <f ca="1">OFFSET(ORÇAMENTO!R$15,$L99,0)</f>
        <v>(Sem Código)</v>
      </c>
      <c r="G99" s="164" t="str">
        <f ca="1">IF($D99&lt;&gt;"Serviço","",OFFSET(ORÇAMENTO!S$15,$L99,0))</f>
        <v>-</v>
      </c>
      <c r="H99" s="122" cm="1">
        <f t="array" aca="1" ref="H99" ca="1">IF($D99&lt;&gt;"Serviço",0,IF(ACOMPANHAMENTO="BM",ROUND(OFFSET(ORÇAMENTO!AJ$15,$L99,0),15-13*ORÇAMENTO!$AF$7),IF(IFERROR(CÁLCULO.FrentesPreenchidas,0)=0,0,SUM(ROUND(OFFSET($P99,0,1,1,CÁLCULO.FrentesPreenchidas),15-13*ORÇAMENTO!$AF$7)))))</f>
        <v>0</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14"/>
        <v>84</v>
      </c>
      <c r="M99" s="166">
        <f ca="1">IF($D99&lt;&gt;"Serviço","",
          IF(AUTOEVENTO="manual",$A99,
                IF(ISERROR(MATCH($A99,$A$15:OFFSET($A99,-1,0),0)),MAX($M$15:OFFSET(M99,-1,0))+1,
                      INDEX($M$15:OFFSET(M99,-1,0),MATCH($A99,$A$15:OFFSET($A99,-1,0),0)))))</f>
        <v>12</v>
      </c>
      <c r="N99" s="167" t="str">
        <f ca="1">IF($D99&lt;&gt;"Serviço","",
         IF(AUTOEVENTO="Manual",
                IF($A99=0,"&lt;-- defina o número do agrupador",
                       OFFSET(EVENTOS!$D$15,$A99-$A$15,0)),
                OFFSET($F$15,$A99,0)))</f>
        <v xml:space="preserve">ADMINISTRAÇÃO LOCAL </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1000000000000</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12.75" hidden="1" x14ac:dyDescent="0.2">
      <c r="A100" s="7" t="str">
        <f t="shared" ca="1" si="13"/>
        <v>59</v>
      </c>
      <c r="B100" s="7" t="str">
        <f ca="1">OFFSET(ORÇAMENTO!C$15,$L100,0)</f>
        <v>S</v>
      </c>
      <c r="C100" s="7" t="str">
        <f ca="1">OFFSET(ORÇAMENTO!L$15,$L100,0)</f>
        <v/>
      </c>
      <c r="D100" s="116" t="str">
        <f ca="1">OFFSET(ORÇAMENTO!N$15,$L100,0)</f>
        <v>Serviço</v>
      </c>
      <c r="E100" s="117" t="str">
        <f ca="1">OFFSET(ORÇAMENTO!O$15,$L100,0)</f>
        <v>-</v>
      </c>
      <c r="F100" s="163" t="str">
        <f ca="1">OFFSET(ORÇAMENTO!R$15,$L100,0)</f>
        <v>(Sem Código)</v>
      </c>
      <c r="G100" s="164" t="str">
        <f ca="1">IF($D100&lt;&gt;"Serviço","",OFFSET(ORÇAMENTO!S$15,$L100,0))</f>
        <v>-</v>
      </c>
      <c r="H100" s="122" cm="1">
        <f t="array" aca="1" ref="H100" ca="1">IF($D100&lt;&gt;"Serviço",0,IF(ACOMPANHAMENTO="BM",ROUND(OFFSET(ORÇAMENTO!AJ$15,$L100,0),15-13*ORÇAMENTO!$AF$7),IF(IFERROR(CÁLCULO.FrentesPreenchidas,0)=0,0,SUM(ROUND(OFFSET($P100,0,1,1,CÁLCULO.FrentesPreenchidas),15-13*ORÇAMENTO!$AF$7)))))</f>
        <v>0</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t="shared" ca="1" si="14"/>
        <v>85</v>
      </c>
      <c r="M100" s="166">
        <f ca="1">IF($D100&lt;&gt;"Serviço","",
          IF(AUTOEVENTO="manual",$A100,
                IF(ISERROR(MATCH($A100,$A$15:OFFSET($A100,-1,0),0)),MAX($M$15:OFFSET(M100,-1,0))+1,
                      INDEX($M$15:OFFSET(M100,-1,0),MATCH($A100,$A$15:OFFSET($A100,-1,0),0)))))</f>
        <v>12</v>
      </c>
      <c r="N100" s="167" t="str">
        <f ca="1">IF($D100&lt;&gt;"Serviço","",
         IF(AUTOEVENTO="Manual",
                IF($A100=0,"&lt;-- defina o número do agrupador",
                       OFFSET(EVENTOS!$D$15,$A100-$A$15,0)),
                OFFSET($F$15,$A100,0)))</f>
        <v xml:space="preserve">ADMINISTRAÇÃO LOCAL </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1000000000000</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12.75" hidden="1" x14ac:dyDescent="0.2">
      <c r="A101" s="7" t="str">
        <f t="shared" ca="1" si="13"/>
        <v>59</v>
      </c>
      <c r="B101" s="7" t="str">
        <f ca="1">OFFSET(ORÇAMENTO!C$15,$L101,0)</f>
        <v>S</v>
      </c>
      <c r="C101" s="7" t="str">
        <f ca="1">OFFSET(ORÇAMENTO!L$15,$L101,0)</f>
        <v/>
      </c>
      <c r="D101" s="116" t="str">
        <f ca="1">OFFSET(ORÇAMENTO!N$15,$L101,0)</f>
        <v>Serviço</v>
      </c>
      <c r="E101" s="117" t="str">
        <f ca="1">OFFSET(ORÇAMENTO!O$15,$L101,0)</f>
        <v>-</v>
      </c>
      <c r="F101" s="163" t="str">
        <f ca="1">OFFSET(ORÇAMENTO!R$15,$L101,0)</f>
        <v>(Sem Código)</v>
      </c>
      <c r="G101" s="164" t="str">
        <f ca="1">IF($D101&lt;&gt;"Serviço","",OFFSET(ORÇAMENTO!S$15,$L101,0))</f>
        <v>-</v>
      </c>
      <c r="H101" s="122" cm="1">
        <f t="array" aca="1" ref="H101" ca="1">IF($D101&lt;&gt;"Serviço",0,IF(ACOMPANHAMENTO="BM",ROUND(OFFSET(ORÇAMENTO!AJ$15,$L101,0),15-13*ORÇAMENTO!$AF$7),IF(IFERROR(CÁLCULO.FrentesPreenchidas,0)=0,0,SUM(ROUND(OFFSET($P101,0,1,1,CÁLCULO.FrentesPreenchidas),15-13*ORÇAMENTO!$AF$7)))))</f>
        <v>0</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14"/>
        <v>86</v>
      </c>
      <c r="M101" s="166">
        <f ca="1">IF($D101&lt;&gt;"Serviço","",
          IF(AUTOEVENTO="manual",$A101,
                IF(ISERROR(MATCH($A101,$A$15:OFFSET($A101,-1,0),0)),MAX($M$15:OFFSET(M101,-1,0))+1,
                      INDEX($M$15:OFFSET(M101,-1,0),MATCH($A101,$A$15:OFFSET($A101,-1,0),0)))))</f>
        <v>12</v>
      </c>
      <c r="N101" s="167" t="str">
        <f ca="1">IF($D101&lt;&gt;"Serviço","",
         IF(AUTOEVENTO="Manual",
                IF($A101=0,"&lt;-- defina o número do agrupador",
                       OFFSET(EVENTOS!$D$15,$A101-$A$15,0)),
                OFFSET($F$15,$A101,0)))</f>
        <v xml:space="preserve">ADMINISTRAÇÃO LOCAL </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1000000000000</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12.75" hidden="1" x14ac:dyDescent="0.2">
      <c r="A102" s="7" t="str">
        <f t="shared" ca="1" si="13"/>
        <v>59</v>
      </c>
      <c r="B102" s="7" t="str">
        <f ca="1">OFFSET(ORÇAMENTO!C$15,$L102,0)</f>
        <v>S</v>
      </c>
      <c r="C102" s="7" t="str">
        <f ca="1">OFFSET(ORÇAMENTO!L$15,$L102,0)</f>
        <v/>
      </c>
      <c r="D102" s="116" t="str">
        <f ca="1">OFFSET(ORÇAMENTO!N$15,$L102,0)</f>
        <v>Serviço</v>
      </c>
      <c r="E102" s="117" t="str">
        <f ca="1">OFFSET(ORÇAMENTO!O$15,$L102,0)</f>
        <v>-</v>
      </c>
      <c r="F102" s="163" t="str">
        <f ca="1">OFFSET(ORÇAMENTO!R$15,$L102,0)</f>
        <v>(Sem Código)</v>
      </c>
      <c r="G102" s="164" t="str">
        <f ca="1">IF($D102&lt;&gt;"Serviço","",OFFSET(ORÇAMENTO!S$15,$L102,0))</f>
        <v>-</v>
      </c>
      <c r="H102" s="122" cm="1">
        <f t="array" aca="1" ref="H102" ca="1">IF($D102&lt;&gt;"Serviço",0,IF(ACOMPANHAMENTO="BM",ROUND(OFFSET(ORÇAMENTO!AJ$15,$L102,0),15-13*ORÇAMENTO!$AF$7),IF(IFERROR(CÁLCULO.FrentesPreenchidas,0)=0,0,SUM(ROUND(OFFSET($P102,0,1,1,CÁLCULO.FrentesPreenchidas),15-13*ORÇAMENTO!$AF$7)))))</f>
        <v>0</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t="shared" ca="1" si="14"/>
        <v>87</v>
      </c>
      <c r="M102" s="166">
        <f ca="1">IF($D102&lt;&gt;"Serviço","",
          IF(AUTOEVENTO="manual",$A102,
                IF(ISERROR(MATCH($A102,$A$15:OFFSET($A102,-1,0),0)),MAX($M$15:OFFSET(M102,-1,0))+1,
                      INDEX($M$15:OFFSET(M102,-1,0),MATCH($A102,$A$15:OFFSET($A102,-1,0),0)))))</f>
        <v>12</v>
      </c>
      <c r="N102" s="167" t="str">
        <f ca="1">IF($D102&lt;&gt;"Serviço","",
         IF(AUTOEVENTO="Manual",
                IF($A102=0,"&lt;-- defina o número do agrupador",
                       OFFSET(EVENTOS!$D$15,$A102-$A$15,0)),
                OFFSET($F$15,$A102,0)))</f>
        <v xml:space="preserve">ADMINISTRAÇÃO LOCAL </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1000000000000</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12.75" hidden="1" x14ac:dyDescent="0.2">
      <c r="A103" s="7" t="str">
        <f t="shared" ca="1" si="13"/>
        <v>59</v>
      </c>
      <c r="B103" s="7" t="str">
        <f ca="1">OFFSET(ORÇAMENTO!C$15,$L103,0)</f>
        <v>S</v>
      </c>
      <c r="C103" s="7" t="str">
        <f ca="1">OFFSET(ORÇAMENTO!L$15,$L103,0)</f>
        <v/>
      </c>
      <c r="D103" s="116" t="str">
        <f ca="1">OFFSET(ORÇAMENTO!N$15,$L103,0)</f>
        <v>Serviço</v>
      </c>
      <c r="E103" s="117" t="str">
        <f ca="1">OFFSET(ORÇAMENTO!O$15,$L103,0)</f>
        <v>-</v>
      </c>
      <c r="F103" s="163" t="str">
        <f ca="1">OFFSET(ORÇAMENTO!R$15,$L103,0)</f>
        <v>(Sem Código)</v>
      </c>
      <c r="G103" s="164" t="str">
        <f ca="1">IF($D103&lt;&gt;"Serviço","",OFFSET(ORÇAMENTO!S$15,$L103,0))</f>
        <v>-</v>
      </c>
      <c r="H103" s="122" cm="1">
        <f t="array" aca="1" ref="H103" ca="1">IF($D103&lt;&gt;"Serviço",0,IF(ACOMPANHAMENTO="BM",ROUND(OFFSET(ORÇAMENTO!AJ$15,$L103,0),15-13*ORÇAMENTO!$AF$7),IF(IFERROR(CÁLCULO.FrentesPreenchidas,0)=0,0,SUM(ROUND(OFFSET($P103,0,1,1,CÁLCULO.FrentesPreenchidas),15-13*ORÇAMENTO!$AF$7)))))</f>
        <v>0</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t="shared" ca="1" si="14"/>
        <v>88</v>
      </c>
      <c r="M103" s="166">
        <f ca="1">IF($D103&lt;&gt;"Serviço","",
          IF(AUTOEVENTO="manual",$A103,
                IF(ISERROR(MATCH($A103,$A$15:OFFSET($A103,-1,0),0)),MAX($M$15:OFFSET(M103,-1,0))+1,
                      INDEX($M$15:OFFSET(M103,-1,0),MATCH($A103,$A$15:OFFSET($A103,-1,0),0)))))</f>
        <v>12</v>
      </c>
      <c r="N103" s="167" t="str">
        <f ca="1">IF($D103&lt;&gt;"Serviço","",
         IF(AUTOEVENTO="Manual",
                IF($A103=0,"&lt;-- defina o número do agrupador",
                       OFFSET(EVENTOS!$D$15,$A103-$A$15,0)),
                OFFSET($F$15,$A103,0)))</f>
        <v xml:space="preserve">ADMINISTRAÇÃO LOCAL </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1000000000000</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12.75" hidden="1" x14ac:dyDescent="0.2">
      <c r="A104" s="7" t="str">
        <f t="shared" ref="A104:A161" ca="1" si="15">IFERROR(IF(AUTOEVENTO="Manual",IF(K104&lt;&gt;"",MIN(VALUE(LEFT(K104,FIND(".",K104)-1)),COUNTA(EVENTOS.Lista)),0),IF(OR($B104&gt;AUTOEVENTO,$B104="S",$B104=0),SUBSTITUTE(OFFSET($A104,-1,0),IF($D104="Serviço",".",""),""),$L104&amp;".")),0)</f>
        <v>59</v>
      </c>
      <c r="B104" s="7" t="str">
        <f ca="1">OFFSET(ORÇAMENTO!C$15,$L104,0)</f>
        <v>S</v>
      </c>
      <c r="C104" s="7" t="str">
        <f ca="1">OFFSET(ORÇAMENTO!L$15,$L104,0)</f>
        <v/>
      </c>
      <c r="D104" s="116" t="str">
        <f ca="1">OFFSET(ORÇAMENTO!N$15,$L104,0)</f>
        <v>Serviço</v>
      </c>
      <c r="E104" s="117" t="str">
        <f ca="1">OFFSET(ORÇAMENTO!O$15,$L104,0)</f>
        <v>-</v>
      </c>
      <c r="F104" s="163" t="str">
        <f ca="1">OFFSET(ORÇAMENTO!R$15,$L104,0)</f>
        <v>(Sem Código)</v>
      </c>
      <c r="G104" s="164" t="str">
        <f ca="1">IF($D104&lt;&gt;"Serviço","",OFFSET(ORÇAMENTO!S$15,$L104,0))</f>
        <v>-</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t="shared" ref="L104:L161" ca="1" si="16">OFFSET(L104,-1,0)+1</f>
        <v>89</v>
      </c>
      <c r="M104" s="166">
        <f ca="1">IF($D104&lt;&gt;"Serviço","",
          IF(AUTOEVENTO="manual",$A104,
                IF(ISERROR(MATCH($A104,$A$15:OFFSET($A104,-1,0),0)),MAX($M$15:OFFSET(M104,-1,0))+1,
                      INDEX($M$15:OFFSET(M104,-1,0),MATCH($A104,$A$15:OFFSET($A104,-1,0),0)))))</f>
        <v>12</v>
      </c>
      <c r="N104" s="167" t="str">
        <f ca="1">IF($D104&lt;&gt;"Serviço","",
         IF(AUTOEVENTO="Manual",
                IF($A104=0,"&lt;-- defina o número do agrupador",
                       OFFSET(EVENTOS!$D$15,$A104-$A$15,0)),
                OFFSET($F$15,$A104,0)))</f>
        <v xml:space="preserve">ADMINISTRAÇÃO LOCAL </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1000000000000</v>
      </c>
      <c r="AN104" s="171">
        <f ca="1">IF(OR($D104&lt;&gt;"Serviço",AND(AUTOEVENTO="Manual",$M104=$A$15)),0,
         IF(OFFSET(CRONOPLE!$F$15,$M104-$A$15,AN$13)=0,10^12,OFFSET(CRONOPLE!$F$15,$M104-$A$15,AN$13)))</f>
        <v>1000000000000</v>
      </c>
      <c r="AO104" s="171">
        <f ca="1">IF(OR($D104&lt;&gt;"Serviço",AND(AUTOEVENTO="Manual",$M104=$A$15)),0,
         IF(OFFSET(CRONOPLE!$F$15,$M104-$A$15,AO$13)=0,10^12,OFFSET(CRONOPLE!$F$15,$M104-$A$15,AO$13)))</f>
        <v>1000000000000</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cm="1">
        <f t="array" aca="1" ref="AX104" ca="1">IF(OR($D104&lt;&gt;"Serviço",AND(AUTOEVENTO="Manual",$M104=$A$15),$M104&gt;(ROW(PLE.lastrow)-ROW(PLE.firstrow))),0,
           IF(OFFSET(PLE!$G$15,$M104-$A$15,AX$13)="",10^12,OFFSET(PLE!$G$15,$M104-$A$15,AX$13)))</f>
        <v>1000000000000</v>
      </c>
      <c r="AY104" s="172" cm="1">
        <f t="array" aca="1" ref="AY104" ca="1">IF(OR($D104&lt;&gt;"Serviço",AND(AUTOEVENTO="Manual",$M104=$A$15),$M104&gt;(ROW(PLE.lastrow)-ROW(PLE.firstrow))),0,
           IF(OFFSET(PLE!$G$15,$M104-$A$15,AY$13)="",10^12,OFFSET(PLE!$G$15,$M104-$A$15,AY$13)))</f>
        <v>1000000000000</v>
      </c>
      <c r="AZ104" s="172" cm="1">
        <f t="array" aca="1" ref="AZ104" ca="1">IF(OR($D104&lt;&gt;"Serviço",AND(AUTOEVENTO="Manual",$M104=$A$15),$M104&gt;(ROW(PLE.lastrow)-ROW(PLE.firstrow))),0,
           IF(OFFSET(PLE!$G$15,$M104-$A$15,AZ$13)="",10^12,OFFSET(PLE!$G$15,$M104-$A$15,AZ$13)))</f>
        <v>1000000000000</v>
      </c>
      <c r="BA104" s="172" cm="1">
        <f t="array" aca="1" ref="BA104" ca="1">IF(OR($D104&lt;&gt;"Serviço",AND(AUTOEVENTO="Manual",$M104=$A$15),$M104&gt;(ROW(PLE.lastrow)-ROW(PLE.firstrow))),0,
           IF(OFFSET(PLE!$G$15,$M104-$A$15,BA$13)="",10^12,OFFSET(PLE!$G$15,$M104-$A$15,BA$13)))</f>
        <v>1000000000000</v>
      </c>
      <c r="BB104" s="172" cm="1">
        <f t="array" aca="1" ref="BB104" ca="1">IF(OR($D104&lt;&gt;"Serviço",AND(AUTOEVENTO="Manual",$M104=$A$15),$M104&gt;(ROW(PLE.lastrow)-ROW(PLE.firstrow))),0,
           IF(OFFSET(PLE!$G$15,$M104-$A$15,BB$13)="",10^12,OFFSET(PLE!$G$15,$M104-$A$15,BB$13)))</f>
        <v>1000000000000</v>
      </c>
      <c r="BC104" s="172" cm="1">
        <f t="array" aca="1" ref="BC104" ca="1">IF(OR($D104&lt;&gt;"Serviço",AND(AUTOEVENTO="Manual",$M104=$A$15),$M104&gt;(ROW(PLE.lastrow)-ROW(PLE.firstrow))),0,
           IF(OFFSET(PLE!$G$15,$M104-$A$15,BC$13)="",10^12,OFFSET(PLE!$G$15,$M104-$A$15,BC$13)))</f>
        <v>1000000000000</v>
      </c>
      <c r="BD104" s="172" cm="1">
        <f t="array" aca="1" ref="BD104" ca="1">IF(OR($D104&lt;&gt;"Serviço",AND(AUTOEVENTO="Manual",$M104=$A$15),$M104&gt;(ROW(PLE.lastrow)-ROW(PLE.firstrow))),0,
           IF(OFFSET(PLE!$G$15,$M104-$A$15,BD$13)="",10^12,OFFSET(PLE!$G$15,$M104-$A$15,BD$13)))</f>
        <v>1000000000000</v>
      </c>
      <c r="BE104" s="172" cm="1">
        <f t="array" aca="1" ref="BE104" ca="1">IF(OR($D104&lt;&gt;"Serviço",AND(AUTOEVENTO="Manual",$M104=$A$15),$M104&gt;(ROW(PLE.lastrow)-ROW(PLE.firstrow))),0,
           IF(OFFSET(PLE!$G$15,$M104-$A$15,BE$13)="",10^12,OFFSET(PLE!$G$15,$M104-$A$15,BE$13)))</f>
        <v>1000000000000</v>
      </c>
      <c r="BF104" s="172" cm="1">
        <f t="array" aca="1" ref="BF104" ca="1">IF(OR($D104&lt;&gt;"Serviço",AND(AUTOEVENTO="Manual",$M104=$A$15),$M104&gt;(ROW(PLE.lastrow)-ROW(PLE.firstrow))),0,
           IF(OFFSET(PLE!$G$15,$M104-$A$15,BF$13)="",10^12,OFFSET(PLE!$G$15,$M104-$A$15,BF$13)))</f>
        <v>1000000000000</v>
      </c>
      <c r="BG104" s="172" cm="1">
        <f t="array" aca="1" ref="BG104" ca="1">IF(OR($D104&lt;&gt;"Serviço",AND(AUTOEVENTO="Manual",$M104=$A$15),$M104&gt;(ROW(PLE.lastrow)-ROW(PLE.firstrow))),0,
           IF(OFFSET(PLE!$G$15,$M104-$A$15,BG$13)="",10^12,OFFSET(PLE!$G$15,$M104-$A$15,BG$13)))</f>
        <v>1000000000000</v>
      </c>
    </row>
    <row r="105" spans="1:59" ht="12.75" hidden="1" x14ac:dyDescent="0.2">
      <c r="A105" s="7" t="str">
        <f t="shared" ca="1" si="15"/>
        <v>59</v>
      </c>
      <c r="B105" s="7" t="str">
        <f ca="1">OFFSET(ORÇAMENTO!C$15,$L105,0)</f>
        <v>S</v>
      </c>
      <c r="C105" s="7" t="str">
        <f ca="1">OFFSET(ORÇAMENTO!L$15,$L105,0)</f>
        <v/>
      </c>
      <c r="D105" s="116" t="str">
        <f ca="1">OFFSET(ORÇAMENTO!N$15,$L105,0)</f>
        <v>Serviço</v>
      </c>
      <c r="E105" s="117" t="str">
        <f ca="1">OFFSET(ORÇAMENTO!O$15,$L105,0)</f>
        <v>-</v>
      </c>
      <c r="F105" s="163" t="str">
        <f ca="1">OFFSET(ORÇAMENTO!R$15,$L105,0)</f>
        <v>(Sem Código)</v>
      </c>
      <c r="G105" s="164" t="str">
        <f ca="1">IF($D105&lt;&gt;"Serviço","",OFFSET(ORÇAMENTO!S$15,$L105,0))</f>
        <v>-</v>
      </c>
      <c r="H105" s="122" cm="1">
        <f t="array" aca="1" ref="H105" ca="1">IF($D105&lt;&gt;"Serviço",0,IF(ACOMPANHAMENTO="BM",ROUND(OFFSET(ORÇAMENTO!AJ$15,$L105,0),15-13*ORÇAMENTO!$AF$7),IF(IFERROR(CÁLCULO.FrentesPreenchidas,0)=0,0,SUM(ROUND(OFFSET($P105,0,1,1,CÁLCULO.FrentesPreenchidas),15-13*ORÇAMENTO!$AF$7)))))</f>
        <v>0</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16"/>
        <v>90</v>
      </c>
      <c r="M105" s="166">
        <f ca="1">IF($D105&lt;&gt;"Serviço","",
          IF(AUTOEVENTO="manual",$A105,
                IF(ISERROR(MATCH($A105,$A$15:OFFSET($A105,-1,0),0)),MAX($M$15:OFFSET(M105,-1,0))+1,
                      INDEX($M$15:OFFSET(M105,-1,0),MATCH($A105,$A$15:OFFSET($A105,-1,0),0)))))</f>
        <v>12</v>
      </c>
      <c r="N105" s="167" t="str">
        <f ca="1">IF($D105&lt;&gt;"Serviço","",
         IF(AUTOEVENTO="Manual",
                IF($A105=0,"&lt;-- defina o número do agrupador",
                       OFFSET(EVENTOS!$D$15,$A105-$A$15,0)),
                OFFSET($F$15,$A105,0)))</f>
        <v xml:space="preserve">ADMINISTRAÇÃO LOCAL </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1000000000000</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12.75" hidden="1" x14ac:dyDescent="0.2">
      <c r="A106" s="7" t="str">
        <f t="shared" ca="1" si="15"/>
        <v>59</v>
      </c>
      <c r="B106" s="7" t="str">
        <f ca="1">OFFSET(ORÇAMENTO!C$15,$L106,0)</f>
        <v>S</v>
      </c>
      <c r="C106" s="7" t="str">
        <f ca="1">OFFSET(ORÇAMENTO!L$15,$L106,0)</f>
        <v/>
      </c>
      <c r="D106" s="116" t="str">
        <f ca="1">OFFSET(ORÇAMENTO!N$15,$L106,0)</f>
        <v>Serviço</v>
      </c>
      <c r="E106" s="117" t="str">
        <f ca="1">OFFSET(ORÇAMENTO!O$15,$L106,0)</f>
        <v>-</v>
      </c>
      <c r="F106" s="163" t="str">
        <f ca="1">OFFSET(ORÇAMENTO!R$15,$L106,0)</f>
        <v>(Sem Código)</v>
      </c>
      <c r="G106" s="164" t="str">
        <f ca="1">IF($D106&lt;&gt;"Serviço","",OFFSET(ORÇAMENTO!S$15,$L106,0))</f>
        <v>-</v>
      </c>
      <c r="H106" s="122" cm="1">
        <f t="array" aca="1" ref="H106" ca="1">IF($D106&lt;&gt;"Serviço",0,IF(ACOMPANHAMENTO="BM",ROUND(OFFSET(ORÇAMENTO!AJ$15,$L106,0),15-13*ORÇAMENTO!$AF$7),IF(IFERROR(CÁLCULO.FrentesPreenchidas,0)=0,0,SUM(ROUND(OFFSET($P106,0,1,1,CÁLCULO.FrentesPreenchidas),15-13*ORÇAMENTO!$AF$7)))))</f>
        <v>0</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t="shared" ca="1" si="16"/>
        <v>91</v>
      </c>
      <c r="M106" s="166">
        <f ca="1">IF($D106&lt;&gt;"Serviço","",
          IF(AUTOEVENTO="manual",$A106,
                IF(ISERROR(MATCH($A106,$A$15:OFFSET($A106,-1,0),0)),MAX($M$15:OFFSET(M106,-1,0))+1,
                      INDEX($M$15:OFFSET(M106,-1,0),MATCH($A106,$A$15:OFFSET($A106,-1,0),0)))))</f>
        <v>12</v>
      </c>
      <c r="N106" s="167" t="str">
        <f ca="1">IF($D106&lt;&gt;"Serviço","",
         IF(AUTOEVENTO="Manual",
                IF($A106=0,"&lt;-- defina o número do agrupador",
                       OFFSET(EVENTOS!$D$15,$A106-$A$15,0)),
                OFFSET($F$15,$A106,0)))</f>
        <v xml:space="preserve">ADMINISTRAÇÃO LOCAL </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1000000000000</v>
      </c>
      <c r="AN106" s="171">
        <f ca="1">IF(OR($D106&lt;&gt;"Serviço",AND(AUTOEVENTO="Manual",$M106=$A$15)),0,
         IF(OFFSET(CRONOPLE!$F$15,$M106-$A$15,AN$13)=0,10^12,OFFSET(CRONOPLE!$F$15,$M106-$A$15,AN$13)))</f>
        <v>1000000000000</v>
      </c>
      <c r="AO106" s="171">
        <f ca="1">IF(OR($D106&lt;&gt;"Serviço",AND(AUTOEVENTO="Manual",$M106=$A$15)),0,
         IF(OFFSET(CRONOPLE!$F$15,$M106-$A$15,AO$13)=0,10^12,OFFSET(CRONOPLE!$F$15,$M106-$A$15,AO$13)))</f>
        <v>1000000000000</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cm="1">
        <f t="array" aca="1" ref="AX106" ca="1">IF(OR($D106&lt;&gt;"Serviço",AND(AUTOEVENTO="Manual",$M106=$A$15),$M106&gt;(ROW(PLE.lastrow)-ROW(PLE.firstrow))),0,
           IF(OFFSET(PLE!$G$15,$M106-$A$15,AX$13)="",10^12,OFFSET(PLE!$G$15,$M106-$A$15,AX$13)))</f>
        <v>1000000000000</v>
      </c>
      <c r="AY106" s="172" cm="1">
        <f t="array" aca="1" ref="AY106" ca="1">IF(OR($D106&lt;&gt;"Serviço",AND(AUTOEVENTO="Manual",$M106=$A$15),$M106&gt;(ROW(PLE.lastrow)-ROW(PLE.firstrow))),0,
           IF(OFFSET(PLE!$G$15,$M106-$A$15,AY$13)="",10^12,OFFSET(PLE!$G$15,$M106-$A$15,AY$13)))</f>
        <v>1000000000000</v>
      </c>
      <c r="AZ106" s="172" cm="1">
        <f t="array" aca="1" ref="AZ106" ca="1">IF(OR($D106&lt;&gt;"Serviço",AND(AUTOEVENTO="Manual",$M106=$A$15),$M106&gt;(ROW(PLE.lastrow)-ROW(PLE.firstrow))),0,
           IF(OFFSET(PLE!$G$15,$M106-$A$15,AZ$13)="",10^12,OFFSET(PLE!$G$15,$M106-$A$15,AZ$13)))</f>
        <v>1000000000000</v>
      </c>
      <c r="BA106" s="172" cm="1">
        <f t="array" aca="1" ref="BA106" ca="1">IF(OR($D106&lt;&gt;"Serviço",AND(AUTOEVENTO="Manual",$M106=$A$15),$M106&gt;(ROW(PLE.lastrow)-ROW(PLE.firstrow))),0,
           IF(OFFSET(PLE!$G$15,$M106-$A$15,BA$13)="",10^12,OFFSET(PLE!$G$15,$M106-$A$15,BA$13)))</f>
        <v>1000000000000</v>
      </c>
      <c r="BB106" s="172" cm="1">
        <f t="array" aca="1" ref="BB106" ca="1">IF(OR($D106&lt;&gt;"Serviço",AND(AUTOEVENTO="Manual",$M106=$A$15),$M106&gt;(ROW(PLE.lastrow)-ROW(PLE.firstrow))),0,
           IF(OFFSET(PLE!$G$15,$M106-$A$15,BB$13)="",10^12,OFFSET(PLE!$G$15,$M106-$A$15,BB$13)))</f>
        <v>1000000000000</v>
      </c>
      <c r="BC106" s="172" cm="1">
        <f t="array" aca="1" ref="BC106" ca="1">IF(OR($D106&lt;&gt;"Serviço",AND(AUTOEVENTO="Manual",$M106=$A$15),$M106&gt;(ROW(PLE.lastrow)-ROW(PLE.firstrow))),0,
           IF(OFFSET(PLE!$G$15,$M106-$A$15,BC$13)="",10^12,OFFSET(PLE!$G$15,$M106-$A$15,BC$13)))</f>
        <v>1000000000000</v>
      </c>
      <c r="BD106" s="172" cm="1">
        <f t="array" aca="1" ref="BD106" ca="1">IF(OR($D106&lt;&gt;"Serviço",AND(AUTOEVENTO="Manual",$M106=$A$15),$M106&gt;(ROW(PLE.lastrow)-ROW(PLE.firstrow))),0,
           IF(OFFSET(PLE!$G$15,$M106-$A$15,BD$13)="",10^12,OFFSET(PLE!$G$15,$M106-$A$15,BD$13)))</f>
        <v>1000000000000</v>
      </c>
      <c r="BE106" s="172" cm="1">
        <f t="array" aca="1" ref="BE106" ca="1">IF(OR($D106&lt;&gt;"Serviço",AND(AUTOEVENTO="Manual",$M106=$A$15),$M106&gt;(ROW(PLE.lastrow)-ROW(PLE.firstrow))),0,
           IF(OFFSET(PLE!$G$15,$M106-$A$15,BE$13)="",10^12,OFFSET(PLE!$G$15,$M106-$A$15,BE$13)))</f>
        <v>1000000000000</v>
      </c>
      <c r="BF106" s="172" cm="1">
        <f t="array" aca="1" ref="BF106" ca="1">IF(OR($D106&lt;&gt;"Serviço",AND(AUTOEVENTO="Manual",$M106=$A$15),$M106&gt;(ROW(PLE.lastrow)-ROW(PLE.firstrow))),0,
           IF(OFFSET(PLE!$G$15,$M106-$A$15,BF$13)="",10^12,OFFSET(PLE!$G$15,$M106-$A$15,BF$13)))</f>
        <v>1000000000000</v>
      </c>
      <c r="BG106" s="172" cm="1">
        <f t="array" aca="1" ref="BG106" ca="1">IF(OR($D106&lt;&gt;"Serviço",AND(AUTOEVENTO="Manual",$M106=$A$15),$M106&gt;(ROW(PLE.lastrow)-ROW(PLE.firstrow))),0,
           IF(OFFSET(PLE!$G$15,$M106-$A$15,BG$13)="",10^12,OFFSET(PLE!$G$15,$M106-$A$15,BG$13)))</f>
        <v>1000000000000</v>
      </c>
    </row>
    <row r="107" spans="1:59" ht="12.75" hidden="1" x14ac:dyDescent="0.2">
      <c r="A107" s="7" t="str">
        <f t="shared" ca="1" si="15"/>
        <v>59</v>
      </c>
      <c r="B107" s="7" t="str">
        <f ca="1">OFFSET(ORÇAMENTO!C$15,$L107,0)</f>
        <v>S</v>
      </c>
      <c r="C107" s="7" t="str">
        <f ca="1">OFFSET(ORÇAMENTO!L$15,$L107,0)</f>
        <v/>
      </c>
      <c r="D107" s="116" t="str">
        <f ca="1">OFFSET(ORÇAMENTO!N$15,$L107,0)</f>
        <v>Serviço</v>
      </c>
      <c r="E107" s="117" t="str">
        <f ca="1">OFFSET(ORÇAMENTO!O$15,$L107,0)</f>
        <v>-</v>
      </c>
      <c r="F107" s="163" t="str">
        <f ca="1">OFFSET(ORÇAMENTO!R$15,$L107,0)</f>
        <v>(Sem Código)</v>
      </c>
      <c r="G107" s="164" t="str">
        <f ca="1">IF($D107&lt;&gt;"Serviço","",OFFSET(ORÇAMENTO!S$15,$L107,0))</f>
        <v>-</v>
      </c>
      <c r="H107" s="122" cm="1">
        <f t="array" aca="1" ref="H107" ca="1">IF($D107&lt;&gt;"Serviço",0,IF(ACOMPANHAMENTO="BM",ROUND(OFFSET(ORÇAMENTO!AJ$15,$L107,0),15-13*ORÇAMENTO!$AF$7),IF(IFERROR(CÁLCULO.FrentesPreenchidas,0)=0,0,SUM(ROUND(OFFSET($P107,0,1,1,CÁLCULO.FrentesPreenchidas),15-13*ORÇAMENTO!$AF$7)))))</f>
        <v>0</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16"/>
        <v>92</v>
      </c>
      <c r="M107" s="166">
        <f ca="1">IF($D107&lt;&gt;"Serviço","",
          IF(AUTOEVENTO="manual",$A107,
                IF(ISERROR(MATCH($A107,$A$15:OFFSET($A107,-1,0),0)),MAX($M$15:OFFSET(M107,-1,0))+1,
                      INDEX($M$15:OFFSET(M107,-1,0),MATCH($A107,$A$15:OFFSET($A107,-1,0),0)))))</f>
        <v>12</v>
      </c>
      <c r="N107" s="167" t="str">
        <f ca="1">IF($D107&lt;&gt;"Serviço","",
         IF(AUTOEVENTO="Manual",
                IF($A107=0,"&lt;-- defina o número do agrupador",
                       OFFSET(EVENTOS!$D$15,$A107-$A$15,0)),
                OFFSET($F$15,$A107,0)))</f>
        <v xml:space="preserve">ADMINISTRAÇÃO LOCAL </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1000000000000</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12.75" hidden="1" x14ac:dyDescent="0.2">
      <c r="A108" s="7" t="str">
        <f t="shared" ca="1" si="15"/>
        <v>59</v>
      </c>
      <c r="B108" s="7" t="str">
        <f ca="1">OFFSET(ORÇAMENTO!C$15,$L108,0)</f>
        <v>S</v>
      </c>
      <c r="C108" s="7" t="str">
        <f ca="1">OFFSET(ORÇAMENTO!L$15,$L108,0)</f>
        <v/>
      </c>
      <c r="D108" s="116" t="str">
        <f ca="1">OFFSET(ORÇAMENTO!N$15,$L108,0)</f>
        <v>Serviço</v>
      </c>
      <c r="E108" s="117" t="str">
        <f ca="1">OFFSET(ORÇAMENTO!O$15,$L108,0)</f>
        <v>-</v>
      </c>
      <c r="F108" s="163" t="str">
        <f ca="1">OFFSET(ORÇAMENTO!R$15,$L108,0)</f>
        <v>(Sem Código)</v>
      </c>
      <c r="G108" s="164" t="str">
        <f ca="1">IF($D108&lt;&gt;"Serviço","",OFFSET(ORÇAMENTO!S$15,$L108,0))</f>
        <v>-</v>
      </c>
      <c r="H108" s="122" cm="1">
        <f t="array" aca="1" ref="H108" ca="1">IF($D108&lt;&gt;"Serviço",0,IF(ACOMPANHAMENTO="BM",ROUND(OFFSET(ORÇAMENTO!AJ$15,$L108,0),15-13*ORÇAMENTO!$AF$7),IF(IFERROR(CÁLCULO.FrentesPreenchidas,0)=0,0,SUM(ROUND(OFFSET($P108,0,1,1,CÁLCULO.FrentesPreenchidas),15-13*ORÇAMENTO!$AF$7)))))</f>
        <v>0</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16"/>
        <v>93</v>
      </c>
      <c r="M108" s="166">
        <f ca="1">IF($D108&lt;&gt;"Serviço","",
          IF(AUTOEVENTO="manual",$A108,
                IF(ISERROR(MATCH($A108,$A$15:OFFSET($A108,-1,0),0)),MAX($M$15:OFFSET(M108,-1,0))+1,
                      INDEX($M$15:OFFSET(M108,-1,0),MATCH($A108,$A$15:OFFSET($A108,-1,0),0)))))</f>
        <v>12</v>
      </c>
      <c r="N108" s="167" t="str">
        <f ca="1">IF($D108&lt;&gt;"Serviço","",
         IF(AUTOEVENTO="Manual",
                IF($A108=0,"&lt;-- defina o número do agrupador",
                       OFFSET(EVENTOS!$D$15,$A108-$A$15,0)),
                OFFSET($F$15,$A108,0)))</f>
        <v xml:space="preserve">ADMINISTRAÇÃO LOCAL </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1000000000000</v>
      </c>
      <c r="AN108" s="171">
        <f ca="1">IF(OR($D108&lt;&gt;"Serviço",AND(AUTOEVENTO="Manual",$M108=$A$15)),0,
         IF(OFFSET(CRONOPLE!$F$15,$M108-$A$15,AN$13)=0,10^12,OFFSET(CRONOPLE!$F$15,$M108-$A$15,AN$13)))</f>
        <v>1000000000000</v>
      </c>
      <c r="AO108" s="171">
        <f ca="1">IF(OR($D108&lt;&gt;"Serviço",AND(AUTOEVENTO="Manual",$M108=$A$15)),0,
         IF(OFFSET(CRONOPLE!$F$15,$M108-$A$15,AO$13)=0,10^12,OFFSET(CRONOPLE!$F$15,$M108-$A$15,AO$13)))</f>
        <v>1000000000000</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cm="1">
        <f t="array" aca="1" ref="AX108" ca="1">IF(OR($D108&lt;&gt;"Serviço",AND(AUTOEVENTO="Manual",$M108=$A$15),$M108&gt;(ROW(PLE.lastrow)-ROW(PLE.firstrow))),0,
           IF(OFFSET(PLE!$G$15,$M108-$A$15,AX$13)="",10^12,OFFSET(PLE!$G$15,$M108-$A$15,AX$13)))</f>
        <v>1000000000000</v>
      </c>
      <c r="AY108" s="172" cm="1">
        <f t="array" aca="1" ref="AY108" ca="1">IF(OR($D108&lt;&gt;"Serviço",AND(AUTOEVENTO="Manual",$M108=$A$15),$M108&gt;(ROW(PLE.lastrow)-ROW(PLE.firstrow))),0,
           IF(OFFSET(PLE!$G$15,$M108-$A$15,AY$13)="",10^12,OFFSET(PLE!$G$15,$M108-$A$15,AY$13)))</f>
        <v>1000000000000</v>
      </c>
      <c r="AZ108" s="172" cm="1">
        <f t="array" aca="1" ref="AZ108" ca="1">IF(OR($D108&lt;&gt;"Serviço",AND(AUTOEVENTO="Manual",$M108=$A$15),$M108&gt;(ROW(PLE.lastrow)-ROW(PLE.firstrow))),0,
           IF(OFFSET(PLE!$G$15,$M108-$A$15,AZ$13)="",10^12,OFFSET(PLE!$G$15,$M108-$A$15,AZ$13)))</f>
        <v>1000000000000</v>
      </c>
      <c r="BA108" s="172" cm="1">
        <f t="array" aca="1" ref="BA108" ca="1">IF(OR($D108&lt;&gt;"Serviço",AND(AUTOEVENTO="Manual",$M108=$A$15),$M108&gt;(ROW(PLE.lastrow)-ROW(PLE.firstrow))),0,
           IF(OFFSET(PLE!$G$15,$M108-$A$15,BA$13)="",10^12,OFFSET(PLE!$G$15,$M108-$A$15,BA$13)))</f>
        <v>1000000000000</v>
      </c>
      <c r="BB108" s="172" cm="1">
        <f t="array" aca="1" ref="BB108" ca="1">IF(OR($D108&lt;&gt;"Serviço",AND(AUTOEVENTO="Manual",$M108=$A$15),$M108&gt;(ROW(PLE.lastrow)-ROW(PLE.firstrow))),0,
           IF(OFFSET(PLE!$G$15,$M108-$A$15,BB$13)="",10^12,OFFSET(PLE!$G$15,$M108-$A$15,BB$13)))</f>
        <v>1000000000000</v>
      </c>
      <c r="BC108" s="172" cm="1">
        <f t="array" aca="1" ref="BC108" ca="1">IF(OR($D108&lt;&gt;"Serviço",AND(AUTOEVENTO="Manual",$M108=$A$15),$M108&gt;(ROW(PLE.lastrow)-ROW(PLE.firstrow))),0,
           IF(OFFSET(PLE!$G$15,$M108-$A$15,BC$13)="",10^12,OFFSET(PLE!$G$15,$M108-$A$15,BC$13)))</f>
        <v>1000000000000</v>
      </c>
      <c r="BD108" s="172" cm="1">
        <f t="array" aca="1" ref="BD108" ca="1">IF(OR($D108&lt;&gt;"Serviço",AND(AUTOEVENTO="Manual",$M108=$A$15),$M108&gt;(ROW(PLE.lastrow)-ROW(PLE.firstrow))),0,
           IF(OFFSET(PLE!$G$15,$M108-$A$15,BD$13)="",10^12,OFFSET(PLE!$G$15,$M108-$A$15,BD$13)))</f>
        <v>1000000000000</v>
      </c>
      <c r="BE108" s="172" cm="1">
        <f t="array" aca="1" ref="BE108" ca="1">IF(OR($D108&lt;&gt;"Serviço",AND(AUTOEVENTO="Manual",$M108=$A$15),$M108&gt;(ROW(PLE.lastrow)-ROW(PLE.firstrow))),0,
           IF(OFFSET(PLE!$G$15,$M108-$A$15,BE$13)="",10^12,OFFSET(PLE!$G$15,$M108-$A$15,BE$13)))</f>
        <v>1000000000000</v>
      </c>
      <c r="BF108" s="172" cm="1">
        <f t="array" aca="1" ref="BF108" ca="1">IF(OR($D108&lt;&gt;"Serviço",AND(AUTOEVENTO="Manual",$M108=$A$15),$M108&gt;(ROW(PLE.lastrow)-ROW(PLE.firstrow))),0,
           IF(OFFSET(PLE!$G$15,$M108-$A$15,BF$13)="",10^12,OFFSET(PLE!$G$15,$M108-$A$15,BF$13)))</f>
        <v>1000000000000</v>
      </c>
      <c r="BG108" s="172" cm="1">
        <f t="array" aca="1" ref="BG108" ca="1">IF(OR($D108&lt;&gt;"Serviço",AND(AUTOEVENTO="Manual",$M108=$A$15),$M108&gt;(ROW(PLE.lastrow)-ROW(PLE.firstrow))),0,
           IF(OFFSET(PLE!$G$15,$M108-$A$15,BG$13)="",10^12,OFFSET(PLE!$G$15,$M108-$A$15,BG$13)))</f>
        <v>1000000000000</v>
      </c>
    </row>
    <row r="109" spans="1:59" ht="12.75" hidden="1" x14ac:dyDescent="0.2">
      <c r="A109" s="7" t="str">
        <f t="shared" ca="1" si="15"/>
        <v>59</v>
      </c>
      <c r="B109" s="7" t="str">
        <f ca="1">OFFSET(ORÇAMENTO!C$15,$L109,0)</f>
        <v>S</v>
      </c>
      <c r="C109" s="7" t="str">
        <f ca="1">OFFSET(ORÇAMENTO!L$15,$L109,0)</f>
        <v/>
      </c>
      <c r="D109" s="116" t="str">
        <f ca="1">OFFSET(ORÇAMENTO!N$15,$L109,0)</f>
        <v>Serviço</v>
      </c>
      <c r="E109" s="117" t="str">
        <f ca="1">OFFSET(ORÇAMENTO!O$15,$L109,0)</f>
        <v>-</v>
      </c>
      <c r="F109" s="163" t="str">
        <f ca="1">OFFSET(ORÇAMENTO!R$15,$L109,0)</f>
        <v>(Sem Código)</v>
      </c>
      <c r="G109" s="164" t="str">
        <f ca="1">IF($D109&lt;&gt;"Serviço","",OFFSET(ORÇAMENTO!S$15,$L109,0))</f>
        <v>-</v>
      </c>
      <c r="H109" s="122" cm="1">
        <f t="array" aca="1" ref="H109" ca="1">IF($D109&lt;&gt;"Serviço",0,IF(ACOMPANHAMENTO="BM",ROUND(OFFSET(ORÇAMENTO!AJ$15,$L109,0),15-13*ORÇAMENTO!$AF$7),IF(IFERROR(CÁLCULO.FrentesPreenchidas,0)=0,0,SUM(ROUND(OFFSET($P109,0,1,1,CÁLCULO.FrentesPreenchidas),15-13*ORÇAMENTO!$AF$7)))))</f>
        <v>0</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ca="1" si="16"/>
        <v>94</v>
      </c>
      <c r="M109" s="166">
        <f ca="1">IF($D109&lt;&gt;"Serviço","",
          IF(AUTOEVENTO="manual",$A109,
                IF(ISERROR(MATCH($A109,$A$15:OFFSET($A109,-1,0),0)),MAX($M$15:OFFSET(M109,-1,0))+1,
                      INDEX($M$15:OFFSET(M109,-1,0),MATCH($A109,$A$15:OFFSET($A109,-1,0),0)))))</f>
        <v>12</v>
      </c>
      <c r="N109" s="167" t="str">
        <f ca="1">IF($D109&lt;&gt;"Serviço","",
         IF(AUTOEVENTO="Manual",
                IF($A109=0,"&lt;-- defina o número do agrupador",
                       OFFSET(EVENTOS!$D$15,$A109-$A$15,0)),
                OFFSET($F$15,$A109,0)))</f>
        <v xml:space="preserve">ADMINISTRAÇÃO LOCAL </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1000000000000</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12.75" hidden="1" x14ac:dyDescent="0.2">
      <c r="A110" s="7" t="str">
        <f t="shared" ca="1" si="15"/>
        <v>59</v>
      </c>
      <c r="B110" s="7" t="str">
        <f ca="1">OFFSET(ORÇAMENTO!C$15,$L110,0)</f>
        <v>S</v>
      </c>
      <c r="C110" s="7" t="str">
        <f ca="1">OFFSET(ORÇAMENTO!L$15,$L110,0)</f>
        <v/>
      </c>
      <c r="D110" s="116" t="str">
        <f ca="1">OFFSET(ORÇAMENTO!N$15,$L110,0)</f>
        <v>Serviço</v>
      </c>
      <c r="E110" s="117" t="str">
        <f ca="1">OFFSET(ORÇAMENTO!O$15,$L110,0)</f>
        <v>-</v>
      </c>
      <c r="F110" s="163" t="str">
        <f ca="1">OFFSET(ORÇAMENTO!R$15,$L110,0)</f>
        <v>(Sem Código)</v>
      </c>
      <c r="G110" s="164" t="str">
        <f ca="1">IF($D110&lt;&gt;"Serviço","",OFFSET(ORÇAMENTO!S$15,$L110,0))</f>
        <v>-</v>
      </c>
      <c r="H110" s="122" cm="1">
        <f t="array" aca="1" ref="H110" ca="1">IF($D110&lt;&gt;"Serviço",0,IF(ACOMPANHAMENTO="BM",ROUND(OFFSET(ORÇAMENTO!AJ$15,$L110,0),15-13*ORÇAMENTO!$AF$7),IF(IFERROR(CÁLCULO.FrentesPreenchidas,0)=0,0,SUM(ROUND(OFFSET($P110,0,1,1,CÁLCULO.FrentesPreenchidas),15-13*ORÇAMENTO!$AF$7)))))</f>
        <v>0</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16"/>
        <v>95</v>
      </c>
      <c r="M110" s="166">
        <f ca="1">IF($D110&lt;&gt;"Serviço","",
          IF(AUTOEVENTO="manual",$A110,
                IF(ISERROR(MATCH($A110,$A$15:OFFSET($A110,-1,0),0)),MAX($M$15:OFFSET(M110,-1,0))+1,
                      INDEX($M$15:OFFSET(M110,-1,0),MATCH($A110,$A$15:OFFSET($A110,-1,0),0)))))</f>
        <v>12</v>
      </c>
      <c r="N110" s="167" t="str">
        <f ca="1">IF($D110&lt;&gt;"Serviço","",
         IF(AUTOEVENTO="Manual",
                IF($A110=0,"&lt;-- defina o número do agrupador",
                       OFFSET(EVENTOS!$D$15,$A110-$A$15,0)),
                OFFSET($F$15,$A110,0)))</f>
        <v xml:space="preserve">ADMINISTRAÇÃO LOCAL </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1000000000000</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12.75" hidden="1" x14ac:dyDescent="0.2">
      <c r="A111" s="7" t="str">
        <f t="shared" ca="1" si="15"/>
        <v>59</v>
      </c>
      <c r="B111" s="7" t="str">
        <f ca="1">OFFSET(ORÇAMENTO!C$15,$L111,0)</f>
        <v>S</v>
      </c>
      <c r="C111" s="7" t="str">
        <f ca="1">OFFSET(ORÇAMENTO!L$15,$L111,0)</f>
        <v/>
      </c>
      <c r="D111" s="116" t="str">
        <f ca="1">OFFSET(ORÇAMENTO!N$15,$L111,0)</f>
        <v>Serviço</v>
      </c>
      <c r="E111" s="117" t="str">
        <f ca="1">OFFSET(ORÇAMENTO!O$15,$L111,0)</f>
        <v>-</v>
      </c>
      <c r="F111" s="163" t="str">
        <f ca="1">OFFSET(ORÇAMENTO!R$15,$L111,0)</f>
        <v>(Sem Código)</v>
      </c>
      <c r="G111" s="164" t="str">
        <f ca="1">IF($D111&lt;&gt;"Serviço","",OFFSET(ORÇAMENTO!S$15,$L111,0))</f>
        <v>-</v>
      </c>
      <c r="H111" s="122" cm="1">
        <f t="array" aca="1" ref="H111" ca="1">IF($D111&lt;&gt;"Serviço",0,IF(ACOMPANHAMENTO="BM",ROUND(OFFSET(ORÇAMENTO!AJ$15,$L111,0),15-13*ORÇAMENTO!$AF$7),IF(IFERROR(CÁLCULO.FrentesPreenchidas,0)=0,0,SUM(ROUND(OFFSET($P111,0,1,1,CÁLCULO.FrentesPreenchidas),15-13*ORÇAMENTO!$AF$7)))))</f>
        <v>0</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16"/>
        <v>96</v>
      </c>
      <c r="M111" s="166">
        <f ca="1">IF($D111&lt;&gt;"Serviço","",
          IF(AUTOEVENTO="manual",$A111,
                IF(ISERROR(MATCH($A111,$A$15:OFFSET($A111,-1,0),0)),MAX($M$15:OFFSET(M111,-1,0))+1,
                      INDEX($M$15:OFFSET(M111,-1,0),MATCH($A111,$A$15:OFFSET($A111,-1,0),0)))))</f>
        <v>12</v>
      </c>
      <c r="N111" s="167" t="str">
        <f ca="1">IF($D111&lt;&gt;"Serviço","",
         IF(AUTOEVENTO="Manual",
                IF($A111=0,"&lt;-- defina o número do agrupador",
                       OFFSET(EVENTOS!$D$15,$A111-$A$15,0)),
                OFFSET($F$15,$A111,0)))</f>
        <v xml:space="preserve">ADMINISTRAÇÃO LOCAL </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1000000000000</v>
      </c>
      <c r="AN111" s="171">
        <f ca="1">IF(OR($D111&lt;&gt;"Serviço",AND(AUTOEVENTO="Manual",$M111=$A$15)),0,
         IF(OFFSET(CRONOPLE!$F$15,$M111-$A$15,AN$13)=0,10^12,OFFSET(CRONOPLE!$F$15,$M111-$A$15,AN$13)))</f>
        <v>1000000000000</v>
      </c>
      <c r="AO111" s="171">
        <f ca="1">IF(OR($D111&lt;&gt;"Serviço",AND(AUTOEVENTO="Manual",$M111=$A$15)),0,
         IF(OFFSET(CRONOPLE!$F$15,$M111-$A$15,AO$13)=0,10^12,OFFSET(CRONOPLE!$F$15,$M111-$A$15,AO$13)))</f>
        <v>1000000000000</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ht="12.75" hidden="1" x14ac:dyDescent="0.2">
      <c r="A112" s="7" t="str">
        <f t="shared" ca="1" si="15"/>
        <v>59</v>
      </c>
      <c r="B112" s="7" t="str">
        <f ca="1">OFFSET(ORÇAMENTO!C$15,$L112,0)</f>
        <v>S</v>
      </c>
      <c r="C112" s="7" t="str">
        <f ca="1">OFFSET(ORÇAMENTO!L$15,$L112,0)</f>
        <v/>
      </c>
      <c r="D112" s="116" t="str">
        <f ca="1">OFFSET(ORÇAMENTO!N$15,$L112,0)</f>
        <v>Serviço</v>
      </c>
      <c r="E112" s="117" t="str">
        <f ca="1">OFFSET(ORÇAMENTO!O$15,$L112,0)</f>
        <v>-</v>
      </c>
      <c r="F112" s="163" t="str">
        <f ca="1">OFFSET(ORÇAMENTO!R$15,$L112,0)</f>
        <v>(Sem Código)</v>
      </c>
      <c r="G112" s="164" t="str">
        <f ca="1">IF($D112&lt;&gt;"Serviço","",OFFSET(ORÇAMENTO!S$15,$L112,0))</f>
        <v>-</v>
      </c>
      <c r="H112" s="122" cm="1">
        <f t="array" aca="1" ref="H112" ca="1">IF($D112&lt;&gt;"Serviço",0,IF(ACOMPANHAMENTO="BM",ROUND(OFFSET(ORÇAMENTO!AJ$15,$L112,0),15-13*ORÇAMENTO!$AF$7),IF(IFERROR(CÁLCULO.FrentesPreenchidas,0)=0,0,SUM(ROUND(OFFSET($P112,0,1,1,CÁLCULO.FrentesPreenchidas),15-13*ORÇAMENTO!$AF$7)))))</f>
        <v>0</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16"/>
        <v>97</v>
      </c>
      <c r="M112" s="166">
        <f ca="1">IF($D112&lt;&gt;"Serviço","",
          IF(AUTOEVENTO="manual",$A112,
                IF(ISERROR(MATCH($A112,$A$15:OFFSET($A112,-1,0),0)),MAX($M$15:OFFSET(M112,-1,0))+1,
                      INDEX($M$15:OFFSET(M112,-1,0),MATCH($A112,$A$15:OFFSET($A112,-1,0),0)))))</f>
        <v>12</v>
      </c>
      <c r="N112" s="167" t="str">
        <f ca="1">IF($D112&lt;&gt;"Serviço","",
         IF(AUTOEVENTO="Manual",
                IF($A112=0,"&lt;-- defina o número do agrupador",
                       OFFSET(EVENTOS!$D$15,$A112-$A$15,0)),
                OFFSET($F$15,$A112,0)))</f>
        <v xml:space="preserve">ADMINISTRAÇÃO LOCAL </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1000000000000</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ht="12.75" hidden="1" x14ac:dyDescent="0.2">
      <c r="A113" s="7" t="str">
        <f t="shared" ca="1" si="15"/>
        <v>59</v>
      </c>
      <c r="B113" s="7" t="str">
        <f ca="1">OFFSET(ORÇAMENTO!C$15,$L113,0)</f>
        <v>S</v>
      </c>
      <c r="C113" s="7" t="str">
        <f ca="1">OFFSET(ORÇAMENTO!L$15,$L113,0)</f>
        <v/>
      </c>
      <c r="D113" s="116" t="str">
        <f ca="1">OFFSET(ORÇAMENTO!N$15,$L113,0)</f>
        <v>Serviço</v>
      </c>
      <c r="E113" s="117" t="str">
        <f ca="1">OFFSET(ORÇAMENTO!O$15,$L113,0)</f>
        <v>-</v>
      </c>
      <c r="F113" s="163" t="str">
        <f ca="1">OFFSET(ORÇAMENTO!R$15,$L113,0)</f>
        <v>(Sem Código)</v>
      </c>
      <c r="G113" s="164" t="str">
        <f ca="1">IF($D113&lt;&gt;"Serviço","",OFFSET(ORÇAMENTO!S$15,$L113,0))</f>
        <v>-</v>
      </c>
      <c r="H113" s="122" cm="1">
        <f t="array" aca="1" ref="H113" ca="1">IF($D113&lt;&gt;"Serviço",0,IF(ACOMPANHAMENTO="BM",ROUND(OFFSET(ORÇAMENTO!AJ$15,$L113,0),15-13*ORÇAMENTO!$AF$7),IF(IFERROR(CÁLCULO.FrentesPreenchidas,0)=0,0,SUM(ROUND(OFFSET($P113,0,1,1,CÁLCULO.FrentesPreenchidas),15-13*ORÇAMENTO!$AF$7)))))</f>
        <v>0</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t="shared" ca="1" si="16"/>
        <v>98</v>
      </c>
      <c r="M113" s="166">
        <f ca="1">IF($D113&lt;&gt;"Serviço","",
          IF(AUTOEVENTO="manual",$A113,
                IF(ISERROR(MATCH($A113,$A$15:OFFSET($A113,-1,0),0)),MAX($M$15:OFFSET(M113,-1,0))+1,
                      INDEX($M$15:OFFSET(M113,-1,0),MATCH($A113,$A$15:OFFSET($A113,-1,0),0)))))</f>
        <v>12</v>
      </c>
      <c r="N113" s="167" t="str">
        <f ca="1">IF($D113&lt;&gt;"Serviço","",
         IF(AUTOEVENTO="Manual",
                IF($A113=0,"&lt;-- defina o número do agrupador",
                       OFFSET(EVENTOS!$D$15,$A113-$A$15,0)),
                OFFSET($F$15,$A113,0)))</f>
        <v xml:space="preserve">ADMINISTRAÇÃO LOCAL </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1000000000000</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12.75" hidden="1" x14ac:dyDescent="0.2">
      <c r="A114" s="7" t="str">
        <f t="shared" ca="1" si="15"/>
        <v>59</v>
      </c>
      <c r="B114" s="7" t="str">
        <f ca="1">OFFSET(ORÇAMENTO!C$15,$L114,0)</f>
        <v>S</v>
      </c>
      <c r="C114" s="7" t="str">
        <f ca="1">OFFSET(ORÇAMENTO!L$15,$L114,0)</f>
        <v/>
      </c>
      <c r="D114" s="116" t="str">
        <f ca="1">OFFSET(ORÇAMENTO!N$15,$L114,0)</f>
        <v>Serviço</v>
      </c>
      <c r="E114" s="117" t="str">
        <f ca="1">OFFSET(ORÇAMENTO!O$15,$L114,0)</f>
        <v>-</v>
      </c>
      <c r="F114" s="163" t="str">
        <f ca="1">OFFSET(ORÇAMENTO!R$15,$L114,0)</f>
        <v>(Sem Código)</v>
      </c>
      <c r="G114" s="164" t="str">
        <f ca="1">IF($D114&lt;&gt;"Serviço","",OFFSET(ORÇAMENTO!S$15,$L114,0))</f>
        <v>-</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ca="1" si="16"/>
        <v>99</v>
      </c>
      <c r="M114" s="166">
        <f ca="1">IF($D114&lt;&gt;"Serviço","",
          IF(AUTOEVENTO="manual",$A114,
                IF(ISERROR(MATCH($A114,$A$15:OFFSET($A114,-1,0),0)),MAX($M$15:OFFSET(M114,-1,0))+1,
                      INDEX($M$15:OFFSET(M114,-1,0),MATCH($A114,$A$15:OFFSET($A114,-1,0),0)))))</f>
        <v>12</v>
      </c>
      <c r="N114" s="167" t="str">
        <f ca="1">IF($D114&lt;&gt;"Serviço","",
         IF(AUTOEVENTO="Manual",
                IF($A114=0,"&lt;-- defina o número do agrupador",
                       OFFSET(EVENTOS!$D$15,$A114-$A$15,0)),
                OFFSET($F$15,$A114,0)))</f>
        <v xml:space="preserve">ADMINISTRAÇÃO LOCAL </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1000000000000</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ht="12.75" hidden="1" x14ac:dyDescent="0.2">
      <c r="A115" s="7" t="str">
        <f t="shared" ca="1" si="15"/>
        <v>59</v>
      </c>
      <c r="B115" s="7" t="str">
        <f ca="1">OFFSET(ORÇAMENTO!C$15,$L115,0)</f>
        <v>S</v>
      </c>
      <c r="C115" s="7" t="str">
        <f ca="1">OFFSET(ORÇAMENTO!L$15,$L115,0)</f>
        <v/>
      </c>
      <c r="D115" s="116" t="str">
        <f ca="1">OFFSET(ORÇAMENTO!N$15,$L115,0)</f>
        <v>Serviço</v>
      </c>
      <c r="E115" s="117" t="str">
        <f ca="1">OFFSET(ORÇAMENTO!O$15,$L115,0)</f>
        <v>-</v>
      </c>
      <c r="F115" s="163" t="str">
        <f ca="1">OFFSET(ORÇAMENTO!R$15,$L115,0)</f>
        <v>(Sem Código)</v>
      </c>
      <c r="G115" s="164" t="str">
        <f ca="1">IF($D115&lt;&gt;"Serviço","",OFFSET(ORÇAMENTO!S$15,$L115,0))</f>
        <v>-</v>
      </c>
      <c r="H115" s="122" cm="1">
        <f t="array" aca="1" ref="H115" ca="1">IF($D115&lt;&gt;"Serviço",0,IF(ACOMPANHAMENTO="BM",ROUND(OFFSET(ORÇAMENTO!AJ$15,$L115,0),15-13*ORÇAMENTO!$AF$7),IF(IFERROR(CÁLCULO.FrentesPreenchidas,0)=0,0,SUM(ROUND(OFFSET($P115,0,1,1,CÁLCULO.FrentesPreenchidas),15-13*ORÇAMENTO!$AF$7)))))</f>
        <v>0</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16"/>
        <v>100</v>
      </c>
      <c r="M115" s="166">
        <f ca="1">IF($D115&lt;&gt;"Serviço","",
          IF(AUTOEVENTO="manual",$A115,
                IF(ISERROR(MATCH($A115,$A$15:OFFSET($A115,-1,0),0)),MAX($M$15:OFFSET(M115,-1,0))+1,
                      INDEX($M$15:OFFSET(M115,-1,0),MATCH($A115,$A$15:OFFSET($A115,-1,0),0)))))</f>
        <v>12</v>
      </c>
      <c r="N115" s="167" t="str">
        <f ca="1">IF($D115&lt;&gt;"Serviço","",
         IF(AUTOEVENTO="Manual",
                IF($A115=0,"&lt;-- defina o número do agrupador",
                       OFFSET(EVENTOS!$D$15,$A115-$A$15,0)),
                OFFSET($F$15,$A115,0)))</f>
        <v xml:space="preserve">ADMINISTRAÇÃO LOCAL </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1000000000000</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12.75" hidden="1" x14ac:dyDescent="0.2">
      <c r="A116" s="7" t="str">
        <f t="shared" ca="1" si="15"/>
        <v>59</v>
      </c>
      <c r="B116" s="7" t="str">
        <f ca="1">OFFSET(ORÇAMENTO!C$15,$L116,0)</f>
        <v>S</v>
      </c>
      <c r="C116" s="7" t="str">
        <f ca="1">OFFSET(ORÇAMENTO!L$15,$L116,0)</f>
        <v/>
      </c>
      <c r="D116" s="116" t="str">
        <f ca="1">OFFSET(ORÇAMENTO!N$15,$L116,0)</f>
        <v>Serviço</v>
      </c>
      <c r="E116" s="117" t="str">
        <f ca="1">OFFSET(ORÇAMENTO!O$15,$L116,0)</f>
        <v>-</v>
      </c>
      <c r="F116" s="163" t="str">
        <f ca="1">OFFSET(ORÇAMENTO!R$15,$L116,0)</f>
        <v>(Sem Código)</v>
      </c>
      <c r="G116" s="164" t="str">
        <f ca="1">IF($D116&lt;&gt;"Serviço","",OFFSET(ORÇAMENTO!S$15,$L116,0))</f>
        <v>-</v>
      </c>
      <c r="H116" s="122" cm="1">
        <f t="array" aca="1" ref="H116" ca="1">IF($D116&lt;&gt;"Serviço",0,IF(ACOMPANHAMENTO="BM",ROUND(OFFSET(ORÇAMENTO!AJ$15,$L116,0),15-13*ORÇAMENTO!$AF$7),IF(IFERROR(CÁLCULO.FrentesPreenchidas,0)=0,0,SUM(ROUND(OFFSET($P116,0,1,1,CÁLCULO.FrentesPreenchidas),15-13*ORÇAMENTO!$AF$7)))))</f>
        <v>0</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t="shared" ca="1" si="16"/>
        <v>101</v>
      </c>
      <c r="M116" s="166">
        <f ca="1">IF($D116&lt;&gt;"Serviço","",
          IF(AUTOEVENTO="manual",$A116,
                IF(ISERROR(MATCH($A116,$A$15:OFFSET($A116,-1,0),0)),MAX($M$15:OFFSET(M116,-1,0))+1,
                      INDEX($M$15:OFFSET(M116,-1,0),MATCH($A116,$A$15:OFFSET($A116,-1,0),0)))))</f>
        <v>12</v>
      </c>
      <c r="N116" s="167" t="str">
        <f ca="1">IF($D116&lt;&gt;"Serviço","",
         IF(AUTOEVENTO="Manual",
                IF($A116=0,"&lt;-- defina o número do agrupador",
                       OFFSET(EVENTOS!$D$15,$A116-$A$15,0)),
                OFFSET($F$15,$A116,0)))</f>
        <v xml:space="preserve">ADMINISTRAÇÃO LOCAL </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1000000000000</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12.75" hidden="1" x14ac:dyDescent="0.2">
      <c r="A117" s="7" t="str">
        <f t="shared" ca="1" si="15"/>
        <v>59</v>
      </c>
      <c r="B117" s="7" t="str">
        <f ca="1">OFFSET(ORÇAMENTO!C$15,$L117,0)</f>
        <v>S</v>
      </c>
      <c r="C117" s="7" t="str">
        <f ca="1">OFFSET(ORÇAMENTO!L$15,$L117,0)</f>
        <v/>
      </c>
      <c r="D117" s="116" t="str">
        <f ca="1">OFFSET(ORÇAMENTO!N$15,$L117,0)</f>
        <v>Serviço</v>
      </c>
      <c r="E117" s="117" t="str">
        <f ca="1">OFFSET(ORÇAMENTO!O$15,$L117,0)</f>
        <v>-</v>
      </c>
      <c r="F117" s="163" t="str">
        <f ca="1">OFFSET(ORÇAMENTO!R$15,$L117,0)</f>
        <v>(Sem Código)</v>
      </c>
      <c r="G117" s="164" t="str">
        <f ca="1">IF($D117&lt;&gt;"Serviço","",OFFSET(ORÇAMENTO!S$15,$L117,0))</f>
        <v>-</v>
      </c>
      <c r="H117" s="122" cm="1">
        <f t="array" aca="1" ref="H117" ca="1">IF($D117&lt;&gt;"Serviço",0,IF(ACOMPANHAMENTO="BM",ROUND(OFFSET(ORÇAMENTO!AJ$15,$L117,0),15-13*ORÇAMENTO!$AF$7),IF(IFERROR(CÁLCULO.FrentesPreenchidas,0)=0,0,SUM(ROUND(OFFSET($P117,0,1,1,CÁLCULO.FrentesPreenchidas),15-13*ORÇAMENTO!$AF$7)))))</f>
        <v>0</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16"/>
        <v>102</v>
      </c>
      <c r="M117" s="166">
        <f ca="1">IF($D117&lt;&gt;"Serviço","",
          IF(AUTOEVENTO="manual",$A117,
                IF(ISERROR(MATCH($A117,$A$15:OFFSET($A117,-1,0),0)),MAX($M$15:OFFSET(M117,-1,0))+1,
                      INDEX($M$15:OFFSET(M117,-1,0),MATCH($A117,$A$15:OFFSET($A117,-1,0),0)))))</f>
        <v>12</v>
      </c>
      <c r="N117" s="167" t="str">
        <f ca="1">IF($D117&lt;&gt;"Serviço","",
         IF(AUTOEVENTO="Manual",
                IF($A117=0,"&lt;-- defina o número do agrupador",
                       OFFSET(EVENTOS!$D$15,$A117-$A$15,0)),
                OFFSET($F$15,$A117,0)))</f>
        <v xml:space="preserve">ADMINISTRAÇÃO LOCAL </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1000000000000</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12.75" hidden="1" x14ac:dyDescent="0.2">
      <c r="A118" s="7" t="str">
        <f t="shared" ca="1" si="15"/>
        <v>59</v>
      </c>
      <c r="B118" s="7" t="str">
        <f ca="1">OFFSET(ORÇAMENTO!C$15,$L118,0)</f>
        <v>S</v>
      </c>
      <c r="C118" s="7" t="str">
        <f ca="1">OFFSET(ORÇAMENTO!L$15,$L118,0)</f>
        <v/>
      </c>
      <c r="D118" s="116" t="str">
        <f ca="1">OFFSET(ORÇAMENTO!N$15,$L118,0)</f>
        <v>Serviço</v>
      </c>
      <c r="E118" s="117" t="str">
        <f ca="1">OFFSET(ORÇAMENTO!O$15,$L118,0)</f>
        <v>-</v>
      </c>
      <c r="F118" s="163" t="str">
        <f ca="1">OFFSET(ORÇAMENTO!R$15,$L118,0)</f>
        <v>(Sem Código)</v>
      </c>
      <c r="G118" s="164" t="str">
        <f ca="1">IF($D118&lt;&gt;"Serviço","",OFFSET(ORÇAMENTO!S$15,$L118,0))</f>
        <v>-</v>
      </c>
      <c r="H118" s="122" cm="1">
        <f t="array" aca="1" ref="H118" ca="1">IF($D118&lt;&gt;"Serviço",0,IF(ACOMPANHAMENTO="BM",ROUND(OFFSET(ORÇAMENTO!AJ$15,$L118,0),15-13*ORÇAMENTO!$AF$7),IF(IFERROR(CÁLCULO.FrentesPreenchidas,0)=0,0,SUM(ROUND(OFFSET($P118,0,1,1,CÁLCULO.FrentesPreenchidas),15-13*ORÇAMENTO!$AF$7)))))</f>
        <v>0</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16"/>
        <v>103</v>
      </c>
      <c r="M118" s="166">
        <f ca="1">IF($D118&lt;&gt;"Serviço","",
          IF(AUTOEVENTO="manual",$A118,
                IF(ISERROR(MATCH($A118,$A$15:OFFSET($A118,-1,0),0)),MAX($M$15:OFFSET(M118,-1,0))+1,
                      INDEX($M$15:OFFSET(M118,-1,0),MATCH($A118,$A$15:OFFSET($A118,-1,0),0)))))</f>
        <v>12</v>
      </c>
      <c r="N118" s="167" t="str">
        <f ca="1">IF($D118&lt;&gt;"Serviço","",
         IF(AUTOEVENTO="Manual",
                IF($A118=0,"&lt;-- defina o número do agrupador",
                       OFFSET(EVENTOS!$D$15,$A118-$A$15,0)),
                OFFSET($F$15,$A118,0)))</f>
        <v xml:space="preserve">ADMINISTRAÇÃO LOCAL </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1000000000000</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12.75" hidden="1" x14ac:dyDescent="0.2">
      <c r="A119" s="7" t="str">
        <f t="shared" ca="1" si="15"/>
        <v>59</v>
      </c>
      <c r="B119" s="7" t="str">
        <f ca="1">OFFSET(ORÇAMENTO!C$15,$L119,0)</f>
        <v>S</v>
      </c>
      <c r="C119" s="7" t="str">
        <f ca="1">OFFSET(ORÇAMENTO!L$15,$L119,0)</f>
        <v/>
      </c>
      <c r="D119" s="116" t="str">
        <f ca="1">OFFSET(ORÇAMENTO!N$15,$L119,0)</f>
        <v>Serviço</v>
      </c>
      <c r="E119" s="117" t="str">
        <f ca="1">OFFSET(ORÇAMENTO!O$15,$L119,0)</f>
        <v>-</v>
      </c>
      <c r="F119" s="163" t="str">
        <f ca="1">OFFSET(ORÇAMENTO!R$15,$L119,0)</f>
        <v>(Sem Código)</v>
      </c>
      <c r="G119" s="164" t="str">
        <f ca="1">IF($D119&lt;&gt;"Serviço","",OFFSET(ORÇAMENTO!S$15,$L119,0))</f>
        <v>-</v>
      </c>
      <c r="H119" s="122" cm="1">
        <f t="array" aca="1" ref="H119" ca="1">IF($D119&lt;&gt;"Serviço",0,IF(ACOMPANHAMENTO="BM",ROUND(OFFSET(ORÇAMENTO!AJ$15,$L119,0),15-13*ORÇAMENTO!$AF$7),IF(IFERROR(CÁLCULO.FrentesPreenchidas,0)=0,0,SUM(ROUND(OFFSET($P119,0,1,1,CÁLCULO.FrentesPreenchidas),15-13*ORÇAMENTO!$AF$7)))))</f>
        <v>0</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16"/>
        <v>104</v>
      </c>
      <c r="M119" s="166">
        <f ca="1">IF($D119&lt;&gt;"Serviço","",
          IF(AUTOEVENTO="manual",$A119,
                IF(ISERROR(MATCH($A119,$A$15:OFFSET($A119,-1,0),0)),MAX($M$15:OFFSET(M119,-1,0))+1,
                      INDEX($M$15:OFFSET(M119,-1,0),MATCH($A119,$A$15:OFFSET($A119,-1,0),0)))))</f>
        <v>12</v>
      </c>
      <c r="N119" s="167" t="str">
        <f ca="1">IF($D119&lt;&gt;"Serviço","",
         IF(AUTOEVENTO="Manual",
                IF($A119=0,"&lt;-- defina o número do agrupador",
                       OFFSET(EVENTOS!$D$15,$A119-$A$15,0)),
                OFFSET($F$15,$A119,0)))</f>
        <v xml:space="preserve">ADMINISTRAÇÃO LOCAL </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1000000000000</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12.75" hidden="1" x14ac:dyDescent="0.2">
      <c r="A120" s="7" t="str">
        <f t="shared" ca="1" si="15"/>
        <v>59</v>
      </c>
      <c r="B120" s="7" t="str">
        <f ca="1">OFFSET(ORÇAMENTO!C$15,$L120,0)</f>
        <v>S</v>
      </c>
      <c r="C120" s="7" t="str">
        <f ca="1">OFFSET(ORÇAMENTO!L$15,$L120,0)</f>
        <v/>
      </c>
      <c r="D120" s="116" t="str">
        <f ca="1">OFFSET(ORÇAMENTO!N$15,$L120,0)</f>
        <v>Serviço</v>
      </c>
      <c r="E120" s="117" t="str">
        <f ca="1">OFFSET(ORÇAMENTO!O$15,$L120,0)</f>
        <v>-</v>
      </c>
      <c r="F120" s="163" t="str">
        <f ca="1">OFFSET(ORÇAMENTO!R$15,$L120,0)</f>
        <v>(Sem Código)</v>
      </c>
      <c r="G120" s="164" t="str">
        <f ca="1">IF($D120&lt;&gt;"Serviço","",OFFSET(ORÇAMENTO!S$15,$L120,0))</f>
        <v>-</v>
      </c>
      <c r="H120" s="122" cm="1">
        <f t="array" aca="1" ref="H120" ca="1">IF($D120&lt;&gt;"Serviço",0,IF(ACOMPANHAMENTO="BM",ROUND(OFFSET(ORÇAMENTO!AJ$15,$L120,0),15-13*ORÇAMENTO!$AF$7),IF(IFERROR(CÁLCULO.FrentesPreenchidas,0)=0,0,SUM(ROUND(OFFSET($P120,0,1,1,CÁLCULO.FrentesPreenchidas),15-13*ORÇAMENTO!$AF$7)))))</f>
        <v>0</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t="shared" ca="1" si="16"/>
        <v>105</v>
      </c>
      <c r="M120" s="166">
        <f ca="1">IF($D120&lt;&gt;"Serviço","",
          IF(AUTOEVENTO="manual",$A120,
                IF(ISERROR(MATCH($A120,$A$15:OFFSET($A120,-1,0),0)),MAX($M$15:OFFSET(M120,-1,0))+1,
                      INDEX($M$15:OFFSET(M120,-1,0),MATCH($A120,$A$15:OFFSET($A120,-1,0),0)))))</f>
        <v>12</v>
      </c>
      <c r="N120" s="167" t="str">
        <f ca="1">IF($D120&lt;&gt;"Serviço","",
         IF(AUTOEVENTO="Manual",
                IF($A120=0,"&lt;-- defina o número do agrupador",
                       OFFSET(EVENTOS!$D$15,$A120-$A$15,0)),
                OFFSET($F$15,$A120,0)))</f>
        <v xml:space="preserve">ADMINISTRAÇÃO LOCAL </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1000000000000</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12.75" hidden="1" x14ac:dyDescent="0.2">
      <c r="A121" s="7" t="str">
        <f t="shared" ca="1" si="15"/>
        <v>59</v>
      </c>
      <c r="B121" s="7" t="str">
        <f ca="1">OFFSET(ORÇAMENTO!C$15,$L121,0)</f>
        <v>S</v>
      </c>
      <c r="C121" s="7" t="str">
        <f ca="1">OFFSET(ORÇAMENTO!L$15,$L121,0)</f>
        <v/>
      </c>
      <c r="D121" s="116" t="str">
        <f ca="1">OFFSET(ORÇAMENTO!N$15,$L121,0)</f>
        <v>Serviço</v>
      </c>
      <c r="E121" s="117" t="str">
        <f ca="1">OFFSET(ORÇAMENTO!O$15,$L121,0)</f>
        <v>-</v>
      </c>
      <c r="F121" s="163" t="str">
        <f ca="1">OFFSET(ORÇAMENTO!R$15,$L121,0)</f>
        <v>(Sem Código)</v>
      </c>
      <c r="G121" s="164" t="str">
        <f ca="1">IF($D121&lt;&gt;"Serviço","",OFFSET(ORÇAMENTO!S$15,$L121,0))</f>
        <v>-</v>
      </c>
      <c r="H121" s="122" cm="1">
        <f t="array" aca="1" ref="H121" ca="1">IF($D121&lt;&gt;"Serviço",0,IF(ACOMPANHAMENTO="BM",ROUND(OFFSET(ORÇAMENTO!AJ$15,$L121,0),15-13*ORÇAMENTO!$AF$7),IF(IFERROR(CÁLCULO.FrentesPreenchidas,0)=0,0,SUM(ROUND(OFFSET($P121,0,1,1,CÁLCULO.FrentesPreenchidas),15-13*ORÇAMENTO!$AF$7)))))</f>
        <v>0</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16"/>
        <v>106</v>
      </c>
      <c r="M121" s="166">
        <f ca="1">IF($D121&lt;&gt;"Serviço","",
          IF(AUTOEVENTO="manual",$A121,
                IF(ISERROR(MATCH($A121,$A$15:OFFSET($A121,-1,0),0)),MAX($M$15:OFFSET(M121,-1,0))+1,
                      INDEX($M$15:OFFSET(M121,-1,0),MATCH($A121,$A$15:OFFSET($A121,-1,0),0)))))</f>
        <v>12</v>
      </c>
      <c r="N121" s="167" t="str">
        <f ca="1">IF($D121&lt;&gt;"Serviço","",
         IF(AUTOEVENTO="Manual",
                IF($A121=0,"&lt;-- defina o número do agrupador",
                       OFFSET(EVENTOS!$D$15,$A121-$A$15,0)),
                OFFSET($F$15,$A121,0)))</f>
        <v xml:space="preserve">ADMINISTRAÇÃO LOCAL </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1000000000000</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ht="12.75" hidden="1" x14ac:dyDescent="0.2">
      <c r="A122" s="7" t="str">
        <f t="shared" ca="1" si="15"/>
        <v>59</v>
      </c>
      <c r="B122" s="7" t="str">
        <f ca="1">OFFSET(ORÇAMENTO!C$15,$L122,0)</f>
        <v>S</v>
      </c>
      <c r="C122" s="7" t="str">
        <f ca="1">OFFSET(ORÇAMENTO!L$15,$L122,0)</f>
        <v/>
      </c>
      <c r="D122" s="116" t="str">
        <f ca="1">OFFSET(ORÇAMENTO!N$15,$L122,0)</f>
        <v>Serviço</v>
      </c>
      <c r="E122" s="117" t="str">
        <f ca="1">OFFSET(ORÇAMENTO!O$15,$L122,0)</f>
        <v>-</v>
      </c>
      <c r="F122" s="163" t="str">
        <f ca="1">OFFSET(ORÇAMENTO!R$15,$L122,0)</f>
        <v>(Sem Código)</v>
      </c>
      <c r="G122" s="164" t="str">
        <f ca="1">IF($D122&lt;&gt;"Serviço","",OFFSET(ORÇAMENTO!S$15,$L122,0))</f>
        <v>-</v>
      </c>
      <c r="H122" s="122" cm="1">
        <f t="array" aca="1" ref="H122" ca="1">IF($D122&lt;&gt;"Serviço",0,IF(ACOMPANHAMENTO="BM",ROUND(OFFSET(ORÇAMENTO!AJ$15,$L122,0),15-13*ORÇAMENTO!$AF$7),IF(IFERROR(CÁLCULO.FrentesPreenchidas,0)=0,0,SUM(ROUND(OFFSET($P122,0,1,1,CÁLCULO.FrentesPreenchidas),15-13*ORÇAMENTO!$AF$7)))))</f>
        <v>0</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t="shared" ca="1" si="16"/>
        <v>107</v>
      </c>
      <c r="M122" s="166">
        <f ca="1">IF($D122&lt;&gt;"Serviço","",
          IF(AUTOEVENTO="manual",$A122,
                IF(ISERROR(MATCH($A122,$A$15:OFFSET($A122,-1,0),0)),MAX($M$15:OFFSET(M122,-1,0))+1,
                      INDEX($M$15:OFFSET(M122,-1,0),MATCH($A122,$A$15:OFFSET($A122,-1,0),0)))))</f>
        <v>12</v>
      </c>
      <c r="N122" s="167" t="str">
        <f ca="1">IF($D122&lt;&gt;"Serviço","",
         IF(AUTOEVENTO="Manual",
                IF($A122=0,"&lt;-- defina o número do agrupador",
                       OFFSET(EVENTOS!$D$15,$A122-$A$15,0)),
                OFFSET($F$15,$A122,0)))</f>
        <v xml:space="preserve">ADMINISTRAÇÃO LOCAL </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1000000000000</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12.75" hidden="1" x14ac:dyDescent="0.2">
      <c r="A123" s="7" t="str">
        <f t="shared" ca="1" si="15"/>
        <v>59</v>
      </c>
      <c r="B123" s="7" t="str">
        <f ca="1">OFFSET(ORÇAMENTO!C$15,$L123,0)</f>
        <v>S</v>
      </c>
      <c r="C123" s="7" t="str">
        <f ca="1">OFFSET(ORÇAMENTO!L$15,$L123,0)</f>
        <v/>
      </c>
      <c r="D123" s="116" t="str">
        <f ca="1">OFFSET(ORÇAMENTO!N$15,$L123,0)</f>
        <v>Serviço</v>
      </c>
      <c r="E123" s="117" t="str">
        <f ca="1">OFFSET(ORÇAMENTO!O$15,$L123,0)</f>
        <v>-</v>
      </c>
      <c r="F123" s="163" t="str">
        <f ca="1">OFFSET(ORÇAMENTO!R$15,$L123,0)</f>
        <v>(Sem Código)</v>
      </c>
      <c r="G123" s="164" t="str">
        <f ca="1">IF($D123&lt;&gt;"Serviço","",OFFSET(ORÇAMENTO!S$15,$L123,0))</f>
        <v>-</v>
      </c>
      <c r="H123" s="122" cm="1">
        <f t="array" aca="1" ref="H123" ca="1">IF($D123&lt;&gt;"Serviço",0,IF(ACOMPANHAMENTO="BM",ROUND(OFFSET(ORÇAMENTO!AJ$15,$L123,0),15-13*ORÇAMENTO!$AF$7),IF(IFERROR(CÁLCULO.FrentesPreenchidas,0)=0,0,SUM(ROUND(OFFSET($P123,0,1,1,CÁLCULO.FrentesPreenchidas),15-13*ORÇAMENTO!$AF$7)))))</f>
        <v>0</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16"/>
        <v>108</v>
      </c>
      <c r="M123" s="166">
        <f ca="1">IF($D123&lt;&gt;"Serviço","",
          IF(AUTOEVENTO="manual",$A123,
                IF(ISERROR(MATCH($A123,$A$15:OFFSET($A123,-1,0),0)),MAX($M$15:OFFSET(M123,-1,0))+1,
                      INDEX($M$15:OFFSET(M123,-1,0),MATCH($A123,$A$15:OFFSET($A123,-1,0),0)))))</f>
        <v>12</v>
      </c>
      <c r="N123" s="167" t="str">
        <f ca="1">IF($D123&lt;&gt;"Serviço","",
         IF(AUTOEVENTO="Manual",
                IF($A123=0,"&lt;-- defina o número do agrupador",
                       OFFSET(EVENTOS!$D$15,$A123-$A$15,0)),
                OFFSET($F$15,$A123,0)))</f>
        <v xml:space="preserve">ADMINISTRAÇÃO LOCAL </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1000000000000</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12.75" hidden="1" x14ac:dyDescent="0.2">
      <c r="A124" s="7" t="str">
        <f t="shared" ca="1" si="15"/>
        <v>59</v>
      </c>
      <c r="B124" s="7" t="str">
        <f ca="1">OFFSET(ORÇAMENTO!C$15,$L124,0)</f>
        <v>S</v>
      </c>
      <c r="C124" s="7" t="str">
        <f ca="1">OFFSET(ORÇAMENTO!L$15,$L124,0)</f>
        <v/>
      </c>
      <c r="D124" s="116" t="str">
        <f ca="1">OFFSET(ORÇAMENTO!N$15,$L124,0)</f>
        <v>Serviço</v>
      </c>
      <c r="E124" s="117" t="str">
        <f ca="1">OFFSET(ORÇAMENTO!O$15,$L124,0)</f>
        <v>-</v>
      </c>
      <c r="F124" s="163" t="str">
        <f ca="1">OFFSET(ORÇAMENTO!R$15,$L124,0)</f>
        <v>(Sem Código)</v>
      </c>
      <c r="G124" s="164" t="str">
        <f ca="1">IF($D124&lt;&gt;"Serviço","",OFFSET(ORÇAMENTO!S$15,$L124,0))</f>
        <v>-</v>
      </c>
      <c r="H124" s="122" cm="1">
        <f t="array" aca="1" ref="H124" ca="1">IF($D124&lt;&gt;"Serviço",0,IF(ACOMPANHAMENTO="BM",ROUND(OFFSET(ORÇAMENTO!AJ$15,$L124,0),15-13*ORÇAMENTO!$AF$7),IF(IFERROR(CÁLCULO.FrentesPreenchidas,0)=0,0,SUM(ROUND(OFFSET($P124,0,1,1,CÁLCULO.FrentesPreenchidas),15-13*ORÇAMENTO!$AF$7)))))</f>
        <v>0</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16"/>
        <v>109</v>
      </c>
      <c r="M124" s="166">
        <f ca="1">IF($D124&lt;&gt;"Serviço","",
          IF(AUTOEVENTO="manual",$A124,
                IF(ISERROR(MATCH($A124,$A$15:OFFSET($A124,-1,0),0)),MAX($M$15:OFFSET(M124,-1,0))+1,
                      INDEX($M$15:OFFSET(M124,-1,0),MATCH($A124,$A$15:OFFSET($A124,-1,0),0)))))</f>
        <v>12</v>
      </c>
      <c r="N124" s="167" t="str">
        <f ca="1">IF($D124&lt;&gt;"Serviço","",
         IF(AUTOEVENTO="Manual",
                IF($A124=0,"&lt;-- defina o número do agrupador",
                       OFFSET(EVENTOS!$D$15,$A124-$A$15,0)),
                OFFSET($F$15,$A124,0)))</f>
        <v xml:space="preserve">ADMINISTRAÇÃO LOCAL </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1000000000000</v>
      </c>
      <c r="AN124" s="171">
        <f ca="1">IF(OR($D124&lt;&gt;"Serviço",AND(AUTOEVENTO="Manual",$M124=$A$15)),0,
         IF(OFFSET(CRONOPLE!$F$15,$M124-$A$15,AN$13)=0,10^12,OFFSET(CRONOPLE!$F$15,$M124-$A$15,AN$13)))</f>
        <v>1000000000000</v>
      </c>
      <c r="AO124" s="171">
        <f ca="1">IF(OR($D124&lt;&gt;"Serviço",AND(AUTOEVENTO="Manual",$M124=$A$15)),0,
         IF(OFFSET(CRONOPLE!$F$15,$M124-$A$15,AO$13)=0,10^12,OFFSET(CRONOPLE!$F$15,$M124-$A$15,AO$13)))</f>
        <v>1000000000000</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ht="12.75" hidden="1" x14ac:dyDescent="0.2">
      <c r="A125" s="7" t="str">
        <f t="shared" ca="1" si="15"/>
        <v>59</v>
      </c>
      <c r="B125" s="7" t="str">
        <f ca="1">OFFSET(ORÇAMENTO!C$15,$L125,0)</f>
        <v>S</v>
      </c>
      <c r="C125" s="7" t="str">
        <f ca="1">OFFSET(ORÇAMENTO!L$15,$L125,0)</f>
        <v/>
      </c>
      <c r="D125" s="116" t="str">
        <f ca="1">OFFSET(ORÇAMENTO!N$15,$L125,0)</f>
        <v>Serviço</v>
      </c>
      <c r="E125" s="117" t="str">
        <f ca="1">OFFSET(ORÇAMENTO!O$15,$L125,0)</f>
        <v>-</v>
      </c>
      <c r="F125" s="163" t="str">
        <f ca="1">OFFSET(ORÇAMENTO!R$15,$L125,0)</f>
        <v>(Sem Código)</v>
      </c>
      <c r="G125" s="164" t="str">
        <f ca="1">IF($D125&lt;&gt;"Serviço","",OFFSET(ORÇAMENTO!S$15,$L125,0))</f>
        <v>-</v>
      </c>
      <c r="H125" s="122" cm="1">
        <f t="array" aca="1" ref="H125" ca="1">IF($D125&lt;&gt;"Serviço",0,IF(ACOMPANHAMENTO="BM",ROUND(OFFSET(ORÇAMENTO!AJ$15,$L125,0),15-13*ORÇAMENTO!$AF$7),IF(IFERROR(CÁLCULO.FrentesPreenchidas,0)=0,0,SUM(ROUND(OFFSET($P125,0,1,1,CÁLCULO.FrentesPreenchidas),15-13*ORÇAMENTO!$AF$7)))))</f>
        <v>0</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16"/>
        <v>110</v>
      </c>
      <c r="M125" s="166">
        <f ca="1">IF($D125&lt;&gt;"Serviço","",
          IF(AUTOEVENTO="manual",$A125,
                IF(ISERROR(MATCH($A125,$A$15:OFFSET($A125,-1,0),0)),MAX($M$15:OFFSET(M125,-1,0))+1,
                      INDEX($M$15:OFFSET(M125,-1,0),MATCH($A125,$A$15:OFFSET($A125,-1,0),0)))))</f>
        <v>12</v>
      </c>
      <c r="N125" s="167" t="str">
        <f ca="1">IF($D125&lt;&gt;"Serviço","",
         IF(AUTOEVENTO="Manual",
                IF($A125=0,"&lt;-- defina o número do agrupador",
                       OFFSET(EVENTOS!$D$15,$A125-$A$15,0)),
                OFFSET($F$15,$A125,0)))</f>
        <v xml:space="preserve">ADMINISTRAÇÃO LOCAL </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1000000000000</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12.75" hidden="1" x14ac:dyDescent="0.2">
      <c r="A126" s="7" t="str">
        <f t="shared" ca="1" si="15"/>
        <v>59</v>
      </c>
      <c r="B126" s="7" t="str">
        <f ca="1">OFFSET(ORÇAMENTO!C$15,$L126,0)</f>
        <v>S</v>
      </c>
      <c r="C126" s="7" t="str">
        <f ca="1">OFFSET(ORÇAMENTO!L$15,$L126,0)</f>
        <v/>
      </c>
      <c r="D126" s="116" t="str">
        <f ca="1">OFFSET(ORÇAMENTO!N$15,$L126,0)</f>
        <v>Serviço</v>
      </c>
      <c r="E126" s="117" t="str">
        <f ca="1">OFFSET(ORÇAMENTO!O$15,$L126,0)</f>
        <v>-</v>
      </c>
      <c r="F126" s="163" t="str">
        <f ca="1">OFFSET(ORÇAMENTO!R$15,$L126,0)</f>
        <v>(Sem Código)</v>
      </c>
      <c r="G126" s="164" t="str">
        <f ca="1">IF($D126&lt;&gt;"Serviço","",OFFSET(ORÇAMENTO!S$15,$L126,0))</f>
        <v>-</v>
      </c>
      <c r="H126" s="122" cm="1">
        <f t="array" aca="1" ref="H126" ca="1">IF($D126&lt;&gt;"Serviço",0,IF(ACOMPANHAMENTO="BM",ROUND(OFFSET(ORÇAMENTO!AJ$15,$L126,0),15-13*ORÇAMENTO!$AF$7),IF(IFERROR(CÁLCULO.FrentesPreenchidas,0)=0,0,SUM(ROUND(OFFSET($P126,0,1,1,CÁLCULO.FrentesPreenchidas),15-13*ORÇAMENTO!$AF$7)))))</f>
        <v>0</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t="shared" ca="1" si="16"/>
        <v>111</v>
      </c>
      <c r="M126" s="166">
        <f ca="1">IF($D126&lt;&gt;"Serviço","",
          IF(AUTOEVENTO="manual",$A126,
                IF(ISERROR(MATCH($A126,$A$15:OFFSET($A126,-1,0),0)),MAX($M$15:OFFSET(M126,-1,0))+1,
                      INDEX($M$15:OFFSET(M126,-1,0),MATCH($A126,$A$15:OFFSET($A126,-1,0),0)))))</f>
        <v>12</v>
      </c>
      <c r="N126" s="167" t="str">
        <f ca="1">IF($D126&lt;&gt;"Serviço","",
         IF(AUTOEVENTO="Manual",
                IF($A126=0,"&lt;-- defina o número do agrupador",
                       OFFSET(EVENTOS!$D$15,$A126-$A$15,0)),
                OFFSET($F$15,$A126,0)))</f>
        <v xml:space="preserve">ADMINISTRAÇÃO LOCAL </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1000000000000</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12.75" hidden="1" x14ac:dyDescent="0.2">
      <c r="A127" s="7" t="str">
        <f t="shared" ca="1" si="15"/>
        <v>59</v>
      </c>
      <c r="B127" s="7" t="str">
        <f ca="1">OFFSET(ORÇAMENTO!C$15,$L127,0)</f>
        <v>S</v>
      </c>
      <c r="C127" s="7" t="str">
        <f ca="1">OFFSET(ORÇAMENTO!L$15,$L127,0)</f>
        <v/>
      </c>
      <c r="D127" s="116" t="str">
        <f ca="1">OFFSET(ORÇAMENTO!N$15,$L127,0)</f>
        <v>Serviço</v>
      </c>
      <c r="E127" s="117" t="str">
        <f ca="1">OFFSET(ORÇAMENTO!O$15,$L127,0)</f>
        <v>-</v>
      </c>
      <c r="F127" s="163" t="str">
        <f ca="1">OFFSET(ORÇAMENTO!R$15,$L127,0)</f>
        <v>(Sem Código)</v>
      </c>
      <c r="G127" s="164" t="str">
        <f ca="1">IF($D127&lt;&gt;"Serviço","",OFFSET(ORÇAMENTO!S$15,$L127,0))</f>
        <v>-</v>
      </c>
      <c r="H127" s="122" cm="1">
        <f t="array" aca="1" ref="H127" ca="1">IF($D127&lt;&gt;"Serviço",0,IF(ACOMPANHAMENTO="BM",ROUND(OFFSET(ORÇAMENTO!AJ$15,$L127,0),15-13*ORÇAMENTO!$AF$7),IF(IFERROR(CÁLCULO.FrentesPreenchidas,0)=0,0,SUM(ROUND(OFFSET($P127,0,1,1,CÁLCULO.FrentesPreenchidas),15-13*ORÇAMENTO!$AF$7)))))</f>
        <v>0</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16"/>
        <v>112</v>
      </c>
      <c r="M127" s="166">
        <f ca="1">IF($D127&lt;&gt;"Serviço","",
          IF(AUTOEVENTO="manual",$A127,
                IF(ISERROR(MATCH($A127,$A$15:OFFSET($A127,-1,0),0)),MAX($M$15:OFFSET(M127,-1,0))+1,
                      INDEX($M$15:OFFSET(M127,-1,0),MATCH($A127,$A$15:OFFSET($A127,-1,0),0)))))</f>
        <v>12</v>
      </c>
      <c r="N127" s="167" t="str">
        <f ca="1">IF($D127&lt;&gt;"Serviço","",
         IF(AUTOEVENTO="Manual",
                IF($A127=0,"&lt;-- defina o número do agrupador",
                       OFFSET(EVENTOS!$D$15,$A127-$A$15,0)),
                OFFSET($F$15,$A127,0)))</f>
        <v xml:space="preserve">ADMINISTRAÇÃO LOCAL </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1000000000000</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12.75" hidden="1" x14ac:dyDescent="0.2">
      <c r="A128" s="7" t="str">
        <f t="shared" ca="1" si="15"/>
        <v>59</v>
      </c>
      <c r="B128" s="7" t="str">
        <f ca="1">OFFSET(ORÇAMENTO!C$15,$L128,0)</f>
        <v>S</v>
      </c>
      <c r="C128" s="7" t="str">
        <f ca="1">OFFSET(ORÇAMENTO!L$15,$L128,0)</f>
        <v/>
      </c>
      <c r="D128" s="116" t="str">
        <f ca="1">OFFSET(ORÇAMENTO!N$15,$L128,0)</f>
        <v>Serviço</v>
      </c>
      <c r="E128" s="117" t="str">
        <f ca="1">OFFSET(ORÇAMENTO!O$15,$L128,0)</f>
        <v>-</v>
      </c>
      <c r="F128" s="163" t="str">
        <f ca="1">OFFSET(ORÇAMENTO!R$15,$L128,0)</f>
        <v>(Sem Código)</v>
      </c>
      <c r="G128" s="164" t="str">
        <f ca="1">IF($D128&lt;&gt;"Serviço","",OFFSET(ORÇAMENTO!S$15,$L128,0))</f>
        <v>-</v>
      </c>
      <c r="H128" s="122" cm="1">
        <f t="array" aca="1" ref="H128" ca="1">IF($D128&lt;&gt;"Serviço",0,IF(ACOMPANHAMENTO="BM",ROUND(OFFSET(ORÇAMENTO!AJ$15,$L128,0),15-13*ORÇAMENTO!$AF$7),IF(IFERROR(CÁLCULO.FrentesPreenchidas,0)=0,0,SUM(ROUND(OFFSET($P128,0,1,1,CÁLCULO.FrentesPreenchidas),15-13*ORÇAMENTO!$AF$7)))))</f>
        <v>0</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16"/>
        <v>113</v>
      </c>
      <c r="M128" s="166">
        <f ca="1">IF($D128&lt;&gt;"Serviço","",
          IF(AUTOEVENTO="manual",$A128,
                IF(ISERROR(MATCH($A128,$A$15:OFFSET($A128,-1,0),0)),MAX($M$15:OFFSET(M128,-1,0))+1,
                      INDEX($M$15:OFFSET(M128,-1,0),MATCH($A128,$A$15:OFFSET($A128,-1,0),0)))))</f>
        <v>12</v>
      </c>
      <c r="N128" s="167" t="str">
        <f ca="1">IF($D128&lt;&gt;"Serviço","",
         IF(AUTOEVENTO="Manual",
                IF($A128=0,"&lt;-- defina o número do agrupador",
                       OFFSET(EVENTOS!$D$15,$A128-$A$15,0)),
                OFFSET($F$15,$A128,0)))</f>
        <v xml:space="preserve">ADMINISTRAÇÃO LOCAL </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1000000000000</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12.75" hidden="1" x14ac:dyDescent="0.2">
      <c r="A129" s="7" t="str">
        <f t="shared" ca="1" si="15"/>
        <v>59</v>
      </c>
      <c r="B129" s="7" t="str">
        <f ca="1">OFFSET(ORÇAMENTO!C$15,$L129,0)</f>
        <v>S</v>
      </c>
      <c r="C129" s="7" t="str">
        <f ca="1">OFFSET(ORÇAMENTO!L$15,$L129,0)</f>
        <v/>
      </c>
      <c r="D129" s="116" t="str">
        <f ca="1">OFFSET(ORÇAMENTO!N$15,$L129,0)</f>
        <v>Serviço</v>
      </c>
      <c r="E129" s="117" t="str">
        <f ca="1">OFFSET(ORÇAMENTO!O$15,$L129,0)</f>
        <v>-</v>
      </c>
      <c r="F129" s="163" t="str">
        <f ca="1">OFFSET(ORÇAMENTO!R$15,$L129,0)</f>
        <v>(Sem Código)</v>
      </c>
      <c r="G129" s="164" t="str">
        <f ca="1">IF($D129&lt;&gt;"Serviço","",OFFSET(ORÇAMENTO!S$15,$L129,0))</f>
        <v>-</v>
      </c>
      <c r="H129" s="122" cm="1">
        <f t="array" aca="1" ref="H129" ca="1">IF($D129&lt;&gt;"Serviço",0,IF(ACOMPANHAMENTO="BM",ROUND(OFFSET(ORÇAMENTO!AJ$15,$L129,0),15-13*ORÇAMENTO!$AF$7),IF(IFERROR(CÁLCULO.FrentesPreenchidas,0)=0,0,SUM(ROUND(OFFSET($P129,0,1,1,CÁLCULO.FrentesPreenchidas),15-13*ORÇAMENTO!$AF$7)))))</f>
        <v>0</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t="shared" ca="1" si="16"/>
        <v>114</v>
      </c>
      <c r="M129" s="166">
        <f ca="1">IF($D129&lt;&gt;"Serviço","",
          IF(AUTOEVENTO="manual",$A129,
                IF(ISERROR(MATCH($A129,$A$15:OFFSET($A129,-1,0),0)),MAX($M$15:OFFSET(M129,-1,0))+1,
                      INDEX($M$15:OFFSET(M129,-1,0),MATCH($A129,$A$15:OFFSET($A129,-1,0),0)))))</f>
        <v>12</v>
      </c>
      <c r="N129" s="167" t="str">
        <f ca="1">IF($D129&lt;&gt;"Serviço","",
         IF(AUTOEVENTO="Manual",
                IF($A129=0,"&lt;-- defina o número do agrupador",
                       OFFSET(EVENTOS!$D$15,$A129-$A$15,0)),
                OFFSET($F$15,$A129,0)))</f>
        <v xml:space="preserve">ADMINISTRAÇÃO LOCAL </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1000000000000</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12.75" hidden="1" x14ac:dyDescent="0.2">
      <c r="A130" s="7" t="str">
        <f t="shared" ca="1" si="15"/>
        <v>59</v>
      </c>
      <c r="B130" s="7" t="str">
        <f ca="1">OFFSET(ORÇAMENTO!C$15,$L130,0)</f>
        <v>S</v>
      </c>
      <c r="C130" s="7" t="str">
        <f ca="1">OFFSET(ORÇAMENTO!L$15,$L130,0)</f>
        <v/>
      </c>
      <c r="D130" s="116" t="str">
        <f ca="1">OFFSET(ORÇAMENTO!N$15,$L130,0)</f>
        <v>Serviço</v>
      </c>
      <c r="E130" s="117" t="str">
        <f ca="1">OFFSET(ORÇAMENTO!O$15,$L130,0)</f>
        <v>-</v>
      </c>
      <c r="F130" s="163" t="str">
        <f ca="1">OFFSET(ORÇAMENTO!R$15,$L130,0)</f>
        <v>(Sem Código)</v>
      </c>
      <c r="G130" s="164" t="str">
        <f ca="1">IF($D130&lt;&gt;"Serviço","",OFFSET(ORÇAMENTO!S$15,$L130,0))</f>
        <v>-</v>
      </c>
      <c r="H130" s="122" cm="1">
        <f t="array" aca="1" ref="H130" ca="1">IF($D130&lt;&gt;"Serviço",0,IF(ACOMPANHAMENTO="BM",ROUND(OFFSET(ORÇAMENTO!AJ$15,$L130,0),15-13*ORÇAMENTO!$AF$7),IF(IFERROR(CÁLCULO.FrentesPreenchidas,0)=0,0,SUM(ROUND(OFFSET($P130,0,1,1,CÁLCULO.FrentesPreenchidas),15-13*ORÇAMENTO!$AF$7)))))</f>
        <v>0</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16"/>
        <v>115</v>
      </c>
      <c r="M130" s="166">
        <f ca="1">IF($D130&lt;&gt;"Serviço","",
          IF(AUTOEVENTO="manual",$A130,
                IF(ISERROR(MATCH($A130,$A$15:OFFSET($A130,-1,0),0)),MAX($M$15:OFFSET(M130,-1,0))+1,
                      INDEX($M$15:OFFSET(M130,-1,0),MATCH($A130,$A$15:OFFSET($A130,-1,0),0)))))</f>
        <v>12</v>
      </c>
      <c r="N130" s="167" t="str">
        <f ca="1">IF($D130&lt;&gt;"Serviço","",
         IF(AUTOEVENTO="Manual",
                IF($A130=0,"&lt;-- defina o número do agrupador",
                       OFFSET(EVENTOS!$D$15,$A130-$A$15,0)),
                OFFSET($F$15,$A130,0)))</f>
        <v xml:space="preserve">ADMINISTRAÇÃO LOCAL </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1000000000000</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12.75" hidden="1" x14ac:dyDescent="0.2">
      <c r="A131" s="7" t="str">
        <f t="shared" ca="1" si="15"/>
        <v>59</v>
      </c>
      <c r="B131" s="7" t="str">
        <f ca="1">OFFSET(ORÇAMENTO!C$15,$L131,0)</f>
        <v>S</v>
      </c>
      <c r="C131" s="7" t="str">
        <f ca="1">OFFSET(ORÇAMENTO!L$15,$L131,0)</f>
        <v/>
      </c>
      <c r="D131" s="116" t="str">
        <f ca="1">OFFSET(ORÇAMENTO!N$15,$L131,0)</f>
        <v>Serviço</v>
      </c>
      <c r="E131" s="117" t="str">
        <f ca="1">OFFSET(ORÇAMENTO!O$15,$L131,0)</f>
        <v>-</v>
      </c>
      <c r="F131" s="163" t="str">
        <f ca="1">OFFSET(ORÇAMENTO!R$15,$L131,0)</f>
        <v>(Sem Código)</v>
      </c>
      <c r="G131" s="164" t="str">
        <f ca="1">IF($D131&lt;&gt;"Serviço","",OFFSET(ORÇAMENTO!S$15,$L131,0))</f>
        <v>-</v>
      </c>
      <c r="H131" s="122" cm="1">
        <f t="array" aca="1" ref="H131" ca="1">IF($D131&lt;&gt;"Serviço",0,IF(ACOMPANHAMENTO="BM",ROUND(OFFSET(ORÇAMENTO!AJ$15,$L131,0),15-13*ORÇAMENTO!$AF$7),IF(IFERROR(CÁLCULO.FrentesPreenchidas,0)=0,0,SUM(ROUND(OFFSET($P131,0,1,1,CÁLCULO.FrentesPreenchidas),15-13*ORÇAMENTO!$AF$7)))))</f>
        <v>0</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t="shared" ca="1" si="16"/>
        <v>116</v>
      </c>
      <c r="M131" s="166">
        <f ca="1">IF($D131&lt;&gt;"Serviço","",
          IF(AUTOEVENTO="manual",$A131,
                IF(ISERROR(MATCH($A131,$A$15:OFFSET($A131,-1,0),0)),MAX($M$15:OFFSET(M131,-1,0))+1,
                      INDEX($M$15:OFFSET(M131,-1,0),MATCH($A131,$A$15:OFFSET($A131,-1,0),0)))))</f>
        <v>12</v>
      </c>
      <c r="N131" s="167" t="str">
        <f ca="1">IF($D131&lt;&gt;"Serviço","",
         IF(AUTOEVENTO="Manual",
                IF($A131=0,"&lt;-- defina o número do agrupador",
                       OFFSET(EVENTOS!$D$15,$A131-$A$15,0)),
                OFFSET($F$15,$A131,0)))</f>
        <v xml:space="preserve">ADMINISTRAÇÃO LOCAL </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1000000000000</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12.75" hidden="1" x14ac:dyDescent="0.2">
      <c r="A132" s="7" t="str">
        <f t="shared" ca="1" si="15"/>
        <v>59</v>
      </c>
      <c r="B132" s="7" t="str">
        <f ca="1">OFFSET(ORÇAMENTO!C$15,$L132,0)</f>
        <v>S</v>
      </c>
      <c r="C132" s="7" t="str">
        <f ca="1">OFFSET(ORÇAMENTO!L$15,$L132,0)</f>
        <v/>
      </c>
      <c r="D132" s="116" t="str">
        <f ca="1">OFFSET(ORÇAMENTO!N$15,$L132,0)</f>
        <v>Serviço</v>
      </c>
      <c r="E132" s="117" t="str">
        <f ca="1">OFFSET(ORÇAMENTO!O$15,$L132,0)</f>
        <v>-</v>
      </c>
      <c r="F132" s="163" t="str">
        <f ca="1">OFFSET(ORÇAMENTO!R$15,$L132,0)</f>
        <v>(Sem Código)</v>
      </c>
      <c r="G132" s="164" t="str">
        <f ca="1">IF($D132&lt;&gt;"Serviço","",OFFSET(ORÇAMENTO!S$15,$L132,0))</f>
        <v>-</v>
      </c>
      <c r="H132" s="122" cm="1">
        <f t="array" aca="1" ref="H132" ca="1">IF($D132&lt;&gt;"Serviço",0,IF(ACOMPANHAMENTO="BM",ROUND(OFFSET(ORÇAMENTO!AJ$15,$L132,0),15-13*ORÇAMENTO!$AF$7),IF(IFERROR(CÁLCULO.FrentesPreenchidas,0)=0,0,SUM(ROUND(OFFSET($P132,0,1,1,CÁLCULO.FrentesPreenchidas),15-13*ORÇAMENTO!$AF$7)))))</f>
        <v>0</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16"/>
        <v>117</v>
      </c>
      <c r="M132" s="166">
        <f ca="1">IF($D132&lt;&gt;"Serviço","",
          IF(AUTOEVENTO="manual",$A132,
                IF(ISERROR(MATCH($A132,$A$15:OFFSET($A132,-1,0),0)),MAX($M$15:OFFSET(M132,-1,0))+1,
                      INDEX($M$15:OFFSET(M132,-1,0),MATCH($A132,$A$15:OFFSET($A132,-1,0),0)))))</f>
        <v>12</v>
      </c>
      <c r="N132" s="167" t="str">
        <f ca="1">IF($D132&lt;&gt;"Serviço","",
         IF(AUTOEVENTO="Manual",
                IF($A132=0,"&lt;-- defina o número do agrupador",
                       OFFSET(EVENTOS!$D$15,$A132-$A$15,0)),
                OFFSET($F$15,$A132,0)))</f>
        <v xml:space="preserve">ADMINISTRAÇÃO LOCAL </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1000000000000</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12.75" hidden="1" x14ac:dyDescent="0.2">
      <c r="A133" s="7" t="str">
        <f t="shared" ca="1" si="15"/>
        <v>59</v>
      </c>
      <c r="B133" s="7" t="str">
        <f ca="1">OFFSET(ORÇAMENTO!C$15,$L133,0)</f>
        <v>S</v>
      </c>
      <c r="C133" s="7" t="str">
        <f ca="1">OFFSET(ORÇAMENTO!L$15,$L133,0)</f>
        <v/>
      </c>
      <c r="D133" s="116" t="str">
        <f ca="1">OFFSET(ORÇAMENTO!N$15,$L133,0)</f>
        <v>Serviço</v>
      </c>
      <c r="E133" s="117" t="str">
        <f ca="1">OFFSET(ORÇAMENTO!O$15,$L133,0)</f>
        <v>-</v>
      </c>
      <c r="F133" s="163" t="str">
        <f ca="1">OFFSET(ORÇAMENTO!R$15,$L133,0)</f>
        <v>(Sem Código)</v>
      </c>
      <c r="G133" s="164" t="str">
        <f ca="1">IF($D133&lt;&gt;"Serviço","",OFFSET(ORÇAMENTO!S$15,$L133,0))</f>
        <v>-</v>
      </c>
      <c r="H133" s="122" cm="1">
        <f t="array" aca="1" ref="H133" ca="1">IF($D133&lt;&gt;"Serviço",0,IF(ACOMPANHAMENTO="BM",ROUND(OFFSET(ORÇAMENTO!AJ$15,$L133,0),15-13*ORÇAMENTO!$AF$7),IF(IFERROR(CÁLCULO.FrentesPreenchidas,0)=0,0,SUM(ROUND(OFFSET($P133,0,1,1,CÁLCULO.FrentesPreenchidas),15-13*ORÇAMENTO!$AF$7)))))</f>
        <v>0</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16"/>
        <v>118</v>
      </c>
      <c r="M133" s="166">
        <f ca="1">IF($D133&lt;&gt;"Serviço","",
          IF(AUTOEVENTO="manual",$A133,
                IF(ISERROR(MATCH($A133,$A$15:OFFSET($A133,-1,0),0)),MAX($M$15:OFFSET(M133,-1,0))+1,
                      INDEX($M$15:OFFSET(M133,-1,0),MATCH($A133,$A$15:OFFSET($A133,-1,0),0)))))</f>
        <v>12</v>
      </c>
      <c r="N133" s="167" t="str">
        <f ca="1">IF($D133&lt;&gt;"Serviço","",
         IF(AUTOEVENTO="Manual",
                IF($A133=0,"&lt;-- defina o número do agrupador",
                       OFFSET(EVENTOS!$D$15,$A133-$A$15,0)),
                OFFSET($F$15,$A133,0)))</f>
        <v xml:space="preserve">ADMINISTRAÇÃO LOCAL </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1000000000000</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12.75" hidden="1" x14ac:dyDescent="0.2">
      <c r="A134" s="7" t="str">
        <f t="shared" ca="1" si="15"/>
        <v>59</v>
      </c>
      <c r="B134" s="7" t="str">
        <f ca="1">OFFSET(ORÇAMENTO!C$15,$L134,0)</f>
        <v>S</v>
      </c>
      <c r="C134" s="7" t="str">
        <f ca="1">OFFSET(ORÇAMENTO!L$15,$L134,0)</f>
        <v/>
      </c>
      <c r="D134" s="116" t="str">
        <f ca="1">OFFSET(ORÇAMENTO!N$15,$L134,0)</f>
        <v>Serviço</v>
      </c>
      <c r="E134" s="117" t="str">
        <f ca="1">OFFSET(ORÇAMENTO!O$15,$L134,0)</f>
        <v>-</v>
      </c>
      <c r="F134" s="163" t="str">
        <f ca="1">OFFSET(ORÇAMENTO!R$15,$L134,0)</f>
        <v>(Sem Código)</v>
      </c>
      <c r="G134" s="164" t="str">
        <f ca="1">IF($D134&lt;&gt;"Serviço","",OFFSET(ORÇAMENTO!S$15,$L134,0))</f>
        <v>-</v>
      </c>
      <c r="H134" s="122" cm="1">
        <f t="array" aca="1" ref="H134" ca="1">IF($D134&lt;&gt;"Serviço",0,IF(ACOMPANHAMENTO="BM",ROUND(OFFSET(ORÇAMENTO!AJ$15,$L134,0),15-13*ORÇAMENTO!$AF$7),IF(IFERROR(CÁLCULO.FrentesPreenchidas,0)=0,0,SUM(ROUND(OFFSET($P134,0,1,1,CÁLCULO.FrentesPreenchidas),15-13*ORÇAMENTO!$AF$7)))))</f>
        <v>0</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16"/>
        <v>119</v>
      </c>
      <c r="M134" s="166">
        <f ca="1">IF($D134&lt;&gt;"Serviço","",
          IF(AUTOEVENTO="manual",$A134,
                IF(ISERROR(MATCH($A134,$A$15:OFFSET($A134,-1,0),0)),MAX($M$15:OFFSET(M134,-1,0))+1,
                      INDEX($M$15:OFFSET(M134,-1,0),MATCH($A134,$A$15:OFFSET($A134,-1,0),0)))))</f>
        <v>12</v>
      </c>
      <c r="N134" s="167" t="str">
        <f ca="1">IF($D134&lt;&gt;"Serviço","",
         IF(AUTOEVENTO="Manual",
                IF($A134=0,"&lt;-- defina o número do agrupador",
                       OFFSET(EVENTOS!$D$15,$A134-$A$15,0)),
                OFFSET($F$15,$A134,0)))</f>
        <v xml:space="preserve">ADMINISTRAÇÃO LOCAL </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1000000000000</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12.75" hidden="1" x14ac:dyDescent="0.2">
      <c r="A135" s="7" t="str">
        <f t="shared" ca="1" si="15"/>
        <v>59</v>
      </c>
      <c r="B135" s="7" t="str">
        <f ca="1">OFFSET(ORÇAMENTO!C$15,$L135,0)</f>
        <v>S</v>
      </c>
      <c r="C135" s="7" t="str">
        <f ca="1">OFFSET(ORÇAMENTO!L$15,$L135,0)</f>
        <v/>
      </c>
      <c r="D135" s="116" t="str">
        <f ca="1">OFFSET(ORÇAMENTO!N$15,$L135,0)</f>
        <v>Serviço</v>
      </c>
      <c r="E135" s="117" t="str">
        <f ca="1">OFFSET(ORÇAMENTO!O$15,$L135,0)</f>
        <v>-</v>
      </c>
      <c r="F135" s="163" t="str">
        <f ca="1">OFFSET(ORÇAMENTO!R$15,$L135,0)</f>
        <v>(Sem Código)</v>
      </c>
      <c r="G135" s="164" t="str">
        <f ca="1">IF($D135&lt;&gt;"Serviço","",OFFSET(ORÇAMENTO!S$15,$L135,0))</f>
        <v>-</v>
      </c>
      <c r="H135" s="122" cm="1">
        <f t="array" aca="1" ref="H135" ca="1">IF($D135&lt;&gt;"Serviço",0,IF(ACOMPANHAMENTO="BM",ROUND(OFFSET(ORÇAMENTO!AJ$15,$L135,0),15-13*ORÇAMENTO!$AF$7),IF(IFERROR(CÁLCULO.FrentesPreenchidas,0)=0,0,SUM(ROUND(OFFSET($P135,0,1,1,CÁLCULO.FrentesPreenchidas),15-13*ORÇAMENTO!$AF$7)))))</f>
        <v>0</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16"/>
        <v>120</v>
      </c>
      <c r="M135" s="166">
        <f ca="1">IF($D135&lt;&gt;"Serviço","",
          IF(AUTOEVENTO="manual",$A135,
                IF(ISERROR(MATCH($A135,$A$15:OFFSET($A135,-1,0),0)),MAX($M$15:OFFSET(M135,-1,0))+1,
                      INDEX($M$15:OFFSET(M135,-1,0),MATCH($A135,$A$15:OFFSET($A135,-1,0),0)))))</f>
        <v>12</v>
      </c>
      <c r="N135" s="167" t="str">
        <f ca="1">IF($D135&lt;&gt;"Serviço","",
         IF(AUTOEVENTO="Manual",
                IF($A135=0,"&lt;-- defina o número do agrupador",
                       OFFSET(EVENTOS!$D$15,$A135-$A$15,0)),
                OFFSET($F$15,$A135,0)))</f>
        <v xml:space="preserve">ADMINISTRAÇÃO LOCAL </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1000000000000</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12.75" hidden="1" x14ac:dyDescent="0.2">
      <c r="A136" s="7" t="str">
        <f t="shared" ca="1" si="15"/>
        <v>59</v>
      </c>
      <c r="B136" s="7" t="str">
        <f ca="1">OFFSET(ORÇAMENTO!C$15,$L136,0)</f>
        <v>S</v>
      </c>
      <c r="C136" s="7" t="str">
        <f ca="1">OFFSET(ORÇAMENTO!L$15,$L136,0)</f>
        <v/>
      </c>
      <c r="D136" s="116" t="str">
        <f ca="1">OFFSET(ORÇAMENTO!N$15,$L136,0)</f>
        <v>Serviço</v>
      </c>
      <c r="E136" s="117" t="str">
        <f ca="1">OFFSET(ORÇAMENTO!O$15,$L136,0)</f>
        <v>-</v>
      </c>
      <c r="F136" s="163" t="str">
        <f ca="1">OFFSET(ORÇAMENTO!R$15,$L136,0)</f>
        <v>(Sem Código)</v>
      </c>
      <c r="G136" s="164" t="str">
        <f ca="1">IF($D136&lt;&gt;"Serviço","",OFFSET(ORÇAMENTO!S$15,$L136,0))</f>
        <v>-</v>
      </c>
      <c r="H136" s="122" cm="1">
        <f t="array" aca="1" ref="H136" ca="1">IF($D136&lt;&gt;"Serviço",0,IF(ACOMPANHAMENTO="BM",ROUND(OFFSET(ORÇAMENTO!AJ$15,$L136,0),15-13*ORÇAMENTO!$AF$7),IF(IFERROR(CÁLCULO.FrentesPreenchidas,0)=0,0,SUM(ROUND(OFFSET($P136,0,1,1,CÁLCULO.FrentesPreenchidas),15-13*ORÇAMENTO!$AF$7)))))</f>
        <v>0</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16"/>
        <v>121</v>
      </c>
      <c r="M136" s="166">
        <f ca="1">IF($D136&lt;&gt;"Serviço","",
          IF(AUTOEVENTO="manual",$A136,
                IF(ISERROR(MATCH($A136,$A$15:OFFSET($A136,-1,0),0)),MAX($M$15:OFFSET(M136,-1,0))+1,
                      INDEX($M$15:OFFSET(M136,-1,0),MATCH($A136,$A$15:OFFSET($A136,-1,0),0)))))</f>
        <v>12</v>
      </c>
      <c r="N136" s="167" t="str">
        <f ca="1">IF($D136&lt;&gt;"Serviço","",
         IF(AUTOEVENTO="Manual",
                IF($A136=0,"&lt;-- defina o número do agrupador",
                       OFFSET(EVENTOS!$D$15,$A136-$A$15,0)),
                OFFSET($F$15,$A136,0)))</f>
        <v xml:space="preserve">ADMINISTRAÇÃO LOCAL </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1000000000000</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12.75" hidden="1" x14ac:dyDescent="0.2">
      <c r="A137" s="7" t="str">
        <f t="shared" ca="1" si="15"/>
        <v>59</v>
      </c>
      <c r="B137" s="7" t="str">
        <f ca="1">OFFSET(ORÇAMENTO!C$15,$L137,0)</f>
        <v>S</v>
      </c>
      <c r="C137" s="7" t="str">
        <f ca="1">OFFSET(ORÇAMENTO!L$15,$L137,0)</f>
        <v/>
      </c>
      <c r="D137" s="116" t="str">
        <f ca="1">OFFSET(ORÇAMENTO!N$15,$L137,0)</f>
        <v>Serviço</v>
      </c>
      <c r="E137" s="117" t="str">
        <f ca="1">OFFSET(ORÇAMENTO!O$15,$L137,0)</f>
        <v>-</v>
      </c>
      <c r="F137" s="163" t="str">
        <f ca="1">OFFSET(ORÇAMENTO!R$15,$L137,0)</f>
        <v>(Sem Código)</v>
      </c>
      <c r="G137" s="164" t="str">
        <f ca="1">IF($D137&lt;&gt;"Serviço","",OFFSET(ORÇAMENTO!S$15,$L137,0))</f>
        <v>-</v>
      </c>
      <c r="H137" s="122" cm="1">
        <f t="array" aca="1" ref="H137" ca="1">IF($D137&lt;&gt;"Serviço",0,IF(ACOMPANHAMENTO="BM",ROUND(OFFSET(ORÇAMENTO!AJ$15,$L137,0),15-13*ORÇAMENTO!$AF$7),IF(IFERROR(CÁLCULO.FrentesPreenchidas,0)=0,0,SUM(ROUND(OFFSET($P137,0,1,1,CÁLCULO.FrentesPreenchidas),15-13*ORÇAMENTO!$AF$7)))))</f>
        <v>0</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t="shared" ca="1" si="16"/>
        <v>122</v>
      </c>
      <c r="M137" s="166">
        <f ca="1">IF($D137&lt;&gt;"Serviço","",
          IF(AUTOEVENTO="manual",$A137,
                IF(ISERROR(MATCH($A137,$A$15:OFFSET($A137,-1,0),0)),MAX($M$15:OFFSET(M137,-1,0))+1,
                      INDEX($M$15:OFFSET(M137,-1,0),MATCH($A137,$A$15:OFFSET($A137,-1,0),0)))))</f>
        <v>12</v>
      </c>
      <c r="N137" s="167" t="str">
        <f ca="1">IF($D137&lt;&gt;"Serviço","",
         IF(AUTOEVENTO="Manual",
                IF($A137=0,"&lt;-- defina o número do agrupador",
                       OFFSET(EVENTOS!$D$15,$A137-$A$15,0)),
                OFFSET($F$15,$A137,0)))</f>
        <v xml:space="preserve">ADMINISTRAÇÃO LOCAL </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1000000000000</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12.75" hidden="1" x14ac:dyDescent="0.2">
      <c r="A138" s="7" t="str">
        <f t="shared" ca="1" si="15"/>
        <v>59</v>
      </c>
      <c r="B138" s="7" t="str">
        <f ca="1">OFFSET(ORÇAMENTO!C$15,$L138,0)</f>
        <v>S</v>
      </c>
      <c r="C138" s="7" t="str">
        <f ca="1">OFFSET(ORÇAMENTO!L$15,$L138,0)</f>
        <v/>
      </c>
      <c r="D138" s="116" t="str">
        <f ca="1">OFFSET(ORÇAMENTO!N$15,$L138,0)</f>
        <v>Serviço</v>
      </c>
      <c r="E138" s="117" t="str">
        <f ca="1">OFFSET(ORÇAMENTO!O$15,$L138,0)</f>
        <v>-</v>
      </c>
      <c r="F138" s="163" t="str">
        <f ca="1">OFFSET(ORÇAMENTO!R$15,$L138,0)</f>
        <v>(Sem Código)</v>
      </c>
      <c r="G138" s="164" t="str">
        <f ca="1">IF($D138&lt;&gt;"Serviço","",OFFSET(ORÇAMENTO!S$15,$L138,0))</f>
        <v>-</v>
      </c>
      <c r="H138" s="122" cm="1">
        <f t="array" aca="1" ref="H138" ca="1">IF($D138&lt;&gt;"Serviço",0,IF(ACOMPANHAMENTO="BM",ROUND(OFFSET(ORÇAMENTO!AJ$15,$L138,0),15-13*ORÇAMENTO!$AF$7),IF(IFERROR(CÁLCULO.FrentesPreenchidas,0)=0,0,SUM(ROUND(OFFSET($P138,0,1,1,CÁLCULO.FrentesPreenchidas),15-13*ORÇAMENTO!$AF$7)))))</f>
        <v>0</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t="shared" ca="1" si="16"/>
        <v>123</v>
      </c>
      <c r="M138" s="166">
        <f ca="1">IF($D138&lt;&gt;"Serviço","",
          IF(AUTOEVENTO="manual",$A138,
                IF(ISERROR(MATCH($A138,$A$15:OFFSET($A138,-1,0),0)),MAX($M$15:OFFSET(M138,-1,0))+1,
                      INDEX($M$15:OFFSET(M138,-1,0),MATCH($A138,$A$15:OFFSET($A138,-1,0),0)))))</f>
        <v>12</v>
      </c>
      <c r="N138" s="167" t="str">
        <f ca="1">IF($D138&lt;&gt;"Serviço","",
         IF(AUTOEVENTO="Manual",
                IF($A138=0,"&lt;-- defina o número do agrupador",
                       OFFSET(EVENTOS!$D$15,$A138-$A$15,0)),
                OFFSET($F$15,$A138,0)))</f>
        <v xml:space="preserve">ADMINISTRAÇÃO LOCAL </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1000000000000</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12.75" hidden="1" x14ac:dyDescent="0.2">
      <c r="A139" s="7" t="str">
        <f t="shared" ca="1" si="15"/>
        <v>59</v>
      </c>
      <c r="B139" s="7" t="str">
        <f ca="1">OFFSET(ORÇAMENTO!C$15,$L139,0)</f>
        <v>S</v>
      </c>
      <c r="C139" s="7" t="str">
        <f ca="1">OFFSET(ORÇAMENTO!L$15,$L139,0)</f>
        <v/>
      </c>
      <c r="D139" s="116" t="str">
        <f ca="1">OFFSET(ORÇAMENTO!N$15,$L139,0)</f>
        <v>Serviço</v>
      </c>
      <c r="E139" s="117" t="str">
        <f ca="1">OFFSET(ORÇAMENTO!O$15,$L139,0)</f>
        <v>-</v>
      </c>
      <c r="F139" s="163" t="str">
        <f ca="1">OFFSET(ORÇAMENTO!R$15,$L139,0)</f>
        <v>(Sem Código)</v>
      </c>
      <c r="G139" s="164" t="str">
        <f ca="1">IF($D139&lt;&gt;"Serviço","",OFFSET(ORÇAMENTO!S$15,$L139,0))</f>
        <v>-</v>
      </c>
      <c r="H139" s="122" cm="1">
        <f t="array" aca="1" ref="H139" ca="1">IF($D139&lt;&gt;"Serviço",0,IF(ACOMPANHAMENTO="BM",ROUND(OFFSET(ORÇAMENTO!AJ$15,$L139,0),15-13*ORÇAMENTO!$AF$7),IF(IFERROR(CÁLCULO.FrentesPreenchidas,0)=0,0,SUM(ROUND(OFFSET($P139,0,1,1,CÁLCULO.FrentesPreenchidas),15-13*ORÇAMENTO!$AF$7)))))</f>
        <v>0</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16"/>
        <v>124</v>
      </c>
      <c r="M139" s="166">
        <f ca="1">IF($D139&lt;&gt;"Serviço","",
          IF(AUTOEVENTO="manual",$A139,
                IF(ISERROR(MATCH($A139,$A$15:OFFSET($A139,-1,0),0)),MAX($M$15:OFFSET(M139,-1,0))+1,
                      INDEX($M$15:OFFSET(M139,-1,0),MATCH($A139,$A$15:OFFSET($A139,-1,0),0)))))</f>
        <v>12</v>
      </c>
      <c r="N139" s="167" t="str">
        <f ca="1">IF($D139&lt;&gt;"Serviço","",
         IF(AUTOEVENTO="Manual",
                IF($A139=0,"&lt;-- defina o número do agrupador",
                       OFFSET(EVENTOS!$D$15,$A139-$A$15,0)),
                OFFSET($F$15,$A139,0)))</f>
        <v xml:space="preserve">ADMINISTRAÇÃO LOCAL </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1000000000000</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12.75" hidden="1" x14ac:dyDescent="0.2">
      <c r="A140" s="7" t="str">
        <f t="shared" ca="1" si="15"/>
        <v>59</v>
      </c>
      <c r="B140" s="7" t="str">
        <f ca="1">OFFSET(ORÇAMENTO!C$15,$L140,0)</f>
        <v>S</v>
      </c>
      <c r="C140" s="7" t="str">
        <f ca="1">OFFSET(ORÇAMENTO!L$15,$L140,0)</f>
        <v/>
      </c>
      <c r="D140" s="116" t="str">
        <f ca="1">OFFSET(ORÇAMENTO!N$15,$L140,0)</f>
        <v>Serviço</v>
      </c>
      <c r="E140" s="117" t="str">
        <f ca="1">OFFSET(ORÇAMENTO!O$15,$L140,0)</f>
        <v>-</v>
      </c>
      <c r="F140" s="163" t="str">
        <f ca="1">OFFSET(ORÇAMENTO!R$15,$L140,0)</f>
        <v>(Sem Código)</v>
      </c>
      <c r="G140" s="164" t="str">
        <f ca="1">IF($D140&lt;&gt;"Serviço","",OFFSET(ORÇAMENTO!S$15,$L140,0))</f>
        <v>-</v>
      </c>
      <c r="H140" s="122" cm="1">
        <f t="array" aca="1" ref="H140" ca="1">IF($D140&lt;&gt;"Serviço",0,IF(ACOMPANHAMENTO="BM",ROUND(OFFSET(ORÇAMENTO!AJ$15,$L140,0),15-13*ORÇAMENTO!$AF$7),IF(IFERROR(CÁLCULO.FrentesPreenchidas,0)=0,0,SUM(ROUND(OFFSET($P140,0,1,1,CÁLCULO.FrentesPreenchidas),15-13*ORÇAMENTO!$AF$7)))))</f>
        <v>0</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16"/>
        <v>125</v>
      </c>
      <c r="M140" s="166">
        <f ca="1">IF($D140&lt;&gt;"Serviço","",
          IF(AUTOEVENTO="manual",$A140,
                IF(ISERROR(MATCH($A140,$A$15:OFFSET($A140,-1,0),0)),MAX($M$15:OFFSET(M140,-1,0))+1,
                      INDEX($M$15:OFFSET(M140,-1,0),MATCH($A140,$A$15:OFFSET($A140,-1,0),0)))))</f>
        <v>12</v>
      </c>
      <c r="N140" s="167" t="str">
        <f ca="1">IF($D140&lt;&gt;"Serviço","",
         IF(AUTOEVENTO="Manual",
                IF($A140=0,"&lt;-- defina o número do agrupador",
                       OFFSET(EVENTOS!$D$15,$A140-$A$15,0)),
                OFFSET($F$15,$A140,0)))</f>
        <v xml:space="preserve">ADMINISTRAÇÃO LOCAL </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1000000000000</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12.75" hidden="1" x14ac:dyDescent="0.2">
      <c r="A141" s="7" t="str">
        <f t="shared" ca="1" si="15"/>
        <v>59</v>
      </c>
      <c r="B141" s="7" t="str">
        <f ca="1">OFFSET(ORÇAMENTO!C$15,$L141,0)</f>
        <v>S</v>
      </c>
      <c r="C141" s="7" t="str">
        <f ca="1">OFFSET(ORÇAMENTO!L$15,$L141,0)</f>
        <v/>
      </c>
      <c r="D141" s="116" t="str">
        <f ca="1">OFFSET(ORÇAMENTO!N$15,$L141,0)</f>
        <v>Serviço</v>
      </c>
      <c r="E141" s="117" t="str">
        <f ca="1">OFFSET(ORÇAMENTO!O$15,$L141,0)</f>
        <v>-</v>
      </c>
      <c r="F141" s="163" t="str">
        <f ca="1">OFFSET(ORÇAMENTO!R$15,$L141,0)</f>
        <v>(Sem Código)</v>
      </c>
      <c r="G141" s="164" t="str">
        <f ca="1">IF($D141&lt;&gt;"Serviço","",OFFSET(ORÇAMENTO!S$15,$L141,0))</f>
        <v>-</v>
      </c>
      <c r="H141" s="122" cm="1">
        <f t="array" aca="1" ref="H141" ca="1">IF($D141&lt;&gt;"Serviço",0,IF(ACOMPANHAMENTO="BM",ROUND(OFFSET(ORÇAMENTO!AJ$15,$L141,0),15-13*ORÇAMENTO!$AF$7),IF(IFERROR(CÁLCULO.FrentesPreenchidas,0)=0,0,SUM(ROUND(OFFSET($P141,0,1,1,CÁLCULO.FrentesPreenchidas),15-13*ORÇAMENTO!$AF$7)))))</f>
        <v>0</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16"/>
        <v>126</v>
      </c>
      <c r="M141" s="166">
        <f ca="1">IF($D141&lt;&gt;"Serviço","",
          IF(AUTOEVENTO="manual",$A141,
                IF(ISERROR(MATCH($A141,$A$15:OFFSET($A141,-1,0),0)),MAX($M$15:OFFSET(M141,-1,0))+1,
                      INDEX($M$15:OFFSET(M141,-1,0),MATCH($A141,$A$15:OFFSET($A141,-1,0),0)))))</f>
        <v>12</v>
      </c>
      <c r="N141" s="167" t="str">
        <f ca="1">IF($D141&lt;&gt;"Serviço","",
         IF(AUTOEVENTO="Manual",
                IF($A141=0,"&lt;-- defina o número do agrupador",
                       OFFSET(EVENTOS!$D$15,$A141-$A$15,0)),
                OFFSET($F$15,$A141,0)))</f>
        <v xml:space="preserve">ADMINISTRAÇÃO LOCAL </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1000000000000</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12.75" hidden="1" x14ac:dyDescent="0.2">
      <c r="A142" s="7" t="str">
        <f t="shared" ca="1" si="15"/>
        <v>59</v>
      </c>
      <c r="B142" s="7" t="str">
        <f ca="1">OFFSET(ORÇAMENTO!C$15,$L142,0)</f>
        <v>S</v>
      </c>
      <c r="C142" s="7" t="str">
        <f ca="1">OFFSET(ORÇAMENTO!L$15,$L142,0)</f>
        <v/>
      </c>
      <c r="D142" s="116" t="str">
        <f ca="1">OFFSET(ORÇAMENTO!N$15,$L142,0)</f>
        <v>Serviço</v>
      </c>
      <c r="E142" s="117" t="str">
        <f ca="1">OFFSET(ORÇAMENTO!O$15,$L142,0)</f>
        <v>-</v>
      </c>
      <c r="F142" s="163" t="str">
        <f ca="1">OFFSET(ORÇAMENTO!R$15,$L142,0)</f>
        <v>(Sem Código)</v>
      </c>
      <c r="G142" s="164" t="str">
        <f ca="1">IF($D142&lt;&gt;"Serviço","",OFFSET(ORÇAMENTO!S$15,$L142,0))</f>
        <v>-</v>
      </c>
      <c r="H142" s="122" cm="1">
        <f t="array" aca="1" ref="H142" ca="1">IF($D142&lt;&gt;"Serviço",0,IF(ACOMPANHAMENTO="BM",ROUND(OFFSET(ORÇAMENTO!AJ$15,$L142,0),15-13*ORÇAMENTO!$AF$7),IF(IFERROR(CÁLCULO.FrentesPreenchidas,0)=0,0,SUM(ROUND(OFFSET($P142,0,1,1,CÁLCULO.FrentesPreenchidas),15-13*ORÇAMENTO!$AF$7)))))</f>
        <v>0</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16"/>
        <v>127</v>
      </c>
      <c r="M142" s="166">
        <f ca="1">IF($D142&lt;&gt;"Serviço","",
          IF(AUTOEVENTO="manual",$A142,
                IF(ISERROR(MATCH($A142,$A$15:OFFSET($A142,-1,0),0)),MAX($M$15:OFFSET(M142,-1,0))+1,
                      INDEX($M$15:OFFSET(M142,-1,0),MATCH($A142,$A$15:OFFSET($A142,-1,0),0)))))</f>
        <v>12</v>
      </c>
      <c r="N142" s="167" t="str">
        <f ca="1">IF($D142&lt;&gt;"Serviço","",
         IF(AUTOEVENTO="Manual",
                IF($A142=0,"&lt;-- defina o número do agrupador",
                       OFFSET(EVENTOS!$D$15,$A142-$A$15,0)),
                OFFSET($F$15,$A142,0)))</f>
        <v xml:space="preserve">ADMINISTRAÇÃO LOCAL </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1000000000000</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12.75" hidden="1" x14ac:dyDescent="0.2">
      <c r="A143" s="7" t="str">
        <f t="shared" ca="1" si="15"/>
        <v>59</v>
      </c>
      <c r="B143" s="7" t="str">
        <f ca="1">OFFSET(ORÇAMENTO!C$15,$L143,0)</f>
        <v>S</v>
      </c>
      <c r="C143" s="7" t="str">
        <f ca="1">OFFSET(ORÇAMENTO!L$15,$L143,0)</f>
        <v/>
      </c>
      <c r="D143" s="116" t="str">
        <f ca="1">OFFSET(ORÇAMENTO!N$15,$L143,0)</f>
        <v>Serviço</v>
      </c>
      <c r="E143" s="117" t="str">
        <f ca="1">OFFSET(ORÇAMENTO!O$15,$L143,0)</f>
        <v>-</v>
      </c>
      <c r="F143" s="163" t="str">
        <f ca="1">OFFSET(ORÇAMENTO!R$15,$L143,0)</f>
        <v>(Sem Código)</v>
      </c>
      <c r="G143" s="164" t="str">
        <f ca="1">IF($D143&lt;&gt;"Serviço","",OFFSET(ORÇAMENTO!S$15,$L143,0))</f>
        <v>-</v>
      </c>
      <c r="H143" s="122" cm="1">
        <f t="array" aca="1" ref="H143" ca="1">IF($D143&lt;&gt;"Serviço",0,IF(ACOMPANHAMENTO="BM",ROUND(OFFSET(ORÇAMENTO!AJ$15,$L143,0),15-13*ORÇAMENTO!$AF$7),IF(IFERROR(CÁLCULO.FrentesPreenchidas,0)=0,0,SUM(ROUND(OFFSET($P143,0,1,1,CÁLCULO.FrentesPreenchidas),15-13*ORÇAMENTO!$AF$7)))))</f>
        <v>0</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16"/>
        <v>128</v>
      </c>
      <c r="M143" s="166">
        <f ca="1">IF($D143&lt;&gt;"Serviço","",
          IF(AUTOEVENTO="manual",$A143,
                IF(ISERROR(MATCH($A143,$A$15:OFFSET($A143,-1,0),0)),MAX($M$15:OFFSET(M143,-1,0))+1,
                      INDEX($M$15:OFFSET(M143,-1,0),MATCH($A143,$A$15:OFFSET($A143,-1,0),0)))))</f>
        <v>12</v>
      </c>
      <c r="N143" s="167" t="str">
        <f ca="1">IF($D143&lt;&gt;"Serviço","",
         IF(AUTOEVENTO="Manual",
                IF($A143=0,"&lt;-- defina o número do agrupador",
                       OFFSET(EVENTOS!$D$15,$A143-$A$15,0)),
                OFFSET($F$15,$A143,0)))</f>
        <v xml:space="preserve">ADMINISTRAÇÃO LOCAL </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1000000000000</v>
      </c>
      <c r="AN143" s="171">
        <f ca="1">IF(OR($D143&lt;&gt;"Serviço",AND(AUTOEVENTO="Manual",$M143=$A$15)),0,
         IF(OFFSET(CRONOPLE!$F$15,$M143-$A$15,AN$13)=0,10^12,OFFSET(CRONOPLE!$F$15,$M143-$A$15,AN$13)))</f>
        <v>1000000000000</v>
      </c>
      <c r="AO143" s="171">
        <f ca="1">IF(OR($D143&lt;&gt;"Serviço",AND(AUTOEVENTO="Manual",$M143=$A$15)),0,
         IF(OFFSET(CRONOPLE!$F$15,$M143-$A$15,AO$13)=0,10^12,OFFSET(CRONOPLE!$F$15,$M143-$A$15,AO$13)))</f>
        <v>1000000000000</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ht="12.75" hidden="1" x14ac:dyDescent="0.2">
      <c r="A144" s="7" t="str">
        <f t="shared" ca="1" si="15"/>
        <v>59</v>
      </c>
      <c r="B144" s="7" t="str">
        <f ca="1">OFFSET(ORÇAMENTO!C$15,$L144,0)</f>
        <v>S</v>
      </c>
      <c r="C144" s="7" t="str">
        <f ca="1">OFFSET(ORÇAMENTO!L$15,$L144,0)</f>
        <v/>
      </c>
      <c r="D144" s="116" t="str">
        <f ca="1">OFFSET(ORÇAMENTO!N$15,$L144,0)</f>
        <v>Serviço</v>
      </c>
      <c r="E144" s="117" t="str">
        <f ca="1">OFFSET(ORÇAMENTO!O$15,$L144,0)</f>
        <v>-</v>
      </c>
      <c r="F144" s="163" t="str">
        <f ca="1">OFFSET(ORÇAMENTO!R$15,$L144,0)</f>
        <v>(Sem Código)</v>
      </c>
      <c r="G144" s="164" t="str">
        <f ca="1">IF($D144&lt;&gt;"Serviço","",OFFSET(ORÇAMENTO!S$15,$L144,0))</f>
        <v>-</v>
      </c>
      <c r="H144" s="122" cm="1">
        <f t="array" aca="1" ref="H144" ca="1">IF($D144&lt;&gt;"Serviço",0,IF(ACOMPANHAMENTO="BM",ROUND(OFFSET(ORÇAMENTO!AJ$15,$L144,0),15-13*ORÇAMENTO!$AF$7),IF(IFERROR(CÁLCULO.FrentesPreenchidas,0)=0,0,SUM(ROUND(OFFSET($P144,0,1,1,CÁLCULO.FrentesPreenchidas),15-13*ORÇAMENTO!$AF$7)))))</f>
        <v>0</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16"/>
        <v>129</v>
      </c>
      <c r="M144" s="166">
        <f ca="1">IF($D144&lt;&gt;"Serviço","",
          IF(AUTOEVENTO="manual",$A144,
                IF(ISERROR(MATCH($A144,$A$15:OFFSET($A144,-1,0),0)),MAX($M$15:OFFSET(M144,-1,0))+1,
                      INDEX($M$15:OFFSET(M144,-1,0),MATCH($A144,$A$15:OFFSET($A144,-1,0),0)))))</f>
        <v>12</v>
      </c>
      <c r="N144" s="167" t="str">
        <f ca="1">IF($D144&lt;&gt;"Serviço","",
         IF(AUTOEVENTO="Manual",
                IF($A144=0,"&lt;-- defina o número do agrupador",
                       OFFSET(EVENTOS!$D$15,$A144-$A$15,0)),
                OFFSET($F$15,$A144,0)))</f>
        <v xml:space="preserve">ADMINISTRAÇÃO LOCAL </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1000000000000</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12.75" hidden="1" x14ac:dyDescent="0.2">
      <c r="A145" s="7" t="str">
        <f t="shared" ca="1" si="15"/>
        <v>59</v>
      </c>
      <c r="B145" s="7" t="str">
        <f ca="1">OFFSET(ORÇAMENTO!C$15,$L145,0)</f>
        <v>S</v>
      </c>
      <c r="C145" s="7" t="str">
        <f ca="1">OFFSET(ORÇAMENTO!L$15,$L145,0)</f>
        <v/>
      </c>
      <c r="D145" s="116" t="str">
        <f ca="1">OFFSET(ORÇAMENTO!N$15,$L145,0)</f>
        <v>Serviço</v>
      </c>
      <c r="E145" s="117" t="str">
        <f ca="1">OFFSET(ORÇAMENTO!O$15,$L145,0)</f>
        <v>-</v>
      </c>
      <c r="F145" s="163" t="str">
        <f ca="1">OFFSET(ORÇAMENTO!R$15,$L145,0)</f>
        <v>(Sem Código)</v>
      </c>
      <c r="G145" s="164" t="str">
        <f ca="1">IF($D145&lt;&gt;"Serviço","",OFFSET(ORÇAMENTO!S$15,$L145,0))</f>
        <v>-</v>
      </c>
      <c r="H145" s="122" cm="1">
        <f t="array" aca="1" ref="H145" ca="1">IF($D145&lt;&gt;"Serviço",0,IF(ACOMPANHAMENTO="BM",ROUND(OFFSET(ORÇAMENTO!AJ$15,$L145,0),15-13*ORÇAMENTO!$AF$7),IF(IFERROR(CÁLCULO.FrentesPreenchidas,0)=0,0,SUM(ROUND(OFFSET($P145,0,1,1,CÁLCULO.FrentesPreenchidas),15-13*ORÇAMENTO!$AF$7)))))</f>
        <v>0</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16"/>
        <v>130</v>
      </c>
      <c r="M145" s="166">
        <f ca="1">IF($D145&lt;&gt;"Serviço","",
          IF(AUTOEVENTO="manual",$A145,
                IF(ISERROR(MATCH($A145,$A$15:OFFSET($A145,-1,0),0)),MAX($M$15:OFFSET(M145,-1,0))+1,
                      INDEX($M$15:OFFSET(M145,-1,0),MATCH($A145,$A$15:OFFSET($A145,-1,0),0)))))</f>
        <v>12</v>
      </c>
      <c r="N145" s="167" t="str">
        <f ca="1">IF($D145&lt;&gt;"Serviço","",
         IF(AUTOEVENTO="Manual",
                IF($A145=0,"&lt;-- defina o número do agrupador",
                       OFFSET(EVENTOS!$D$15,$A145-$A$15,0)),
                OFFSET($F$15,$A145,0)))</f>
        <v xml:space="preserve">ADMINISTRAÇÃO LOCAL </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1000000000000</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12.75" hidden="1" x14ac:dyDescent="0.2">
      <c r="A146" s="7" t="str">
        <f t="shared" ca="1" si="15"/>
        <v>59</v>
      </c>
      <c r="B146" s="7" t="str">
        <f ca="1">OFFSET(ORÇAMENTO!C$15,$L146,0)</f>
        <v>S</v>
      </c>
      <c r="C146" s="7" t="str">
        <f ca="1">OFFSET(ORÇAMENTO!L$15,$L146,0)</f>
        <v/>
      </c>
      <c r="D146" s="116" t="str">
        <f ca="1">OFFSET(ORÇAMENTO!N$15,$L146,0)</f>
        <v>Serviço</v>
      </c>
      <c r="E146" s="117" t="str">
        <f ca="1">OFFSET(ORÇAMENTO!O$15,$L146,0)</f>
        <v>-</v>
      </c>
      <c r="F146" s="163" t="str">
        <f ca="1">OFFSET(ORÇAMENTO!R$15,$L146,0)</f>
        <v>(Sem Código)</v>
      </c>
      <c r="G146" s="164" t="str">
        <f ca="1">IF($D146&lt;&gt;"Serviço","",OFFSET(ORÇAMENTO!S$15,$L146,0))</f>
        <v>-</v>
      </c>
      <c r="H146" s="122" cm="1">
        <f t="array" aca="1" ref="H146" ca="1">IF($D146&lt;&gt;"Serviço",0,IF(ACOMPANHAMENTO="BM",ROUND(OFFSET(ORÇAMENTO!AJ$15,$L146,0),15-13*ORÇAMENTO!$AF$7),IF(IFERROR(CÁLCULO.FrentesPreenchidas,0)=0,0,SUM(ROUND(OFFSET($P146,0,1,1,CÁLCULO.FrentesPreenchidas),15-13*ORÇAMENTO!$AF$7)))))</f>
        <v>0</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16"/>
        <v>131</v>
      </c>
      <c r="M146" s="166">
        <f ca="1">IF($D146&lt;&gt;"Serviço","",
          IF(AUTOEVENTO="manual",$A146,
                IF(ISERROR(MATCH($A146,$A$15:OFFSET($A146,-1,0),0)),MAX($M$15:OFFSET(M146,-1,0))+1,
                      INDEX($M$15:OFFSET(M146,-1,0),MATCH($A146,$A$15:OFFSET($A146,-1,0),0)))))</f>
        <v>12</v>
      </c>
      <c r="N146" s="167" t="str">
        <f ca="1">IF($D146&lt;&gt;"Serviço","",
         IF(AUTOEVENTO="Manual",
                IF($A146=0,"&lt;-- defina o número do agrupador",
                       OFFSET(EVENTOS!$D$15,$A146-$A$15,0)),
                OFFSET($F$15,$A146,0)))</f>
        <v xml:space="preserve">ADMINISTRAÇÃO LOCAL </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1000000000000</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12.75" hidden="1" x14ac:dyDescent="0.2">
      <c r="A147" s="7" t="str">
        <f t="shared" ca="1" si="15"/>
        <v>59</v>
      </c>
      <c r="B147" s="7" t="str">
        <f ca="1">OFFSET(ORÇAMENTO!C$15,$L147,0)</f>
        <v>S</v>
      </c>
      <c r="C147" s="7" t="str">
        <f ca="1">OFFSET(ORÇAMENTO!L$15,$L147,0)</f>
        <v/>
      </c>
      <c r="D147" s="116" t="str">
        <f ca="1">OFFSET(ORÇAMENTO!N$15,$L147,0)</f>
        <v>Serviço</v>
      </c>
      <c r="E147" s="117" t="str">
        <f ca="1">OFFSET(ORÇAMENTO!O$15,$L147,0)</f>
        <v>-</v>
      </c>
      <c r="F147" s="163" t="str">
        <f ca="1">OFFSET(ORÇAMENTO!R$15,$L147,0)</f>
        <v>(Sem Código)</v>
      </c>
      <c r="G147" s="164" t="str">
        <f ca="1">IF($D147&lt;&gt;"Serviço","",OFFSET(ORÇAMENTO!S$15,$L147,0))</f>
        <v>-</v>
      </c>
      <c r="H147" s="122" cm="1">
        <f t="array" aca="1" ref="H147" ca="1">IF($D147&lt;&gt;"Serviço",0,IF(ACOMPANHAMENTO="BM",ROUND(OFFSET(ORÇAMENTO!AJ$15,$L147,0),15-13*ORÇAMENTO!$AF$7),IF(IFERROR(CÁLCULO.FrentesPreenchidas,0)=0,0,SUM(ROUND(OFFSET($P147,0,1,1,CÁLCULO.FrentesPreenchidas),15-13*ORÇAMENTO!$AF$7)))))</f>
        <v>0</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16"/>
        <v>132</v>
      </c>
      <c r="M147" s="166">
        <f ca="1">IF($D147&lt;&gt;"Serviço","",
          IF(AUTOEVENTO="manual",$A147,
                IF(ISERROR(MATCH($A147,$A$15:OFFSET($A147,-1,0),0)),MAX($M$15:OFFSET(M147,-1,0))+1,
                      INDEX($M$15:OFFSET(M147,-1,0),MATCH($A147,$A$15:OFFSET($A147,-1,0),0)))))</f>
        <v>12</v>
      </c>
      <c r="N147" s="167" t="str">
        <f ca="1">IF($D147&lt;&gt;"Serviço","",
         IF(AUTOEVENTO="Manual",
                IF($A147=0,"&lt;-- defina o número do agrupador",
                       OFFSET(EVENTOS!$D$15,$A147-$A$15,0)),
                OFFSET($F$15,$A147,0)))</f>
        <v xml:space="preserve">ADMINISTRAÇÃO LOCAL </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1000000000000</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12.75" hidden="1" x14ac:dyDescent="0.2">
      <c r="A148" s="7" t="str">
        <f t="shared" ca="1" si="15"/>
        <v>59</v>
      </c>
      <c r="B148" s="7" t="str">
        <f ca="1">OFFSET(ORÇAMENTO!C$15,$L148,0)</f>
        <v>S</v>
      </c>
      <c r="C148" s="7" t="str">
        <f ca="1">OFFSET(ORÇAMENTO!L$15,$L148,0)</f>
        <v/>
      </c>
      <c r="D148" s="116" t="str">
        <f ca="1">OFFSET(ORÇAMENTO!N$15,$L148,0)</f>
        <v>Serviço</v>
      </c>
      <c r="E148" s="117" t="str">
        <f ca="1">OFFSET(ORÇAMENTO!O$15,$L148,0)</f>
        <v>-</v>
      </c>
      <c r="F148" s="163" t="str">
        <f ca="1">OFFSET(ORÇAMENTO!R$15,$L148,0)</f>
        <v>(Sem Código)</v>
      </c>
      <c r="G148" s="164" t="str">
        <f ca="1">IF($D148&lt;&gt;"Serviço","",OFFSET(ORÇAMENTO!S$15,$L148,0))</f>
        <v>-</v>
      </c>
      <c r="H148" s="122" cm="1">
        <f t="array" aca="1" ref="H148" ca="1">IF($D148&lt;&gt;"Serviço",0,IF(ACOMPANHAMENTO="BM",ROUND(OFFSET(ORÇAMENTO!AJ$15,$L148,0),15-13*ORÇAMENTO!$AF$7),IF(IFERROR(CÁLCULO.FrentesPreenchidas,0)=0,0,SUM(ROUND(OFFSET($P148,0,1,1,CÁLCULO.FrentesPreenchidas),15-13*ORÇAMENTO!$AF$7)))))</f>
        <v>0</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16"/>
        <v>133</v>
      </c>
      <c r="M148" s="166">
        <f ca="1">IF($D148&lt;&gt;"Serviço","",
          IF(AUTOEVENTO="manual",$A148,
                IF(ISERROR(MATCH($A148,$A$15:OFFSET($A148,-1,0),0)),MAX($M$15:OFFSET(M148,-1,0))+1,
                      INDEX($M$15:OFFSET(M148,-1,0),MATCH($A148,$A$15:OFFSET($A148,-1,0),0)))))</f>
        <v>12</v>
      </c>
      <c r="N148" s="167" t="str">
        <f ca="1">IF($D148&lt;&gt;"Serviço","",
         IF(AUTOEVENTO="Manual",
                IF($A148=0,"&lt;-- defina o número do agrupador",
                       OFFSET(EVENTOS!$D$15,$A148-$A$15,0)),
                OFFSET($F$15,$A148,0)))</f>
        <v xml:space="preserve">ADMINISTRAÇÃO LOCAL </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1000000000000</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12.75" hidden="1" x14ac:dyDescent="0.2">
      <c r="A149" s="7" t="str">
        <f t="shared" ca="1" si="15"/>
        <v>59</v>
      </c>
      <c r="B149" s="7" t="str">
        <f ca="1">OFFSET(ORÇAMENTO!C$15,$L149,0)</f>
        <v>S</v>
      </c>
      <c r="C149" s="7" t="str">
        <f ca="1">OFFSET(ORÇAMENTO!L$15,$L149,0)</f>
        <v/>
      </c>
      <c r="D149" s="116" t="str">
        <f ca="1">OFFSET(ORÇAMENTO!N$15,$L149,0)</f>
        <v>Serviço</v>
      </c>
      <c r="E149" s="117" t="str">
        <f ca="1">OFFSET(ORÇAMENTO!O$15,$L149,0)</f>
        <v>-</v>
      </c>
      <c r="F149" s="163" t="str">
        <f ca="1">OFFSET(ORÇAMENTO!R$15,$L149,0)</f>
        <v>(Sem Código)</v>
      </c>
      <c r="G149" s="164" t="str">
        <f ca="1">IF($D149&lt;&gt;"Serviço","",OFFSET(ORÇAMENTO!S$15,$L149,0))</f>
        <v>-</v>
      </c>
      <c r="H149" s="122" cm="1">
        <f t="array" aca="1" ref="H149" ca="1">IF($D149&lt;&gt;"Serviço",0,IF(ACOMPANHAMENTO="BM",ROUND(OFFSET(ORÇAMENTO!AJ$15,$L149,0),15-13*ORÇAMENTO!$AF$7),IF(IFERROR(CÁLCULO.FrentesPreenchidas,0)=0,0,SUM(ROUND(OFFSET($P149,0,1,1,CÁLCULO.FrentesPreenchidas),15-13*ORÇAMENTO!$AF$7)))))</f>
        <v>0</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16"/>
        <v>134</v>
      </c>
      <c r="M149" s="166">
        <f ca="1">IF($D149&lt;&gt;"Serviço","",
          IF(AUTOEVENTO="manual",$A149,
                IF(ISERROR(MATCH($A149,$A$15:OFFSET($A149,-1,0),0)),MAX($M$15:OFFSET(M149,-1,0))+1,
                      INDEX($M$15:OFFSET(M149,-1,0),MATCH($A149,$A$15:OFFSET($A149,-1,0),0)))))</f>
        <v>12</v>
      </c>
      <c r="N149" s="167" t="str">
        <f ca="1">IF($D149&lt;&gt;"Serviço","",
         IF(AUTOEVENTO="Manual",
                IF($A149=0,"&lt;-- defina o número do agrupador",
                       OFFSET(EVENTOS!$D$15,$A149-$A$15,0)),
                OFFSET($F$15,$A149,0)))</f>
        <v xml:space="preserve">ADMINISTRAÇÃO LOCAL </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1000000000000</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12.75" hidden="1" x14ac:dyDescent="0.2">
      <c r="A150" s="7" t="str">
        <f t="shared" ca="1" si="15"/>
        <v>59</v>
      </c>
      <c r="B150" s="7" t="str">
        <f ca="1">OFFSET(ORÇAMENTO!C$15,$L150,0)</f>
        <v>S</v>
      </c>
      <c r="C150" s="7" t="str">
        <f ca="1">OFFSET(ORÇAMENTO!L$15,$L150,0)</f>
        <v/>
      </c>
      <c r="D150" s="116" t="str">
        <f ca="1">OFFSET(ORÇAMENTO!N$15,$L150,0)</f>
        <v>Serviço</v>
      </c>
      <c r="E150" s="117" t="str">
        <f ca="1">OFFSET(ORÇAMENTO!O$15,$L150,0)</f>
        <v>-</v>
      </c>
      <c r="F150" s="163" t="str">
        <f ca="1">OFFSET(ORÇAMENTO!R$15,$L150,0)</f>
        <v>(Sem Código)</v>
      </c>
      <c r="G150" s="164" t="str">
        <f ca="1">IF($D150&lt;&gt;"Serviço","",OFFSET(ORÇAMENTO!S$15,$L150,0))</f>
        <v>-</v>
      </c>
      <c r="H150" s="122" cm="1">
        <f t="array" aca="1" ref="H150" ca="1">IF($D150&lt;&gt;"Serviço",0,IF(ACOMPANHAMENTO="BM",ROUND(OFFSET(ORÇAMENTO!AJ$15,$L150,0),15-13*ORÇAMENTO!$AF$7),IF(IFERROR(CÁLCULO.FrentesPreenchidas,0)=0,0,SUM(ROUND(OFFSET($P150,0,1,1,CÁLCULO.FrentesPreenchidas),15-13*ORÇAMENTO!$AF$7)))))</f>
        <v>0</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t="shared" ca="1" si="16"/>
        <v>135</v>
      </c>
      <c r="M150" s="166">
        <f ca="1">IF($D150&lt;&gt;"Serviço","",
          IF(AUTOEVENTO="manual",$A150,
                IF(ISERROR(MATCH($A150,$A$15:OFFSET($A150,-1,0),0)),MAX($M$15:OFFSET(M150,-1,0))+1,
                      INDEX($M$15:OFFSET(M150,-1,0),MATCH($A150,$A$15:OFFSET($A150,-1,0),0)))))</f>
        <v>12</v>
      </c>
      <c r="N150" s="167" t="str">
        <f ca="1">IF($D150&lt;&gt;"Serviço","",
         IF(AUTOEVENTO="Manual",
                IF($A150=0,"&lt;-- defina o número do agrupador",
                       OFFSET(EVENTOS!$D$15,$A150-$A$15,0)),
                OFFSET($F$15,$A150,0)))</f>
        <v xml:space="preserve">ADMINISTRAÇÃO LOCAL </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1000000000000</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12.75" hidden="1" x14ac:dyDescent="0.2">
      <c r="A151" s="7" t="str">
        <f t="shared" ca="1" si="15"/>
        <v>59</v>
      </c>
      <c r="B151" s="7" t="str">
        <f ca="1">OFFSET(ORÇAMENTO!C$15,$L151,0)</f>
        <v>S</v>
      </c>
      <c r="C151" s="7" t="str">
        <f ca="1">OFFSET(ORÇAMENTO!L$15,$L151,0)</f>
        <v/>
      </c>
      <c r="D151" s="116" t="str">
        <f ca="1">OFFSET(ORÇAMENTO!N$15,$L151,0)</f>
        <v>Serviço</v>
      </c>
      <c r="E151" s="117" t="str">
        <f ca="1">OFFSET(ORÇAMENTO!O$15,$L151,0)</f>
        <v>-</v>
      </c>
      <c r="F151" s="163" t="str">
        <f ca="1">OFFSET(ORÇAMENTO!R$15,$L151,0)</f>
        <v>(Sem Código)</v>
      </c>
      <c r="G151" s="164" t="str">
        <f ca="1">IF($D151&lt;&gt;"Serviço","",OFFSET(ORÇAMENTO!S$15,$L151,0))</f>
        <v>-</v>
      </c>
      <c r="H151" s="122" cm="1">
        <f t="array" aca="1" ref="H151" ca="1">IF($D151&lt;&gt;"Serviço",0,IF(ACOMPANHAMENTO="BM",ROUND(OFFSET(ORÇAMENTO!AJ$15,$L151,0),15-13*ORÇAMENTO!$AF$7),IF(IFERROR(CÁLCULO.FrentesPreenchidas,0)=0,0,SUM(ROUND(OFFSET($P151,0,1,1,CÁLCULO.FrentesPreenchidas),15-13*ORÇAMENTO!$AF$7)))))</f>
        <v>0</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t="shared" ca="1" si="16"/>
        <v>136</v>
      </c>
      <c r="M151" s="166">
        <f ca="1">IF($D151&lt;&gt;"Serviço","",
          IF(AUTOEVENTO="manual",$A151,
                IF(ISERROR(MATCH($A151,$A$15:OFFSET($A151,-1,0),0)),MAX($M$15:OFFSET(M151,-1,0))+1,
                      INDEX($M$15:OFFSET(M151,-1,0),MATCH($A151,$A$15:OFFSET($A151,-1,0),0)))))</f>
        <v>12</v>
      </c>
      <c r="N151" s="167" t="str">
        <f ca="1">IF($D151&lt;&gt;"Serviço","",
         IF(AUTOEVENTO="Manual",
                IF($A151=0,"&lt;-- defina o número do agrupador",
                       OFFSET(EVENTOS!$D$15,$A151-$A$15,0)),
                OFFSET($F$15,$A151,0)))</f>
        <v xml:space="preserve">ADMINISTRAÇÃO LOCAL </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1000000000000</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12.75" hidden="1" x14ac:dyDescent="0.2">
      <c r="A152" s="7" t="str">
        <f t="shared" ca="1" si="15"/>
        <v>59</v>
      </c>
      <c r="B152" s="7" t="str">
        <f ca="1">OFFSET(ORÇAMENTO!C$15,$L152,0)</f>
        <v>S</v>
      </c>
      <c r="C152" s="7" t="str">
        <f ca="1">OFFSET(ORÇAMENTO!L$15,$L152,0)</f>
        <v/>
      </c>
      <c r="D152" s="116" t="str">
        <f ca="1">OFFSET(ORÇAMENTO!N$15,$L152,0)</f>
        <v>Serviço</v>
      </c>
      <c r="E152" s="117" t="str">
        <f ca="1">OFFSET(ORÇAMENTO!O$15,$L152,0)</f>
        <v>-</v>
      </c>
      <c r="F152" s="163" t="str">
        <f ca="1">OFFSET(ORÇAMENTO!R$15,$L152,0)</f>
        <v>(Sem Código)</v>
      </c>
      <c r="G152" s="164" t="str">
        <f ca="1">IF($D152&lt;&gt;"Serviço","",OFFSET(ORÇAMENTO!S$15,$L152,0))</f>
        <v>-</v>
      </c>
      <c r="H152" s="122" cm="1">
        <f t="array" aca="1" ref="H152" ca="1">IF($D152&lt;&gt;"Serviço",0,IF(ACOMPANHAMENTO="BM",ROUND(OFFSET(ORÇAMENTO!AJ$15,$L152,0),15-13*ORÇAMENTO!$AF$7),IF(IFERROR(CÁLCULO.FrentesPreenchidas,0)=0,0,SUM(ROUND(OFFSET($P152,0,1,1,CÁLCULO.FrentesPreenchidas),15-13*ORÇAMENTO!$AF$7)))))</f>
        <v>0</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t="shared" ca="1" si="16"/>
        <v>137</v>
      </c>
      <c r="M152" s="166">
        <f ca="1">IF($D152&lt;&gt;"Serviço","",
          IF(AUTOEVENTO="manual",$A152,
                IF(ISERROR(MATCH($A152,$A$15:OFFSET($A152,-1,0),0)),MAX($M$15:OFFSET(M152,-1,0))+1,
                      INDEX($M$15:OFFSET(M152,-1,0),MATCH($A152,$A$15:OFFSET($A152,-1,0),0)))))</f>
        <v>12</v>
      </c>
      <c r="N152" s="167" t="str">
        <f ca="1">IF($D152&lt;&gt;"Serviço","",
         IF(AUTOEVENTO="Manual",
                IF($A152=0,"&lt;-- defina o número do agrupador",
                       OFFSET(EVENTOS!$D$15,$A152-$A$15,0)),
                OFFSET($F$15,$A152,0)))</f>
        <v xml:space="preserve">ADMINISTRAÇÃO LOCAL </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1000000000000</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12.75" hidden="1" x14ac:dyDescent="0.2">
      <c r="A153" s="7" t="str">
        <f t="shared" ca="1" si="15"/>
        <v>59</v>
      </c>
      <c r="B153" s="7" t="str">
        <f ca="1">OFFSET(ORÇAMENTO!C$15,$L153,0)</f>
        <v>S</v>
      </c>
      <c r="C153" s="7" t="str">
        <f ca="1">OFFSET(ORÇAMENTO!L$15,$L153,0)</f>
        <v/>
      </c>
      <c r="D153" s="116" t="str">
        <f ca="1">OFFSET(ORÇAMENTO!N$15,$L153,0)</f>
        <v>Serviço</v>
      </c>
      <c r="E153" s="117" t="str">
        <f ca="1">OFFSET(ORÇAMENTO!O$15,$L153,0)</f>
        <v>-</v>
      </c>
      <c r="F153" s="163" t="str">
        <f ca="1">OFFSET(ORÇAMENTO!R$15,$L153,0)</f>
        <v>(Sem Código)</v>
      </c>
      <c r="G153" s="164" t="str">
        <f ca="1">IF($D153&lt;&gt;"Serviço","",OFFSET(ORÇAMENTO!S$15,$L153,0))</f>
        <v>-</v>
      </c>
      <c r="H153" s="122" cm="1">
        <f t="array" aca="1" ref="H153" ca="1">IF($D153&lt;&gt;"Serviço",0,IF(ACOMPANHAMENTO="BM",ROUND(OFFSET(ORÇAMENTO!AJ$15,$L153,0),15-13*ORÇAMENTO!$AF$7),IF(IFERROR(CÁLCULO.FrentesPreenchidas,0)=0,0,SUM(ROUND(OFFSET($P153,0,1,1,CÁLCULO.FrentesPreenchidas),15-13*ORÇAMENTO!$AF$7)))))</f>
        <v>0</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16"/>
        <v>138</v>
      </c>
      <c r="M153" s="166">
        <f ca="1">IF($D153&lt;&gt;"Serviço","",
          IF(AUTOEVENTO="manual",$A153,
                IF(ISERROR(MATCH($A153,$A$15:OFFSET($A153,-1,0),0)),MAX($M$15:OFFSET(M153,-1,0))+1,
                      INDEX($M$15:OFFSET(M153,-1,0),MATCH($A153,$A$15:OFFSET($A153,-1,0),0)))))</f>
        <v>12</v>
      </c>
      <c r="N153" s="167" t="str">
        <f ca="1">IF($D153&lt;&gt;"Serviço","",
         IF(AUTOEVENTO="Manual",
                IF($A153=0,"&lt;-- defina o número do agrupador",
                       OFFSET(EVENTOS!$D$15,$A153-$A$15,0)),
                OFFSET($F$15,$A153,0)))</f>
        <v xml:space="preserve">ADMINISTRAÇÃO LOCAL </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1000000000000</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12.75" hidden="1" x14ac:dyDescent="0.2">
      <c r="A154" s="7" t="str">
        <f t="shared" ca="1" si="15"/>
        <v>59</v>
      </c>
      <c r="B154" s="7" t="str">
        <f ca="1">OFFSET(ORÇAMENTO!C$15,$L154,0)</f>
        <v>S</v>
      </c>
      <c r="C154" s="7" t="str">
        <f ca="1">OFFSET(ORÇAMENTO!L$15,$L154,0)</f>
        <v/>
      </c>
      <c r="D154" s="116" t="str">
        <f ca="1">OFFSET(ORÇAMENTO!N$15,$L154,0)</f>
        <v>Serviço</v>
      </c>
      <c r="E154" s="117" t="str">
        <f ca="1">OFFSET(ORÇAMENTO!O$15,$L154,0)</f>
        <v>-</v>
      </c>
      <c r="F154" s="163" t="str">
        <f ca="1">OFFSET(ORÇAMENTO!R$15,$L154,0)</f>
        <v>(Sem Código)</v>
      </c>
      <c r="G154" s="164" t="str">
        <f ca="1">IF($D154&lt;&gt;"Serviço","",OFFSET(ORÇAMENTO!S$15,$L154,0))</f>
        <v>-</v>
      </c>
      <c r="H154" s="122" cm="1">
        <f t="array" aca="1" ref="H154" ca="1">IF($D154&lt;&gt;"Serviço",0,IF(ACOMPANHAMENTO="BM",ROUND(OFFSET(ORÇAMENTO!AJ$15,$L154,0),15-13*ORÇAMENTO!$AF$7),IF(IFERROR(CÁLCULO.FrentesPreenchidas,0)=0,0,SUM(ROUND(OFFSET($P154,0,1,1,CÁLCULO.FrentesPreenchidas),15-13*ORÇAMENTO!$AF$7)))))</f>
        <v>0</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t="shared" ca="1" si="16"/>
        <v>139</v>
      </c>
      <c r="M154" s="166">
        <f ca="1">IF($D154&lt;&gt;"Serviço","",
          IF(AUTOEVENTO="manual",$A154,
                IF(ISERROR(MATCH($A154,$A$15:OFFSET($A154,-1,0),0)),MAX($M$15:OFFSET(M154,-1,0))+1,
                      INDEX($M$15:OFFSET(M154,-1,0),MATCH($A154,$A$15:OFFSET($A154,-1,0),0)))))</f>
        <v>12</v>
      </c>
      <c r="N154" s="167" t="str">
        <f ca="1">IF($D154&lt;&gt;"Serviço","",
         IF(AUTOEVENTO="Manual",
                IF($A154=0,"&lt;-- defina o número do agrupador",
                       OFFSET(EVENTOS!$D$15,$A154-$A$15,0)),
                OFFSET($F$15,$A154,0)))</f>
        <v xml:space="preserve">ADMINISTRAÇÃO LOCAL </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1000000000000</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12.75" hidden="1" x14ac:dyDescent="0.2">
      <c r="A155" s="7" t="str">
        <f t="shared" ca="1" si="15"/>
        <v>59</v>
      </c>
      <c r="B155" s="7" t="str">
        <f ca="1">OFFSET(ORÇAMENTO!C$15,$L155,0)</f>
        <v>S</v>
      </c>
      <c r="C155" s="7" t="str">
        <f ca="1">OFFSET(ORÇAMENTO!L$15,$L155,0)</f>
        <v/>
      </c>
      <c r="D155" s="116" t="str">
        <f ca="1">OFFSET(ORÇAMENTO!N$15,$L155,0)</f>
        <v>Serviço</v>
      </c>
      <c r="E155" s="117" t="str">
        <f ca="1">OFFSET(ORÇAMENTO!O$15,$L155,0)</f>
        <v>-</v>
      </c>
      <c r="F155" s="163" t="str">
        <f ca="1">OFFSET(ORÇAMENTO!R$15,$L155,0)</f>
        <v>(Sem Código)</v>
      </c>
      <c r="G155" s="164" t="str">
        <f ca="1">IF($D155&lt;&gt;"Serviço","",OFFSET(ORÇAMENTO!S$15,$L155,0))</f>
        <v>-</v>
      </c>
      <c r="H155" s="122" cm="1">
        <f t="array" aca="1" ref="H155" ca="1">IF($D155&lt;&gt;"Serviço",0,IF(ACOMPANHAMENTO="BM",ROUND(OFFSET(ORÇAMENTO!AJ$15,$L155,0),15-13*ORÇAMENTO!$AF$7),IF(IFERROR(CÁLCULO.FrentesPreenchidas,0)=0,0,SUM(ROUND(OFFSET($P155,0,1,1,CÁLCULO.FrentesPreenchidas),15-13*ORÇAMENTO!$AF$7)))))</f>
        <v>0</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ca="1" si="16"/>
        <v>140</v>
      </c>
      <c r="M155" s="166">
        <f ca="1">IF($D155&lt;&gt;"Serviço","",
          IF(AUTOEVENTO="manual",$A155,
                IF(ISERROR(MATCH($A155,$A$15:OFFSET($A155,-1,0),0)),MAX($M$15:OFFSET(M155,-1,0))+1,
                      INDEX($M$15:OFFSET(M155,-1,0),MATCH($A155,$A$15:OFFSET($A155,-1,0),0)))))</f>
        <v>12</v>
      </c>
      <c r="N155" s="167" t="str">
        <f ca="1">IF($D155&lt;&gt;"Serviço","",
         IF(AUTOEVENTO="Manual",
                IF($A155=0,"&lt;-- defina o número do agrupador",
                       OFFSET(EVENTOS!$D$15,$A155-$A$15,0)),
                OFFSET($F$15,$A155,0)))</f>
        <v xml:space="preserve">ADMINISTRAÇÃO LOCAL </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1000000000000</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12.75" hidden="1" x14ac:dyDescent="0.2">
      <c r="A156" s="7" t="str">
        <f t="shared" ca="1" si="15"/>
        <v>59</v>
      </c>
      <c r="B156" s="7" t="str">
        <f ca="1">OFFSET(ORÇAMENTO!C$15,$L156,0)</f>
        <v>S</v>
      </c>
      <c r="C156" s="7" t="str">
        <f ca="1">OFFSET(ORÇAMENTO!L$15,$L156,0)</f>
        <v/>
      </c>
      <c r="D156" s="116" t="str">
        <f ca="1">OFFSET(ORÇAMENTO!N$15,$L156,0)</f>
        <v>Serviço</v>
      </c>
      <c r="E156" s="117" t="str">
        <f ca="1">OFFSET(ORÇAMENTO!O$15,$L156,0)</f>
        <v>-</v>
      </c>
      <c r="F156" s="163" t="str">
        <f ca="1">OFFSET(ORÇAMENTO!R$15,$L156,0)</f>
        <v>(Sem Código)</v>
      </c>
      <c r="G156" s="164" t="str">
        <f ca="1">IF($D156&lt;&gt;"Serviço","",OFFSET(ORÇAMENTO!S$15,$L156,0))</f>
        <v>-</v>
      </c>
      <c r="H156" s="122" cm="1">
        <f t="array" aca="1" ref="H156" ca="1">IF($D156&lt;&gt;"Serviço",0,IF(ACOMPANHAMENTO="BM",ROUND(OFFSET(ORÇAMENTO!AJ$15,$L156,0),15-13*ORÇAMENTO!$AF$7),IF(IFERROR(CÁLCULO.FrentesPreenchidas,0)=0,0,SUM(ROUND(OFFSET($P156,0,1,1,CÁLCULO.FrentesPreenchidas),15-13*ORÇAMENTO!$AF$7)))))</f>
        <v>0</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t="shared" ca="1" si="16"/>
        <v>141</v>
      </c>
      <c r="M156" s="166">
        <f ca="1">IF($D156&lt;&gt;"Serviço","",
          IF(AUTOEVENTO="manual",$A156,
                IF(ISERROR(MATCH($A156,$A$15:OFFSET($A156,-1,0),0)),MAX($M$15:OFFSET(M156,-1,0))+1,
                      INDEX($M$15:OFFSET(M156,-1,0),MATCH($A156,$A$15:OFFSET($A156,-1,0),0)))))</f>
        <v>12</v>
      </c>
      <c r="N156" s="167" t="str">
        <f ca="1">IF($D156&lt;&gt;"Serviço","",
         IF(AUTOEVENTO="Manual",
                IF($A156=0,"&lt;-- defina o número do agrupador",
                       OFFSET(EVENTOS!$D$15,$A156-$A$15,0)),
                OFFSET($F$15,$A156,0)))</f>
        <v xml:space="preserve">ADMINISTRAÇÃO LOCAL </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1000000000000</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12.75" hidden="1" x14ac:dyDescent="0.2">
      <c r="A157" s="7" t="str">
        <f t="shared" ca="1" si="15"/>
        <v>59</v>
      </c>
      <c r="B157" s="7" t="str">
        <f ca="1">OFFSET(ORÇAMENTO!C$15,$L157,0)</f>
        <v>S</v>
      </c>
      <c r="C157" s="7" t="str">
        <f ca="1">OFFSET(ORÇAMENTO!L$15,$L157,0)</f>
        <v/>
      </c>
      <c r="D157" s="116" t="str">
        <f ca="1">OFFSET(ORÇAMENTO!N$15,$L157,0)</f>
        <v>Serviço</v>
      </c>
      <c r="E157" s="117" t="str">
        <f ca="1">OFFSET(ORÇAMENTO!O$15,$L157,0)</f>
        <v>-</v>
      </c>
      <c r="F157" s="163" t="str">
        <f ca="1">OFFSET(ORÇAMENTO!R$15,$L157,0)</f>
        <v>(Sem Código)</v>
      </c>
      <c r="G157" s="164" t="str">
        <f ca="1">IF($D157&lt;&gt;"Serviço","",OFFSET(ORÇAMENTO!S$15,$L157,0))</f>
        <v>-</v>
      </c>
      <c r="H157" s="122" cm="1">
        <f t="array" aca="1" ref="H157" ca="1">IF($D157&lt;&gt;"Serviço",0,IF(ACOMPANHAMENTO="BM",ROUND(OFFSET(ORÇAMENTO!AJ$15,$L157,0),15-13*ORÇAMENTO!$AF$7),IF(IFERROR(CÁLCULO.FrentesPreenchidas,0)=0,0,SUM(ROUND(OFFSET($P157,0,1,1,CÁLCULO.FrentesPreenchidas),15-13*ORÇAMENTO!$AF$7)))))</f>
        <v>0</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t="shared" ca="1" si="16"/>
        <v>142</v>
      </c>
      <c r="M157" s="166">
        <f ca="1">IF($D157&lt;&gt;"Serviço","",
          IF(AUTOEVENTO="manual",$A157,
                IF(ISERROR(MATCH($A157,$A$15:OFFSET($A157,-1,0),0)),MAX($M$15:OFFSET(M157,-1,0))+1,
                      INDEX($M$15:OFFSET(M157,-1,0),MATCH($A157,$A$15:OFFSET($A157,-1,0),0)))))</f>
        <v>12</v>
      </c>
      <c r="N157" s="167" t="str">
        <f ca="1">IF($D157&lt;&gt;"Serviço","",
         IF(AUTOEVENTO="Manual",
                IF($A157=0,"&lt;-- defina o número do agrupador",
                       OFFSET(EVENTOS!$D$15,$A157-$A$15,0)),
                OFFSET($F$15,$A157,0)))</f>
        <v xml:space="preserve">ADMINISTRAÇÃO LOCAL </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1000000000000</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12.75" hidden="1" x14ac:dyDescent="0.2">
      <c r="A158" s="7" t="str">
        <f t="shared" ca="1" si="15"/>
        <v>59</v>
      </c>
      <c r="B158" s="7" t="str">
        <f ca="1">OFFSET(ORÇAMENTO!C$15,$L158,0)</f>
        <v>S</v>
      </c>
      <c r="C158" s="7" t="str">
        <f ca="1">OFFSET(ORÇAMENTO!L$15,$L158,0)</f>
        <v/>
      </c>
      <c r="D158" s="116" t="str">
        <f ca="1">OFFSET(ORÇAMENTO!N$15,$L158,0)</f>
        <v>Serviço</v>
      </c>
      <c r="E158" s="117" t="str">
        <f ca="1">OFFSET(ORÇAMENTO!O$15,$L158,0)</f>
        <v>-</v>
      </c>
      <c r="F158" s="163" t="str">
        <f ca="1">OFFSET(ORÇAMENTO!R$15,$L158,0)</f>
        <v>(Sem Código)</v>
      </c>
      <c r="G158" s="164" t="str">
        <f ca="1">IF($D158&lt;&gt;"Serviço","",OFFSET(ORÇAMENTO!S$15,$L158,0))</f>
        <v>-</v>
      </c>
      <c r="H158" s="122" cm="1">
        <f t="array" aca="1" ref="H158" ca="1">IF($D158&lt;&gt;"Serviço",0,IF(ACOMPANHAMENTO="BM",ROUND(OFFSET(ORÇAMENTO!AJ$15,$L158,0),15-13*ORÇAMENTO!$AF$7),IF(IFERROR(CÁLCULO.FrentesPreenchidas,0)=0,0,SUM(ROUND(OFFSET($P158,0,1,1,CÁLCULO.FrentesPreenchidas),15-13*ORÇAMENTO!$AF$7)))))</f>
        <v>0</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16"/>
        <v>143</v>
      </c>
      <c r="M158" s="166">
        <f ca="1">IF($D158&lt;&gt;"Serviço","",
          IF(AUTOEVENTO="manual",$A158,
                IF(ISERROR(MATCH($A158,$A$15:OFFSET($A158,-1,0),0)),MAX($M$15:OFFSET(M158,-1,0))+1,
                      INDEX($M$15:OFFSET(M158,-1,0),MATCH($A158,$A$15:OFFSET($A158,-1,0),0)))))</f>
        <v>12</v>
      </c>
      <c r="N158" s="167" t="str">
        <f ca="1">IF($D158&lt;&gt;"Serviço","",
         IF(AUTOEVENTO="Manual",
                IF($A158=0,"&lt;-- defina o número do agrupador",
                       OFFSET(EVENTOS!$D$15,$A158-$A$15,0)),
                OFFSET($F$15,$A158,0)))</f>
        <v xml:space="preserve">ADMINISTRAÇÃO LOCAL </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1000000000000</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12.75" hidden="1" x14ac:dyDescent="0.2">
      <c r="A159" s="7" t="str">
        <f t="shared" ca="1" si="15"/>
        <v>59</v>
      </c>
      <c r="B159" s="7" t="str">
        <f ca="1">OFFSET(ORÇAMENTO!C$15,$L159,0)</f>
        <v>S</v>
      </c>
      <c r="C159" s="7" t="str">
        <f ca="1">OFFSET(ORÇAMENTO!L$15,$L159,0)</f>
        <v/>
      </c>
      <c r="D159" s="116" t="str">
        <f ca="1">OFFSET(ORÇAMENTO!N$15,$L159,0)</f>
        <v>Serviço</v>
      </c>
      <c r="E159" s="117" t="str">
        <f ca="1">OFFSET(ORÇAMENTO!O$15,$L159,0)</f>
        <v>-</v>
      </c>
      <c r="F159" s="163" t="str">
        <f ca="1">OFFSET(ORÇAMENTO!R$15,$L159,0)</f>
        <v>(Sem Código)</v>
      </c>
      <c r="G159" s="164" t="str">
        <f ca="1">IF($D159&lt;&gt;"Serviço","",OFFSET(ORÇAMENTO!S$15,$L159,0))</f>
        <v>-</v>
      </c>
      <c r="H159" s="122" cm="1">
        <f t="array" aca="1" ref="H159" ca="1">IF($D159&lt;&gt;"Serviço",0,IF(ACOMPANHAMENTO="BM",ROUND(OFFSET(ORÇAMENTO!AJ$15,$L159,0),15-13*ORÇAMENTO!$AF$7),IF(IFERROR(CÁLCULO.FrentesPreenchidas,0)=0,0,SUM(ROUND(OFFSET($P159,0,1,1,CÁLCULO.FrentesPreenchidas),15-13*ORÇAMENTO!$AF$7)))))</f>
        <v>0</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t="shared" ca="1" si="16"/>
        <v>144</v>
      </c>
      <c r="M159" s="166">
        <f ca="1">IF($D159&lt;&gt;"Serviço","",
          IF(AUTOEVENTO="manual",$A159,
                IF(ISERROR(MATCH($A159,$A$15:OFFSET($A159,-1,0),0)),MAX($M$15:OFFSET(M159,-1,0))+1,
                      INDEX($M$15:OFFSET(M159,-1,0),MATCH($A159,$A$15:OFFSET($A159,-1,0),0)))))</f>
        <v>12</v>
      </c>
      <c r="N159" s="167" t="str">
        <f ca="1">IF($D159&lt;&gt;"Serviço","",
         IF(AUTOEVENTO="Manual",
                IF($A159=0,"&lt;-- defina o número do agrupador",
                       OFFSET(EVENTOS!$D$15,$A159-$A$15,0)),
                OFFSET($F$15,$A159,0)))</f>
        <v xml:space="preserve">ADMINISTRAÇÃO LOCAL </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1000000000000</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12.75" hidden="1" x14ac:dyDescent="0.2">
      <c r="A160" s="7" t="str">
        <f t="shared" ca="1" si="15"/>
        <v>59</v>
      </c>
      <c r="B160" s="7" t="str">
        <f ca="1">OFFSET(ORÇAMENTO!C$15,$L160,0)</f>
        <v>S</v>
      </c>
      <c r="C160" s="7" t="str">
        <f ca="1">OFFSET(ORÇAMENTO!L$15,$L160,0)</f>
        <v/>
      </c>
      <c r="D160" s="116" t="str">
        <f ca="1">OFFSET(ORÇAMENTO!N$15,$L160,0)</f>
        <v>Serviço</v>
      </c>
      <c r="E160" s="117" t="str">
        <f ca="1">OFFSET(ORÇAMENTO!O$15,$L160,0)</f>
        <v>-</v>
      </c>
      <c r="F160" s="163" t="str">
        <f ca="1">OFFSET(ORÇAMENTO!R$15,$L160,0)</f>
        <v>(Sem Código)</v>
      </c>
      <c r="G160" s="164" t="str">
        <f ca="1">IF($D160&lt;&gt;"Serviço","",OFFSET(ORÇAMENTO!S$15,$L160,0))</f>
        <v>-</v>
      </c>
      <c r="H160" s="122" cm="1">
        <f t="array" aca="1" ref="H160" ca="1">IF($D160&lt;&gt;"Serviço",0,IF(ACOMPANHAMENTO="BM",ROUND(OFFSET(ORÇAMENTO!AJ$15,$L160,0),15-13*ORÇAMENTO!$AF$7),IF(IFERROR(CÁLCULO.FrentesPreenchidas,0)=0,0,SUM(ROUND(OFFSET($P160,0,1,1,CÁLCULO.FrentesPreenchidas),15-13*ORÇAMENTO!$AF$7)))))</f>
        <v>0</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t="shared" ca="1" si="16"/>
        <v>145</v>
      </c>
      <c r="M160" s="166">
        <f ca="1">IF($D160&lt;&gt;"Serviço","",
          IF(AUTOEVENTO="manual",$A160,
                IF(ISERROR(MATCH($A160,$A$15:OFFSET($A160,-1,0),0)),MAX($M$15:OFFSET(M160,-1,0))+1,
                      INDEX($M$15:OFFSET(M160,-1,0),MATCH($A160,$A$15:OFFSET($A160,-1,0),0)))))</f>
        <v>12</v>
      </c>
      <c r="N160" s="167" t="str">
        <f ca="1">IF($D160&lt;&gt;"Serviço","",
         IF(AUTOEVENTO="Manual",
                IF($A160=0,"&lt;-- defina o número do agrupador",
                       OFFSET(EVENTOS!$D$15,$A160-$A$15,0)),
                OFFSET($F$15,$A160,0)))</f>
        <v xml:space="preserve">ADMINISTRAÇÃO LOCAL </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1000000000000</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12.75" hidden="1" x14ac:dyDescent="0.2">
      <c r="A161" s="7" t="str">
        <f t="shared" ca="1" si="15"/>
        <v>59</v>
      </c>
      <c r="B161" s="7" t="str">
        <f ca="1">OFFSET(ORÇAMENTO!C$15,$L161,0)</f>
        <v>S</v>
      </c>
      <c r="C161" s="7" t="str">
        <f ca="1">OFFSET(ORÇAMENTO!L$15,$L161,0)</f>
        <v/>
      </c>
      <c r="D161" s="116" t="str">
        <f ca="1">OFFSET(ORÇAMENTO!N$15,$L161,0)</f>
        <v>Serviço</v>
      </c>
      <c r="E161" s="117" t="str">
        <f ca="1">OFFSET(ORÇAMENTO!O$15,$L161,0)</f>
        <v>-</v>
      </c>
      <c r="F161" s="163" t="str">
        <f ca="1">OFFSET(ORÇAMENTO!R$15,$L161,0)</f>
        <v>(Sem Código)</v>
      </c>
      <c r="G161" s="164" t="str">
        <f ca="1">IF($D161&lt;&gt;"Serviço","",OFFSET(ORÇAMENTO!S$15,$L161,0))</f>
        <v>-</v>
      </c>
      <c r="H161" s="122" cm="1">
        <f t="array" aca="1" ref="H161" ca="1">IF($D161&lt;&gt;"Serviço",0,IF(ACOMPANHAMENTO="BM",ROUND(OFFSET(ORÇAMENTO!AJ$15,$L161,0),15-13*ORÇAMENTO!$AF$7),IF(IFERROR(CÁLCULO.FrentesPreenchidas,0)=0,0,SUM(ROUND(OFFSET($P161,0,1,1,CÁLCULO.FrentesPreenchidas),15-13*ORÇAMENTO!$AF$7)))))</f>
        <v>0</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16"/>
        <v>146</v>
      </c>
      <c r="M161" s="166">
        <f ca="1">IF($D161&lt;&gt;"Serviço","",
          IF(AUTOEVENTO="manual",$A161,
                IF(ISERROR(MATCH($A161,$A$15:OFFSET($A161,-1,0),0)),MAX($M$15:OFFSET(M161,-1,0))+1,
                      INDEX($M$15:OFFSET(M161,-1,0),MATCH($A161,$A$15:OFFSET($A161,-1,0),0)))))</f>
        <v>12</v>
      </c>
      <c r="N161" s="167" t="str">
        <f ca="1">IF($D161&lt;&gt;"Serviço","",
         IF(AUTOEVENTO="Manual",
                IF($A161=0,"&lt;-- defina o número do agrupador",
                       OFFSET(EVENTOS!$D$15,$A161-$A$15,0)),
                OFFSET($F$15,$A161,0)))</f>
        <v xml:space="preserve">ADMINISTRAÇÃO LOCAL </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1000000000000</v>
      </c>
      <c r="AN161" s="171">
        <f ca="1">IF(OR($D161&lt;&gt;"Serviço",AND(AUTOEVENTO="Manual",$M161=$A$15)),0,
         IF(OFFSET(CRONOPLE!$F$15,$M161-$A$15,AN$13)=0,10^12,OFFSET(CRONOPLE!$F$15,$M161-$A$15,AN$13)))</f>
        <v>1000000000000</v>
      </c>
      <c r="AO161" s="171">
        <f ca="1">IF(OR($D161&lt;&gt;"Serviço",AND(AUTOEVENTO="Manual",$M161=$A$15)),0,
         IF(OFFSET(CRONOPLE!$F$15,$M161-$A$15,AO$13)=0,10^12,OFFSET(CRONOPLE!$F$15,$M161-$A$15,AO$13)))</f>
        <v>1000000000000</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ht="5.0999999999999996" customHeight="1" x14ac:dyDescent="0.2">
      <c r="B162" s="7">
        <f ca="1">OFFSET(ORÇAMENTO!C$15,ROW(B162)-ROW(B$15),0)</f>
        <v>-1</v>
      </c>
      <c r="C162" s="7" t="str">
        <f ca="1">OFFSET(ORÇAMENTO!L$15,ROW(C162)-ROW(C$15),0)</f>
        <v>F</v>
      </c>
      <c r="D162" s="634" t="s">
        <v>700</v>
      </c>
      <c r="E162" s="618"/>
      <c r="F162" s="619"/>
      <c r="G162" s="619"/>
      <c r="H162" s="619"/>
      <c r="I162" s="419"/>
      <c r="K162" s="569"/>
      <c r="L162" s="165">
        <f t="shared" ref="L162" ca="1" si="17">OFFSET(L162,-1,0)+1</f>
        <v>147</v>
      </c>
      <c r="M162" s="421"/>
      <c r="N162" s="420"/>
      <c r="O162" s="635"/>
      <c r="Q162" s="618"/>
      <c r="R162" s="619"/>
      <c r="S162" s="619"/>
      <c r="T162" s="619"/>
      <c r="U162" s="619"/>
      <c r="V162" s="619"/>
      <c r="W162" s="619"/>
      <c r="X162" s="619"/>
      <c r="Y162" s="619"/>
      <c r="Z162" s="419"/>
      <c r="AB162" s="636"/>
      <c r="AC162" s="637"/>
      <c r="AD162" s="637"/>
      <c r="AE162" s="637"/>
      <c r="AF162" s="637"/>
      <c r="AG162" s="637"/>
      <c r="AH162" s="637"/>
      <c r="AI162" s="637"/>
      <c r="AJ162" s="637"/>
      <c r="AK162" s="133"/>
      <c r="AM162" s="636"/>
      <c r="AN162" s="637"/>
      <c r="AO162" s="637"/>
      <c r="AP162" s="637"/>
      <c r="AQ162" s="637"/>
      <c r="AR162" s="637"/>
      <c r="AS162" s="637"/>
      <c r="AT162" s="637"/>
      <c r="AU162" s="637"/>
      <c r="AV162" s="133"/>
      <c r="AX162" s="636"/>
      <c r="AY162" s="637"/>
      <c r="AZ162" s="637"/>
      <c r="BA162" s="637"/>
      <c r="BB162" s="637"/>
      <c r="BC162" s="637"/>
      <c r="BD162" s="637"/>
      <c r="BE162" s="637"/>
      <c r="BF162" s="637"/>
      <c r="BG162" s="133"/>
    </row>
    <row r="163" spans="1:59" ht="12.75" customHeight="1" x14ac:dyDescent="0.2"/>
    <row r="164" spans="1:59" ht="12.75" customHeight="1" x14ac:dyDescent="0.2"/>
    <row r="165" spans="1:59" ht="12.75" customHeight="1" x14ac:dyDescent="0.2"/>
    <row r="166" spans="1:59" ht="15" customHeight="1" x14ac:dyDescent="0.2">
      <c r="F166" s="179" t="str">
        <f>Import.Município</f>
        <v>Passos / MG</v>
      </c>
      <c r="I166" s="460"/>
      <c r="J166" s="460"/>
      <c r="K166" s="460"/>
      <c r="L166" s="460"/>
      <c r="M166" s="461"/>
      <c r="N166" s="417"/>
      <c r="T166" s="139"/>
      <c r="U166" s="139"/>
      <c r="V166" s="180"/>
      <c r="W166" s="180"/>
      <c r="X166" s="180"/>
      <c r="Y166" s="180"/>
    </row>
    <row r="167" spans="1:59" ht="12.75" customHeight="1" x14ac:dyDescent="0.2">
      <c r="F167" s="9" t="s">
        <v>693</v>
      </c>
      <c r="I167" s="181" t="s">
        <v>696</v>
      </c>
      <c r="J167" s="181"/>
      <c r="K167" s="181"/>
      <c r="L167" s="181"/>
      <c r="T167" s="181" t="s">
        <v>696</v>
      </c>
      <c r="U167" s="181"/>
    </row>
    <row r="168" spans="1:59" ht="12.75" customHeight="1" x14ac:dyDescent="0.2">
      <c r="I168" s="398" t="str">
        <f t="array" aca="1" ref="I168:I170" ca="1">OFFSET(Import.RespOrçamento,0,-1) &amp; " " &amp; Import.RespOrçamento</f>
        <v xml:space="preserve">Nome: Mateus Junior Rosa </v>
      </c>
      <c r="K168" s="79"/>
      <c r="L168" s="79"/>
      <c r="T168" s="398" t="str">
        <f t="array" aca="1" ref="T168:T170" ca="1">OFFSET(Import.RespOrçamento,0,-1) &amp; " " &amp; Import.RespOrçamento</f>
        <v xml:space="preserve">Nome: Mateus Junior Rosa </v>
      </c>
      <c r="U168" s="78"/>
    </row>
    <row r="169" spans="1:59" ht="12.75" customHeight="1" x14ac:dyDescent="0.2">
      <c r="F169" s="459">
        <f>DADOS!$C$25</f>
        <v>46121</v>
      </c>
      <c r="I169" s="398" t="str">
        <f ca="1"/>
        <v>CREA/CAU: 386526 MG</v>
      </c>
      <c r="K169" s="79"/>
      <c r="L169" s="79"/>
      <c r="T169" s="398" t="str">
        <f ca="1"/>
        <v>CREA/CAU: 386526 MG</v>
      </c>
      <c r="U169" s="78"/>
    </row>
    <row r="170" spans="1:59" ht="12.75" customHeight="1" x14ac:dyDescent="0.2">
      <c r="F170" s="140" t="s">
        <v>694</v>
      </c>
      <c r="I170" s="398" t="str">
        <f ca="1"/>
        <v>ART/RRT: -</v>
      </c>
      <c r="K170" s="79"/>
      <c r="L170" s="79"/>
      <c r="T170" s="398" t="str">
        <f ca="1"/>
        <v>ART/RRT: -</v>
      </c>
      <c r="U170" s="78"/>
    </row>
    <row r="171" spans="1:59" ht="12.75" customHeight="1" x14ac:dyDescent="0.2">
      <c r="C171"/>
      <c r="M171"/>
    </row>
    <row r="172" spans="1:59" ht="12.75" customHeight="1" x14ac:dyDescent="0.2">
      <c r="C172"/>
      <c r="M172"/>
    </row>
    <row r="173" spans="1:59" ht="12.75" customHeight="1" x14ac:dyDescent="0.2">
      <c r="C173"/>
      <c r="M173"/>
    </row>
    <row r="174" spans="1:59" ht="12.75" customHeight="1" x14ac:dyDescent="0.2">
      <c r="C174"/>
      <c r="M174"/>
    </row>
    <row r="175" spans="1:59" ht="12.75" customHeight="1" x14ac:dyDescent="0.2">
      <c r="C175"/>
      <c r="M175"/>
    </row>
    <row r="176" spans="1:59"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61074" spans="3:13" ht="12.75" customHeight="1" x14ac:dyDescent="0.2">
      <c r="C61074"/>
      <c r="M61074"/>
    </row>
    <row r="61090" spans="3:13" ht="12.75" customHeight="1" x14ac:dyDescent="0.2">
      <c r="C61090"/>
      <c r="M61090"/>
    </row>
    <row r="61106" spans="3:13" ht="12.75" customHeight="1" x14ac:dyDescent="0.2">
      <c r="C61106"/>
      <c r="M61106"/>
    </row>
    <row r="61122" spans="3:13" ht="12.75" customHeight="1" x14ac:dyDescent="0.2">
      <c r="C61122"/>
      <c r="M61122"/>
    </row>
    <row r="61135" spans="3:13" ht="12.75" customHeight="1" x14ac:dyDescent="0.2">
      <c r="C61135"/>
      <c r="M61135"/>
    </row>
    <row r="61136" spans="3:13" ht="12.75" customHeight="1" x14ac:dyDescent="0.2">
      <c r="C61136"/>
      <c r="M61136"/>
    </row>
    <row r="61138" spans="3:13" ht="12.75" customHeight="1" x14ac:dyDescent="0.2">
      <c r="C61138"/>
      <c r="M61138"/>
    </row>
    <row r="61149" spans="3:13" ht="12.75" customHeight="1" x14ac:dyDescent="0.2">
      <c r="C61149"/>
      <c r="M61149"/>
    </row>
    <row r="61150" spans="3:13" ht="12.75" customHeight="1" x14ac:dyDescent="0.2">
      <c r="C61150"/>
      <c r="M61150"/>
    </row>
    <row r="61151" spans="3:13" ht="12.75" customHeight="1" x14ac:dyDescent="0.2">
      <c r="C61151"/>
      <c r="M61151"/>
    </row>
    <row r="61152" spans="3:13" ht="12.75" customHeight="1" x14ac:dyDescent="0.2">
      <c r="C61152"/>
      <c r="M61152"/>
    </row>
    <row r="61154" spans="3:13" ht="12.75" customHeight="1" x14ac:dyDescent="0.2">
      <c r="C61154"/>
      <c r="M61154"/>
    </row>
    <row r="61165" spans="3:13" ht="12.75" customHeight="1" x14ac:dyDescent="0.2">
      <c r="C61165"/>
      <c r="M61165"/>
    </row>
    <row r="61166" spans="3:13" ht="12.75" customHeight="1" x14ac:dyDescent="0.2">
      <c r="C61166"/>
      <c r="M61166"/>
    </row>
    <row r="61167" spans="3:13" ht="12.75" customHeight="1" x14ac:dyDescent="0.2">
      <c r="C61167"/>
      <c r="M61167"/>
    </row>
    <row r="61168" spans="3:13" ht="12.75" customHeight="1" x14ac:dyDescent="0.2">
      <c r="C61168"/>
      <c r="M61168"/>
    </row>
    <row r="61170" spans="3:13" ht="12.75" customHeight="1" x14ac:dyDescent="0.2">
      <c r="C61170"/>
      <c r="M61170"/>
    </row>
    <row r="61181" spans="3:13" ht="12.75" customHeight="1" x14ac:dyDescent="0.2">
      <c r="C61181"/>
      <c r="M61181"/>
    </row>
    <row r="61182" spans="3:13" ht="12.75" customHeight="1" x14ac:dyDescent="0.2">
      <c r="C61182"/>
      <c r="M61182"/>
    </row>
    <row r="61183" spans="3:13" ht="12.75" customHeight="1" x14ac:dyDescent="0.2">
      <c r="C61183"/>
      <c r="M61183"/>
    </row>
    <row r="61184" spans="3:13" ht="12.75" customHeight="1" x14ac:dyDescent="0.2">
      <c r="C61184"/>
      <c r="M61184"/>
    </row>
    <row r="61186" spans="3:13" ht="12.75" customHeight="1" x14ac:dyDescent="0.2">
      <c r="C61186"/>
      <c r="M61186"/>
    </row>
    <row r="61197" spans="3:13" ht="12.75" customHeight="1" x14ac:dyDescent="0.2">
      <c r="C61197"/>
      <c r="M61197"/>
    </row>
    <row r="61198" spans="3:13" ht="12.75" customHeight="1" x14ac:dyDescent="0.2">
      <c r="C61198"/>
      <c r="M61198"/>
    </row>
    <row r="61199" spans="3:13" ht="12.75" customHeight="1" x14ac:dyDescent="0.2">
      <c r="C61199"/>
      <c r="M61199"/>
    </row>
    <row r="61200" spans="3:13" ht="12.75" customHeight="1" x14ac:dyDescent="0.2">
      <c r="C61200"/>
      <c r="M61200"/>
    </row>
    <row r="61202" spans="3:13" ht="12.75" customHeight="1" x14ac:dyDescent="0.2">
      <c r="C61202"/>
      <c r="M6120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8" spans="3:13" ht="12.75" customHeight="1" x14ac:dyDescent="0.2">
      <c r="C61218"/>
      <c r="M6121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4" spans="3:13" ht="12.75" customHeight="1" x14ac:dyDescent="0.2">
      <c r="C61234"/>
      <c r="M6123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50" spans="3:13" ht="12.75" customHeight="1" x14ac:dyDescent="0.2">
      <c r="C61250"/>
      <c r="M6125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6" spans="3:13" ht="12.75" customHeight="1" x14ac:dyDescent="0.2">
      <c r="C61266"/>
      <c r="M61266"/>
    </row>
    <row r="61274" spans="3:13" ht="12.75" customHeight="1" x14ac:dyDescent="0.2">
      <c r="C61274"/>
      <c r="M61274"/>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2" spans="3:13" ht="12.75" customHeight="1" x14ac:dyDescent="0.2">
      <c r="C61282"/>
      <c r="M61282"/>
    </row>
    <row r="61290" spans="3:13" ht="12.75" customHeight="1" x14ac:dyDescent="0.2">
      <c r="C61290"/>
      <c r="M61290"/>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8" spans="3:13" ht="12.75" customHeight="1" x14ac:dyDescent="0.2">
      <c r="C61298"/>
      <c r="M61298"/>
    </row>
    <row r="61306" spans="3:13" ht="12.75" customHeight="1" x14ac:dyDescent="0.2">
      <c r="C61306"/>
      <c r="M61306"/>
    </row>
    <row r="61307" spans="3:13" ht="12.75" customHeight="1" x14ac:dyDescent="0.2">
      <c r="C61307"/>
      <c r="M61307"/>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4" spans="3:13" ht="12.75" customHeight="1" x14ac:dyDescent="0.2">
      <c r="C61314"/>
      <c r="M61314"/>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30" spans="3:13" ht="12.75" customHeight="1" x14ac:dyDescent="0.2">
      <c r="C61330"/>
      <c r="M61330"/>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6" spans="3:13" ht="12.75" customHeight="1" x14ac:dyDescent="0.2">
      <c r="C61346"/>
      <c r="M61346"/>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sheetData>
  <sheetProtection algorithmName="SHA-512" hashValue="NRrWhUpn3nflJQc2g5hZE5nHSU6Dlh9nkpLMIiZjHck5tMqeDZ2FT7HoeBSj9r1v2y19yelI8uQ76hLl5WajWA==" saltValue="KDQdAhY+dXgwWa365ufCgQ==" spinCount="100000" sheet="1" objects="1" scenarios="1" autoFilter="0"/>
  <autoFilter ref="C15:C162" xr:uid="{00000000-0009-0000-0000-000005000000}">
    <filterColumn colId="0">
      <customFilters>
        <customFilter operator="notEqual" val=" "/>
      </customFilters>
    </filterColumn>
  </autoFilter>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31:I32 D30:G30 I30 D51:I55 D58:I59 D56:G57 I56:I57 D37:I38 D62:I69 D16:I18 D24:G24 I24 D21:I23 D19:G20 I19:I20 D27:I29 D26:G26 I26 D60:G61 I60:I61 D70:G72 I70:I72 D25:I25 D73:I82">
    <cfRule type="expression" dxfId="480" priority="14785" stopIfTrue="1">
      <formula>$B14=1</formula>
    </cfRule>
    <cfRule type="expression" dxfId="479" priority="14786" stopIfTrue="1">
      <formula>OR($B14=0,$B14=2,$B14=3,$B14=4)</formula>
    </cfRule>
  </conditionalFormatting>
  <conditionalFormatting sqref="M12:N162">
    <cfRule type="expression" dxfId="478" priority="14787" stopIfTrue="1">
      <formula>ACOMPANHAMENTO="BM"</formula>
    </cfRule>
    <cfRule type="expression" dxfId="477" priority="14788" stopIfTrue="1">
      <formula>OR($B12=0,$B12=2,$B12=3,$B12=4)</formula>
    </cfRule>
    <cfRule type="expression" dxfId="476" priority="14789" stopIfTrue="1">
      <formula>$B12=1</formula>
    </cfRule>
  </conditionalFormatting>
  <conditionalFormatting sqref="K12:K162">
    <cfRule type="expression" dxfId="475" priority="14790" stopIfTrue="1">
      <formula>OR(ACOMPANHAMENTO="BM",$A$12&lt;&gt;"Manual")</formula>
    </cfRule>
    <cfRule type="expression" dxfId="474" priority="14791" stopIfTrue="1">
      <formula>$B12=1</formula>
    </cfRule>
    <cfRule type="expression" dxfId="473" priority="14792" stopIfTrue="1">
      <formula>OR($B12=2,$B12=3,$B12=4,$B12=0)</formula>
    </cfRule>
  </conditionalFormatting>
  <conditionalFormatting sqref="O12:AA162">
    <cfRule type="expression" dxfId="472" priority="8376" stopIfTrue="1">
      <formula>ACOMPANHAMENTO="BM"</formula>
    </cfRule>
    <cfRule type="expression" dxfId="471" priority="14794" stopIfTrue="1">
      <formula>AND(O$12&lt;&gt;".",OR($B12=0,$B12=2,$B12=3,$B12=4,AND(O$12="",$B12&lt;&gt;"Empty"),OFFSET(O$1,0,-1)=0))</formula>
    </cfRule>
    <cfRule type="expression" dxfId="470" priority="14795" stopIfTrue="1">
      <formula>AND($B12=1,O$1=1)</formula>
    </cfRule>
  </conditionalFormatting>
  <conditionalFormatting sqref="Q15:Z15">
    <cfRule type="expression" dxfId="469" priority="14793">
      <formula>Q$11="▼"</formula>
    </cfRule>
  </conditionalFormatting>
  <conditionalFormatting sqref="O15">
    <cfRule type="expression" dxfId="468" priority="8375">
      <formula>O$11="▼"</formula>
    </cfRule>
  </conditionalFormatting>
  <conditionalFormatting sqref="N14 N37:N38 N16:N32 N51:N82">
    <cfRule type="expression" dxfId="467" priority="5410">
      <formula>$J14="►"</formula>
    </cfRule>
  </conditionalFormatting>
  <conditionalFormatting sqref="N12">
    <cfRule type="cellIs" dxfId="466" priority="5408" operator="notEqual">
      <formula>"FRENTES DE OBRA:"</formula>
    </cfRule>
  </conditionalFormatting>
  <conditionalFormatting sqref="Q14:AA14 Q37:AA38 Q51:AA69 Q25:AA29 Q73:AA82">
    <cfRule type="expression" dxfId="465" priority="3193">
      <formula>Q14&lt;&gt;ROUND(Q14,2)</formula>
    </cfRule>
  </conditionalFormatting>
  <conditionalFormatting sqref="H14">
    <cfRule type="expression" dxfId="464" priority="2753" stopIfTrue="1">
      <formula>$B14=1</formula>
    </cfRule>
    <cfRule type="expression" dxfId="463" priority="2754" stopIfTrue="1">
      <formula>OR($B14=0,$B14=2,$B14=3,$B14=4)</formula>
    </cfRule>
  </conditionalFormatting>
  <conditionalFormatting sqref="H14 H37:H38 H16:H32 H51:H82">
    <cfRule type="expression" dxfId="462" priority="2752">
      <formula>$J14="►S"</formula>
    </cfRule>
  </conditionalFormatting>
  <conditionalFormatting sqref="Q16:AA18 Q21:AA23">
    <cfRule type="expression" dxfId="461" priority="347">
      <formula>Q16&lt;&gt;ROUND(Q16,2)</formula>
    </cfRule>
  </conditionalFormatting>
  <conditionalFormatting sqref="Q31:AA32">
    <cfRule type="expression" dxfId="460" priority="340">
      <formula>Q31&lt;&gt;ROUND(Q31,2)</formula>
    </cfRule>
  </conditionalFormatting>
  <conditionalFormatting sqref="D33:G35 I33:I35 I46:I47 D46:G47 D44:G44 I44 I39:I40 D39:G40">
    <cfRule type="expression" dxfId="459" priority="335" stopIfTrue="1">
      <formula>$B33=1</formula>
    </cfRule>
    <cfRule type="expression" dxfId="458" priority="336" stopIfTrue="1">
      <formula>OR($B33=0,$B33=2,$B33=3,$B33=4)</formula>
    </cfRule>
  </conditionalFormatting>
  <conditionalFormatting sqref="N33:N35 N46:N47 N44 N39:N40">
    <cfRule type="expression" dxfId="457" priority="334">
      <formula>$J33="►"</formula>
    </cfRule>
  </conditionalFormatting>
  <conditionalFormatting sqref="Q33:AA35 Q46:AA47 Q44:AA44 Q39:AA40">
    <cfRule type="expression" dxfId="456" priority="333">
      <formula>Q33&lt;&gt;ROUND(Q33,2)</formula>
    </cfRule>
  </conditionalFormatting>
  <conditionalFormatting sqref="H33:H35 H46:H47 H44 H39:H40">
    <cfRule type="expression" dxfId="455" priority="331" stopIfTrue="1">
      <formula>$B33=1</formula>
    </cfRule>
    <cfRule type="expression" dxfId="454" priority="332" stopIfTrue="1">
      <formula>OR($B33=0,$B33=2,$B33=3,$B33=4)</formula>
    </cfRule>
  </conditionalFormatting>
  <conditionalFormatting sqref="H33:H35 H46:H47 H44 H39:H40">
    <cfRule type="expression" dxfId="453" priority="330">
      <formula>$J33="►S"</formula>
    </cfRule>
  </conditionalFormatting>
  <conditionalFormatting sqref="D48:G49 I48:I49">
    <cfRule type="expression" dxfId="452" priority="328" stopIfTrue="1">
      <formula>$B48=1</formula>
    </cfRule>
    <cfRule type="expression" dxfId="451" priority="329" stopIfTrue="1">
      <formula>OR($B48=0,$B48=2,$B48=3,$B48=4)</formula>
    </cfRule>
  </conditionalFormatting>
  <conditionalFormatting sqref="N48:N49">
    <cfRule type="expression" dxfId="450" priority="327">
      <formula>$J48="►"</formula>
    </cfRule>
  </conditionalFormatting>
  <conditionalFormatting sqref="Q48:AA49">
    <cfRule type="expression" dxfId="449" priority="326">
      <formula>Q48&lt;&gt;ROUND(Q48,2)</formula>
    </cfRule>
  </conditionalFormatting>
  <conditionalFormatting sqref="H48:H49">
    <cfRule type="expression" dxfId="448" priority="324" stopIfTrue="1">
      <formula>$B48=1</formula>
    </cfRule>
    <cfRule type="expression" dxfId="447" priority="325" stopIfTrue="1">
      <formula>OR($B48=0,$B48=2,$B48=3,$B48=4)</formula>
    </cfRule>
  </conditionalFormatting>
  <conditionalFormatting sqref="H48:H49">
    <cfRule type="expression" dxfId="446" priority="323">
      <formula>$J48="►S"</formula>
    </cfRule>
  </conditionalFormatting>
  <conditionalFormatting sqref="D83:G91 I83:I91">
    <cfRule type="expression" dxfId="445" priority="216" stopIfTrue="1">
      <formula>$B83=1</formula>
    </cfRule>
    <cfRule type="expression" dxfId="444" priority="217" stopIfTrue="1">
      <formula>OR($B83=0,$B83=2,$B83=3,$B83=4)</formula>
    </cfRule>
  </conditionalFormatting>
  <conditionalFormatting sqref="N83:N91">
    <cfRule type="expression" dxfId="443" priority="215">
      <formula>$J83="►"</formula>
    </cfRule>
  </conditionalFormatting>
  <conditionalFormatting sqref="Q83:AA91">
    <cfRule type="expression" dxfId="442" priority="214">
      <formula>Q83&lt;&gt;ROUND(Q83,2)</formula>
    </cfRule>
  </conditionalFormatting>
  <conditionalFormatting sqref="H83:H91">
    <cfRule type="expression" dxfId="441" priority="212" stopIfTrue="1">
      <formula>$B83=1</formula>
    </cfRule>
    <cfRule type="expression" dxfId="440" priority="213" stopIfTrue="1">
      <formula>OR($B83=0,$B83=2,$B83=3,$B83=4)</formula>
    </cfRule>
  </conditionalFormatting>
  <conditionalFormatting sqref="H83:H91">
    <cfRule type="expression" dxfId="439" priority="211">
      <formula>$J83="►S"</formula>
    </cfRule>
  </conditionalFormatting>
  <conditionalFormatting sqref="D92:G100 I92:I100">
    <cfRule type="expression" dxfId="438" priority="209" stopIfTrue="1">
      <formula>$B92=1</formula>
    </cfRule>
    <cfRule type="expression" dxfId="437" priority="210" stopIfTrue="1">
      <formula>OR($B92=0,$B92=2,$B92=3,$B92=4)</formula>
    </cfRule>
  </conditionalFormatting>
  <conditionalFormatting sqref="N92:N100">
    <cfRule type="expression" dxfId="436" priority="208">
      <formula>$J92="►"</formula>
    </cfRule>
  </conditionalFormatting>
  <conditionalFormatting sqref="Q92:AA100">
    <cfRule type="expression" dxfId="435" priority="207">
      <formula>Q92&lt;&gt;ROUND(Q92,2)</formula>
    </cfRule>
  </conditionalFormatting>
  <conditionalFormatting sqref="H92:H100">
    <cfRule type="expression" dxfId="434" priority="205" stopIfTrue="1">
      <formula>$B92=1</formula>
    </cfRule>
    <cfRule type="expression" dxfId="433" priority="206" stopIfTrue="1">
      <formula>OR($B92=0,$B92=2,$B92=3,$B92=4)</formula>
    </cfRule>
  </conditionalFormatting>
  <conditionalFormatting sqref="H92:H100">
    <cfRule type="expression" dxfId="432" priority="204">
      <formula>$J92="►S"</formula>
    </cfRule>
  </conditionalFormatting>
  <conditionalFormatting sqref="D101:G109 I101:I109">
    <cfRule type="expression" dxfId="431" priority="202" stopIfTrue="1">
      <formula>$B101=1</formula>
    </cfRule>
    <cfRule type="expression" dxfId="430" priority="203" stopIfTrue="1">
      <formula>OR($B101=0,$B101=2,$B101=3,$B101=4)</formula>
    </cfRule>
  </conditionalFormatting>
  <conditionalFormatting sqref="N101:N109">
    <cfRule type="expression" dxfId="429" priority="201">
      <formula>$J101="►"</formula>
    </cfRule>
  </conditionalFormatting>
  <conditionalFormatting sqref="Q101:AA109">
    <cfRule type="expression" dxfId="428" priority="200">
      <formula>Q101&lt;&gt;ROUND(Q101,2)</formula>
    </cfRule>
  </conditionalFormatting>
  <conditionalFormatting sqref="H101:H109">
    <cfRule type="expression" dxfId="427" priority="198" stopIfTrue="1">
      <formula>$B101=1</formula>
    </cfRule>
    <cfRule type="expression" dxfId="426" priority="199" stopIfTrue="1">
      <formula>OR($B101=0,$B101=2,$B101=3,$B101=4)</formula>
    </cfRule>
  </conditionalFormatting>
  <conditionalFormatting sqref="H101:H109">
    <cfRule type="expression" dxfId="425" priority="197">
      <formula>$J101="►S"</formula>
    </cfRule>
  </conditionalFormatting>
  <conditionalFormatting sqref="D110:G118 I110:I118">
    <cfRule type="expression" dxfId="424" priority="195" stopIfTrue="1">
      <formula>$B110=1</formula>
    </cfRule>
    <cfRule type="expression" dxfId="423" priority="196" stopIfTrue="1">
      <formula>OR($B110=0,$B110=2,$B110=3,$B110=4)</formula>
    </cfRule>
  </conditionalFormatting>
  <conditionalFormatting sqref="N110:N118">
    <cfRule type="expression" dxfId="422" priority="194">
      <formula>$J110="►"</formula>
    </cfRule>
  </conditionalFormatting>
  <conditionalFormatting sqref="Q110:AA118">
    <cfRule type="expression" dxfId="421" priority="193">
      <formula>Q110&lt;&gt;ROUND(Q110,2)</formula>
    </cfRule>
  </conditionalFormatting>
  <conditionalFormatting sqref="H110:H118">
    <cfRule type="expression" dxfId="420" priority="191" stopIfTrue="1">
      <formula>$B110=1</formula>
    </cfRule>
    <cfRule type="expression" dxfId="419" priority="192" stopIfTrue="1">
      <formula>OR($B110=0,$B110=2,$B110=3,$B110=4)</formula>
    </cfRule>
  </conditionalFormatting>
  <conditionalFormatting sqref="H110:H118">
    <cfRule type="expression" dxfId="418" priority="190">
      <formula>$J110="►S"</formula>
    </cfRule>
  </conditionalFormatting>
  <conditionalFormatting sqref="D119:G127 I119:I127">
    <cfRule type="expression" dxfId="417" priority="188" stopIfTrue="1">
      <formula>$B119=1</formula>
    </cfRule>
    <cfRule type="expression" dxfId="416" priority="189" stopIfTrue="1">
      <formula>OR($B119=0,$B119=2,$B119=3,$B119=4)</formula>
    </cfRule>
  </conditionalFormatting>
  <conditionalFormatting sqref="N119:N127">
    <cfRule type="expression" dxfId="415" priority="187">
      <formula>$J119="►"</formula>
    </cfRule>
  </conditionalFormatting>
  <conditionalFormatting sqref="Q119:AA127">
    <cfRule type="expression" dxfId="414" priority="186">
      <formula>Q119&lt;&gt;ROUND(Q119,2)</formula>
    </cfRule>
  </conditionalFormatting>
  <conditionalFormatting sqref="H119:H127">
    <cfRule type="expression" dxfId="413" priority="184" stopIfTrue="1">
      <formula>$B119=1</formula>
    </cfRule>
    <cfRule type="expression" dxfId="412" priority="185" stopIfTrue="1">
      <formula>OR($B119=0,$B119=2,$B119=3,$B119=4)</formula>
    </cfRule>
  </conditionalFormatting>
  <conditionalFormatting sqref="H119:H127">
    <cfRule type="expression" dxfId="411" priority="183">
      <formula>$J119="►S"</formula>
    </cfRule>
  </conditionalFormatting>
  <conditionalFormatting sqref="D128:G136 I128:I136">
    <cfRule type="expression" dxfId="410" priority="181" stopIfTrue="1">
      <formula>$B128=1</formula>
    </cfRule>
    <cfRule type="expression" dxfId="409" priority="182" stopIfTrue="1">
      <formula>OR($B128=0,$B128=2,$B128=3,$B128=4)</formula>
    </cfRule>
  </conditionalFormatting>
  <conditionalFormatting sqref="N128:N136">
    <cfRule type="expression" dxfId="408" priority="180">
      <formula>$J128="►"</formula>
    </cfRule>
  </conditionalFormatting>
  <conditionalFormatting sqref="Q128:AA136">
    <cfRule type="expression" dxfId="407" priority="179">
      <formula>Q128&lt;&gt;ROUND(Q128,2)</formula>
    </cfRule>
  </conditionalFormatting>
  <conditionalFormatting sqref="H128:H136">
    <cfRule type="expression" dxfId="406" priority="177" stopIfTrue="1">
      <formula>$B128=1</formula>
    </cfRule>
    <cfRule type="expression" dxfId="405" priority="178" stopIfTrue="1">
      <formula>OR($B128=0,$B128=2,$B128=3,$B128=4)</formula>
    </cfRule>
  </conditionalFormatting>
  <conditionalFormatting sqref="H128:H136">
    <cfRule type="expression" dxfId="404" priority="176">
      <formula>$J128="►S"</formula>
    </cfRule>
  </conditionalFormatting>
  <conditionalFormatting sqref="D137:G145 I137:I145">
    <cfRule type="expression" dxfId="403" priority="174" stopIfTrue="1">
      <formula>$B137=1</formula>
    </cfRule>
    <cfRule type="expression" dxfId="402" priority="175" stopIfTrue="1">
      <formula>OR($B137=0,$B137=2,$B137=3,$B137=4)</formula>
    </cfRule>
  </conditionalFormatting>
  <conditionalFormatting sqref="N137:N145">
    <cfRule type="expression" dxfId="401" priority="173">
      <formula>$J137="►"</formula>
    </cfRule>
  </conditionalFormatting>
  <conditionalFormatting sqref="Q137:AA145">
    <cfRule type="expression" dxfId="400" priority="172">
      <formula>Q137&lt;&gt;ROUND(Q137,2)</formula>
    </cfRule>
  </conditionalFormatting>
  <conditionalFormatting sqref="H137:H145">
    <cfRule type="expression" dxfId="399" priority="170" stopIfTrue="1">
      <formula>$B137=1</formula>
    </cfRule>
    <cfRule type="expression" dxfId="398" priority="171" stopIfTrue="1">
      <formula>OR($B137=0,$B137=2,$B137=3,$B137=4)</formula>
    </cfRule>
  </conditionalFormatting>
  <conditionalFormatting sqref="H137:H145">
    <cfRule type="expression" dxfId="397" priority="169">
      <formula>$J137="►S"</formula>
    </cfRule>
  </conditionalFormatting>
  <conditionalFormatting sqref="D146:G154 I146:I154">
    <cfRule type="expression" dxfId="396" priority="167" stopIfTrue="1">
      <formula>$B146=1</formula>
    </cfRule>
    <cfRule type="expression" dxfId="395" priority="168" stopIfTrue="1">
      <formula>OR($B146=0,$B146=2,$B146=3,$B146=4)</formula>
    </cfRule>
  </conditionalFormatting>
  <conditionalFormatting sqref="N146:N154">
    <cfRule type="expression" dxfId="394" priority="166">
      <formula>$J146="►"</formula>
    </cfRule>
  </conditionalFormatting>
  <conditionalFormatting sqref="Q146:AA154">
    <cfRule type="expression" dxfId="393" priority="165">
      <formula>Q146&lt;&gt;ROUND(Q146,2)</formula>
    </cfRule>
  </conditionalFormatting>
  <conditionalFormatting sqref="H146:H154">
    <cfRule type="expression" dxfId="392" priority="163" stopIfTrue="1">
      <formula>$B146=1</formula>
    </cfRule>
    <cfRule type="expression" dxfId="391" priority="164" stopIfTrue="1">
      <formula>OR($B146=0,$B146=2,$B146=3,$B146=4)</formula>
    </cfRule>
  </conditionalFormatting>
  <conditionalFormatting sqref="H146:H154">
    <cfRule type="expression" dxfId="390" priority="162">
      <formula>$J146="►S"</formula>
    </cfRule>
  </conditionalFormatting>
  <conditionalFormatting sqref="D155:G161 I155:I161">
    <cfRule type="expression" dxfId="389" priority="160" stopIfTrue="1">
      <formula>$B155=1</formula>
    </cfRule>
    <cfRule type="expression" dxfId="388" priority="161" stopIfTrue="1">
      <formula>OR($B155=0,$B155=2,$B155=3,$B155=4)</formula>
    </cfRule>
  </conditionalFormatting>
  <conditionalFormatting sqref="N155:N161">
    <cfRule type="expression" dxfId="387" priority="159">
      <formula>$J155="►"</formula>
    </cfRule>
  </conditionalFormatting>
  <conditionalFormatting sqref="Q155:AA161">
    <cfRule type="expression" dxfId="386" priority="158">
      <formula>Q155&lt;&gt;ROUND(Q155,2)</formula>
    </cfRule>
  </conditionalFormatting>
  <conditionalFormatting sqref="H155:H161">
    <cfRule type="expression" dxfId="385" priority="156" stopIfTrue="1">
      <formula>$B155=1</formula>
    </cfRule>
    <cfRule type="expression" dxfId="384" priority="157" stopIfTrue="1">
      <formula>OR($B155=0,$B155=2,$B155=3,$B155=4)</formula>
    </cfRule>
  </conditionalFormatting>
  <conditionalFormatting sqref="H155:H161">
    <cfRule type="expression" dxfId="383" priority="155">
      <formula>$J155="►S"</formula>
    </cfRule>
  </conditionalFormatting>
  <conditionalFormatting sqref="D50:G50 I50">
    <cfRule type="expression" dxfId="382" priority="139" stopIfTrue="1">
      <formula>$B50=1</formula>
    </cfRule>
    <cfRule type="expression" dxfId="381" priority="140" stopIfTrue="1">
      <formula>OR($B50=0,$B50=2,$B50=3,$B50=4)</formula>
    </cfRule>
  </conditionalFormatting>
  <conditionalFormatting sqref="N50">
    <cfRule type="expression" dxfId="380" priority="138">
      <formula>$J50="►"</formula>
    </cfRule>
  </conditionalFormatting>
  <conditionalFormatting sqref="Q50:AA50">
    <cfRule type="expression" dxfId="379" priority="137">
      <formula>Q50&lt;&gt;ROUND(Q50,2)</formula>
    </cfRule>
  </conditionalFormatting>
  <conditionalFormatting sqref="H50">
    <cfRule type="expression" dxfId="378" priority="135" stopIfTrue="1">
      <formula>$B50=1</formula>
    </cfRule>
    <cfRule type="expression" dxfId="377" priority="136" stopIfTrue="1">
      <formula>OR($B50=0,$B50=2,$B50=3,$B50=4)</formula>
    </cfRule>
  </conditionalFormatting>
  <conditionalFormatting sqref="H50">
    <cfRule type="expression" dxfId="376" priority="134">
      <formula>$J50="►S"</formula>
    </cfRule>
  </conditionalFormatting>
  <conditionalFormatting sqref="Q30:AA30">
    <cfRule type="expression" dxfId="375" priority="81">
      <formula>Q30&lt;&gt;ROUND(Q30,2)</formula>
    </cfRule>
  </conditionalFormatting>
  <conditionalFormatting sqref="H30">
    <cfRule type="expression" dxfId="374" priority="79" stopIfTrue="1">
      <formula>$B30=1</formula>
    </cfRule>
    <cfRule type="expression" dxfId="373" priority="80" stopIfTrue="1">
      <formula>OR($B30=0,$B30=2,$B30=3,$B30=4)</formula>
    </cfRule>
  </conditionalFormatting>
  <conditionalFormatting sqref="Q70:AA70">
    <cfRule type="expression" dxfId="372" priority="78">
      <formula>Q70&lt;&gt;ROUND(Q70,2)</formula>
    </cfRule>
  </conditionalFormatting>
  <conditionalFormatting sqref="H70">
    <cfRule type="expression" dxfId="371" priority="76" stopIfTrue="1">
      <formula>$B70=1</formula>
    </cfRule>
    <cfRule type="expression" dxfId="370" priority="77" stopIfTrue="1">
      <formula>OR($B70=0,$B70=2,$B70=3,$B70=4)</formula>
    </cfRule>
  </conditionalFormatting>
  <conditionalFormatting sqref="D45:G45 I45">
    <cfRule type="expression" dxfId="369" priority="74" stopIfTrue="1">
      <formula>$B45=1</formula>
    </cfRule>
    <cfRule type="expression" dxfId="368" priority="75" stopIfTrue="1">
      <formula>OR($B45=0,$B45=2,$B45=3,$B45=4)</formula>
    </cfRule>
  </conditionalFormatting>
  <conditionalFormatting sqref="N45">
    <cfRule type="expression" dxfId="367" priority="73">
      <formula>$J45="►"</formula>
    </cfRule>
  </conditionalFormatting>
  <conditionalFormatting sqref="Q45:AA45">
    <cfRule type="expression" dxfId="366" priority="72">
      <formula>Q45&lt;&gt;ROUND(Q45,2)</formula>
    </cfRule>
  </conditionalFormatting>
  <conditionalFormatting sqref="H45">
    <cfRule type="expression" dxfId="365" priority="70" stopIfTrue="1">
      <formula>$B45=1</formula>
    </cfRule>
    <cfRule type="expression" dxfId="364" priority="71" stopIfTrue="1">
      <formula>OR($B45=0,$B45=2,$B45=3,$B45=4)</formula>
    </cfRule>
  </conditionalFormatting>
  <conditionalFormatting sqref="H45">
    <cfRule type="expression" dxfId="363" priority="69">
      <formula>$J45="►S"</formula>
    </cfRule>
  </conditionalFormatting>
  <conditionalFormatting sqref="D41:G41 I41">
    <cfRule type="expression" dxfId="362" priority="67" stopIfTrue="1">
      <formula>$B41=1</formula>
    </cfRule>
    <cfRule type="expression" dxfId="361" priority="68" stopIfTrue="1">
      <formula>OR($B41=0,$B41=2,$B41=3,$B41=4)</formula>
    </cfRule>
  </conditionalFormatting>
  <conditionalFormatting sqref="N41">
    <cfRule type="expression" dxfId="360" priority="66">
      <formula>$J41="►"</formula>
    </cfRule>
  </conditionalFormatting>
  <conditionalFormatting sqref="Q41:AA41">
    <cfRule type="expression" dxfId="359" priority="65">
      <formula>Q41&lt;&gt;ROUND(Q41,2)</formula>
    </cfRule>
  </conditionalFormatting>
  <conditionalFormatting sqref="H41">
    <cfRule type="expression" dxfId="358" priority="63" stopIfTrue="1">
      <formula>$B41=1</formula>
    </cfRule>
    <cfRule type="expression" dxfId="357" priority="64" stopIfTrue="1">
      <formula>OR($B41=0,$B41=2,$B41=3,$B41=4)</formula>
    </cfRule>
  </conditionalFormatting>
  <conditionalFormatting sqref="H41">
    <cfRule type="expression" dxfId="356" priority="62">
      <formula>$J41="►S"</formula>
    </cfRule>
  </conditionalFormatting>
  <conditionalFormatting sqref="H57">
    <cfRule type="expression" dxfId="355" priority="60" stopIfTrue="1">
      <formula>$B57=1</formula>
    </cfRule>
    <cfRule type="expression" dxfId="354" priority="61" stopIfTrue="1">
      <formula>OR($B57=0,$B57=2,$B57=3,$B57=4)</formula>
    </cfRule>
  </conditionalFormatting>
  <conditionalFormatting sqref="D36:G36 I36">
    <cfRule type="expression" dxfId="353" priority="51" stopIfTrue="1">
      <formula>$B36=1</formula>
    </cfRule>
    <cfRule type="expression" dxfId="352" priority="52" stopIfTrue="1">
      <formula>OR($B36=0,$B36=2,$B36=3,$B36=4)</formula>
    </cfRule>
  </conditionalFormatting>
  <conditionalFormatting sqref="N36">
    <cfRule type="expression" dxfId="351" priority="50">
      <formula>$J36="►"</formula>
    </cfRule>
  </conditionalFormatting>
  <conditionalFormatting sqref="Q36:AA36">
    <cfRule type="expression" dxfId="350" priority="49">
      <formula>Q36&lt;&gt;ROUND(Q36,2)</formula>
    </cfRule>
  </conditionalFormatting>
  <conditionalFormatting sqref="H36">
    <cfRule type="expression" dxfId="349" priority="47" stopIfTrue="1">
      <formula>$B36=1</formula>
    </cfRule>
    <cfRule type="expression" dxfId="348" priority="48" stopIfTrue="1">
      <formula>OR($B36=0,$B36=2,$B36=3,$B36=4)</formula>
    </cfRule>
  </conditionalFormatting>
  <conditionalFormatting sqref="H36">
    <cfRule type="expression" dxfId="347" priority="46">
      <formula>$J36="►S"</formula>
    </cfRule>
  </conditionalFormatting>
  <conditionalFormatting sqref="H60">
    <cfRule type="expression" dxfId="346" priority="35" stopIfTrue="1">
      <formula>$B60=1</formula>
    </cfRule>
    <cfRule type="expression" dxfId="345" priority="36" stopIfTrue="1">
      <formula>OR($B60=0,$B60=2,$B60=3,$B60=4)</formula>
    </cfRule>
  </conditionalFormatting>
  <conditionalFormatting sqref="H56">
    <cfRule type="expression" dxfId="344" priority="33" stopIfTrue="1">
      <formula>$B56=1</formula>
    </cfRule>
    <cfRule type="expression" dxfId="343" priority="34" stopIfTrue="1">
      <formula>OR($B56=0,$B56=2,$B56=3,$B56=4)</formula>
    </cfRule>
  </conditionalFormatting>
  <conditionalFormatting sqref="D42:G42 I42">
    <cfRule type="expression" dxfId="342" priority="31" stopIfTrue="1">
      <formula>$B42=1</formula>
    </cfRule>
    <cfRule type="expression" dxfId="341" priority="32" stopIfTrue="1">
      <formula>OR($B42=0,$B42=2,$B42=3,$B42=4)</formula>
    </cfRule>
  </conditionalFormatting>
  <conditionalFormatting sqref="N42">
    <cfRule type="expression" dxfId="340" priority="30">
      <formula>$J42="►"</formula>
    </cfRule>
  </conditionalFormatting>
  <conditionalFormatting sqref="Q42:AA42">
    <cfRule type="expression" dxfId="339" priority="29">
      <formula>Q42&lt;&gt;ROUND(Q42,2)</formula>
    </cfRule>
  </conditionalFormatting>
  <conditionalFormatting sqref="H42">
    <cfRule type="expression" dxfId="338" priority="27" stopIfTrue="1">
      <formula>$B42=1</formula>
    </cfRule>
    <cfRule type="expression" dxfId="337" priority="28" stopIfTrue="1">
      <formula>OR($B42=0,$B42=2,$B42=3,$B42=4)</formula>
    </cfRule>
  </conditionalFormatting>
  <conditionalFormatting sqref="H42">
    <cfRule type="expression" dxfId="336" priority="26">
      <formula>$J42="►S"</formula>
    </cfRule>
  </conditionalFormatting>
  <conditionalFormatting sqref="Q24:AA24">
    <cfRule type="expression" dxfId="335" priority="25">
      <formula>Q24&lt;&gt;ROUND(Q24,2)</formula>
    </cfRule>
  </conditionalFormatting>
  <conditionalFormatting sqref="H24">
    <cfRule type="expression" dxfId="334" priority="23" stopIfTrue="1">
      <formula>$B24=1</formula>
    </cfRule>
    <cfRule type="expression" dxfId="333" priority="24" stopIfTrue="1">
      <formula>OR($B24=0,$B24=2,$B24=3,$B24=4)</formula>
    </cfRule>
  </conditionalFormatting>
  <conditionalFormatting sqref="Q19:AA20">
    <cfRule type="expression" dxfId="332" priority="20">
      <formula>Q19&lt;&gt;ROUND(Q19,2)</formula>
    </cfRule>
  </conditionalFormatting>
  <conditionalFormatting sqref="H19:H20">
    <cfRule type="expression" dxfId="331" priority="18" stopIfTrue="1">
      <formula>$B19=1</formula>
    </cfRule>
    <cfRule type="expression" dxfId="330" priority="19" stopIfTrue="1">
      <formula>OR($B19=0,$B19=2,$B19=3,$B19=4)</formula>
    </cfRule>
  </conditionalFormatting>
  <conditionalFormatting sqref="H26">
    <cfRule type="expression" dxfId="329" priority="16" stopIfTrue="1">
      <formula>$B26=1</formula>
    </cfRule>
    <cfRule type="expression" dxfId="328" priority="17" stopIfTrue="1">
      <formula>OR($B26=0,$B26=2,$B26=3,$B26=4)</formula>
    </cfRule>
  </conditionalFormatting>
  <conditionalFormatting sqref="D43:G43 I43">
    <cfRule type="expression" dxfId="327" priority="14" stopIfTrue="1">
      <formula>$B43=1</formula>
    </cfRule>
    <cfRule type="expression" dxfId="326" priority="15" stopIfTrue="1">
      <formula>OR($B43=0,$B43=2,$B43=3,$B43=4)</formula>
    </cfRule>
  </conditionalFormatting>
  <conditionalFormatting sqref="N43">
    <cfRule type="expression" dxfId="325" priority="13">
      <formula>$J43="►"</formula>
    </cfRule>
  </conditionalFormatting>
  <conditionalFormatting sqref="Q43:AA43">
    <cfRule type="expression" dxfId="324" priority="12">
      <formula>Q43&lt;&gt;ROUND(Q43,2)</formula>
    </cfRule>
  </conditionalFormatting>
  <conditionalFormatting sqref="H43">
    <cfRule type="expression" dxfId="323" priority="10" stopIfTrue="1">
      <formula>$B43=1</formula>
    </cfRule>
    <cfRule type="expression" dxfId="322" priority="11" stopIfTrue="1">
      <formula>OR($B43=0,$B43=2,$B43=3,$B43=4)</formula>
    </cfRule>
  </conditionalFormatting>
  <conditionalFormatting sqref="H43">
    <cfRule type="expression" dxfId="321" priority="9">
      <formula>$J43="►S"</formula>
    </cfRule>
  </conditionalFormatting>
  <conditionalFormatting sqref="H61">
    <cfRule type="expression" dxfId="320" priority="7" stopIfTrue="1">
      <formula>$B61=1</formula>
    </cfRule>
    <cfRule type="expression" dxfId="319" priority="8" stopIfTrue="1">
      <formula>OR($B61=0,$B61=2,$B61=3,$B61=4)</formula>
    </cfRule>
  </conditionalFormatting>
  <conditionalFormatting sqref="Q71:AA71">
    <cfRule type="expression" dxfId="318" priority="6">
      <formula>Q71&lt;&gt;ROUND(Q71,2)</formula>
    </cfRule>
  </conditionalFormatting>
  <conditionalFormatting sqref="H71">
    <cfRule type="expression" dxfId="317" priority="4" stopIfTrue="1">
      <formula>$B71=1</formula>
    </cfRule>
    <cfRule type="expression" dxfId="316" priority="5" stopIfTrue="1">
      <formula>OR($B71=0,$B71=2,$B71=3,$B71=4)</formula>
    </cfRule>
  </conditionalFormatting>
  <conditionalFormatting sqref="Q72:AA72">
    <cfRule type="expression" dxfId="315" priority="3">
      <formula>Q72&lt;&gt;ROUND(Q72,2)</formula>
    </cfRule>
  </conditionalFormatting>
  <conditionalFormatting sqref="H72">
    <cfRule type="expression" dxfId="314" priority="1" stopIfTrue="1">
      <formula>$B72=1</formula>
    </cfRule>
    <cfRule type="expression" dxfId="313" priority="2" stopIfTrue="1">
      <formula>OR($B72=0,$B72=2,$B72=3,$B72=4)</formula>
    </cfRule>
  </conditionalFormatting>
  <dataValidations disablePrompts="1" count="4">
    <dataValidation type="decimal" operator="greaterThan" allowBlank="1" showErrorMessage="1" error="Apenas números decimais maiores que zero." sqref="O14 Q14:Z14 Q16:Z161 O16:O161"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61"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61"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IF(AUTOEVENTO="Manual",IF(EVENTOS!$F1&gt;0,"F",""),IF(AND(B1&gt;0,B1&lt;=MAX(CÁLCULO!$M$15:$M$162)),"F",""))</f>
        <v>#REF!</v>
      </c>
      <c r="B1" s="247" t="e">
        <f ca="1">OFFSET(B1,-1,0)+1</f>
        <v>#REF!</v>
      </c>
      <c r="C1" s="514" t="e">
        <f ca="1">IF(AUTOEVENTO="Manual",IF($B1&gt;0,OFFSET(EVENTOS!$D$15,$B1-$B$15,0),0),IF(B1&lt;=MAX(CÁLCULO!$M$15:$M$162),VLOOKUP($B1,CÁLCULO!$M$15:$N$162,2,FALSE),0))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f>Import.Proponente</f>
        <v>0</v>
      </c>
      <c r="C5" s="703"/>
      <c r="D5" s="703"/>
      <c r="G5" s="716">
        <f>Import.CR</f>
        <v>0</v>
      </c>
      <c r="H5" s="716"/>
      <c r="I5" s="716"/>
      <c r="J5" s="716">
        <f>Import.SICONV</f>
        <v>0</v>
      </c>
      <c r="K5" s="716"/>
      <c r="L5" s="716"/>
      <c r="M5" s="725" t="str">
        <f>Import.Apelido</f>
        <v xml:space="preserve">TRAVESSIA EM ADUELAS ESTRADA PRINCIPAL DO VIRA </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IF(MAX($B$14:$B$65)&lt;MAX(CÁLCULO!$M$15:$M$162),"ERRO: NÚMERO DE EVENTOS INSUFICIENTE, CLIQUE EM ATUALIZAR LINHAS",
  IF(ROUND(OFFSET(CRONO!$AG$81,0,-1),2)&lt;&gt;CRONO!$R$72,"ERRO: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32"/>
      <c r="C8" s="733"/>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MATCH(VALUE(A8),CÁLCULO!$M$15:$M$162,0)-2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IF(AUTOEVENTO="Manual",IF(EVENTOS!$F15&gt;0,"F",""),IF(AND(B15&gt;0,B15&lt;=MAX(CÁLCULO!$M$15:$M$162)),"F",""))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IF(AUTOEVENTO="Manual",IF(EVENTOS!$F16&gt;0,"F",""),IF(AND(B16&gt;0,B16&lt;=MAX(CÁLCULO!$M$15:$M$162)),"F",""))</f>
        <v>F</v>
      </c>
      <c r="B16" s="247">
        <f t="shared" ref="B16:B64" ca="1" si="1">OFFSET(B16,-1,0)+1</f>
        <v>1</v>
      </c>
      <c r="C16" s="514" t="str">
        <f ca="1">IF(AUTOEVENTO="Manual",IF($B16&gt;0,OFFSET(EVENTOS!$D$15,$B16-$B$15,0),0),IF(B16&lt;=MAX(CÁLCULO!$M$15:$M$162),VLOOKUP($B16,CÁLCULO!$M$15:$N$162,2,FALSE),0))</f>
        <v>SERVIÇOS PRELIMINARES</v>
      </c>
      <c r="D16" s="554"/>
      <c r="E16" s="248"/>
      <c r="F16" t="str">
        <f t="shared" ref="F16:F64" ca="1" si="2">IF($C16=0,"",CONCATENATE($B16,". ",$C16))</f>
        <v>1. SERVIÇOS PRELIMINARES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IF(AUTOEVENTO="Manual",IF(EVENTOS!$F17&gt;0,"F",""),IF(AND(B17&gt;0,B17&lt;=MAX(CÁLCULO!$M$15:$M$162)),"F",""))</f>
        <v>F</v>
      </c>
      <c r="B17" s="247">
        <f t="shared" ca="1" si="1"/>
        <v>2</v>
      </c>
      <c r="C17" s="514" t="str">
        <f ca="1">IF(AUTOEVENTO="Manual",IF($B17&gt;0,OFFSET(EVENTOS!$D$15,$B17-$B$15,0),0),IF(B17&lt;=MAX(CÁLCULO!$M$15:$M$162),VLOOKUP($B17,CÁLCULO!$M$15:$N$162,2,FALSE),0))</f>
        <v>INSTALAÇÃO DA OBRA</v>
      </c>
      <c r="D17" s="554"/>
      <c r="E17" s="248"/>
      <c r="F17" t="str">
        <f t="shared" ca="1" si="2"/>
        <v>2. INSTALAÇÃO DA OBRA</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IF(AUTOEVENTO="Manual",IF(EVENTOS!$F18&gt;0,"F",""),IF(AND(B18&gt;0,B18&lt;=MAX(CÁLCULO!$M$15:$M$162)),"F",""))</f>
        <v>F</v>
      </c>
      <c r="B18" s="247">
        <f t="shared" ca="1" si="1"/>
        <v>3</v>
      </c>
      <c r="C18" s="514" t="str">
        <f ca="1">IF(AUTOEVENTO="Manual",IF($B18&gt;0,OFFSET(EVENTOS!$D$15,$B18-$B$15,0),0),IF(B18&lt;=MAX(CÁLCULO!$M$15:$M$162),VLOOKUP($B18,CÁLCULO!$M$15:$N$162,2,FALSE),0))</f>
        <v>DEMOLIÇÕES E REMOÇÕES</v>
      </c>
      <c r="D18" s="554"/>
      <c r="E18" s="248"/>
      <c r="F18" t="str">
        <f t="shared" ca="1" si="2"/>
        <v>3. DEMOLIÇÕES E REMOÇÕES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IF(AUTOEVENTO="Manual",IF(EVENTOS!$F19&gt;0,"F",""),IF(AND(B19&gt;0,B19&lt;=MAX(CÁLCULO!$M$15:$M$162)),"F",""))</f>
        <v>F</v>
      </c>
      <c r="B19" s="247">
        <f t="shared" ca="1" si="1"/>
        <v>4</v>
      </c>
      <c r="C19" s="514" t="str">
        <f ca="1">IF(AUTOEVENTO="Manual",IF($B19&gt;0,OFFSET(EVENTOS!$D$15,$B19-$B$15,0),0),IF(B19&lt;=MAX(CÁLCULO!$M$15:$M$162),VLOOKUP($B19,CÁLCULO!$M$15:$N$162,2,FALSE),0))</f>
        <v>CORTA RIO</v>
      </c>
      <c r="D19" s="554"/>
      <c r="E19" s="248"/>
      <c r="F19" t="str">
        <f t="shared" ca="1" si="2"/>
        <v>4. CORTA RIO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IF(AUTOEVENTO="Manual",IF(EVENTOS!$F20&gt;0,"F",""),IF(AND(B20&gt;0,B20&lt;=MAX(CÁLCULO!$M$15:$M$162)),"F",""))</f>
        <v>F</v>
      </c>
      <c r="B20" s="247">
        <f t="shared" ca="1" si="1"/>
        <v>5</v>
      </c>
      <c r="C20" s="514" t="str">
        <f ca="1">IF(AUTOEVENTO="Manual",IF($B20&gt;0,OFFSET(EVENTOS!$D$15,$B20-$B$15,0),0),IF(B20&lt;=MAX(CÁLCULO!$M$15:$M$162),VLOOKUP($B20,CÁLCULO!$M$15:$N$162,2,FALSE),0))</f>
        <v>MOVIMENTAÇÃO DE TERRA</v>
      </c>
      <c r="D20" s="554"/>
      <c r="E20" s="248"/>
      <c r="F20" t="str">
        <f t="shared" ca="1" si="2"/>
        <v>5. MOVIMENTAÇÃO DE TERRA</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IF(AUTOEVENTO="Manual",IF(EVENTOS!$F21&gt;0,"F",""),IF(AND(B21&gt;0,B21&lt;=MAX(CÁLCULO!$M$15:$M$162)),"F",""))</f>
        <v>F</v>
      </c>
      <c r="B21" s="247">
        <f t="shared" ca="1" si="1"/>
        <v>6</v>
      </c>
      <c r="C21" s="514" t="str">
        <f ca="1">IF(AUTOEVENTO="Manual",IF($B21&gt;0,OFFSET(EVENTOS!$D$15,$B21-$B$15,0),0),IF(B21&lt;=MAX(CÁLCULO!$M$15:$M$162),VLOOKUP($B21,CÁLCULO!$M$15:$N$162,2,FALSE),0))</f>
        <v>FUNDAÇÕES</v>
      </c>
      <c r="D21" s="554"/>
      <c r="E21" s="248"/>
      <c r="F21" t="str">
        <f t="shared" ca="1" si="2"/>
        <v>6. FUNDAÇÕES</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IF(AUTOEVENTO="Manual",IF(EVENTOS!$F22&gt;0,"F",""),IF(AND(B22&gt;0,B22&lt;=MAX(CÁLCULO!$M$15:$M$162)),"F",""))</f>
        <v>F</v>
      </c>
      <c r="B22" s="247">
        <f t="shared" ca="1" si="1"/>
        <v>7</v>
      </c>
      <c r="C22" s="514" t="str">
        <f ca="1">IF(AUTOEVENTO="Manual",IF($B22&gt;0,OFFSET(EVENTOS!$D$15,$B22-$B$15,0),0),IF(B22&lt;=MAX(CÁLCULO!$M$15:$M$162),VLOOKUP($B22,CÁLCULO!$M$15:$N$162,2,FALSE),0))</f>
        <v>ESCORAMENTO</v>
      </c>
      <c r="D22" s="554"/>
      <c r="E22" s="248"/>
      <c r="F22" t="str">
        <f t="shared" ca="1" si="2"/>
        <v>7. ESCORAMENTO</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IF(AUTOEVENTO="Manual",IF(EVENTOS!$F23&gt;0,"F",""),IF(AND(B23&gt;0,B23&lt;=MAX(CÁLCULO!$M$15:$M$162)),"F",""))</f>
        <v>F</v>
      </c>
      <c r="B23" s="247">
        <f t="shared" ca="1" si="1"/>
        <v>8</v>
      </c>
      <c r="C23" s="514" t="str">
        <f ca="1">IF(AUTOEVENTO="Manual",IF($B23&gt;0,OFFSET(EVENTOS!$D$15,$B23-$B$15,0),0),IF(B23&lt;=MAX(CÁLCULO!$M$15:$M$162),VLOOKUP($B23,CÁLCULO!$M$15:$N$162,2,FALSE),0))</f>
        <v>DISPOSITIVOS DE DRENAGEM</v>
      </c>
      <c r="D23" s="554"/>
      <c r="E23" s="248"/>
      <c r="F23" t="str">
        <f t="shared" ca="1" si="2"/>
        <v>8. DISPOSITIVOS DE DRENAGEM</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IF(AUTOEVENTO="Manual",IF(EVENTOS!$F24&gt;0,"F",""),IF(AND(B24&gt;0,B24&lt;=MAX(CÁLCULO!$M$15:$M$162)),"F",""))</f>
        <v>F</v>
      </c>
      <c r="B24" s="247">
        <f t="shared" ca="1" si="1"/>
        <v>9</v>
      </c>
      <c r="C24" s="514" t="str">
        <f ca="1">IF(AUTOEVENTO="Manual",IF($B24&gt;0,OFFSET(EVENTOS!$D$15,$B24-$B$15,0),0),IF(B24&lt;=MAX(CÁLCULO!$M$15:$M$162),VLOOKUP($B24,CÁLCULO!$M$15:$N$162,2,FALSE),0))</f>
        <v>CANAL E DRENOS</v>
      </c>
      <c r="D24" s="554"/>
      <c r="E24" s="248"/>
      <c r="F24" t="str">
        <f t="shared" ca="1" si="2"/>
        <v>9. CANAL E DRENOS</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IF(AUTOEVENTO="Manual",IF(EVENTOS!$F25&gt;0,"F",""),IF(AND(B25&gt;0,B25&lt;=MAX(CÁLCULO!$M$15:$M$162)),"F",""))</f>
        <v>F</v>
      </c>
      <c r="B25" s="247">
        <f t="shared" ca="1" si="1"/>
        <v>10</v>
      </c>
      <c r="C25" s="514" t="str">
        <f ca="1">IF(AUTOEVENTO="Manual",IF($B25&gt;0,OFFSET(EVENTOS!$D$15,$B25-$B$15,0),0),IF(B25&lt;=MAX(CÁLCULO!$M$15:$M$162),VLOOKUP($B25,CÁLCULO!$M$15:$N$162,2,FALSE),0))</f>
        <v>SINALIZAÇÃO VERTICAL</v>
      </c>
      <c r="D25" s="554"/>
      <c r="E25" s="248"/>
      <c r="F25" t="str">
        <f t="shared" ca="1" si="2"/>
        <v>10. SINALIZAÇÃO VERTICAL</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IF(AUTOEVENTO="Manual",IF(EVENTOS!$F26&gt;0,"F",""),IF(AND(B26&gt;0,B26&lt;=MAX(CÁLCULO!$M$15:$M$162)),"F",""))</f>
        <v>F</v>
      </c>
      <c r="B26" s="247">
        <f t="shared" ca="1" si="1"/>
        <v>11</v>
      </c>
      <c r="C26" s="514" t="str">
        <f ca="1">IF(AUTOEVENTO="Manual",IF($B26&gt;0,OFFSET(EVENTOS!$D$15,$B26-$B$15,0),0),IF(B26&lt;=MAX(CÁLCULO!$M$15:$M$162),VLOOKUP($B26,CÁLCULO!$M$15:$N$162,2,FALSE),0))</f>
        <v>OBRAS COMPLEMENTARES</v>
      </c>
      <c r="D26" s="554"/>
      <c r="E26" s="248"/>
      <c r="F26" t="str">
        <f t="shared" ca="1" si="2"/>
        <v>11. OBRAS COMPLEMENTARES</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IF(AUTOEVENTO="Manual",IF(EVENTOS!$F27&gt;0,"F",""),IF(AND(B27&gt;0,B27&lt;=MAX(CÁLCULO!$M$15:$M$162)),"F",""))</f>
        <v>F</v>
      </c>
      <c r="B27" s="247">
        <f t="shared" ca="1" si="1"/>
        <v>12</v>
      </c>
      <c r="C27" s="514" t="str">
        <f ca="1">IF(AUTOEVENTO="Manual",IF($B27&gt;0,OFFSET(EVENTOS!$D$15,$B27-$B$15,0),0),IF(B27&lt;=MAX(CÁLCULO!$M$15:$M$162),VLOOKUP($B27,CÁLCULO!$M$15:$N$162,2,FALSE),0))</f>
        <v xml:space="preserve">ADMINISTRAÇÃO LOCAL </v>
      </c>
      <c r="D27" s="554"/>
      <c r="E27" s="248"/>
      <c r="F27" t="str">
        <f t="shared" ca="1" si="2"/>
        <v xml:space="preserve">12. ADMINISTRAÇÃO LOCAL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IF(AUTOEVENTO="Manual",IF(EVENTOS!$F28&gt;0,"F",""),IF(AND(B28&gt;0,B28&lt;=MAX(CÁLCULO!$M$15:$M$162)),"F",""))</f>
        <v/>
      </c>
      <c r="B28" s="247">
        <f t="shared" ca="1" si="1"/>
        <v>13</v>
      </c>
      <c r="C28" s="514">
        <f ca="1">IF(AUTOEVENTO="Manual",IF($B28&gt;0,OFFSET(EVENTOS!$D$15,$B28-$B$15,0),0),IF(B28&lt;=MAX(CÁLCULO!$M$15:$M$162),VLOOKUP($B28,CÁLCULO!$M$15:$N$162,2,FALSE),0))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IF(AUTOEVENTO="Manual",IF(EVENTOS!$F29&gt;0,"F",""),IF(AND(B29&gt;0,B29&lt;=MAX(CÁLCULO!$M$15:$M$162)),"F",""))</f>
        <v/>
      </c>
      <c r="B29" s="247">
        <f t="shared" ca="1" si="1"/>
        <v>14</v>
      </c>
      <c r="C29" s="514">
        <f ca="1">IF(AUTOEVENTO="Manual",IF($B29&gt;0,OFFSET(EVENTOS!$D$15,$B29-$B$15,0),0),IF(B29&lt;=MAX(CÁLCULO!$M$15:$M$162),VLOOKUP($B29,CÁLCULO!$M$15:$N$162,2,FALSE),0))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IF(AUTOEVENTO="Manual",IF(EVENTOS!$F30&gt;0,"F",""),IF(AND(B30&gt;0,B30&lt;=MAX(CÁLCULO!$M$15:$M$162)),"F",""))</f>
        <v/>
      </c>
      <c r="B30" s="247">
        <f t="shared" ca="1" si="1"/>
        <v>15</v>
      </c>
      <c r="C30" s="514">
        <f ca="1">IF(AUTOEVENTO="Manual",IF($B30&gt;0,OFFSET(EVENTOS!$D$15,$B30-$B$15,0),0),IF(B30&lt;=MAX(CÁLCULO!$M$15:$M$162),VLOOKUP($B30,CÁLCULO!$M$15:$N$162,2,FALSE),0))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IF(AUTOEVENTO="Manual",IF(EVENTOS!$F31&gt;0,"F",""),IF(AND(B31&gt;0,B31&lt;=MAX(CÁLCULO!$M$15:$M$162)),"F",""))</f>
        <v/>
      </c>
      <c r="B31" s="247">
        <f t="shared" ca="1" si="1"/>
        <v>16</v>
      </c>
      <c r="C31" s="514">
        <f ca="1">IF(AUTOEVENTO="Manual",IF($B31&gt;0,OFFSET(EVENTOS!$D$15,$B31-$B$15,0),0),IF(B31&lt;=MAX(CÁLCULO!$M$15:$M$162),VLOOKUP($B31,CÁLCULO!$M$15:$N$162,2,FALSE),0))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IF(AUTOEVENTO="Manual",IF(EVENTOS!$F32&gt;0,"F",""),IF(AND(B32&gt;0,B32&lt;=MAX(CÁLCULO!$M$15:$M$162)),"F",""))</f>
        <v/>
      </c>
      <c r="B32" s="247">
        <f t="shared" ca="1" si="1"/>
        <v>17</v>
      </c>
      <c r="C32" s="514">
        <f ca="1">IF(AUTOEVENTO="Manual",IF($B32&gt;0,OFFSET(EVENTOS!$D$15,$B32-$B$15,0),0),IF(B32&lt;=MAX(CÁLCULO!$M$15:$M$162),VLOOKUP($B32,CÁLCULO!$M$15:$N$162,2,FALSE),0))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IF(AUTOEVENTO="Manual",IF(EVENTOS!$F33&gt;0,"F",""),IF(AND(B33&gt;0,B33&lt;=MAX(CÁLCULO!$M$15:$M$162)),"F",""))</f>
        <v/>
      </c>
      <c r="B33" s="247">
        <f t="shared" ca="1" si="1"/>
        <v>18</v>
      </c>
      <c r="C33" s="514">
        <f ca="1">IF(AUTOEVENTO="Manual",IF($B33&gt;0,OFFSET(EVENTOS!$D$15,$B33-$B$15,0),0),IF(B33&lt;=MAX(CÁLCULO!$M$15:$M$162),VLOOKUP($B33,CÁLCULO!$M$15:$N$162,2,FALSE),0))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IF(AUTOEVENTO="Manual",IF(EVENTOS!$F34&gt;0,"F",""),IF(AND(B34&gt;0,B34&lt;=MAX(CÁLCULO!$M$15:$M$162)),"F",""))</f>
        <v/>
      </c>
      <c r="B34" s="247">
        <f t="shared" ca="1" si="1"/>
        <v>19</v>
      </c>
      <c r="C34" s="514">
        <f ca="1">IF(AUTOEVENTO="Manual",IF($B34&gt;0,OFFSET(EVENTOS!$D$15,$B34-$B$15,0),0),IF(B34&lt;=MAX(CÁLCULO!$M$15:$M$162),VLOOKUP($B34,CÁLCULO!$M$15:$N$162,2,FALSE),0))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IF(AUTOEVENTO="Manual",IF(EVENTOS!$F35&gt;0,"F",""),IF(AND(B35&gt;0,B35&lt;=MAX(CÁLCULO!$M$15:$M$162)),"F",""))</f>
        <v/>
      </c>
      <c r="B35" s="247">
        <f t="shared" ca="1" si="1"/>
        <v>20</v>
      </c>
      <c r="C35" s="514">
        <f ca="1">IF(AUTOEVENTO="Manual",IF($B35&gt;0,OFFSET(EVENTOS!$D$15,$B35-$B$15,0),0),IF(B35&lt;=MAX(CÁLCULO!$M$15:$M$162),VLOOKUP($B35,CÁLCULO!$M$15:$N$162,2,FALSE),0))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IF(AUTOEVENTO="Manual",IF(EVENTOS!$F36&gt;0,"F",""),IF(AND(B36&gt;0,B36&lt;=MAX(CÁLCULO!$M$15:$M$162)),"F",""))</f>
        <v/>
      </c>
      <c r="B36" s="247">
        <f t="shared" ca="1" si="1"/>
        <v>21</v>
      </c>
      <c r="C36" s="514">
        <f ca="1">IF(AUTOEVENTO="Manual",IF($B36&gt;0,OFFSET(EVENTOS!$D$15,$B36-$B$15,0),0),IF(B36&lt;=MAX(CÁLCULO!$M$15:$M$162),VLOOKUP($B36,CÁLCULO!$M$15:$N$162,2,FALSE),0))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IF(AUTOEVENTO="Manual",IF(EVENTOS!$F37&gt;0,"F",""),IF(AND(B37&gt;0,B37&lt;=MAX(CÁLCULO!$M$15:$M$162)),"F",""))</f>
        <v/>
      </c>
      <c r="B37" s="247">
        <f t="shared" ca="1" si="1"/>
        <v>22</v>
      </c>
      <c r="C37" s="514">
        <f ca="1">IF(AUTOEVENTO="Manual",IF($B37&gt;0,OFFSET(EVENTOS!$D$15,$B37-$B$15,0),0),IF(B37&lt;=MAX(CÁLCULO!$M$15:$M$162),VLOOKUP($B37,CÁLCULO!$M$15:$N$162,2,FALSE),0))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IF(AUTOEVENTO="Manual",IF(EVENTOS!$F38&gt;0,"F",""),IF(AND(B38&gt;0,B38&lt;=MAX(CÁLCULO!$M$15:$M$162)),"F",""))</f>
        <v/>
      </c>
      <c r="B38" s="247">
        <f t="shared" ca="1" si="1"/>
        <v>23</v>
      </c>
      <c r="C38" s="514">
        <f ca="1">IF(AUTOEVENTO="Manual",IF($B38&gt;0,OFFSET(EVENTOS!$D$15,$B38-$B$15,0),0),IF(B38&lt;=MAX(CÁLCULO!$M$15:$M$162),VLOOKUP($B38,CÁLCULO!$M$15:$N$162,2,FALSE),0))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IF(AUTOEVENTO="Manual",IF(EVENTOS!$F39&gt;0,"F",""),IF(AND(B39&gt;0,B39&lt;=MAX(CÁLCULO!$M$15:$M$162)),"F",""))</f>
        <v/>
      </c>
      <c r="B39" s="247">
        <f t="shared" ca="1" si="1"/>
        <v>24</v>
      </c>
      <c r="C39" s="514">
        <f ca="1">IF(AUTOEVENTO="Manual",IF($B39&gt;0,OFFSET(EVENTOS!$D$15,$B39-$B$15,0),0),IF(B39&lt;=MAX(CÁLCULO!$M$15:$M$162),VLOOKUP($B39,CÁLCULO!$M$15:$N$162,2,FALSE),0))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IF(AUTOEVENTO="Manual",IF(EVENTOS!$F40&gt;0,"F",""),IF(AND(B40&gt;0,B40&lt;=MAX(CÁLCULO!$M$15:$M$162)),"F",""))</f>
        <v/>
      </c>
      <c r="B40" s="247">
        <f t="shared" ca="1" si="1"/>
        <v>25</v>
      </c>
      <c r="C40" s="514">
        <f ca="1">IF(AUTOEVENTO="Manual",IF($B40&gt;0,OFFSET(EVENTOS!$D$15,$B40-$B$15,0),0),IF(B40&lt;=MAX(CÁLCULO!$M$15:$M$162),VLOOKUP($B40,CÁLCULO!$M$15:$N$162,2,FALSE),0))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IF(AUTOEVENTO="Manual",IF(EVENTOS!$F41&gt;0,"F",""),IF(AND(B41&gt;0,B41&lt;=MAX(CÁLCULO!$M$15:$M$162)),"F",""))</f>
        <v/>
      </c>
      <c r="B41" s="247">
        <f t="shared" ca="1" si="1"/>
        <v>26</v>
      </c>
      <c r="C41" s="514">
        <f ca="1">IF(AUTOEVENTO="Manual",IF($B41&gt;0,OFFSET(EVENTOS!$D$15,$B41-$B$15,0),0),IF(B41&lt;=MAX(CÁLCULO!$M$15:$M$162),VLOOKUP($B41,CÁLCULO!$M$15:$N$162,2,FALSE),0))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IF(AUTOEVENTO="Manual",IF(EVENTOS!$F42&gt;0,"F",""),IF(AND(B42&gt;0,B42&lt;=MAX(CÁLCULO!$M$15:$M$162)),"F",""))</f>
        <v/>
      </c>
      <c r="B42" s="247">
        <f t="shared" ca="1" si="1"/>
        <v>27</v>
      </c>
      <c r="C42" s="514">
        <f ca="1">IF(AUTOEVENTO="Manual",IF($B42&gt;0,OFFSET(EVENTOS!$D$15,$B42-$B$15,0),0),IF(B42&lt;=MAX(CÁLCULO!$M$15:$M$162),VLOOKUP($B42,CÁLCULO!$M$15:$N$162,2,FALSE),0))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IF(AUTOEVENTO="Manual",IF(EVENTOS!$F43&gt;0,"F",""),IF(AND(B43&gt;0,B43&lt;=MAX(CÁLCULO!$M$15:$M$162)),"F",""))</f>
        <v/>
      </c>
      <c r="B43" s="247">
        <f t="shared" ca="1" si="1"/>
        <v>28</v>
      </c>
      <c r="C43" s="514">
        <f ca="1">IF(AUTOEVENTO="Manual",IF($B43&gt;0,OFFSET(EVENTOS!$D$15,$B43-$B$15,0),0),IF(B43&lt;=MAX(CÁLCULO!$M$15:$M$162),VLOOKUP($B43,CÁLCULO!$M$15:$N$162,2,FALSE),0))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IF(AUTOEVENTO="Manual",IF(EVENTOS!$F44&gt;0,"F",""),IF(AND(B44&gt;0,B44&lt;=MAX(CÁLCULO!$M$15:$M$162)),"F",""))</f>
        <v/>
      </c>
      <c r="B44" s="247">
        <f t="shared" ca="1" si="1"/>
        <v>29</v>
      </c>
      <c r="C44" s="514">
        <f ca="1">IF(AUTOEVENTO="Manual",IF($B44&gt;0,OFFSET(EVENTOS!$D$15,$B44-$B$15,0),0),IF(B44&lt;=MAX(CÁLCULO!$M$15:$M$162),VLOOKUP($B44,CÁLCULO!$M$15:$N$162,2,FALSE),0))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IF(AUTOEVENTO="Manual",IF(EVENTOS!$F45&gt;0,"F",""),IF(AND(B45&gt;0,B45&lt;=MAX(CÁLCULO!$M$15:$M$162)),"F",""))</f>
        <v/>
      </c>
      <c r="B45" s="247">
        <f t="shared" ca="1" si="1"/>
        <v>30</v>
      </c>
      <c r="C45" s="514">
        <f ca="1">IF(AUTOEVENTO="Manual",IF($B45&gt;0,OFFSET(EVENTOS!$D$15,$B45-$B$15,0),0),IF(B45&lt;=MAX(CÁLCULO!$M$15:$M$162),VLOOKUP($B45,CÁLCULO!$M$15:$N$162,2,FALSE),0))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IF(AUTOEVENTO="Manual",IF(EVENTOS!$F46&gt;0,"F",""),IF(AND(B46&gt;0,B46&lt;=MAX(CÁLCULO!$M$15:$M$162)),"F",""))</f>
        <v/>
      </c>
      <c r="B46" s="247">
        <f t="shared" ca="1" si="1"/>
        <v>31</v>
      </c>
      <c r="C46" s="514">
        <f ca="1">IF(AUTOEVENTO="Manual",IF($B46&gt;0,OFFSET(EVENTOS!$D$15,$B46-$B$15,0),0),IF(B46&lt;=MAX(CÁLCULO!$M$15:$M$162),VLOOKUP($B46,CÁLCULO!$M$15:$N$162,2,FALSE),0))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IF(AUTOEVENTO="Manual",IF(EVENTOS!$F47&gt;0,"F",""),IF(AND(B47&gt;0,B47&lt;=MAX(CÁLCULO!$M$15:$M$162)),"F",""))</f>
        <v/>
      </c>
      <c r="B47" s="247">
        <f t="shared" ca="1" si="1"/>
        <v>32</v>
      </c>
      <c r="C47" s="514">
        <f ca="1">IF(AUTOEVENTO="Manual",IF($B47&gt;0,OFFSET(EVENTOS!$D$15,$B47-$B$15,0),0),IF(B47&lt;=MAX(CÁLCULO!$M$15:$M$162),VLOOKUP($B47,CÁLCULO!$M$15:$N$162,2,FALSE),0))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IF(AUTOEVENTO="Manual",IF(EVENTOS!$F48&gt;0,"F",""),IF(AND(B48&gt;0,B48&lt;=MAX(CÁLCULO!$M$15:$M$162)),"F",""))</f>
        <v/>
      </c>
      <c r="B48" s="247">
        <f t="shared" ca="1" si="1"/>
        <v>33</v>
      </c>
      <c r="C48" s="514">
        <f ca="1">IF(AUTOEVENTO="Manual",IF($B48&gt;0,OFFSET(EVENTOS!$D$15,$B48-$B$15,0),0),IF(B48&lt;=MAX(CÁLCULO!$M$15:$M$162),VLOOKUP($B48,CÁLCULO!$M$15:$N$162,2,FALSE),0))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IF(AUTOEVENTO="Manual",IF(EVENTOS!$F49&gt;0,"F",""),IF(AND(B49&gt;0,B49&lt;=MAX(CÁLCULO!$M$15:$M$162)),"F",""))</f>
        <v/>
      </c>
      <c r="B49" s="247">
        <f t="shared" ca="1" si="1"/>
        <v>34</v>
      </c>
      <c r="C49" s="514">
        <f ca="1">IF(AUTOEVENTO="Manual",IF($B49&gt;0,OFFSET(EVENTOS!$D$15,$B49-$B$15,0),0),IF(B49&lt;=MAX(CÁLCULO!$M$15:$M$162),VLOOKUP($B49,CÁLCULO!$M$15:$N$162,2,FALSE),0))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IF(AUTOEVENTO="Manual",IF(EVENTOS!$F50&gt;0,"F",""),IF(AND(B50&gt;0,B50&lt;=MAX(CÁLCULO!$M$15:$M$162)),"F",""))</f>
        <v/>
      </c>
      <c r="B50" s="247">
        <f t="shared" ca="1" si="1"/>
        <v>35</v>
      </c>
      <c r="C50" s="514">
        <f ca="1">IF(AUTOEVENTO="Manual",IF($B50&gt;0,OFFSET(EVENTOS!$D$15,$B50-$B$15,0),0),IF(B50&lt;=MAX(CÁLCULO!$M$15:$M$162),VLOOKUP($B50,CÁLCULO!$M$15:$N$162,2,FALSE),0))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IF(AUTOEVENTO="Manual",IF(EVENTOS!$F51&gt;0,"F",""),IF(AND(B51&gt;0,B51&lt;=MAX(CÁLCULO!$M$15:$M$162)),"F",""))</f>
        <v/>
      </c>
      <c r="B51" s="247">
        <f t="shared" ca="1" si="1"/>
        <v>36</v>
      </c>
      <c r="C51" s="514">
        <f ca="1">IF(AUTOEVENTO="Manual",IF($B51&gt;0,OFFSET(EVENTOS!$D$15,$B51-$B$15,0),0),IF(B51&lt;=MAX(CÁLCULO!$M$15:$M$162),VLOOKUP($B51,CÁLCULO!$M$15:$N$162,2,FALSE),0))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IF(AUTOEVENTO="Manual",IF(EVENTOS!$F52&gt;0,"F",""),IF(AND(B52&gt;0,B52&lt;=MAX(CÁLCULO!$M$15:$M$162)),"F",""))</f>
        <v/>
      </c>
      <c r="B52" s="247">
        <f t="shared" ca="1" si="1"/>
        <v>37</v>
      </c>
      <c r="C52" s="514">
        <f ca="1">IF(AUTOEVENTO="Manual",IF($B52&gt;0,OFFSET(EVENTOS!$D$15,$B52-$B$15,0),0),IF(B52&lt;=MAX(CÁLCULO!$M$15:$M$162),VLOOKUP($B52,CÁLCULO!$M$15:$N$162,2,FALSE),0))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IF(AUTOEVENTO="Manual",IF(EVENTOS!$F53&gt;0,"F",""),IF(AND(B53&gt;0,B53&lt;=MAX(CÁLCULO!$M$15:$M$162)),"F",""))</f>
        <v/>
      </c>
      <c r="B53" s="247">
        <f t="shared" ca="1" si="1"/>
        <v>38</v>
      </c>
      <c r="C53" s="514">
        <f ca="1">IF(AUTOEVENTO="Manual",IF($B53&gt;0,OFFSET(EVENTOS!$D$15,$B53-$B$15,0),0),IF(B53&lt;=MAX(CÁLCULO!$M$15:$M$162),VLOOKUP($B53,CÁLCULO!$M$15:$N$162,2,FALSE),0))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IF(AUTOEVENTO="Manual",IF(EVENTOS!$F54&gt;0,"F",""),IF(AND(B54&gt;0,B54&lt;=MAX(CÁLCULO!$M$15:$M$162)),"F",""))</f>
        <v/>
      </c>
      <c r="B54" s="247">
        <f t="shared" ca="1" si="1"/>
        <v>39</v>
      </c>
      <c r="C54" s="514">
        <f ca="1">IF(AUTOEVENTO="Manual",IF($B54&gt;0,OFFSET(EVENTOS!$D$15,$B54-$B$15,0),0),IF(B54&lt;=MAX(CÁLCULO!$M$15:$M$162),VLOOKUP($B54,CÁLCULO!$M$15:$N$162,2,FALSE),0))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IF(AUTOEVENTO="Manual",IF(EVENTOS!$F55&gt;0,"F",""),IF(AND(B55&gt;0,B55&lt;=MAX(CÁLCULO!$M$15:$M$162)),"F",""))</f>
        <v/>
      </c>
      <c r="B55" s="247">
        <f t="shared" ca="1" si="1"/>
        <v>40</v>
      </c>
      <c r="C55" s="514">
        <f ca="1">IF(AUTOEVENTO="Manual",IF($B55&gt;0,OFFSET(EVENTOS!$D$15,$B55-$B$15,0),0),IF(B55&lt;=MAX(CÁLCULO!$M$15:$M$162),VLOOKUP($B55,CÁLCULO!$M$15:$N$162,2,FALSE),0))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IF(AUTOEVENTO="Manual",IF(EVENTOS!$F56&gt;0,"F",""),IF(AND(B56&gt;0,B56&lt;=MAX(CÁLCULO!$M$15:$M$162)),"F",""))</f>
        <v/>
      </c>
      <c r="B56" s="247">
        <f t="shared" ca="1" si="1"/>
        <v>41</v>
      </c>
      <c r="C56" s="514">
        <f ca="1">IF(AUTOEVENTO="Manual",IF($B56&gt;0,OFFSET(EVENTOS!$D$15,$B56-$B$15,0),0),IF(B56&lt;=MAX(CÁLCULO!$M$15:$M$162),VLOOKUP($B56,CÁLCULO!$M$15:$N$162,2,FALSE),0))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IF(AUTOEVENTO="Manual",IF(EVENTOS!$F57&gt;0,"F",""),IF(AND(B57&gt;0,B57&lt;=MAX(CÁLCULO!$M$15:$M$162)),"F",""))</f>
        <v/>
      </c>
      <c r="B57" s="247">
        <f t="shared" ca="1" si="1"/>
        <v>42</v>
      </c>
      <c r="C57" s="514">
        <f ca="1">IF(AUTOEVENTO="Manual",IF($B57&gt;0,OFFSET(EVENTOS!$D$15,$B57-$B$15,0),0),IF(B57&lt;=MAX(CÁLCULO!$M$15:$M$162),VLOOKUP($B57,CÁLCULO!$M$15:$N$162,2,FALSE),0))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IF(AUTOEVENTO="Manual",IF(EVENTOS!$F58&gt;0,"F",""),IF(AND(B58&gt;0,B58&lt;=MAX(CÁLCULO!$M$15:$M$162)),"F",""))</f>
        <v/>
      </c>
      <c r="B58" s="247">
        <f t="shared" ca="1" si="1"/>
        <v>43</v>
      </c>
      <c r="C58" s="514">
        <f ca="1">IF(AUTOEVENTO="Manual",IF($B58&gt;0,OFFSET(EVENTOS!$D$15,$B58-$B$15,0),0),IF(B58&lt;=MAX(CÁLCULO!$M$15:$M$162),VLOOKUP($B58,CÁLCULO!$M$15:$N$162,2,FALSE),0))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IF(AUTOEVENTO="Manual",IF(EVENTOS!$F59&gt;0,"F",""),IF(AND(B59&gt;0,B59&lt;=MAX(CÁLCULO!$M$15:$M$162)),"F",""))</f>
        <v/>
      </c>
      <c r="B59" s="247">
        <f t="shared" ca="1" si="1"/>
        <v>44</v>
      </c>
      <c r="C59" s="514">
        <f ca="1">IF(AUTOEVENTO="Manual",IF($B59&gt;0,OFFSET(EVENTOS!$D$15,$B59-$B$15,0),0),IF(B59&lt;=MAX(CÁLCULO!$M$15:$M$162),VLOOKUP($B59,CÁLCULO!$M$15:$N$162,2,FALSE),0))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IF(AUTOEVENTO="Manual",IF(EVENTOS!$F60&gt;0,"F",""),IF(AND(B60&gt;0,B60&lt;=MAX(CÁLCULO!$M$15:$M$162)),"F",""))</f>
        <v/>
      </c>
      <c r="B60" s="247">
        <f t="shared" ca="1" si="1"/>
        <v>45</v>
      </c>
      <c r="C60" s="514">
        <f ca="1">IF(AUTOEVENTO="Manual",IF($B60&gt;0,OFFSET(EVENTOS!$D$15,$B60-$B$15,0),0),IF(B60&lt;=MAX(CÁLCULO!$M$15:$M$162),VLOOKUP($B60,CÁLCULO!$M$15:$N$162,2,FALSE),0))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IF(AUTOEVENTO="Manual",IF(EVENTOS!$F61&gt;0,"F",""),IF(AND(B61&gt;0,B61&lt;=MAX(CÁLCULO!$M$15:$M$162)),"F",""))</f>
        <v/>
      </c>
      <c r="B61" s="247">
        <f t="shared" ca="1" si="1"/>
        <v>46</v>
      </c>
      <c r="C61" s="514">
        <f ca="1">IF(AUTOEVENTO="Manual",IF($B61&gt;0,OFFSET(EVENTOS!$D$15,$B61-$B$15,0),0),IF(B61&lt;=MAX(CÁLCULO!$M$15:$M$162),VLOOKUP($B61,CÁLCULO!$M$15:$N$162,2,FALSE),0))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IF(AUTOEVENTO="Manual",IF(EVENTOS!$F62&gt;0,"F",""),IF(AND(B62&gt;0,B62&lt;=MAX(CÁLCULO!$M$15:$M$162)),"F",""))</f>
        <v/>
      </c>
      <c r="B62" s="247">
        <f t="shared" ca="1" si="1"/>
        <v>47</v>
      </c>
      <c r="C62" s="514">
        <f ca="1">IF(AUTOEVENTO="Manual",IF($B62&gt;0,OFFSET(EVENTOS!$D$15,$B62-$B$15,0),0),IF(B62&lt;=MAX(CÁLCULO!$M$15:$M$162),VLOOKUP($B62,CÁLCULO!$M$15:$N$162,2,FALSE),0))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IF(AUTOEVENTO="Manual",IF(EVENTOS!$F63&gt;0,"F",""),IF(AND(B63&gt;0,B63&lt;=MAX(CÁLCULO!$M$15:$M$162)),"F",""))</f>
        <v/>
      </c>
      <c r="B63" s="247">
        <f t="shared" ca="1" si="1"/>
        <v>48</v>
      </c>
      <c r="C63" s="514">
        <f ca="1">IF(AUTOEVENTO="Manual",IF($B63&gt;0,OFFSET(EVENTOS!$D$15,$B63-$B$15,0),0),IF(B63&lt;=MAX(CÁLCULO!$M$15:$M$162),VLOOKUP($B63,CÁLCULO!$M$15:$N$162,2,FALSE),0))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IF(AUTOEVENTO="Manual",IF(EVENTOS!$F64&gt;0,"F",""),IF(AND(B64&gt;0,B64&lt;=MAX(CÁLCULO!$M$15:$M$162)),"F",""))</f>
        <v/>
      </c>
      <c r="B64" s="247">
        <f t="shared" ca="1" si="1"/>
        <v>49</v>
      </c>
      <c r="C64" s="514">
        <f ca="1">IF(AUTOEVENTO="Manual",IF($B64&gt;0,OFFSET(EVENTOS!$D$15,$B64-$B$15,0),0),IF(B64&lt;=MAX(CÁLCULO!$M$15:$M$162),VLOOKUP($B64,CÁLCULO!$M$15:$N$162,2,FALSE),0))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
      <c r="A68" s="7" t="s">
        <v>536</v>
      </c>
      <c r="C68" s="742" t="s">
        <v>780</v>
      </c>
      <c r="G68" s="551" t="s">
        <v>781</v>
      </c>
      <c r="H68" s="744" t="e">
        <f ca="1">OFFSET(CRONO!$T$72,0,CRONOPLE!H67)</f>
        <v>#DIV/0!</v>
      </c>
      <c r="I68" s="744"/>
      <c r="J68" s="744" t="e">
        <f ca="1">OFFSET(CRONO!$T$72,0,CRONOPLE!J67)</f>
        <v>#DIV/0!</v>
      </c>
      <c r="K68" s="744"/>
      <c r="L68" s="744" t="e">
        <f ca="1">OFFSET(CRONO!$T$72,0,CRONOPLE!L67)</f>
        <v>#DIV/0!</v>
      </c>
      <c r="M68" s="744"/>
      <c r="N68" s="744" t="e">
        <f ca="1">OFFSET(CRONO!$T$72,0,CRONOPLE!N67)</f>
        <v>#DIV/0!</v>
      </c>
      <c r="O68" s="744"/>
      <c r="P68" s="744" t="e">
        <f ca="1">OFFSET(CRONO!$T$72,0,CRONOPLE!P67)</f>
        <v>#DIV/0!</v>
      </c>
      <c r="Q68" s="744"/>
      <c r="R68" s="744" t="e">
        <f ca="1">OFFSET(CRONO!$T$72,0,CRONOPLE!R67)</f>
        <v>#DIV/0!</v>
      </c>
      <c r="S68" s="744"/>
      <c r="T68" s="744" t="e">
        <f ca="1">OFFSET(CRONO!$T$72,0,CRONOPLE!T67)</f>
        <v>#DIV/0!</v>
      </c>
      <c r="U68" s="744"/>
      <c r="V68" s="744" t="e">
        <f ca="1">OFFSET(CRONO!$T$72,0,CRONOPLE!V67)</f>
        <v>#DIV/0!</v>
      </c>
      <c r="W68" s="744"/>
      <c r="X68" s="744" t="e">
        <f ca="1">OFFSET(CRONO!$T$72,0,CRONOPLE!X67)</f>
        <v>#DIV/0!</v>
      </c>
      <c r="Y68" s="744"/>
      <c r="Z68" s="744" t="e">
        <f ca="1">OFFSET(CRONO!$T$72,0,CRONOPLE!Z67)</f>
        <v>#DIV/0!</v>
      </c>
      <c r="AA68" s="744"/>
      <c r="AB68" s="744" t="e">
        <f ca="1">OFFSET(CRONO!$T$72,0,CRONOPLE!AB67)</f>
        <v>#DIV/0!</v>
      </c>
      <c r="AC68" s="744"/>
      <c r="AD68" s="744" t="e">
        <f ca="1">OFFSET(CRONO!$T$72,0,CRONOPLE!AD67)</f>
        <v>#DIV/0!</v>
      </c>
      <c r="AE68" s="744"/>
    </row>
    <row r="69" spans="1:31" ht="12.75" customHeight="1" x14ac:dyDescent="0.2">
      <c r="A69" s="7" t="s">
        <v>536</v>
      </c>
      <c r="C69" s="757"/>
      <c r="G69" s="487" t="s">
        <v>782</v>
      </c>
      <c r="H69" s="758">
        <f ca="1">OFFSET(CRONO!$T$76,0,CRONOPLE!H67)</f>
        <v>0</v>
      </c>
      <c r="I69" s="758"/>
      <c r="J69" s="753">
        <f ca="1">OFFSET(CRONO!$T$76,0,CRONOPLE!J67)</f>
        <v>0</v>
      </c>
      <c r="K69" s="754"/>
      <c r="L69" s="753">
        <f ca="1">OFFSET(CRONO!$T$76,0,CRONOPLE!L67)</f>
        <v>0</v>
      </c>
      <c r="M69" s="754"/>
      <c r="N69" s="753">
        <f ca="1">OFFSET(CRONO!$T$76,0,CRONOPLE!N67)</f>
        <v>0</v>
      </c>
      <c r="O69" s="754"/>
      <c r="P69" s="753">
        <f ca="1">OFFSET(CRONO!$T$76,0,CRONOPLE!P67)</f>
        <v>0</v>
      </c>
      <c r="Q69" s="754"/>
      <c r="R69" s="753">
        <f ca="1">OFFSET(CRONO!$T$76,0,CRONOPLE!R67)</f>
        <v>0</v>
      </c>
      <c r="S69" s="754"/>
      <c r="T69" s="753">
        <f ca="1">OFFSET(CRONO!$T$76,0,CRONOPLE!T67)</f>
        <v>0</v>
      </c>
      <c r="U69" s="754"/>
      <c r="V69" s="753">
        <f ca="1">OFFSET(CRONO!$T$76,0,CRONOPLE!V67)</f>
        <v>0</v>
      </c>
      <c r="W69" s="754"/>
      <c r="X69" s="753">
        <f ca="1">OFFSET(CRONO!$T$76,0,CRONOPLE!X67)</f>
        <v>0</v>
      </c>
      <c r="Y69" s="754"/>
      <c r="Z69" s="753">
        <f ca="1">OFFSET(CRONO!$T$76,0,CRONOPLE!Z67)</f>
        <v>0</v>
      </c>
      <c r="AA69" s="754"/>
      <c r="AB69" s="753">
        <f ca="1">OFFSET(CRONO!$T$76,0,CRONOPLE!AB67)</f>
        <v>0</v>
      </c>
      <c r="AC69" s="754"/>
      <c r="AD69" s="753">
        <f ca="1">OFFSET(CRONO!$T$76,0,CRONOPLE!AD67)</f>
        <v>0</v>
      </c>
      <c r="AE69" s="754"/>
    </row>
    <row r="70" spans="1:31" ht="12.75" customHeight="1" x14ac:dyDescent="0.2">
      <c r="A70" s="7" t="s">
        <v>536</v>
      </c>
      <c r="C70" s="742" t="s">
        <v>783</v>
      </c>
      <c r="G70" s="551" t="s">
        <v>781</v>
      </c>
      <c r="H70" s="744" t="e">
        <f ca="1">OFFSET(CRONO!$T$77,0,CRONOPLE!H67)</f>
        <v>#DIV/0!</v>
      </c>
      <c r="I70" s="744"/>
      <c r="J70" s="747" t="e">
        <f ca="1">OFFSET(CRONO!$T$77,0,CRONOPLE!J67)</f>
        <v>#DIV/0!</v>
      </c>
      <c r="K70" s="748"/>
      <c r="L70" s="747" t="e">
        <f ca="1">OFFSET(CRONO!$T$77,0,CRONOPLE!L67)</f>
        <v>#DIV/0!</v>
      </c>
      <c r="M70" s="748"/>
      <c r="N70" s="747" t="e">
        <f ca="1">OFFSET(CRONO!$T$77,0,CRONOPLE!N67)</f>
        <v>#DIV/0!</v>
      </c>
      <c r="O70" s="748"/>
      <c r="P70" s="747" t="e">
        <f ca="1">OFFSET(CRONO!$T$77,0,CRONOPLE!P67)</f>
        <v>#DIV/0!</v>
      </c>
      <c r="Q70" s="748"/>
      <c r="R70" s="747" t="e">
        <f ca="1">OFFSET(CRONO!$T$77,0,CRONOPLE!R67)</f>
        <v>#DIV/0!</v>
      </c>
      <c r="S70" s="748"/>
      <c r="T70" s="747" t="e">
        <f ca="1">OFFSET(CRONO!$T$77,0,CRONOPLE!T67)</f>
        <v>#DIV/0!</v>
      </c>
      <c r="U70" s="748"/>
      <c r="V70" s="747" t="e">
        <f ca="1">OFFSET(CRONO!$T$77,0,CRONOPLE!V67)</f>
        <v>#DIV/0!</v>
      </c>
      <c r="W70" s="748"/>
      <c r="X70" s="747" t="e">
        <f ca="1">OFFSET(CRONO!$T$77,0,CRONOPLE!X67)</f>
        <v>#DIV/0!</v>
      </c>
      <c r="Y70" s="748"/>
      <c r="Z70" s="747" t="e">
        <f ca="1">OFFSET(CRONO!$T$77,0,CRONOPLE!Z67)</f>
        <v>#DIV/0!</v>
      </c>
      <c r="AA70" s="748"/>
      <c r="AB70" s="747" t="e">
        <f ca="1">OFFSET(CRONO!$T$77,0,CRONOPLE!AB67)</f>
        <v>#DIV/0!</v>
      </c>
      <c r="AC70" s="748"/>
      <c r="AD70" s="747" t="e">
        <f ca="1">OFFSET(CRONO!$T$77,0,CRONOPLE!AD67)</f>
        <v>#DIV/0!</v>
      </c>
      <c r="AE70" s="748"/>
    </row>
    <row r="71" spans="1:31" ht="12.75" customHeight="1" x14ac:dyDescent="0.2">
      <c r="A71" s="7" t="s">
        <v>536</v>
      </c>
      <c r="C71" s="743"/>
      <c r="G71" s="487" t="s">
        <v>782</v>
      </c>
      <c r="H71" s="752">
        <f ca="1">OFFSET(CRONO!$T$81,0,CRONOPLE!H67)</f>
        <v>0</v>
      </c>
      <c r="I71" s="752"/>
      <c r="J71" s="750">
        <f ca="1">OFFSET(CRONO!$T$81,0,CRONOPLE!J67)</f>
        <v>0</v>
      </c>
      <c r="K71" s="751"/>
      <c r="L71" s="750">
        <f ca="1">OFFSET(CRONO!$T$81,0,CRONOPLE!L67)</f>
        <v>0</v>
      </c>
      <c r="M71" s="751"/>
      <c r="N71" s="750">
        <f ca="1">OFFSET(CRONO!$T$81,0,CRONOPLE!N67)</f>
        <v>0</v>
      </c>
      <c r="O71" s="751"/>
      <c r="P71" s="750">
        <f ca="1">OFFSET(CRONO!$T$81,0,CRONOPLE!P67)</f>
        <v>0</v>
      </c>
      <c r="Q71" s="751"/>
      <c r="R71" s="750">
        <f ca="1">OFFSET(CRONO!$T$81,0,CRONOPLE!R67)</f>
        <v>0</v>
      </c>
      <c r="S71" s="751"/>
      <c r="T71" s="750">
        <f ca="1">OFFSET(CRONO!$T$81,0,CRONOPLE!T67)</f>
        <v>0</v>
      </c>
      <c r="U71" s="751"/>
      <c r="V71" s="750">
        <f ca="1">OFFSET(CRONO!$T$81,0,CRONOPLE!V67)</f>
        <v>0</v>
      </c>
      <c r="W71" s="751"/>
      <c r="X71" s="750">
        <f ca="1">OFFSET(CRONO!$T$81,0,CRONOPLE!X67)</f>
        <v>0</v>
      </c>
      <c r="Y71" s="751"/>
      <c r="Z71" s="750">
        <f ca="1">OFFSET(CRONO!$T$81,0,CRONOPLE!Z67)</f>
        <v>0</v>
      </c>
      <c r="AA71" s="751"/>
      <c r="AB71" s="750">
        <f ca="1">OFFSET(CRONO!$T$81,0,CRONOPLE!AB67)</f>
        <v>0</v>
      </c>
      <c r="AC71" s="751"/>
      <c r="AD71" s="750">
        <f ca="1">OFFSET(CRONO!$T$81,0,CRONOPLE!AD67)</f>
        <v>0</v>
      </c>
      <c r="AE71" s="751"/>
    </row>
    <row r="72" spans="1:31" ht="12.75" customHeight="1" x14ac:dyDescent="0.2">
      <c r="A72" s="7" t="s">
        <v>536</v>
      </c>
      <c r="C72" s="552" t="s">
        <v>784</v>
      </c>
      <c r="D72" s="550"/>
      <c r="G72" s="551" t="s">
        <v>781</v>
      </c>
      <c r="H72" s="744" t="e">
        <f ca="1">OFFSET(CRONO!$T$82,0,CRONOPLE!H67)</f>
        <v>#DIV/0!</v>
      </c>
      <c r="I72" s="744"/>
      <c r="J72" s="745" t="e">
        <f ca="1">OFFSET(CRONO!$T$82,0,CRONOPLE!J67)</f>
        <v>#DIV/0!</v>
      </c>
      <c r="K72" s="746"/>
      <c r="L72" s="745" t="e">
        <f ca="1">OFFSET(CRONO!$T$82,0,CRONOPLE!L67)</f>
        <v>#DIV/0!</v>
      </c>
      <c r="M72" s="746"/>
      <c r="N72" s="745" t="e">
        <f ca="1">OFFSET(CRONO!$T$82,0,CRONOPLE!N67)</f>
        <v>#DIV/0!</v>
      </c>
      <c r="O72" s="746"/>
      <c r="P72" s="745" t="e">
        <f ca="1">OFFSET(CRONO!$T$82,0,CRONOPLE!P67)</f>
        <v>#DIV/0!</v>
      </c>
      <c r="Q72" s="746"/>
      <c r="R72" s="745" t="e">
        <f ca="1">OFFSET(CRONO!$T$82,0,CRONOPLE!R67)</f>
        <v>#DIV/0!</v>
      </c>
      <c r="S72" s="746"/>
      <c r="T72" s="745" t="e">
        <f ca="1">OFFSET(CRONO!$T$82,0,CRONOPLE!T67)</f>
        <v>#DIV/0!</v>
      </c>
      <c r="U72" s="746"/>
      <c r="V72" s="745" t="e">
        <f ca="1">OFFSET(CRONO!$T$82,0,CRONOPLE!V67)</f>
        <v>#DIV/0!</v>
      </c>
      <c r="W72" s="746"/>
      <c r="X72" s="745" t="e">
        <f ca="1">OFFSET(CRONO!$T$82,0,CRONOPLE!X67)</f>
        <v>#DIV/0!</v>
      </c>
      <c r="Y72" s="746"/>
      <c r="Z72" s="745" t="e">
        <f ca="1">OFFSET(CRONO!$T$82,0,CRONOPLE!Z67)</f>
        <v>#DIV/0!</v>
      </c>
      <c r="AA72" s="746"/>
      <c r="AB72" s="745" t="e">
        <f ca="1">OFFSET(CRONO!$T$82,0,CRONOPLE!AB67)</f>
        <v>#DIV/0!</v>
      </c>
      <c r="AC72" s="746"/>
      <c r="AD72" s="745" t="e">
        <f ca="1">OFFSET(CRONO!$T$82,0,CRONOPLE!AD67)</f>
        <v>#DIV/0!</v>
      </c>
      <c r="AE72" s="746"/>
    </row>
    <row r="73" spans="1:31" ht="15" customHeight="1" x14ac:dyDescent="0.25">
      <c r="A73" s="7" t="s">
        <v>536</v>
      </c>
      <c r="C73" s="549"/>
      <c r="G73" s="583" t="str">
        <f ca="1">IF(COUNTIF(H73:AF73,"%Adm&gt;%Global")&gt;0,"Verificar proporcionalidade da Administração Local","")</f>
        <v/>
      </c>
      <c r="H73" s="535" t="e">
        <f ca="1">IF(H72="","",IF(ROUND(H72,4)&gt;ROUND(H70,4),"%Adm&gt;%Global",""))</f>
        <v>#DIV/0!</v>
      </c>
      <c r="J73" s="535" t="e">
        <f t="shared" ref="J73" ca="1" si="3">IF(J72="","",IF(ROUND(J72,4)&gt;ROUND(J70,4),"%Adm&gt;%Global",""))</f>
        <v>#DIV/0!</v>
      </c>
      <c r="L73" s="535" t="e">
        <f t="shared" ref="L73" ca="1" si="4">IF(L72="","",IF(ROUND(L72,4)&gt;ROUND(L70,4),"%Adm&gt;%Global",""))</f>
        <v>#DIV/0!</v>
      </c>
      <c r="N73" s="535" t="e">
        <f t="shared" ref="N73" ca="1" si="5">IF(N72="","",IF(ROUND(N72,4)&gt;ROUND(N70,4),"%Adm&gt;%Global",""))</f>
        <v>#DIV/0!</v>
      </c>
      <c r="P73" s="535" t="e">
        <f t="shared" ref="P73" ca="1" si="6">IF(P72="","",IF(ROUND(P72,4)&gt;ROUND(P70,4),"%Adm&gt;%Global",""))</f>
        <v>#DIV/0!</v>
      </c>
      <c r="R73" s="535" t="e">
        <f t="shared" ref="R73" ca="1" si="7">IF(R72="","",IF(ROUND(R72,4)&gt;ROUND(R70,4),"%Adm&gt;%Global",""))</f>
        <v>#DIV/0!</v>
      </c>
      <c r="T73" s="535" t="e">
        <f t="shared" ref="T73" ca="1" si="8">IF(T72="","",IF(ROUND(T72,4)&gt;ROUND(T70,4),"%Adm&gt;%Global",""))</f>
        <v>#DIV/0!</v>
      </c>
      <c r="V73" s="535" t="e">
        <f t="shared" ref="V73" ca="1" si="9">IF(V72="","",IF(ROUND(V72,4)&gt;ROUND(V70,4),"%Adm&gt;%Global",""))</f>
        <v>#DIV/0!</v>
      </c>
      <c r="X73" s="535" t="e">
        <f t="shared" ref="X73" ca="1" si="10">IF(X72="","",IF(ROUND(X72,4)&gt;ROUND(X70,4),"%Adm&gt;%Global",""))</f>
        <v>#DIV/0!</v>
      </c>
      <c r="Z73" s="535" t="e">
        <f t="shared" ref="Z73" ca="1" si="11">IF(Z72="","",IF(ROUND(Z72,4)&gt;ROUND(Z70,4),"%Adm&gt;%Global",""))</f>
        <v>#DIV/0!</v>
      </c>
      <c r="AB73" s="535" t="e">
        <f t="shared" ref="AB73" ca="1" si="12">IF(AB72="","",IF(ROUND(AB72,4)&gt;ROUND(AB70,4),"%Adm&gt;%Global",""))</f>
        <v>#DIV/0!</v>
      </c>
      <c r="AD73" s="535" t="e">
        <f t="shared" ref="AD73" ca="1" si="13">IF(AD72="","",IF(ROUND(AD72,4)&gt;ROUND(AD70,4),"%Adm&gt;%Global",""))</f>
        <v>#DIV/0!</v>
      </c>
    </row>
    <row r="74" spans="1:31" x14ac:dyDescent="0.2">
      <c r="A74" s="7" t="s">
        <v>536</v>
      </c>
    </row>
    <row r="75" spans="1:31" ht="15" x14ac:dyDescent="0.2">
      <c r="A75" s="7" t="s">
        <v>536</v>
      </c>
      <c r="B75" s="138" t="str">
        <f>Import.Município</f>
        <v>Passos / MG</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 xml:space="preserve">Nome: Mateus Junior Rosa </v>
      </c>
    </row>
    <row r="78" spans="1:31" ht="16.5" x14ac:dyDescent="0.3">
      <c r="A78" s="7" t="s">
        <v>536</v>
      </c>
      <c r="B78" s="749">
        <f>DADOS!$C$25</f>
        <v>46121</v>
      </c>
      <c r="C78" s="749"/>
      <c r="F78" s="185"/>
      <c r="G78" s="185"/>
      <c r="H78" s="185"/>
      <c r="I78" s="185"/>
      <c r="J78" s="185"/>
      <c r="K78" s="185"/>
      <c r="L78" s="187"/>
      <c r="V78" s="398" t="str">
        <f ca="1"/>
        <v>CREA/CAU: 386526 MG</v>
      </c>
    </row>
    <row r="79" spans="1:31" x14ac:dyDescent="0.2">
      <c r="A79" s="7" t="s">
        <v>536</v>
      </c>
      <c r="B79" s="9" t="s">
        <v>694</v>
      </c>
      <c r="F79" s="185"/>
      <c r="G79" s="185"/>
      <c r="H79" s="185"/>
      <c r="I79" s="185"/>
      <c r="J79" s="185"/>
      <c r="K79" s="185"/>
      <c r="L79" s="187"/>
      <c r="V79" s="398" t="str">
        <f ca="1"/>
        <v>ART/RRT: -</v>
      </c>
    </row>
  </sheetData>
  <sheetProtection algorithmName="SHA-512" hashValue="WHqlb8bYbW88qy+QPd7DQmDx8o8iFjE3nVhrk6rLFtDVcGKJFmarOLpt0c0oo9d+7NxNmtjrKT4w0ByOSrLmQg==" saltValue="TuTRhOdQnlhL2s2GmfmFrQ=="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312" priority="802" stopIfTrue="1">
      <formula>IF(OR(E$12&gt;CÁLCULO.NúmeroDeFrentes,ACOMPANHAMENTO="BM"),TRUE,CRONOPLE.ValorDoEvento=0)</formula>
    </cfRule>
  </conditionalFormatting>
  <conditionalFormatting sqref="U4:Y4">
    <cfRule type="expression" dxfId="311" priority="692" stopIfTrue="1">
      <formula>QCI.ExisteManual</formula>
    </cfRule>
  </conditionalFormatting>
  <conditionalFormatting sqref="J67:AE67">
    <cfRule type="expression" dxfId="310" priority="691" stopIfTrue="1">
      <formula>OFFSET(J67,3,-2)=1</formula>
    </cfRule>
  </conditionalFormatting>
  <conditionalFormatting sqref="J68:AE68">
    <cfRule type="expression" dxfId="309" priority="686" stopIfTrue="1">
      <formula>OFFSET(J68,2,-2)=1</formula>
    </cfRule>
  </conditionalFormatting>
  <conditionalFormatting sqref="J69:AE69">
    <cfRule type="expression" dxfId="308" priority="685" stopIfTrue="1">
      <formula>OFFSET(J69,1,-2)=1</formula>
    </cfRule>
  </conditionalFormatting>
  <conditionalFormatting sqref="J70:AE70">
    <cfRule type="expression" dxfId="307" priority="684" stopIfTrue="1">
      <formula>OFFSET(J70,0,-2)=1</formula>
    </cfRule>
  </conditionalFormatting>
  <conditionalFormatting sqref="J71:AE71">
    <cfRule type="expression" dxfId="306" priority="683" stopIfTrue="1">
      <formula>OFFSET(J71,-1,-2)=1</formula>
    </cfRule>
  </conditionalFormatting>
  <conditionalFormatting sqref="B15:C15 E15 G15:AF15">
    <cfRule type="expression" dxfId="305" priority="507">
      <formula>$B$15=0</formula>
    </cfRule>
  </conditionalFormatting>
  <conditionalFormatting sqref="B8:C8">
    <cfRule type="expression" dxfId="304" priority="506">
      <formula>$B$7=""</formula>
    </cfRule>
  </conditionalFormatting>
  <conditionalFormatting sqref="J72:AE72">
    <cfRule type="expression" dxfId="303" priority="505">
      <formula>OFFSET(J72,-2,-2)=1</formula>
    </cfRule>
  </conditionalFormatting>
  <conditionalFormatting sqref="H72:AE72">
    <cfRule type="expression" dxfId="302" priority="504">
      <formula>ROUND(H72,4)&gt;ROUND(H70,4)</formula>
    </cfRule>
  </conditionalFormatting>
  <conditionalFormatting sqref="E16:E24 G16:AE24">
    <cfRule type="expression" dxfId="301" priority="6" stopIfTrue="1">
      <formula>IF(OR(E$12&gt;CÁLCULO.NúmeroDeFrentes,ACOMPANHAMENTO="BM"),TRUE,CRONOPLE.ValorDoEvento=0)</formula>
    </cfRule>
  </conditionalFormatting>
  <conditionalFormatting sqref="E25:E33 G25:AE33">
    <cfRule type="expression" dxfId="300" priority="5" stopIfTrue="1">
      <formula>IF(OR(E$12&gt;CÁLCULO.NúmeroDeFrentes,ACOMPANHAMENTO="BM"),TRUE,CRONOPLE.ValorDoEvento=0)</formula>
    </cfRule>
  </conditionalFormatting>
  <conditionalFormatting sqref="E34:E42 G34:AE42">
    <cfRule type="expression" dxfId="299" priority="4" stopIfTrue="1">
      <formula>IF(OR(E$12&gt;CÁLCULO.NúmeroDeFrentes,ACOMPANHAMENTO="BM"),TRUE,CRONOPLE.ValorDoEvento=0)</formula>
    </cfRule>
  </conditionalFormatting>
  <conditionalFormatting sqref="E43:E51 G43:AE51">
    <cfRule type="expression" dxfId="298" priority="3" stopIfTrue="1">
      <formula>IF(OR(E$12&gt;CÁLCULO.NúmeroDeFrentes,ACOMPANHAMENTO="BM"),TRUE,CRONOPLE.ValorDoEvento=0)</formula>
    </cfRule>
  </conditionalFormatting>
  <conditionalFormatting sqref="E52:E60 G52:AE60">
    <cfRule type="expression" dxfId="297" priority="2" stopIfTrue="1">
      <formula>IF(OR(E$12&gt;CÁLCULO.NúmeroDeFrentes,ACOMPANHAMENTO="BM"),TRUE,CRONOPLE.ValorDoEvento=0)</formula>
    </cfRule>
  </conditionalFormatting>
  <conditionalFormatting sqref="E61:E64 G61:AE64">
    <cfRule type="expression" dxfId="29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pageSetUpPr fitToPage="1"/>
  </sheetPr>
  <dimension ref="A1:AG88"/>
  <sheetViews>
    <sheetView showGridLines="0" tabSelected="1" view="pageBreakPreview" zoomScale="90" zoomScaleNormal="100" zoomScaleSheetLayoutView="90" workbookViewId="0">
      <pane xSplit="20" ySplit="13" topLeftCell="U38"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IF($F2=-1,0,IF(N$13&lt;=$M1,IF(ISERROR(MATCH(N$13,OFFSET($M1,1,0,ROW($M$71)-ROW($M1)-1),0)),ROW($M$71)-ROW($M1)-1,MATCH(N$13,OFFSET($M1,1,0,ROW($M$71)-ROW($M1)-1),0)-1),0))</f>
        <v>#REF!</v>
      </c>
      <c r="O1" s="193" t="e">
        <f ca="1">IF($F2=-1,0,IF(O$13&lt;=$M1,IF(ISERROR(MATCH(O$13,OFFSET($M1,1,0,ROW($M$71)-ROW($M1)-1),0)),ROW($M$71)-ROW($M1)-1,MATCH(O$13,OFFSET($M1,1,0,ROW($M$71)-ROW($M1)-1),0)-1),0))</f>
        <v>#REF!</v>
      </c>
      <c r="P1" s="193" t="e">
        <f ca="1">IF($F2=-1,0,IF(P$13&lt;=$M1,IF(ISERROR(MATCH(P$13,OFFSET($M1,1,0,ROW($M$71)-ROW($M1)-1),0)),ROW($M$71)-ROW($M1)-1,MATCH(P$13,OFFSET($M1,1,0,ROW($M$71)-ROW($M1)-1),0)-1),0))</f>
        <v>#REF!</v>
      </c>
      <c r="Q1" s="193" t="e">
        <f ca="1">IF($F2=-1,0,IF(Q$13&lt;=$M1,IF(ISERROR(MATCH(Q$13,OFFSET($M1,1,0,ROW($M$71)-ROW($M1)-1),0)),ROW($M$71)-ROW($M1)-1,MATCH(Q$13,OFFSET($M1,1,0,ROW($M$71)-ROW($M1)-1),0)-1),0))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SUMIF(CÁLCULO!$AM$15:$AW$162,CRONO!E$12,CÁLCULO!$AB$15:$AL$162)/(ORÇAMENTO!$X$15-CÁLCULO.TotalAdmLocal)*CRONO!$F3,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SUMIF(CÁLCULO!$AM$15:$AW$162,CRONO!U$12,CÁLCULO!$AB$15:$AL$162)/(ORÇAMENTO!$X$15-CÁLCULO.TotalAdmLocal)*CRONO!$F3,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SUMIF(CÁLCULO!$AM$15:$AW$162,CRONO!V$12,CÁLCULO!$AB$15:$AL$162)/(ORÇAMENTO!$X$15-CÁLCULO.TotalAdmLocal)*CRONO!$F3,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SUMIF(CÁLCULO!$AM$15:$AW$162,CRONO!W$12,CÁLCULO!$AB$15:$AL$162)/(ORÇAMENTO!$X$15-CÁLCULO.TotalAdmLocal)*CRONO!$F3,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SUMIF(CÁLCULO!$AM$15:$AW$162,CRONO!X$12,CÁLCULO!$AB$15:$AL$162)/(ORÇAMENTO!$X$15-CÁLCULO.TotalAdmLocal)*CRONO!$F3,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SUMIF(CÁLCULO!$AM$15:$AW$162,CRONO!Y$12,CÁLCULO!$AB$15:$AL$162)/(ORÇAMENTO!$X$15-CÁLCULO.TotalAdmLocal)*CRONO!$F3,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SUMIF(CÁLCULO!$AM$15:$AW$162,CRONO!Z$12,CÁLCULO!$AB$15:$AL$162)/(ORÇAMENTO!$X$15-CÁLCULO.TotalAdmLocal)*CRONO!$F3,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SUMIF(CÁLCULO!$AM$15:$AW$162,CRONO!AA$12,CÁLCULO!$AB$15:$AL$162)/(ORÇAMENTO!$X$15-CÁLCULO.TotalAdmLocal)*CRONO!$F3,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SUMIF(CÁLCULO!$AM$15:$AW$162,CRONO!AB$12,CÁLCULO!$AB$15:$AL$162)/(ORÇAMENTO!$X$15-CÁLCULO.TotalAdmLocal)*CRONO!$F3,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SUMIF(CÁLCULO!$AM$15:$AW$162,CRONO!AC$12,CÁLCULO!$AB$15:$AL$162)/(ORÇAMENTO!$X$15-CÁLCULO.TotalAdmLocal)*CRONO!$F3,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SUMIF(CÁLCULO!$AM$15:$AW$162,CRONO!AD$12,CÁLCULO!$AB$15:$AL$162)/(ORÇAMENTO!$X$15-CÁLCULO.TotalAdmLocal)*CRONO!$F3,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SUMIF(CÁLCULO!$AM$15:$AW$162,CRONO!AE$12,CÁLCULO!$AB$15:$AL$162)/(ORÇAMENTO!$X$15-CÁLCULO.TotalAdmLocal)*CRONO!$F3,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SUMIF(CÁLCULO!$AM$15:$AW$162,CRONO!AF$12,CÁLCULO!$AB$15:$AL$162)/(ORÇAMENTO!$X$15-CÁLCULO.TotalAdmLocal)*CRONO!$F3,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4" t="s">
        <v>644</v>
      </c>
      <c r="AF4" s="704"/>
    </row>
    <row r="5" spans="1:33" ht="15" x14ac:dyDescent="0.2">
      <c r="S5" s="83" t="str">
        <f>import.recurso</f>
        <v>(SELECIONAR)</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3" t="s">
        <v>655</v>
      </c>
      <c r="H8" s="774"/>
      <c r="I8" s="765">
        <f>Import.CR</f>
        <v>0</v>
      </c>
      <c r="J8" s="765"/>
      <c r="K8" s="214">
        <f>Import.TransfereGOV</f>
        <v>0</v>
      </c>
      <c r="L8" s="764">
        <f>Import.Proponente</f>
        <v>0</v>
      </c>
      <c r="M8" s="764"/>
      <c r="N8" s="764"/>
      <c r="O8" s="764"/>
      <c r="P8" s="764"/>
      <c r="Q8" s="764"/>
      <c r="R8" s="764"/>
      <c r="S8" s="764"/>
      <c r="T8" s="764"/>
      <c r="U8" s="765" t="str">
        <f>Import.Apelido</f>
        <v xml:space="preserve">TRAVESSIA EM ADUELAS ESTRADA PRINCIPAL DO VIRA </v>
      </c>
      <c r="V8" s="765"/>
      <c r="W8" s="765"/>
      <c r="X8" s="765"/>
      <c r="Y8" s="765"/>
      <c r="Z8" s="775" t="str" cm="1">
        <f t="array" ref="Z8">IF(TIPOORCAMENTO="Licitado",Import.empresa,Import.DescLote)</f>
        <v>REGIÃO DO ZÉ PRETO</v>
      </c>
      <c r="AA8" s="775"/>
      <c r="AB8" s="775"/>
      <c r="AC8" s="775"/>
      <c r="AD8" s="775"/>
      <c r="AE8" s="775"/>
      <c r="AF8" s="203" t="str" cm="1">
        <f t="array" ref="AF8">IF(TIPOORCAMENTO="Licitado",Import.CTEF,"")</f>
        <v/>
      </c>
    </row>
    <row r="9" spans="1:33" x14ac:dyDescent="0.2">
      <c r="A9" s="655">
        <v>2</v>
      </c>
      <c r="F9" s="114"/>
      <c r="G9" s="693"/>
      <c r="H9" s="774"/>
    </row>
    <row r="10" spans="1:33" x14ac:dyDescent="0.2">
      <c r="A10" s="656">
        <v>3</v>
      </c>
      <c r="F10" s="185" cm="1">
        <f t="array" aca="1" ref="F10" ca="1">CRONO.LinhasNecessarias</f>
        <v>19</v>
      </c>
      <c r="G10" s="693"/>
      <c r="H10" s="215">
        <v>2</v>
      </c>
      <c r="K10" s="766" t="str" cm="1">
        <f t="array" aca="1" ref="K10" ca="1">IF(MAX($B$13:$B$71)&lt;CRONO.LinhasNecessarias,"ERRO: NÚMERO DE LINHAS DO CRONOGRAMA INSUFICIENTE. CLIQUE EM ATUALIZAR LINHAS.",IF(AND(ACOMPANHAMENTO="PLE",ROUND(OFFSET($AG$81,0,-1),2)=0),"CRONOGRAMA DEVE SER PREENCHIDO POR EVENTOS",IF(ROUND(OFFSET($AG$81,0,-1),2)&lt;&gt;$R$72,"ERRO: CRONOGRAMA NÃO FECHA 100%","")))</f>
        <v/>
      </c>
      <c r="L10" s="766"/>
      <c r="M10" s="766"/>
      <c r="N10" s="766"/>
      <c r="O10" s="766"/>
      <c r="P10" s="766"/>
      <c r="Q10" s="766"/>
      <c r="R10" s="766"/>
      <c r="S10" s="766"/>
      <c r="T10" s="766"/>
    </row>
    <row r="11" spans="1:33" ht="12.75" customHeight="1" x14ac:dyDescent="0.2">
      <c r="A11" s="657">
        <v>4</v>
      </c>
      <c r="F11" s="185" t="e" cm="1">
        <f t="array" aca="1" ref="F11" ca="1">CRONO.ParcelaFinal</f>
        <v>#N/A</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46143</v>
      </c>
      <c r="V13" s="222">
        <f ca="1">OFFSET(V13,0,-1)+41-DAY(OFFSET(V13,0,-1)+40)</f>
        <v>46174</v>
      </c>
      <c r="W13" s="222">
        <f ca="1">OFFSET(W13,0,-1)+41-DAY(OFFSET(W13,0,-1)+40)</f>
        <v>46204</v>
      </c>
      <c r="X13" s="222">
        <f t="shared" ref="X13:AF13" ca="1" si="1">OFFSET(X13,0,-1)+41-DAY(OFFSET(X13,0,-1)+40)</f>
        <v>46235</v>
      </c>
      <c r="Y13" s="222">
        <f t="shared" ca="1" si="1"/>
        <v>46266</v>
      </c>
      <c r="Z13" s="222">
        <f t="shared" ca="1" si="1"/>
        <v>46296</v>
      </c>
      <c r="AA13" s="222">
        <f t="shared" ca="1" si="1"/>
        <v>46327</v>
      </c>
      <c r="AB13" s="222">
        <f t="shared" ca="1" si="1"/>
        <v>46357</v>
      </c>
      <c r="AC13" s="222">
        <f t="shared" ca="1" si="1"/>
        <v>46388</v>
      </c>
      <c r="AD13" s="222">
        <f t="shared" ca="1" si="1"/>
        <v>46419</v>
      </c>
      <c r="AE13" s="222">
        <f t="shared" ca="1" si="1"/>
        <v>46447</v>
      </c>
      <c r="AF13" s="538">
        <f t="shared" ca="1" si="1"/>
        <v>46478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CANTEIRO DE OBRA</v>
      </c>
      <c r="K14" s="191"/>
      <c r="L14" s="191"/>
      <c r="M14" s="192">
        <f ca="1">IF($F15=0,OFFSET(ORÇAMENTO!C$15,$F14,0),1)</f>
        <v>1</v>
      </c>
      <c r="N14" s="193">
        <f ca="1">IF($F15=-1,0,IF(N$13&lt;=$M14,IF(ISERROR(MATCH(N$13,OFFSET($M14,1,0,ROW($M$71)-ROW($M14)-1),0)),ROW($M$71)-ROW($M14)-1,MATCH(N$13,OFFSET($M14,1,0,ROW($M$71)-ROW($M14)-1),0)-1),0))</f>
        <v>8</v>
      </c>
      <c r="O14" s="193">
        <f ca="1">IF($F15=-1,0,IF(O$13&lt;=$M14,IF(ISERROR(MATCH(O$13,OFFSET($M14,1,0,ROW($M$71)-ROW($M14)-1),0)),ROW($M$71)-ROW($M14)-1,MATCH(O$13,OFFSET($M14,1,0,ROW($M$71)-ROW($M14)-1),0)-1),0))</f>
        <v>0</v>
      </c>
      <c r="P14" s="193">
        <f ca="1">IF($F15=-1,0,IF(P$13&lt;=$M14,IF(ISERROR(MATCH(P$13,OFFSET($M14,1,0,ROW($M$71)-ROW($M14)-1),0)),ROW($M$71)-ROW($M14)-1,MATCH(P$13,OFFSET($M14,1,0,ROW($M$71)-ROW($M14)-1),0)-1),0))</f>
        <v>0</v>
      </c>
      <c r="Q14" s="193">
        <f ca="1">IF($F15=-1,0,IF(Q$13&lt;=$M14,IF(ISERROR(MATCH(Q$13,OFFSET($M14,1,0,ROW($M$71)-ROW($M14)-1),0)),ROW($M$71)-ROW($M14)-1,MATCH(Q$13,OFFSET($M14,1,0,ROW($M$71)-ROW($M14)-1),0)-1),0))</f>
        <v>0</v>
      </c>
      <c r="R14" s="193">
        <f t="shared" ref="R14" ca="1" si="5">MIN(OFFSET(M14,0,1,,M14))</f>
        <v>8</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SUMIF(CÁLCULO!$AM$15:$AW$162,CRONO!E$12,CÁLCULO!$AB$15:$AL$162)/(ORÇAMENTO!$X$15-CÁLCULO.TotalAdmLocal)*CRONO!$F16,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SUMIF(CÁLCULO!$AM$15:$AW$162,CRONO!U$12,CÁLCULO!$AB$15:$AL$162)/(ORÇAMENTO!$X$15-CÁLCULO.TotalAdmLocal)*CRONO!$F16,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SUMIF(CÁLCULO!$AM$15:$AW$162,CRONO!V$12,CÁLCULO!$AB$15:$AL$162)/(ORÇAMENTO!$X$15-CÁLCULO.TotalAdmLocal)*CRONO!$F16,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SUMIF(CÁLCULO!$AM$15:$AW$162,CRONO!W$12,CÁLCULO!$AB$15:$AL$162)/(ORÇAMENTO!$X$15-CÁLCULO.TotalAdmLocal)*CRONO!$F16,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SUMIF(CÁLCULO!$AM$15:$AW$162,CRONO!X$12,CÁLCULO!$AB$15:$AL$162)/(ORÇAMENTO!$X$15-CÁLCULO.TotalAdmLocal)*CRONO!$F16,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SUMIF(CÁLCULO!$AM$15:$AW$162,CRONO!Y$12,CÁLCULO!$AB$15:$AL$162)/(ORÇAMENTO!$X$15-CÁLCULO.TotalAdmLocal)*CRONO!$F16,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SUMIF(CÁLCULO!$AM$15:$AW$162,CRONO!Z$12,CÁLCULO!$AB$15:$AL$162)/(ORÇAMENTO!$X$15-CÁLCULO.TotalAdmLocal)*CRONO!$F16,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SUMIF(CÁLCULO!$AM$15:$AW$162,CRONO!AA$12,CÁLCULO!$AB$15:$AL$162)/(ORÇAMENTO!$X$15-CÁLCULO.TotalAdmLocal)*CRONO!$F16,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SUMIF(CÁLCULO!$AM$15:$AW$162,CRONO!AB$12,CÁLCULO!$AB$15:$AL$162)/(ORÇAMENTO!$X$15-CÁLCULO.TotalAdmLocal)*CRONO!$F16,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SUMIF(CÁLCULO!$AM$15:$AW$162,CRONO!AC$12,CÁLCULO!$AB$15:$AL$162)/(ORÇAMENTO!$X$15-CÁLCULO.TotalAdmLocal)*CRONO!$F16,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SUMIF(CÁLCULO!$AM$15:$AW$162,CRONO!AD$12,CÁLCULO!$AB$15:$AL$162)/(ORÇAMENTO!$X$15-CÁLCULO.TotalAdmLocal)*CRONO!$F16,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SUMIF(CÁLCULO!$AM$15:$AW$162,CRONO!AE$12,CÁLCULO!$AB$15:$AL$162)/(ORÇAMENTO!$X$15-CÁLCULO.TotalAdmLocal)*CRONO!$F16,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SUMIF(CÁLCULO!$AM$15:$AW$162,CRONO!AF$12,CÁLCULO!$AB$15:$AL$162)/(ORÇAMENTO!$X$15-CÁLCULO.TotalAdmLocal)*CRONO!$F16,
                        0),
                 AF15*$S14),
          SUMIF(OFFSET($S16,1,0,$R14-2),($M14+1)&amp;"$",OFFSET(AF16,1,0,$R14-2)))</f>
        <v>0</v>
      </c>
      <c r="AG16" s="534"/>
    </row>
    <row r="17" spans="1:33" x14ac:dyDescent="0.2">
      <c r="A17" s="186" t="str">
        <f t="shared" ref="A17" ca="1" si="8">IF($M17&gt;1,_xlfn.CONCAT($I17," ",$J17),"")</f>
        <v>1.1. SERVIÇOS PRELIMINARES</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v>
      </c>
      <c r="K17" s="191"/>
      <c r="L17" s="191"/>
      <c r="M17" s="192">
        <f ca="1">IF($F18=0,OFFSET(ORÇAMENTO!C$15,$F17,0),1)</f>
        <v>2</v>
      </c>
      <c r="N17" s="193">
        <f ca="1">IF($F18=-1,0,IF(N$13&lt;=$M17,IF(ISERROR(MATCH(N$13,OFFSET($M17,1,0,ROW($M$71)-ROW($M17)-1),0)),ROW($M$71)-ROW($M17)-1,MATCH(N$13,OFFSET($M17,1,0,ROW($M$71)-ROW($M17)-1),0)-1),0))</f>
        <v>5</v>
      </c>
      <c r="O17" s="193">
        <f ca="1">IF($F18=-1,0,IF(O$13&lt;=$M17,IF(ISERROR(MATCH(O$13,OFFSET($M17,1,0,ROW($M$71)-ROW($M17)-1),0)),ROW($M$71)-ROW($M17)-1,MATCH(O$13,OFFSET($M17,1,0,ROW($M$71)-ROW($M17)-1),0)-1),0))</f>
        <v>2</v>
      </c>
      <c r="P17" s="193">
        <f ca="1">IF($F18=-1,0,IF(P$13&lt;=$M17,IF(ISERROR(MATCH(P$13,OFFSET($M17,1,0,ROW($M$71)-ROW($M17)-1),0)),ROW($M$71)-ROW($M17)-1,MATCH(P$13,OFFSET($M17,1,0,ROW($M$71)-ROW($M17)-1),0)-1),0))</f>
        <v>0</v>
      </c>
      <c r="Q17" s="193">
        <f ca="1">IF($F18=-1,0,IF(Q$13&lt;=$M17,IF(ISERROR(MATCH(Q$13,OFFSET($M17,1,0,ROW($M$71)-ROW($M17)-1),0)),ROW($M$71)-ROW($M17)-1,MATCH(Q$13,OFFSET($M17,1,0,ROW($M$71)-ROW($M17)-1),0)-1),0))</f>
        <v>0</v>
      </c>
      <c r="R17" s="193">
        <f t="shared" ref="R17" ca="1" si="11">MIN(OFFSET(M17,0,1,,M17))</f>
        <v>2</v>
      </c>
      <c r="S17" s="194">
        <f ca="1">IF($F18=0,OFFSET(ORÇAMENTO!X$15,$F17,0),IF($F18&lt;&gt;-1,OFFSET(QCI!$O$13,$F18,0),""))</f>
        <v>0</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SUMIF(CÁLCULO!$AM$15:$AW$162,CRONO!E$12,CÁLCULO!$AB$15:$AL$162)/(ORÇAMENTO!$X$15-CÁLCULO.TotalAdmLocal)*CRONO!$F19,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SUMIF(CÁLCULO!$AM$15:$AW$162,CRONO!U$12,CÁLCULO!$AB$15:$AL$162)/(ORÇAMENTO!$X$15-CÁLCULO.TotalAdmLocal)*CRONO!$F19,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SUMIF(CÁLCULO!$AM$15:$AW$162,CRONO!V$12,CÁLCULO!$AB$15:$AL$162)/(ORÇAMENTO!$X$15-CÁLCULO.TotalAdmLocal)*CRONO!$F19,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SUMIF(CÁLCULO!$AM$15:$AW$162,CRONO!W$12,CÁLCULO!$AB$15:$AL$162)/(ORÇAMENTO!$X$15-CÁLCULO.TotalAdmLocal)*CRONO!$F19,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SUMIF(CÁLCULO!$AM$15:$AW$162,CRONO!X$12,CÁLCULO!$AB$15:$AL$162)/(ORÇAMENTO!$X$15-CÁLCULO.TotalAdmLocal)*CRONO!$F19,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SUMIF(CÁLCULO!$AM$15:$AW$162,CRONO!Y$12,CÁLCULO!$AB$15:$AL$162)/(ORÇAMENTO!$X$15-CÁLCULO.TotalAdmLocal)*CRONO!$F19,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SUMIF(CÁLCULO!$AM$15:$AW$162,CRONO!Z$12,CÁLCULO!$AB$15:$AL$162)/(ORÇAMENTO!$X$15-CÁLCULO.TotalAdmLocal)*CRONO!$F19,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SUMIF(CÁLCULO!$AM$15:$AW$162,CRONO!AA$12,CÁLCULO!$AB$15:$AL$162)/(ORÇAMENTO!$X$15-CÁLCULO.TotalAdmLocal)*CRONO!$F19,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SUMIF(CÁLCULO!$AM$15:$AW$162,CRONO!AB$12,CÁLCULO!$AB$15:$AL$162)/(ORÇAMENTO!$X$15-CÁLCULO.TotalAdmLocal)*CRONO!$F19,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SUMIF(CÁLCULO!$AM$15:$AW$162,CRONO!AC$12,CÁLCULO!$AB$15:$AL$162)/(ORÇAMENTO!$X$15-CÁLCULO.TotalAdmLocal)*CRONO!$F19,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SUMIF(CÁLCULO!$AM$15:$AW$162,CRONO!AD$12,CÁLCULO!$AB$15:$AL$162)/(ORÇAMENTO!$X$15-CÁLCULO.TotalAdmLocal)*CRONO!$F19,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SUMIF(CÁLCULO!$AM$15:$AW$162,CRONO!AE$12,CÁLCULO!$AB$15:$AL$162)/(ORÇAMENTO!$X$15-CÁLCULO.TotalAdmLocal)*CRONO!$F19,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SUMIF(CÁLCULO!$AM$15:$AW$162,CRONO!AF$12,CÁLCULO!$AB$15:$AL$162)/(ORÇAMENTO!$X$15-CÁLCULO.TotalAdmLocal)*CRONO!$F19,
                        0),
                 AF18*$S17),
          SUMIF(OFFSET($S19,1,0,$R17-2),($M17+1)&amp;"$",OFFSET(AF19,1,0,$R17-2)))</f>
        <v>0</v>
      </c>
      <c r="AG19" s="534"/>
    </row>
    <row r="20" spans="1:33" x14ac:dyDescent="0.2">
      <c r="A20" s="186" t="str">
        <f t="shared" ref="A20" ca="1" si="14">IF($M20&gt;1,_xlfn.CONCAT($I20," ",$J20),"")</f>
        <v>1.2. INSTALAÇÃO DA OBRA</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cm="1">
        <f t="array" aca="1" ref="E20" ca="1">IF(AND($R20=2,ACOMPANHAMENTO="BM"),ROUND(E21,4),E22/$S20)</f>
        <v>0</v>
      </c>
      <c r="F20" s="185" cm="1">
        <f t="array" aca="1" ref="F20" ca="1">IF(B20&lt;=ORÇAMENTO.MáximoListaCrono,MATCH(B20,ORÇAMENTO.ListaCrono,0),NA())</f>
        <v>6</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INSTALAÇÃO DA OBRA</v>
      </c>
      <c r="K20" s="191"/>
      <c r="L20" s="191"/>
      <c r="M20" s="192">
        <f ca="1">IF($F21=0,OFFSET(ORÇAMENTO!C$15,$F20,0),1)</f>
        <v>2</v>
      </c>
      <c r="N20" s="193">
        <f ca="1">IF($F21=-1,0,IF(N$13&lt;=$M20,IF(ISERROR(MATCH(N$13,OFFSET($M20,1,0,ROW($M$71)-ROW($M20)-1),0)),ROW($M$71)-ROW($M20)-1,MATCH(N$13,OFFSET($M20,1,0,ROW($M$71)-ROW($M20)-1),0)-1),0))</f>
        <v>2</v>
      </c>
      <c r="O20" s="193">
        <f ca="1">IF($F21=-1,0,IF(O$13&lt;=$M20,IF(ISERROR(MATCH(O$13,OFFSET($M20,1,0,ROW($M$71)-ROW($M20)-1),0)),ROW($M$71)-ROW($M20)-1,MATCH(O$13,OFFSET($M20,1,0,ROW($M$71)-ROW($M20)-1),0)-1),0))</f>
        <v>5</v>
      </c>
      <c r="P20" s="193">
        <f ca="1">IF($F21=-1,0,IF(P$13&lt;=$M20,IF(ISERROR(MATCH(P$13,OFFSET($M20,1,0,ROW($M$71)-ROW($M20)-1),0)),ROW($M$71)-ROW($M20)-1,MATCH(P$13,OFFSET($M20,1,0,ROW($M$71)-ROW($M20)-1),0)-1),0))</f>
        <v>0</v>
      </c>
      <c r="Q20" s="193">
        <f ca="1">IF($F21=-1,0,IF(Q$13&lt;=$M20,IF(ISERROR(MATCH(Q$13,OFFSET($M20,1,0,ROW($M$71)-ROW($M20)-1),0)),ROW($M$71)-ROW($M20)-1,MATCH(Q$13,OFFSET($M20,1,0,ROW($M$71)-ROW($M20)-1),0)-1),0))</f>
        <v>0</v>
      </c>
      <c r="R20" s="193">
        <f t="shared" ref="R20" ca="1" si="17">MIN(OFFSET(M20,0,1,,M20))</f>
        <v>2</v>
      </c>
      <c r="S20" s="194">
        <f ca="1">IF($F21=0,OFFSET(ORÇAMENTO!X$15,$F20,0),IF($F21&lt;&gt;-1,OFFSET(QCI!$O$13,$F21,0),""))</f>
        <v>0</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SUMIF(CÁLCULO!$AM$15:$AW$162,CRONO!E$12,CÁLCULO!$AB$15:$AL$162)/(ORÇAMENTO!$X$15-CÁLCULO.TotalAdmLocal)*CRONO!$F22,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SUMIF(CÁLCULO!$AM$15:$AW$162,CRONO!U$12,CÁLCULO!$AB$15:$AL$162)/(ORÇAMENTO!$X$15-CÁLCULO.TotalAdmLocal)*CRONO!$F22,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SUMIF(CÁLCULO!$AM$15:$AW$162,CRONO!V$12,CÁLCULO!$AB$15:$AL$162)/(ORÇAMENTO!$X$15-CÁLCULO.TotalAdmLocal)*CRONO!$F22,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SUMIF(CÁLCULO!$AM$15:$AW$162,CRONO!W$12,CÁLCULO!$AB$15:$AL$162)/(ORÇAMENTO!$X$15-CÁLCULO.TotalAdmLocal)*CRONO!$F22,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SUMIF(CÁLCULO!$AM$15:$AW$162,CRONO!X$12,CÁLCULO!$AB$15:$AL$162)/(ORÇAMENTO!$X$15-CÁLCULO.TotalAdmLocal)*CRONO!$F22,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SUMIF(CÁLCULO!$AM$15:$AW$162,CRONO!Y$12,CÁLCULO!$AB$15:$AL$162)/(ORÇAMENTO!$X$15-CÁLCULO.TotalAdmLocal)*CRONO!$F22,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SUMIF(CÁLCULO!$AM$15:$AW$162,CRONO!Z$12,CÁLCULO!$AB$15:$AL$162)/(ORÇAMENTO!$X$15-CÁLCULO.TotalAdmLocal)*CRONO!$F22,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SUMIF(CÁLCULO!$AM$15:$AW$162,CRONO!AA$12,CÁLCULO!$AB$15:$AL$162)/(ORÇAMENTO!$X$15-CÁLCULO.TotalAdmLocal)*CRONO!$F22,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SUMIF(CÁLCULO!$AM$15:$AW$162,CRONO!AB$12,CÁLCULO!$AB$15:$AL$162)/(ORÇAMENTO!$X$15-CÁLCULO.TotalAdmLocal)*CRONO!$F22,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SUMIF(CÁLCULO!$AM$15:$AW$162,CRONO!AC$12,CÁLCULO!$AB$15:$AL$162)/(ORÇAMENTO!$X$15-CÁLCULO.TotalAdmLocal)*CRONO!$F22,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SUMIF(CÁLCULO!$AM$15:$AW$162,CRONO!AD$12,CÁLCULO!$AB$15:$AL$162)/(ORÇAMENTO!$X$15-CÁLCULO.TotalAdmLocal)*CRONO!$F22,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SUMIF(CÁLCULO!$AM$15:$AW$162,CRONO!AE$12,CÁLCULO!$AB$15:$AL$162)/(ORÇAMENTO!$X$15-CÁLCULO.TotalAdmLocal)*CRONO!$F22,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SUMIF(CÁLCULO!$AM$15:$AW$162,CRONO!AF$12,CÁLCULO!$AB$15:$AL$162)/(ORÇAMENTO!$X$15-CÁLCULO.TotalAdmLocal)*CRONO!$F22,
                        0),
                 AF21*$S20),
          SUMIF(OFFSET($S22,1,0,$R20-2),($M20+1)&amp;"$",OFFSET(AF22,1,0,$R20-2)))</f>
        <v>0</v>
      </c>
      <c r="AG22" s="534"/>
    </row>
    <row r="23" spans="1:33" x14ac:dyDescent="0.2">
      <c r="A23" s="186" t="str">
        <f t="shared" ref="A23" ca="1" si="20">IF($M23&gt;1,_xlfn.CONCAT($I23," ",$J23),"")</f>
        <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t="e" cm="1">
        <f t="array" aca="1" ref="E23" ca="1">IF(AND($R23=2,ACOMPANHAMENTO="BM"),ROUND(E24,4),E25/$S23)</f>
        <v>#DIV/0!</v>
      </c>
      <c r="F23" s="185" cm="1">
        <f t="array" aca="1" ref="F23" ca="1">IF(B23&lt;=ORÇAMENTO.MáximoListaCrono,MATCH(B23,ORÇAMENTO.ListaCrono,0),NA())</f>
        <v>12</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2.</v>
      </c>
      <c r="J23" s="191" t="str">
        <f ca="1">IF($F24=0,OFFSET(ORÇAMENTO!R$15,$F23,0),IF($F24&lt;&gt;-1,OFFSET(QCI!$G$13,$F24,0),""))</f>
        <v>DEMOLIÇÕES E REMOÇÕES</v>
      </c>
      <c r="K23" s="191"/>
      <c r="L23" s="191"/>
      <c r="M23" s="192">
        <f ca="1">IF($F24=0,OFFSET(ORÇAMENTO!C$15,$F23,0),1)</f>
        <v>1</v>
      </c>
      <c r="N23" s="193">
        <f ca="1">IF($F24=-1,0,IF(N$13&lt;=$M23,IF(ISERROR(MATCH(N$13,OFFSET($M23,1,0,ROW($M$71)-ROW($M23)-1),0)),ROW($M$71)-ROW($M23)-1,MATCH(N$13,OFFSET($M23,1,0,ROW($M$71)-ROW($M23)-1),0)-1),0))</f>
        <v>5</v>
      </c>
      <c r="O23" s="193">
        <f ca="1">IF($F24=-1,0,IF(O$13&lt;=$M23,IF(ISERROR(MATCH(O$13,OFFSET($M23,1,0,ROW($M$71)-ROW($M23)-1),0)),ROW($M$71)-ROW($M23)-1,MATCH(O$13,OFFSET($M23,1,0,ROW($M$71)-ROW($M23)-1),0)-1),0))</f>
        <v>0</v>
      </c>
      <c r="P23" s="193">
        <f ca="1">IF($F24=-1,0,IF(P$13&lt;=$M23,IF(ISERROR(MATCH(P$13,OFFSET($M23,1,0,ROW($M$71)-ROW($M23)-1),0)),ROW($M$71)-ROW($M23)-1,MATCH(P$13,OFFSET($M23,1,0,ROW($M$71)-ROW($M23)-1),0)-1),0))</f>
        <v>0</v>
      </c>
      <c r="Q23" s="193">
        <f ca="1">IF($F24=-1,0,IF(Q$13&lt;=$M23,IF(ISERROR(MATCH(Q$13,OFFSET($M23,1,0,ROW($M$71)-ROW($M23)-1),0)),ROW($M$71)-ROW($M23)-1,MATCH(Q$13,OFFSET($M23,1,0,ROW($M$71)-ROW($M23)-1),0)-1),0))</f>
        <v>0</v>
      </c>
      <c r="R23" s="193">
        <f t="shared" ref="R23" ca="1" si="23">MIN(OFFSET(M23,0,1,,M23))</f>
        <v>5</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SUMIF(CÁLCULO!$AM$15:$AW$162,CRONO!E$12,CÁLCULO!$AB$15:$AL$162)/(ORÇAMENTO!$X$15-CÁLCULO.TotalAdmLocal)*CRONO!$F25,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1$</v>
      </c>
      <c r="T25" s="205"/>
      <c r="U25" s="202" cm="1">
        <f t="array" aca="1" ref="U25" ca="1">IF($R23=2,
         IF(AND(ACOMPANHAMENTO="PLE",ISNUMBER($F23)),
                SUMIF((OFFSET(CÁLCULO!$AM$15:$AW$15,$F23,0,OFFSET(ORÇAMENTO!$D$15,CRONO!$F23,0))),CRONO!U$12,OFFSET(CÁLCULO!$AB$15:$AL$15,$F23,0,OFFSET(ORÇAMENTO!$D$15,CRONO!$F23,0)))
                +IF(AND($F25&lt;&gt;"",$F25&lt;&gt;0),
                        SUMIF(CÁLCULO!$AM$15:$AW$162,CRONO!U$12,CÁLCULO!$AB$15:$AL$162)/(ORÇAMENTO!$X$15-CÁLCULO.TotalAdmLocal)*CRONO!$F25,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SUMIF(CÁLCULO!$AM$15:$AW$162,CRONO!V$12,CÁLCULO!$AB$15:$AL$162)/(ORÇAMENTO!$X$15-CÁLCULO.TotalAdmLocal)*CRONO!$F25,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SUMIF(CÁLCULO!$AM$15:$AW$162,CRONO!W$12,CÁLCULO!$AB$15:$AL$162)/(ORÇAMENTO!$X$15-CÁLCULO.TotalAdmLocal)*CRONO!$F25,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SUMIF(CÁLCULO!$AM$15:$AW$162,CRONO!X$12,CÁLCULO!$AB$15:$AL$162)/(ORÇAMENTO!$X$15-CÁLCULO.TotalAdmLocal)*CRONO!$F25,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SUMIF(CÁLCULO!$AM$15:$AW$162,CRONO!Y$12,CÁLCULO!$AB$15:$AL$162)/(ORÇAMENTO!$X$15-CÁLCULO.TotalAdmLocal)*CRONO!$F25,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SUMIF(CÁLCULO!$AM$15:$AW$162,CRONO!Z$12,CÁLCULO!$AB$15:$AL$162)/(ORÇAMENTO!$X$15-CÁLCULO.TotalAdmLocal)*CRONO!$F25,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SUMIF(CÁLCULO!$AM$15:$AW$162,CRONO!AA$12,CÁLCULO!$AB$15:$AL$162)/(ORÇAMENTO!$X$15-CÁLCULO.TotalAdmLocal)*CRONO!$F25,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SUMIF(CÁLCULO!$AM$15:$AW$162,CRONO!AB$12,CÁLCULO!$AB$15:$AL$162)/(ORÇAMENTO!$X$15-CÁLCULO.TotalAdmLocal)*CRONO!$F25,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SUMIF(CÁLCULO!$AM$15:$AW$162,CRONO!AC$12,CÁLCULO!$AB$15:$AL$162)/(ORÇAMENTO!$X$15-CÁLCULO.TotalAdmLocal)*CRONO!$F25,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SUMIF(CÁLCULO!$AM$15:$AW$162,CRONO!AD$12,CÁLCULO!$AB$15:$AL$162)/(ORÇAMENTO!$X$15-CÁLCULO.TotalAdmLocal)*CRONO!$F25,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SUMIF(CÁLCULO!$AM$15:$AW$162,CRONO!AE$12,CÁLCULO!$AB$15:$AL$162)/(ORÇAMENTO!$X$15-CÁLCULO.TotalAdmLocal)*CRONO!$F25,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SUMIF(CÁLCULO!$AM$15:$AW$162,CRONO!AF$12,CÁLCULO!$AB$15:$AL$162)/(ORÇAMENTO!$X$15-CÁLCULO.TotalAdmLocal)*CRONO!$F25,
                        0),
                 AF24*$S23),
          SUMIF(OFFSET($S25,1,0,$R23-2),($M23+1)&amp;"$",OFFSET(AF25,1,0,$R23-2)))</f>
        <v>0</v>
      </c>
      <c r="AG25" s="534"/>
    </row>
    <row r="26" spans="1:33" x14ac:dyDescent="0.2">
      <c r="A26" s="186" t="str">
        <f t="shared" ref="A26" ca="1" si="26">IF($M26&gt;1,_xlfn.CONCAT($I26," ",$J26),"")</f>
        <v>2.1. DEMOLIÇÕES E REMOÇÕES</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cm="1">
        <f t="array" aca="1" ref="E26" ca="1">IF(AND($R26=2,ACOMPANHAMENTO="BM"),ROUND(E27,4),E28/$S26)</f>
        <v>0</v>
      </c>
      <c r="F26" s="185" cm="1">
        <f t="array" aca="1" ref="F26" ca="1">IF(B26&lt;=ORÇAMENTO.MáximoListaCrono,MATCH(B26,ORÇAMENTO.ListaCrono,0),NA())</f>
        <v>13</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2.1.</v>
      </c>
      <c r="J26" s="191" t="str">
        <f ca="1">IF($F27=0,OFFSET(ORÇAMENTO!R$15,$F26,0),IF($F27&lt;&gt;-1,OFFSET(QCI!$G$13,$F27,0),""))</f>
        <v>DEMOLIÇÕES E REMOÇÕES</v>
      </c>
      <c r="K26" s="191"/>
      <c r="L26" s="191"/>
      <c r="M26" s="192">
        <f ca="1">IF($F27=0,OFFSET(ORÇAMENTO!C$15,$F26,0),1)</f>
        <v>2</v>
      </c>
      <c r="N26" s="193">
        <f ca="1">IF($F27=-1,0,IF(N$13&lt;=$M26,IF(ISERROR(MATCH(N$13,OFFSET($M26,1,0,ROW($M$71)-ROW($M26)-1),0)),ROW($M$71)-ROW($M26)-1,MATCH(N$13,OFFSET($M26,1,0,ROW($M$71)-ROW($M26)-1),0)-1),0))</f>
        <v>2</v>
      </c>
      <c r="O26" s="193">
        <f ca="1">IF($F27=-1,0,IF(O$13&lt;=$M26,IF(ISERROR(MATCH(O$13,OFFSET($M26,1,0,ROW($M$71)-ROW($M26)-1),0)),ROW($M$71)-ROW($M26)-1,MATCH(O$13,OFFSET($M26,1,0,ROW($M$71)-ROW($M26)-1),0)-1),0))</f>
        <v>5</v>
      </c>
      <c r="P26" s="193">
        <f ca="1">IF($F27=-1,0,IF(P$13&lt;=$M26,IF(ISERROR(MATCH(P$13,OFFSET($M26,1,0,ROW($M$71)-ROW($M26)-1),0)),ROW($M$71)-ROW($M26)-1,MATCH(P$13,OFFSET($M26,1,0,ROW($M$71)-ROW($M26)-1),0)-1),0))</f>
        <v>0</v>
      </c>
      <c r="Q26" s="193">
        <f ca="1">IF($F27=-1,0,IF(Q$13&lt;=$M26,IF(ISERROR(MATCH(Q$13,OFFSET($M26,1,0,ROW($M$71)-ROW($M26)-1),0)),ROW($M$71)-ROW($M26)-1,MATCH(Q$13,OFFSET($M26,1,0,ROW($M$71)-ROW($M26)-1),0)-1),0))</f>
        <v>0</v>
      </c>
      <c r="R26" s="193">
        <f t="shared" ref="R26" ca="1" si="29">MIN(OFFSET(M26,0,1,,M26))</f>
        <v>2</v>
      </c>
      <c r="S26" s="194">
        <f ca="1">IF($F27=0,OFFSET(ORÇAMENTO!X$15,$F26,0),IF($F27&lt;&gt;-1,OFFSET(QCI!$O$13,$F27,0),""))</f>
        <v>0</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v>1</v>
      </c>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SUMIF(CÁLCULO!$AM$15:$AW$162,CRONO!E$12,CÁLCULO!$AB$15:$AL$162)/(ORÇAMENTO!$X$15-CÁLCULO.TotalAdmLocal)*CRONO!$F28,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SUMIF(CÁLCULO!$AM$15:$AW$162,CRONO!U$12,CÁLCULO!$AB$15:$AL$162)/(ORÇAMENTO!$X$15-CÁLCULO.TotalAdmLocal)*CRONO!$F28,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SUMIF(CÁLCULO!$AM$15:$AW$162,CRONO!V$12,CÁLCULO!$AB$15:$AL$162)/(ORÇAMENTO!$X$15-CÁLCULO.TotalAdmLocal)*CRONO!$F28,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SUMIF(CÁLCULO!$AM$15:$AW$162,CRONO!W$12,CÁLCULO!$AB$15:$AL$162)/(ORÇAMENTO!$X$15-CÁLCULO.TotalAdmLocal)*CRONO!$F28,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SUMIF(CÁLCULO!$AM$15:$AW$162,CRONO!X$12,CÁLCULO!$AB$15:$AL$162)/(ORÇAMENTO!$X$15-CÁLCULO.TotalAdmLocal)*CRONO!$F28,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SUMIF(CÁLCULO!$AM$15:$AW$162,CRONO!Y$12,CÁLCULO!$AB$15:$AL$162)/(ORÇAMENTO!$X$15-CÁLCULO.TotalAdmLocal)*CRONO!$F28,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SUMIF(CÁLCULO!$AM$15:$AW$162,CRONO!Z$12,CÁLCULO!$AB$15:$AL$162)/(ORÇAMENTO!$X$15-CÁLCULO.TotalAdmLocal)*CRONO!$F28,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SUMIF(CÁLCULO!$AM$15:$AW$162,CRONO!AA$12,CÁLCULO!$AB$15:$AL$162)/(ORÇAMENTO!$X$15-CÁLCULO.TotalAdmLocal)*CRONO!$F28,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SUMIF(CÁLCULO!$AM$15:$AW$162,CRONO!AB$12,CÁLCULO!$AB$15:$AL$162)/(ORÇAMENTO!$X$15-CÁLCULO.TotalAdmLocal)*CRONO!$F28,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SUMIF(CÁLCULO!$AM$15:$AW$162,CRONO!AC$12,CÁLCULO!$AB$15:$AL$162)/(ORÇAMENTO!$X$15-CÁLCULO.TotalAdmLocal)*CRONO!$F28,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SUMIF(CÁLCULO!$AM$15:$AW$162,CRONO!AD$12,CÁLCULO!$AB$15:$AL$162)/(ORÇAMENTO!$X$15-CÁLCULO.TotalAdmLocal)*CRONO!$F28,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SUMIF(CÁLCULO!$AM$15:$AW$162,CRONO!AE$12,CÁLCULO!$AB$15:$AL$162)/(ORÇAMENTO!$X$15-CÁLCULO.TotalAdmLocal)*CRONO!$F28,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SUMIF(CÁLCULO!$AM$15:$AW$162,CRONO!AF$12,CÁLCULO!$AB$15:$AL$162)/(ORÇAMENTO!$X$15-CÁLCULO.TotalAdmLocal)*CRONO!$F28,
                        0),
                 AF27*$S26),
          SUMIF(OFFSET($S28,1,0,$R26-2),($M26+1)&amp;"$",OFFSET(AF28,1,0,$R26-2)))</f>
        <v>0</v>
      </c>
      <c r="AG28" s="534"/>
    </row>
    <row r="29" spans="1:33" x14ac:dyDescent="0.2">
      <c r="A29" s="186" t="str">
        <f t="shared" ref="A29" ca="1" si="32">IF($M29&gt;1,_xlfn.CONCAT($I29," ",$J29),"")</f>
        <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t="e" cm="1">
        <f t="array" aca="1" ref="E29" ca="1">IF(AND($R29=2,ACOMPANHAMENTO="BM"),ROUND(E30,4),E31/$S29)</f>
        <v>#DIV/0!</v>
      </c>
      <c r="F29" s="185" cm="1">
        <f t="array" aca="1" ref="F29" ca="1">IF(B29&lt;=ORÇAMENTO.MáximoListaCrono,MATCH(B29,ORÇAMENTO.ListaCrono,0),NA())</f>
        <v>20</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3.</v>
      </c>
      <c r="J29" s="191" t="str">
        <f ca="1">IF($F30=0,OFFSET(ORÇAMENTO!R$15,$F29,0),IF($F30&lt;&gt;-1,OFFSET(QCI!$G$13,$F30,0),""))</f>
        <v>MOVIMENTAÇÃO DE TERRA</v>
      </c>
      <c r="K29" s="191"/>
      <c r="L29" s="191"/>
      <c r="M29" s="192">
        <f ca="1">IF($F30=0,OFFSET(ORÇAMENTO!C$15,$F29,0),1)</f>
        <v>1</v>
      </c>
      <c r="N29" s="193">
        <f ca="1">IF($F30=-1,0,IF(N$13&lt;=$M29,IF(ISERROR(MATCH(N$13,OFFSET($M29,1,0,ROW($M$71)-ROW($M29)-1),0)),ROW($M$71)-ROW($M29)-1,MATCH(N$13,OFFSET($M29,1,0,ROW($M$71)-ROW($M29)-1),0)-1),0))</f>
        <v>8</v>
      </c>
      <c r="O29" s="193">
        <f ca="1">IF($F30=-1,0,IF(O$13&lt;=$M29,IF(ISERROR(MATCH(O$13,OFFSET($M29,1,0,ROW($M$71)-ROW($M29)-1),0)),ROW($M$71)-ROW($M29)-1,MATCH(O$13,OFFSET($M29,1,0,ROW($M$71)-ROW($M29)-1),0)-1),0))</f>
        <v>0</v>
      </c>
      <c r="P29" s="193">
        <f ca="1">IF($F30=-1,0,IF(P$13&lt;=$M29,IF(ISERROR(MATCH(P$13,OFFSET($M29,1,0,ROW($M$71)-ROW($M29)-1),0)),ROW($M$71)-ROW($M29)-1,MATCH(P$13,OFFSET($M29,1,0,ROW($M$71)-ROW($M29)-1),0)-1),0))</f>
        <v>0</v>
      </c>
      <c r="Q29" s="193">
        <f ca="1">IF($F30=-1,0,IF(Q$13&lt;=$M29,IF(ISERROR(MATCH(Q$13,OFFSET($M29,1,0,ROW($M$71)-ROW($M29)-1),0)),ROW($M$71)-ROW($M29)-1,MATCH(Q$13,OFFSET($M29,1,0,ROW($M$71)-ROW($M29)-1),0)-1),0))</f>
        <v>0</v>
      </c>
      <c r="R29" s="193">
        <f t="shared" ref="R29" ca="1" si="35">MIN(OFFSET(M29,0,1,,M29))</f>
        <v>8</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SUMIF(CÁLCULO!$AM$15:$AW$162,CRONO!E$12,CÁLCULO!$AB$15:$AL$162)/(ORÇAMENTO!$X$15-CÁLCULO.TotalAdmLocal)*CRONO!$F31,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1$</v>
      </c>
      <c r="T31" s="205"/>
      <c r="U31" s="202" cm="1">
        <f t="array" aca="1" ref="U31" ca="1">IF($R29=2,
         IF(AND(ACOMPANHAMENTO="PLE",ISNUMBER($F29)),
                SUMIF((OFFSET(CÁLCULO!$AM$15:$AW$15,$F29,0,OFFSET(ORÇAMENTO!$D$15,CRONO!$F29,0))),CRONO!U$12,OFFSET(CÁLCULO!$AB$15:$AL$15,$F29,0,OFFSET(ORÇAMENTO!$D$15,CRONO!$F29,0)))
                +IF(AND($F31&lt;&gt;"",$F31&lt;&gt;0),
                        SUMIF(CÁLCULO!$AM$15:$AW$162,CRONO!U$12,CÁLCULO!$AB$15:$AL$162)/(ORÇAMENTO!$X$15-CÁLCULO.TotalAdmLocal)*CRONO!$F31,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SUMIF(CÁLCULO!$AM$15:$AW$162,CRONO!V$12,CÁLCULO!$AB$15:$AL$162)/(ORÇAMENTO!$X$15-CÁLCULO.TotalAdmLocal)*CRONO!$F31,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SUMIF(CÁLCULO!$AM$15:$AW$162,CRONO!W$12,CÁLCULO!$AB$15:$AL$162)/(ORÇAMENTO!$X$15-CÁLCULO.TotalAdmLocal)*CRONO!$F31,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SUMIF(CÁLCULO!$AM$15:$AW$162,CRONO!X$12,CÁLCULO!$AB$15:$AL$162)/(ORÇAMENTO!$X$15-CÁLCULO.TotalAdmLocal)*CRONO!$F31,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SUMIF(CÁLCULO!$AM$15:$AW$162,CRONO!Y$12,CÁLCULO!$AB$15:$AL$162)/(ORÇAMENTO!$X$15-CÁLCULO.TotalAdmLocal)*CRONO!$F31,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SUMIF(CÁLCULO!$AM$15:$AW$162,CRONO!Z$12,CÁLCULO!$AB$15:$AL$162)/(ORÇAMENTO!$X$15-CÁLCULO.TotalAdmLocal)*CRONO!$F31,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SUMIF(CÁLCULO!$AM$15:$AW$162,CRONO!AA$12,CÁLCULO!$AB$15:$AL$162)/(ORÇAMENTO!$X$15-CÁLCULO.TotalAdmLocal)*CRONO!$F31,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SUMIF(CÁLCULO!$AM$15:$AW$162,CRONO!AB$12,CÁLCULO!$AB$15:$AL$162)/(ORÇAMENTO!$X$15-CÁLCULO.TotalAdmLocal)*CRONO!$F31,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SUMIF(CÁLCULO!$AM$15:$AW$162,CRONO!AC$12,CÁLCULO!$AB$15:$AL$162)/(ORÇAMENTO!$X$15-CÁLCULO.TotalAdmLocal)*CRONO!$F31,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SUMIF(CÁLCULO!$AM$15:$AW$162,CRONO!AD$12,CÁLCULO!$AB$15:$AL$162)/(ORÇAMENTO!$X$15-CÁLCULO.TotalAdmLocal)*CRONO!$F31,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SUMIF(CÁLCULO!$AM$15:$AW$162,CRONO!AE$12,CÁLCULO!$AB$15:$AL$162)/(ORÇAMENTO!$X$15-CÁLCULO.TotalAdmLocal)*CRONO!$F31,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SUMIF(CÁLCULO!$AM$15:$AW$162,CRONO!AF$12,CÁLCULO!$AB$15:$AL$162)/(ORÇAMENTO!$X$15-CÁLCULO.TotalAdmLocal)*CRONO!$F31,
                        0),
                 AF30*$S29),
          SUMIF(OFFSET($S31,1,0,$R29-2),($M29+1)&amp;"$",OFFSET(AF31,1,0,$R29-2)))</f>
        <v>0</v>
      </c>
      <c r="AG31" s="534"/>
    </row>
    <row r="32" spans="1:33" x14ac:dyDescent="0.2">
      <c r="A32" s="186" t="str">
        <f t="shared" ref="A32" ca="1" si="38">IF($M32&gt;1,_xlfn.CONCAT($I32," ",$J32),"")</f>
        <v>3.1. CORTA RIO</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cm="1">
        <f t="array" aca="1" ref="E32" ca="1">IF(AND($R32=2,ACOMPANHAMENTO="BM"),ROUND(E33,4),E34/$S32)</f>
        <v>0</v>
      </c>
      <c r="F32" s="185" cm="1">
        <f t="array" aca="1" ref="F32" ca="1">IF(B32&lt;=ORÇAMENTO.MáximoListaCrono,MATCH(B32,ORÇAMENTO.ListaCrono,0),NA())</f>
        <v>21</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3.1.</v>
      </c>
      <c r="J32" s="191" t="str">
        <f ca="1">IF($F33=0,OFFSET(ORÇAMENTO!R$15,$F32,0),IF($F33&lt;&gt;-1,OFFSET(QCI!$G$13,$F33,0),""))</f>
        <v>CORTA RIO</v>
      </c>
      <c r="K32" s="191"/>
      <c r="L32" s="191"/>
      <c r="M32" s="192">
        <f ca="1">IF($F33=0,OFFSET(ORÇAMENTO!C$15,$F32,0),1)</f>
        <v>2</v>
      </c>
      <c r="N32" s="193">
        <f ca="1">IF($F33=-1,0,IF(N$13&lt;=$M32,IF(ISERROR(MATCH(N$13,OFFSET($M32,1,0,ROW($M$71)-ROW($M32)-1),0)),ROW($M$71)-ROW($M32)-1,MATCH(N$13,OFFSET($M32,1,0,ROW($M$71)-ROW($M32)-1),0)-1),0))</f>
        <v>5</v>
      </c>
      <c r="O32" s="193">
        <f ca="1">IF($F33=-1,0,IF(O$13&lt;=$M32,IF(ISERROR(MATCH(O$13,OFFSET($M32,1,0,ROW($M$71)-ROW($M32)-1),0)),ROW($M$71)-ROW($M32)-1,MATCH(O$13,OFFSET($M32,1,0,ROW($M$71)-ROW($M32)-1),0)-1),0))</f>
        <v>2</v>
      </c>
      <c r="P32" s="193">
        <f ca="1">IF($F33=-1,0,IF(P$13&lt;=$M32,IF(ISERROR(MATCH(P$13,OFFSET($M32,1,0,ROW($M$71)-ROW($M32)-1),0)),ROW($M$71)-ROW($M32)-1,MATCH(P$13,OFFSET($M32,1,0,ROW($M$71)-ROW($M32)-1),0)-1),0))</f>
        <v>0</v>
      </c>
      <c r="Q32" s="193">
        <f ca="1">IF($F33=-1,0,IF(Q$13&lt;=$M32,IF(ISERROR(MATCH(Q$13,OFFSET($M32,1,0,ROW($M$71)-ROW($M32)-1),0)),ROW($M$71)-ROW($M32)-1,MATCH(Q$13,OFFSET($M32,1,0,ROW($M$71)-ROW($M32)-1),0)-1),0))</f>
        <v>0</v>
      </c>
      <c r="R32" s="193">
        <f t="shared" ref="R32" ca="1" si="41">MIN(OFFSET(M32,0,1,,M32))</f>
        <v>2</v>
      </c>
      <c r="S32" s="194">
        <f ca="1">IF($F33=0,OFFSET(ORÇAMENTO!X$15,$F32,0),IF($F33&lt;&gt;-1,OFFSET(QCI!$O$13,$F33,0),""))</f>
        <v>0</v>
      </c>
      <c r="T32" s="195" t="s">
        <v>785</v>
      </c>
      <c r="U32" s="188" cm="1">
        <f t="array" aca="1" ref="U32" ca="1">IF(AND($R32=2,ACOMPANHAMENTO="BM"),ROUND(U33,4),U34/$S32)</f>
        <v>1</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v>1</v>
      </c>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SUMIF(CÁLCULO!$AM$15:$AW$162,CRONO!E$12,CÁLCULO!$AB$15:$AL$162)/(ORÇAMENTO!$X$15-CÁLCULO.TotalAdmLocal)*CRONO!$F34,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SUMIF(CÁLCULO!$AM$15:$AW$162,CRONO!U$12,CÁLCULO!$AB$15:$AL$162)/(ORÇAMENTO!$X$15-CÁLCULO.TotalAdmLocal)*CRONO!$F34,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SUMIF(CÁLCULO!$AM$15:$AW$162,CRONO!V$12,CÁLCULO!$AB$15:$AL$162)/(ORÇAMENTO!$X$15-CÁLCULO.TotalAdmLocal)*CRONO!$F34,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SUMIF(CÁLCULO!$AM$15:$AW$162,CRONO!W$12,CÁLCULO!$AB$15:$AL$162)/(ORÇAMENTO!$X$15-CÁLCULO.TotalAdmLocal)*CRONO!$F34,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SUMIF(CÁLCULO!$AM$15:$AW$162,CRONO!X$12,CÁLCULO!$AB$15:$AL$162)/(ORÇAMENTO!$X$15-CÁLCULO.TotalAdmLocal)*CRONO!$F34,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SUMIF(CÁLCULO!$AM$15:$AW$162,CRONO!Y$12,CÁLCULO!$AB$15:$AL$162)/(ORÇAMENTO!$X$15-CÁLCULO.TotalAdmLocal)*CRONO!$F34,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SUMIF(CÁLCULO!$AM$15:$AW$162,CRONO!Z$12,CÁLCULO!$AB$15:$AL$162)/(ORÇAMENTO!$X$15-CÁLCULO.TotalAdmLocal)*CRONO!$F34,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SUMIF(CÁLCULO!$AM$15:$AW$162,CRONO!AA$12,CÁLCULO!$AB$15:$AL$162)/(ORÇAMENTO!$X$15-CÁLCULO.TotalAdmLocal)*CRONO!$F34,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SUMIF(CÁLCULO!$AM$15:$AW$162,CRONO!AB$12,CÁLCULO!$AB$15:$AL$162)/(ORÇAMENTO!$X$15-CÁLCULO.TotalAdmLocal)*CRONO!$F34,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SUMIF(CÁLCULO!$AM$15:$AW$162,CRONO!AC$12,CÁLCULO!$AB$15:$AL$162)/(ORÇAMENTO!$X$15-CÁLCULO.TotalAdmLocal)*CRONO!$F34,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SUMIF(CÁLCULO!$AM$15:$AW$162,CRONO!AD$12,CÁLCULO!$AB$15:$AL$162)/(ORÇAMENTO!$X$15-CÁLCULO.TotalAdmLocal)*CRONO!$F34,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SUMIF(CÁLCULO!$AM$15:$AW$162,CRONO!AE$12,CÁLCULO!$AB$15:$AL$162)/(ORÇAMENTO!$X$15-CÁLCULO.TotalAdmLocal)*CRONO!$F34,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SUMIF(CÁLCULO!$AM$15:$AW$162,CRONO!AF$12,CÁLCULO!$AB$15:$AL$162)/(ORÇAMENTO!$X$15-CÁLCULO.TotalAdmLocal)*CRONO!$F34,
                        0),
                 AF33*$S32),
          SUMIF(OFFSET($S34,1,0,$R32-2),($M32+1)&amp;"$",OFFSET(AF34,1,0,$R32-2)))</f>
        <v>0</v>
      </c>
      <c r="AG34" s="534"/>
    </row>
    <row r="35" spans="1:33" x14ac:dyDescent="0.2">
      <c r="A35" s="186" t="str">
        <f t="shared" ref="A35" ca="1" si="44">IF($M35&gt;1,_xlfn.CONCAT($I35," ",$J35),"")</f>
        <v>3.2. MOVIMENTAÇÃO DE TERRA</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cm="1">
        <f t="array" aca="1" ref="E35" ca="1">IF(AND($R35=2,ACOMPANHAMENTO="BM"),ROUND(E36,4),E37/$S35)</f>
        <v>0</v>
      </c>
      <c r="F35" s="185" cm="1">
        <f t="array" aca="1" ref="F35" ca="1">IF(B35&lt;=ORÇAMENTO.MáximoListaCrono,MATCH(B35,ORÇAMENTO.ListaCrono,0),NA())</f>
        <v>24</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3.2.</v>
      </c>
      <c r="J35" s="191" t="str">
        <f ca="1">IF($F36=0,OFFSET(ORÇAMENTO!R$15,$F35,0),IF($F36&lt;&gt;-1,OFFSET(QCI!$G$13,$F36,0),""))</f>
        <v>MOVIMENTAÇÃO DE TERRA</v>
      </c>
      <c r="K35" s="191"/>
      <c r="L35" s="191"/>
      <c r="M35" s="192">
        <f ca="1">IF($F36=0,OFFSET(ORÇAMENTO!C$15,$F35,0),1)</f>
        <v>2</v>
      </c>
      <c r="N35" s="193">
        <f ca="1">IF($F36=-1,0,IF(N$13&lt;=$M35,IF(ISERROR(MATCH(N$13,OFFSET($M35,1,0,ROW($M$71)-ROW($M35)-1),0)),ROW($M$71)-ROW($M35)-1,MATCH(N$13,OFFSET($M35,1,0,ROW($M$71)-ROW($M35)-1),0)-1),0))</f>
        <v>2</v>
      </c>
      <c r="O35" s="193">
        <f ca="1">IF($F36=-1,0,IF(O$13&lt;=$M35,IF(ISERROR(MATCH(O$13,OFFSET($M35,1,0,ROW($M$71)-ROW($M35)-1),0)),ROW($M$71)-ROW($M35)-1,MATCH(O$13,OFFSET($M35,1,0,ROW($M$71)-ROW($M35)-1),0)-1),0))</f>
        <v>5</v>
      </c>
      <c r="P35" s="193">
        <f ca="1">IF($F36=-1,0,IF(P$13&lt;=$M35,IF(ISERROR(MATCH(P$13,OFFSET($M35,1,0,ROW($M$71)-ROW($M35)-1),0)),ROW($M$71)-ROW($M35)-1,MATCH(P$13,OFFSET($M35,1,0,ROW($M$71)-ROW($M35)-1),0)-1),0))</f>
        <v>0</v>
      </c>
      <c r="Q35" s="193">
        <f ca="1">IF($F36=-1,0,IF(Q$13&lt;=$M35,IF(ISERROR(MATCH(Q$13,OFFSET($M35,1,0,ROW($M$71)-ROW($M35)-1),0)),ROW($M$71)-ROW($M35)-1,MATCH(Q$13,OFFSET($M35,1,0,ROW($M$71)-ROW($M35)-1),0)-1),0))</f>
        <v>0</v>
      </c>
      <c r="R35" s="193">
        <f t="shared" ref="R35" ca="1" si="47">MIN(OFFSET(M35,0,1,,M35))</f>
        <v>2</v>
      </c>
      <c r="S35" s="194">
        <f ca="1">IF($F36=0,OFFSET(ORÇAMENTO!X$15,$F35,0),IF($F36&lt;&gt;-1,OFFSET(QCI!$O$13,$F36,0),""))</f>
        <v>0</v>
      </c>
      <c r="T35" s="195" t="s">
        <v>785</v>
      </c>
      <c r="U35" s="188" cm="1">
        <f t="array" aca="1" ref="U35" ca="1">IF(AND($R35=2,ACOMPANHAMENTO="BM"),ROUND(U36,4),U37/$S35)</f>
        <v>0.2</v>
      </c>
      <c r="V35" s="188" cm="1">
        <f t="array" aca="1" ref="V35" ca="1">IF(AND($R35=2,ACOMPANHAMENTO="BM"),ROUND(V36,4),V37/$S35)</f>
        <v>0.5</v>
      </c>
      <c r="W35" s="188" cm="1">
        <f t="array" aca="1" ref="W35" ca="1">IF(AND($R35=2,ACOMPANHAMENTO="BM"),ROUND(W36,4),W37/$S35)</f>
        <v>0.3</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v>0.2</v>
      </c>
      <c r="V36" s="587">
        <v>0.5</v>
      </c>
      <c r="W36" s="587">
        <v>0.3</v>
      </c>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SUMIF(CÁLCULO!$AM$15:$AW$162,CRONO!E$12,CÁLCULO!$AB$15:$AL$162)/(ORÇAMENTO!$X$15-CÁLCULO.TotalAdmLocal)*CRONO!$F37,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SUMIF(CÁLCULO!$AM$15:$AW$162,CRONO!U$12,CÁLCULO!$AB$15:$AL$162)/(ORÇAMENTO!$X$15-CÁLCULO.TotalAdmLocal)*CRONO!$F37,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SUMIF(CÁLCULO!$AM$15:$AW$162,CRONO!V$12,CÁLCULO!$AB$15:$AL$162)/(ORÇAMENTO!$X$15-CÁLCULO.TotalAdmLocal)*CRONO!$F37,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SUMIF(CÁLCULO!$AM$15:$AW$162,CRONO!W$12,CÁLCULO!$AB$15:$AL$162)/(ORÇAMENTO!$X$15-CÁLCULO.TotalAdmLocal)*CRONO!$F37,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SUMIF(CÁLCULO!$AM$15:$AW$162,CRONO!X$12,CÁLCULO!$AB$15:$AL$162)/(ORÇAMENTO!$X$15-CÁLCULO.TotalAdmLocal)*CRONO!$F37,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SUMIF(CÁLCULO!$AM$15:$AW$162,CRONO!Y$12,CÁLCULO!$AB$15:$AL$162)/(ORÇAMENTO!$X$15-CÁLCULO.TotalAdmLocal)*CRONO!$F37,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SUMIF(CÁLCULO!$AM$15:$AW$162,CRONO!Z$12,CÁLCULO!$AB$15:$AL$162)/(ORÇAMENTO!$X$15-CÁLCULO.TotalAdmLocal)*CRONO!$F37,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SUMIF(CÁLCULO!$AM$15:$AW$162,CRONO!AA$12,CÁLCULO!$AB$15:$AL$162)/(ORÇAMENTO!$X$15-CÁLCULO.TotalAdmLocal)*CRONO!$F37,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SUMIF(CÁLCULO!$AM$15:$AW$162,CRONO!AB$12,CÁLCULO!$AB$15:$AL$162)/(ORÇAMENTO!$X$15-CÁLCULO.TotalAdmLocal)*CRONO!$F37,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SUMIF(CÁLCULO!$AM$15:$AW$162,CRONO!AC$12,CÁLCULO!$AB$15:$AL$162)/(ORÇAMENTO!$X$15-CÁLCULO.TotalAdmLocal)*CRONO!$F37,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SUMIF(CÁLCULO!$AM$15:$AW$162,CRONO!AD$12,CÁLCULO!$AB$15:$AL$162)/(ORÇAMENTO!$X$15-CÁLCULO.TotalAdmLocal)*CRONO!$F37,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SUMIF(CÁLCULO!$AM$15:$AW$162,CRONO!AE$12,CÁLCULO!$AB$15:$AL$162)/(ORÇAMENTO!$X$15-CÁLCULO.TotalAdmLocal)*CRONO!$F37,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SUMIF(CÁLCULO!$AM$15:$AW$162,CRONO!AF$12,CÁLCULO!$AB$15:$AL$162)/(ORÇAMENTO!$X$15-CÁLCULO.TotalAdmLocal)*CRONO!$F37,
                        0),
                 AF36*$S35),
          SUMIF(OFFSET($S37,1,0,$R35-2),($M35+1)&amp;"$",OFFSET(AF37,1,0,$R35-2)))</f>
        <v>0</v>
      </c>
      <c r="AG37" s="534"/>
    </row>
    <row r="38" spans="1:33" x14ac:dyDescent="0.2">
      <c r="A38" s="186" t="str">
        <f t="shared" ref="A38" ca="1" si="50">IF($M38&gt;1,_xlfn.CONCAT($I38," ",$J38),"")</f>
        <v/>
      </c>
      <c r="B38" s="185">
        <f t="shared" ref="B38" ca="1" si="51">OFFSET(B38,-3,0)+1</f>
        <v>9</v>
      </c>
      <c r="C38" s="185">
        <f ca="1">IF($R38&lt;&gt;2,0,IF($S38=0,1,IF(F39&gt;0,OFFSET(QCI!$M$13,SUBSTITUTE(F39,".",""),0),OFFSET(ORÇAMENTO!$AA$15,CRONO!$F38,0))/$S38))</f>
        <v>0</v>
      </c>
      <c r="D38" s="185">
        <f ca="1">IF($R38&lt;&gt;2,0,IF($S38=0,1,IF(F39&gt;0,OFFSET(QCI!$N$13,SUBSTITUTE(F39,".",""),0),OFFSET(ORÇAMENTO!$AB$15,CRONO!$F38,0))/$S38))</f>
        <v>0</v>
      </c>
      <c r="E38" s="188" t="e" cm="1">
        <f t="array" aca="1" ref="E38" ca="1">IF(AND($R38=2,ACOMPANHAMENTO="BM"),ROUND(E39,4),E40/$S38)</f>
        <v>#DIV/0!</v>
      </c>
      <c r="F38" s="185" cm="1">
        <f t="array" aca="1" ref="F38" ca="1">IF(B38&lt;=ORÇAMENTO.MáximoListaCrono,MATCH(B38,ORÇAMENTO.ListaCrono,0),NA())</f>
        <v>31</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4.</v>
      </c>
      <c r="J38" s="191" t="str">
        <f ca="1">IF($F39=0,OFFSET(ORÇAMENTO!R$15,$F38,0),IF($F39&lt;&gt;-1,OFFSET(QCI!$G$13,$F39,0),""))</f>
        <v>FUNDAÇÕES</v>
      </c>
      <c r="K38" s="191"/>
      <c r="L38" s="191"/>
      <c r="M38" s="192">
        <f ca="1">IF($F39=0,OFFSET(ORÇAMENTO!C$15,$F38,0),1)</f>
        <v>1</v>
      </c>
      <c r="N38" s="193">
        <f ca="1">IF($F39=-1,0,IF(N$13&lt;=$M38,IF(ISERROR(MATCH(N$13,OFFSET($M38,1,0,ROW($M$71)-ROW($M38)-1),0)),ROW($M$71)-ROW($M38)-1,MATCH(N$13,OFFSET($M38,1,0,ROW($M$71)-ROW($M38)-1),0)-1),0))</f>
        <v>5</v>
      </c>
      <c r="O38" s="193">
        <f ca="1">IF($F39=-1,0,IF(O$13&lt;=$M38,IF(ISERROR(MATCH(O$13,OFFSET($M38,1,0,ROW($M$71)-ROW($M38)-1),0)),ROW($M$71)-ROW($M38)-1,MATCH(O$13,OFFSET($M38,1,0,ROW($M$71)-ROW($M38)-1),0)-1),0))</f>
        <v>0</v>
      </c>
      <c r="P38" s="193">
        <f ca="1">IF($F39=-1,0,IF(P$13&lt;=$M38,IF(ISERROR(MATCH(P$13,OFFSET($M38,1,0,ROW($M$71)-ROW($M38)-1),0)),ROW($M$71)-ROW($M38)-1,MATCH(P$13,OFFSET($M38,1,0,ROW($M$71)-ROW($M38)-1),0)-1),0))</f>
        <v>0</v>
      </c>
      <c r="Q38" s="193">
        <f ca="1">IF($F39=-1,0,IF(Q$13&lt;=$M38,IF(ISERROR(MATCH(Q$13,OFFSET($M38,1,0,ROW($M$71)-ROW($M38)-1),0)),ROW($M$71)-ROW($M38)-1,MATCH(Q$13,OFFSET($M38,1,0,ROW($M$71)-ROW($M38)-1),0)-1),0))</f>
        <v>0</v>
      </c>
      <c r="R38" s="193">
        <f t="shared" ref="R38" ca="1" si="53">MIN(OFFSET(M38,0,1,,M38))</f>
        <v>5</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SUMIF(CÁLCULO!$AM$15:$AW$162,CRONO!E$12,CÁLCULO!$AB$15:$AL$162)/(ORÇAMENTO!$X$15-CÁLCULO.TotalAdmLocal)*CRONO!$F40,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1$</v>
      </c>
      <c r="T40" s="205"/>
      <c r="U40" s="202" cm="1">
        <f t="array" aca="1" ref="U40" ca="1">IF($R38=2,
         IF(AND(ACOMPANHAMENTO="PLE",ISNUMBER($F38)),
                SUMIF((OFFSET(CÁLCULO!$AM$15:$AW$15,$F38,0,OFFSET(ORÇAMENTO!$D$15,CRONO!$F38,0))),CRONO!U$12,OFFSET(CÁLCULO!$AB$15:$AL$15,$F38,0,OFFSET(ORÇAMENTO!$D$15,CRONO!$F38,0)))
                +IF(AND($F40&lt;&gt;"",$F40&lt;&gt;0),
                        SUMIF(CÁLCULO!$AM$15:$AW$162,CRONO!U$12,CÁLCULO!$AB$15:$AL$162)/(ORÇAMENTO!$X$15-CÁLCULO.TotalAdmLocal)*CRONO!$F40,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SUMIF(CÁLCULO!$AM$15:$AW$162,CRONO!V$12,CÁLCULO!$AB$15:$AL$162)/(ORÇAMENTO!$X$15-CÁLCULO.TotalAdmLocal)*CRONO!$F40,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SUMIF(CÁLCULO!$AM$15:$AW$162,CRONO!W$12,CÁLCULO!$AB$15:$AL$162)/(ORÇAMENTO!$X$15-CÁLCULO.TotalAdmLocal)*CRONO!$F40,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SUMIF(CÁLCULO!$AM$15:$AW$162,CRONO!X$12,CÁLCULO!$AB$15:$AL$162)/(ORÇAMENTO!$X$15-CÁLCULO.TotalAdmLocal)*CRONO!$F40,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SUMIF(CÁLCULO!$AM$15:$AW$162,CRONO!Y$12,CÁLCULO!$AB$15:$AL$162)/(ORÇAMENTO!$X$15-CÁLCULO.TotalAdmLocal)*CRONO!$F40,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SUMIF(CÁLCULO!$AM$15:$AW$162,CRONO!Z$12,CÁLCULO!$AB$15:$AL$162)/(ORÇAMENTO!$X$15-CÁLCULO.TotalAdmLocal)*CRONO!$F40,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SUMIF(CÁLCULO!$AM$15:$AW$162,CRONO!AA$12,CÁLCULO!$AB$15:$AL$162)/(ORÇAMENTO!$X$15-CÁLCULO.TotalAdmLocal)*CRONO!$F40,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SUMIF(CÁLCULO!$AM$15:$AW$162,CRONO!AB$12,CÁLCULO!$AB$15:$AL$162)/(ORÇAMENTO!$X$15-CÁLCULO.TotalAdmLocal)*CRONO!$F40,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SUMIF(CÁLCULO!$AM$15:$AW$162,CRONO!AC$12,CÁLCULO!$AB$15:$AL$162)/(ORÇAMENTO!$X$15-CÁLCULO.TotalAdmLocal)*CRONO!$F40,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SUMIF(CÁLCULO!$AM$15:$AW$162,CRONO!AD$12,CÁLCULO!$AB$15:$AL$162)/(ORÇAMENTO!$X$15-CÁLCULO.TotalAdmLocal)*CRONO!$F40,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SUMIF(CÁLCULO!$AM$15:$AW$162,CRONO!AE$12,CÁLCULO!$AB$15:$AL$162)/(ORÇAMENTO!$X$15-CÁLCULO.TotalAdmLocal)*CRONO!$F40,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SUMIF(CÁLCULO!$AM$15:$AW$162,CRONO!AF$12,CÁLCULO!$AB$15:$AL$162)/(ORÇAMENTO!$X$15-CÁLCULO.TotalAdmLocal)*CRONO!$F40,
                        0),
                 AF39*$S38),
          SUMIF(OFFSET($S40,1,0,$R38-2),($M38+1)&amp;"$",OFFSET(AF40,1,0,$R38-2)))</f>
        <v>0</v>
      </c>
      <c r="AG40" s="534"/>
    </row>
    <row r="41" spans="1:33" x14ac:dyDescent="0.2">
      <c r="A41" s="186" t="str">
        <f t="shared" ref="A41" ca="1" si="56">IF($M41&gt;1,_xlfn.CONCAT($I41," ",$J41),"")</f>
        <v>4.1. FUNDAÇÕES</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cm="1">
        <f t="array" aca="1" ref="E41" ca="1">IF(AND($R41=2,ACOMPANHAMENTO="BM"),ROUND(E42,4),E43/$S41)</f>
        <v>0</v>
      </c>
      <c r="F41" s="185" cm="1">
        <f t="array" aca="1" ref="F41" ca="1">IF(B41&lt;=ORÇAMENTO.MáximoListaCrono,MATCH(B41,ORÇAMENTO.ListaCrono,0),NA())</f>
        <v>32</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4.1.</v>
      </c>
      <c r="J41" s="191" t="str">
        <f ca="1">IF($F42=0,OFFSET(ORÇAMENTO!R$15,$F41,0),IF($F42&lt;&gt;-1,OFFSET(QCI!$G$13,$F42,0),""))</f>
        <v>FUNDAÇÕES</v>
      </c>
      <c r="K41" s="191"/>
      <c r="L41" s="191"/>
      <c r="M41" s="192">
        <f ca="1">IF($F42=0,OFFSET(ORÇAMENTO!C$15,$F41,0),1)</f>
        <v>2</v>
      </c>
      <c r="N41" s="193">
        <f ca="1">IF($F42=-1,0,IF(N$13&lt;=$M41,IF(ISERROR(MATCH(N$13,OFFSET($M41,1,0,ROW($M$71)-ROW($M41)-1),0)),ROW($M$71)-ROW($M41)-1,MATCH(N$13,OFFSET($M41,1,0,ROW($M$71)-ROW($M41)-1),0)-1),0))</f>
        <v>2</v>
      </c>
      <c r="O41" s="193">
        <f ca="1">IF($F42=-1,0,IF(O$13&lt;=$M41,IF(ISERROR(MATCH(O$13,OFFSET($M41,1,0,ROW($M$71)-ROW($M41)-1),0)),ROW($M$71)-ROW($M41)-1,MATCH(O$13,OFFSET($M41,1,0,ROW($M$71)-ROW($M41)-1),0)-1),0))</f>
        <v>5</v>
      </c>
      <c r="P41" s="193">
        <f ca="1">IF($F42=-1,0,IF(P$13&lt;=$M41,IF(ISERROR(MATCH(P$13,OFFSET($M41,1,0,ROW($M$71)-ROW($M41)-1),0)),ROW($M$71)-ROW($M41)-1,MATCH(P$13,OFFSET($M41,1,0,ROW($M$71)-ROW($M41)-1),0)-1),0))</f>
        <v>0</v>
      </c>
      <c r="Q41" s="193">
        <f ca="1">IF($F42=-1,0,IF(Q$13&lt;=$M41,IF(ISERROR(MATCH(Q$13,OFFSET($M41,1,0,ROW($M$71)-ROW($M41)-1),0)),ROW($M$71)-ROW($M41)-1,MATCH(Q$13,OFFSET($M41,1,0,ROW($M$71)-ROW($M41)-1),0)-1),0))</f>
        <v>0</v>
      </c>
      <c r="R41" s="193">
        <f t="shared" ref="R41" ca="1" si="59">MIN(OFFSET(M41,0,1,,M41))</f>
        <v>2</v>
      </c>
      <c r="S41" s="194">
        <f ca="1">IF($F42=0,OFFSET(ORÇAMENTO!X$15,$F41,0),IF($F42&lt;&gt;-1,OFFSET(QCI!$O$13,$F42,0),""))</f>
        <v>0</v>
      </c>
      <c r="T41" s="195" t="s">
        <v>785</v>
      </c>
      <c r="U41" s="188" cm="1">
        <f t="array" aca="1" ref="U41" ca="1">IF(AND($R41=2,ACOMPANHAMENTO="BM"),ROUND(U42,4),U43/$S41)</f>
        <v>0</v>
      </c>
      <c r="V41" s="188" cm="1">
        <f t="array" aca="1" ref="V41" ca="1">IF(AND($R41=2,ACOMPANHAMENTO="BM"),ROUND(V42,4),V43/$S41)</f>
        <v>1</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v>1</v>
      </c>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SUMIF(CÁLCULO!$AM$15:$AW$162,CRONO!E$12,CÁLCULO!$AB$15:$AL$162)/(ORÇAMENTO!$X$15-CÁLCULO.TotalAdmLocal)*CRONO!$F43,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SUMIF(CÁLCULO!$AM$15:$AW$162,CRONO!U$12,CÁLCULO!$AB$15:$AL$162)/(ORÇAMENTO!$X$15-CÁLCULO.TotalAdmLocal)*CRONO!$F43,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SUMIF(CÁLCULO!$AM$15:$AW$162,CRONO!V$12,CÁLCULO!$AB$15:$AL$162)/(ORÇAMENTO!$X$15-CÁLCULO.TotalAdmLocal)*CRONO!$F43,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SUMIF(CÁLCULO!$AM$15:$AW$162,CRONO!W$12,CÁLCULO!$AB$15:$AL$162)/(ORÇAMENTO!$X$15-CÁLCULO.TotalAdmLocal)*CRONO!$F43,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SUMIF(CÁLCULO!$AM$15:$AW$162,CRONO!X$12,CÁLCULO!$AB$15:$AL$162)/(ORÇAMENTO!$X$15-CÁLCULO.TotalAdmLocal)*CRONO!$F43,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SUMIF(CÁLCULO!$AM$15:$AW$162,CRONO!Y$12,CÁLCULO!$AB$15:$AL$162)/(ORÇAMENTO!$X$15-CÁLCULO.TotalAdmLocal)*CRONO!$F43,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SUMIF(CÁLCULO!$AM$15:$AW$162,CRONO!Z$12,CÁLCULO!$AB$15:$AL$162)/(ORÇAMENTO!$X$15-CÁLCULO.TotalAdmLocal)*CRONO!$F43,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SUMIF(CÁLCULO!$AM$15:$AW$162,CRONO!AA$12,CÁLCULO!$AB$15:$AL$162)/(ORÇAMENTO!$X$15-CÁLCULO.TotalAdmLocal)*CRONO!$F43,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SUMIF(CÁLCULO!$AM$15:$AW$162,CRONO!AB$12,CÁLCULO!$AB$15:$AL$162)/(ORÇAMENTO!$X$15-CÁLCULO.TotalAdmLocal)*CRONO!$F43,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SUMIF(CÁLCULO!$AM$15:$AW$162,CRONO!AC$12,CÁLCULO!$AB$15:$AL$162)/(ORÇAMENTO!$X$15-CÁLCULO.TotalAdmLocal)*CRONO!$F43,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SUMIF(CÁLCULO!$AM$15:$AW$162,CRONO!AD$12,CÁLCULO!$AB$15:$AL$162)/(ORÇAMENTO!$X$15-CÁLCULO.TotalAdmLocal)*CRONO!$F43,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SUMIF(CÁLCULO!$AM$15:$AW$162,CRONO!AE$12,CÁLCULO!$AB$15:$AL$162)/(ORÇAMENTO!$X$15-CÁLCULO.TotalAdmLocal)*CRONO!$F43,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SUMIF(CÁLCULO!$AM$15:$AW$162,CRONO!AF$12,CÁLCULO!$AB$15:$AL$162)/(ORÇAMENTO!$X$15-CÁLCULO.TotalAdmLocal)*CRONO!$F43,
                        0),
                 AF42*$S41),
          SUMIF(OFFSET($S43,1,0,$R41-2),($M41+1)&amp;"$",OFFSET(AF43,1,0,$R41-2)))</f>
        <v>0</v>
      </c>
      <c r="AG43" s="534"/>
    </row>
    <row r="44" spans="1:33" x14ac:dyDescent="0.2">
      <c r="A44" s="186" t="str">
        <f t="shared" ref="A44" ca="1" si="62">IF($M44&gt;1,_xlfn.CONCAT($I44," ",$J44),"")</f>
        <v/>
      </c>
      <c r="B44" s="185">
        <f t="shared" ref="B44" ca="1" si="63">OFFSET(B44,-3,0)+1</f>
        <v>11</v>
      </c>
      <c r="C44" s="185">
        <f ca="1">IF($R44&lt;&gt;2,0,IF($S44=0,1,IF(F45&gt;0,OFFSET(QCI!$M$13,SUBSTITUTE(F45,".",""),0),OFFSET(ORÇAMENTO!$AA$15,CRONO!$F44,0))/$S44))</f>
        <v>0</v>
      </c>
      <c r="D44" s="185">
        <f ca="1">IF($R44&lt;&gt;2,0,IF($S44=0,1,IF(F45&gt;0,OFFSET(QCI!$N$13,SUBSTITUTE(F45,".",""),0),OFFSET(ORÇAMENTO!$AB$15,CRONO!$F44,0))/$S44))</f>
        <v>0</v>
      </c>
      <c r="E44" s="188" t="e" cm="1">
        <f t="array" aca="1" ref="E44" ca="1">IF(AND($R44=2,ACOMPANHAMENTO="BM"),ROUND(E45,4),E46/$S44)</f>
        <v>#DIV/0!</v>
      </c>
      <c r="F44" s="185" cm="1">
        <f t="array" aca="1" ref="F44" ca="1">IF(B44&lt;=ORÇAMENTO.MáximoListaCrono,MATCH(B44,ORÇAMENTO.ListaCrono,0),NA())</f>
        <v>36</v>
      </c>
      <c r="G44" s="185" t="str">
        <f t="shared" ref="G44" ca="1" si="64">IF(AND($F45&lt;&gt;-1,$S44&gt;0),"F","")</f>
        <v/>
      </c>
      <c r="H44" s="189" t="str" cm="1">
        <f t="array" aca="1" ref="H44" ca="1">IF(OR(S44=0,S44=""),"Linha",IF(AND(OR(ACOMPANHAMENTO="PLE",$R44&lt;&gt;2),$F45=0),"Linha",ROUND(1-SUM(U44:AG44),4)))</f>
        <v>Linha</v>
      </c>
      <c r="I44" s="190" t="str">
        <f ca="1">IF($F45=0,OFFSET(ORÇAMENTO!O$15,$F44,0),IF($F45&lt;&gt;-1,OFFSET(QCI!$D$13,$F45,0),""))</f>
        <v>5.</v>
      </c>
      <c r="J44" s="191" t="str">
        <f ca="1">IF($F45=0,OFFSET(ORÇAMENTO!R$15,$F44,0),IF($F45&lt;&gt;-1,OFFSET(QCI!$G$13,$F45,0),""))</f>
        <v>DRENAGEM PROFUNDA E SUPERFICIAL</v>
      </c>
      <c r="K44" s="191"/>
      <c r="L44" s="191"/>
      <c r="M44" s="192">
        <f ca="1">IF($F45=0,OFFSET(ORÇAMENTO!C$15,$F44,0),1)</f>
        <v>1</v>
      </c>
      <c r="N44" s="193">
        <f ca="1">IF($F45=-1,0,IF(N$13&lt;=$M44,IF(ISERROR(MATCH(N$13,OFFSET($M44,1,0,ROW($M$71)-ROW($M44)-1),0)),ROW($M$71)-ROW($M44)-1,MATCH(N$13,OFFSET($M44,1,0,ROW($M$71)-ROW($M44)-1),0)-1),0))</f>
        <v>11</v>
      </c>
      <c r="O44" s="193">
        <f ca="1">IF($F45=-1,0,IF(O$13&lt;=$M44,IF(ISERROR(MATCH(O$13,OFFSET($M44,1,0,ROW($M$71)-ROW($M44)-1),0)),ROW($M$71)-ROW($M44)-1,MATCH(O$13,OFFSET($M44,1,0,ROW($M$71)-ROW($M44)-1),0)-1),0))</f>
        <v>0</v>
      </c>
      <c r="P44" s="193">
        <f ca="1">IF($F45=-1,0,IF(P$13&lt;=$M44,IF(ISERROR(MATCH(P$13,OFFSET($M44,1,0,ROW($M$71)-ROW($M44)-1),0)),ROW($M$71)-ROW($M44)-1,MATCH(P$13,OFFSET($M44,1,0,ROW($M$71)-ROW($M44)-1),0)-1),0))</f>
        <v>0</v>
      </c>
      <c r="Q44" s="193">
        <f ca="1">IF($F45=-1,0,IF(Q$13&lt;=$M44,IF(ISERROR(MATCH(Q$13,OFFSET($M44,1,0,ROW($M$71)-ROW($M44)-1),0)),ROW($M$71)-ROW($M44)-1,MATCH(Q$13,OFFSET($M44,1,0,ROW($M$71)-ROW($M44)-1),0)-1),0))</f>
        <v>0</v>
      </c>
      <c r="R44" s="193">
        <f t="shared" ref="R44" ca="1" si="65">MIN(OFFSET(M44,0,1,,M44))</f>
        <v>11</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SUMIF(CÁLCULO!$AM$15:$AW$162,CRONO!E$12,CÁLCULO!$AB$15:$AL$162)/(ORÇAMENTO!$X$15-CÁLCULO.TotalAdmLocal)*CRONO!$F46,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1$</v>
      </c>
      <c r="T46" s="205"/>
      <c r="U46" s="202" cm="1">
        <f t="array" aca="1" ref="U46" ca="1">IF($R44=2,
         IF(AND(ACOMPANHAMENTO="PLE",ISNUMBER($F44)),
                SUMIF((OFFSET(CÁLCULO!$AM$15:$AW$15,$F44,0,OFFSET(ORÇAMENTO!$D$15,CRONO!$F44,0))),CRONO!U$12,OFFSET(CÁLCULO!$AB$15:$AL$15,$F44,0,OFFSET(ORÇAMENTO!$D$15,CRONO!$F44,0)))
                +IF(AND($F46&lt;&gt;"",$F46&lt;&gt;0),
                        SUMIF(CÁLCULO!$AM$15:$AW$162,CRONO!U$12,CÁLCULO!$AB$15:$AL$162)/(ORÇAMENTO!$X$15-CÁLCULO.TotalAdmLocal)*CRONO!$F46,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SUMIF(CÁLCULO!$AM$15:$AW$162,CRONO!V$12,CÁLCULO!$AB$15:$AL$162)/(ORÇAMENTO!$X$15-CÁLCULO.TotalAdmLocal)*CRONO!$F46,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SUMIF(CÁLCULO!$AM$15:$AW$162,CRONO!W$12,CÁLCULO!$AB$15:$AL$162)/(ORÇAMENTO!$X$15-CÁLCULO.TotalAdmLocal)*CRONO!$F46,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SUMIF(CÁLCULO!$AM$15:$AW$162,CRONO!X$12,CÁLCULO!$AB$15:$AL$162)/(ORÇAMENTO!$X$15-CÁLCULO.TotalAdmLocal)*CRONO!$F46,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SUMIF(CÁLCULO!$AM$15:$AW$162,CRONO!Y$12,CÁLCULO!$AB$15:$AL$162)/(ORÇAMENTO!$X$15-CÁLCULO.TotalAdmLocal)*CRONO!$F46,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SUMIF(CÁLCULO!$AM$15:$AW$162,CRONO!Z$12,CÁLCULO!$AB$15:$AL$162)/(ORÇAMENTO!$X$15-CÁLCULO.TotalAdmLocal)*CRONO!$F46,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SUMIF(CÁLCULO!$AM$15:$AW$162,CRONO!AA$12,CÁLCULO!$AB$15:$AL$162)/(ORÇAMENTO!$X$15-CÁLCULO.TotalAdmLocal)*CRONO!$F46,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SUMIF(CÁLCULO!$AM$15:$AW$162,CRONO!AB$12,CÁLCULO!$AB$15:$AL$162)/(ORÇAMENTO!$X$15-CÁLCULO.TotalAdmLocal)*CRONO!$F46,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SUMIF(CÁLCULO!$AM$15:$AW$162,CRONO!AC$12,CÁLCULO!$AB$15:$AL$162)/(ORÇAMENTO!$X$15-CÁLCULO.TotalAdmLocal)*CRONO!$F46,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SUMIF(CÁLCULO!$AM$15:$AW$162,CRONO!AD$12,CÁLCULO!$AB$15:$AL$162)/(ORÇAMENTO!$X$15-CÁLCULO.TotalAdmLocal)*CRONO!$F46,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SUMIF(CÁLCULO!$AM$15:$AW$162,CRONO!AE$12,CÁLCULO!$AB$15:$AL$162)/(ORÇAMENTO!$X$15-CÁLCULO.TotalAdmLocal)*CRONO!$F46,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SUMIF(CÁLCULO!$AM$15:$AW$162,CRONO!AF$12,CÁLCULO!$AB$15:$AL$162)/(ORÇAMENTO!$X$15-CÁLCULO.TotalAdmLocal)*CRONO!$F46,
                        0),
                 AF45*$S44),
          SUMIF(OFFSET($S46,1,0,$R44-2),($M44+1)&amp;"$",OFFSET(AF46,1,0,$R44-2)))</f>
        <v>0</v>
      </c>
      <c r="AG46" s="534"/>
    </row>
    <row r="47" spans="1:33" x14ac:dyDescent="0.2">
      <c r="A47" s="186" t="str">
        <f t="shared" ref="A47" ca="1" si="68">IF($M47&gt;1,_xlfn.CONCAT($I47," ",$J47),"")</f>
        <v>5.1. ESCORAMENTO</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cm="1">
        <f t="array" aca="1" ref="E47" ca="1">IF(AND($R47=2,ACOMPANHAMENTO="BM"),ROUND(E48,4),E49/$S47)</f>
        <v>0</v>
      </c>
      <c r="F47" s="185" cm="1">
        <f t="array" aca="1" ref="F47" ca="1">IF(B47&lt;=ORÇAMENTO.MáximoListaCrono,MATCH(B47,ORÇAMENTO.ListaCrono,0),NA())</f>
        <v>37</v>
      </c>
      <c r="G47" s="185" t="str">
        <f t="shared" ref="G47" ca="1" si="70">IF(AND($F48&lt;&gt;-1,$S47&gt;0),"F","")</f>
        <v/>
      </c>
      <c r="H47" s="189" t="str" cm="1">
        <f t="array" aca="1" ref="H47" ca="1">IF(OR(S47=0,S47=""),"Linha",IF(AND(OR(ACOMPANHAMENTO="PLE",$R47&lt;&gt;2),$F48=0),"Linha",ROUND(1-SUM(U47:AG47),4)))</f>
        <v>Linha</v>
      </c>
      <c r="I47" s="190" t="str">
        <f ca="1">IF($F48=0,OFFSET(ORÇAMENTO!O$15,$F47,0),IF($F48&lt;&gt;-1,OFFSET(QCI!$D$13,$F48,0),""))</f>
        <v>5.1.</v>
      </c>
      <c r="J47" s="191" t="str">
        <f ca="1">IF($F48=0,OFFSET(ORÇAMENTO!R$15,$F47,0),IF($F48&lt;&gt;-1,OFFSET(QCI!$G$13,$F48,0),""))</f>
        <v>ESCORAMENTO</v>
      </c>
      <c r="K47" s="191"/>
      <c r="L47" s="191"/>
      <c r="M47" s="192">
        <f ca="1">IF($F48=0,OFFSET(ORÇAMENTO!C$15,$F47,0),1)</f>
        <v>2</v>
      </c>
      <c r="N47" s="193">
        <f ca="1">IF($F48=-1,0,IF(N$13&lt;=$M47,IF(ISERROR(MATCH(N$13,OFFSET($M47,1,0,ROW($M$71)-ROW($M47)-1),0)),ROW($M$71)-ROW($M47)-1,MATCH(N$13,OFFSET($M47,1,0,ROW($M$71)-ROW($M47)-1),0)-1),0))</f>
        <v>8</v>
      </c>
      <c r="O47" s="193">
        <f ca="1">IF($F48=-1,0,IF(O$13&lt;=$M47,IF(ISERROR(MATCH(O$13,OFFSET($M47,1,0,ROW($M$71)-ROW($M47)-1),0)),ROW($M$71)-ROW($M47)-1,MATCH(O$13,OFFSET($M47,1,0,ROW($M$71)-ROW($M47)-1),0)-1),0))</f>
        <v>2</v>
      </c>
      <c r="P47" s="193">
        <f ca="1">IF($F48=-1,0,IF(P$13&lt;=$M47,IF(ISERROR(MATCH(P$13,OFFSET($M47,1,0,ROW($M$71)-ROW($M47)-1),0)),ROW($M$71)-ROW($M47)-1,MATCH(P$13,OFFSET($M47,1,0,ROW($M$71)-ROW($M47)-1),0)-1),0))</f>
        <v>0</v>
      </c>
      <c r="Q47" s="193">
        <f ca="1">IF($F48=-1,0,IF(Q$13&lt;=$M47,IF(ISERROR(MATCH(Q$13,OFFSET($M47,1,0,ROW($M$71)-ROW($M47)-1),0)),ROW($M$71)-ROW($M47)-1,MATCH(Q$13,OFFSET($M47,1,0,ROW($M$71)-ROW($M47)-1),0)-1),0))</f>
        <v>0</v>
      </c>
      <c r="R47" s="193">
        <f t="shared" ref="R47" ca="1" si="71">MIN(OFFSET(M47,0,1,,M47))</f>
        <v>2</v>
      </c>
      <c r="S47" s="194">
        <f ca="1">IF($F48=0,OFFSET(ORÇAMENTO!X$15,$F47,0),IF($F48&lt;&gt;-1,OFFSET(QCI!$O$13,$F48,0),""))</f>
        <v>0</v>
      </c>
      <c r="T47" s="195" t="s">
        <v>785</v>
      </c>
      <c r="U47" s="188" cm="1">
        <f t="array" aca="1" ref="U47" ca="1">IF(AND($R47=2,ACOMPANHAMENTO="BM"),ROUND(U48,4),U49/$S47)</f>
        <v>0</v>
      </c>
      <c r="V47" s="188" cm="1">
        <f t="array" aca="1" ref="V47" ca="1">IF(AND($R47=2,ACOMPANHAMENTO="BM"),ROUND(V48,4),V49/$S47)</f>
        <v>0.5</v>
      </c>
      <c r="W47" s="188" cm="1">
        <f t="array" aca="1" ref="W47" ca="1">IF(AND($R47=2,ACOMPANHAMENTO="BM"),ROUND(W48,4),W49/$S47)</f>
        <v>0.5</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v>0.5</v>
      </c>
      <c r="W48" s="587">
        <v>0.5</v>
      </c>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SUMIF(CÁLCULO!$AM$15:$AW$162,CRONO!E$12,CÁLCULO!$AB$15:$AL$162)/(ORÇAMENTO!$X$15-CÁLCULO.TotalAdmLocal)*CRONO!$F49,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SUMIF(CÁLCULO!$AM$15:$AW$162,CRONO!U$12,CÁLCULO!$AB$15:$AL$162)/(ORÇAMENTO!$X$15-CÁLCULO.TotalAdmLocal)*CRONO!$F49,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SUMIF(CÁLCULO!$AM$15:$AW$162,CRONO!V$12,CÁLCULO!$AB$15:$AL$162)/(ORÇAMENTO!$X$15-CÁLCULO.TotalAdmLocal)*CRONO!$F49,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SUMIF(CÁLCULO!$AM$15:$AW$162,CRONO!W$12,CÁLCULO!$AB$15:$AL$162)/(ORÇAMENTO!$X$15-CÁLCULO.TotalAdmLocal)*CRONO!$F49,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SUMIF(CÁLCULO!$AM$15:$AW$162,CRONO!X$12,CÁLCULO!$AB$15:$AL$162)/(ORÇAMENTO!$X$15-CÁLCULO.TotalAdmLocal)*CRONO!$F49,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SUMIF(CÁLCULO!$AM$15:$AW$162,CRONO!Y$12,CÁLCULO!$AB$15:$AL$162)/(ORÇAMENTO!$X$15-CÁLCULO.TotalAdmLocal)*CRONO!$F49,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SUMIF(CÁLCULO!$AM$15:$AW$162,CRONO!Z$12,CÁLCULO!$AB$15:$AL$162)/(ORÇAMENTO!$X$15-CÁLCULO.TotalAdmLocal)*CRONO!$F49,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SUMIF(CÁLCULO!$AM$15:$AW$162,CRONO!AA$12,CÁLCULO!$AB$15:$AL$162)/(ORÇAMENTO!$X$15-CÁLCULO.TotalAdmLocal)*CRONO!$F49,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SUMIF(CÁLCULO!$AM$15:$AW$162,CRONO!AB$12,CÁLCULO!$AB$15:$AL$162)/(ORÇAMENTO!$X$15-CÁLCULO.TotalAdmLocal)*CRONO!$F49,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SUMIF(CÁLCULO!$AM$15:$AW$162,CRONO!AC$12,CÁLCULO!$AB$15:$AL$162)/(ORÇAMENTO!$X$15-CÁLCULO.TotalAdmLocal)*CRONO!$F49,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SUMIF(CÁLCULO!$AM$15:$AW$162,CRONO!AD$12,CÁLCULO!$AB$15:$AL$162)/(ORÇAMENTO!$X$15-CÁLCULO.TotalAdmLocal)*CRONO!$F49,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SUMIF(CÁLCULO!$AM$15:$AW$162,CRONO!AE$12,CÁLCULO!$AB$15:$AL$162)/(ORÇAMENTO!$X$15-CÁLCULO.TotalAdmLocal)*CRONO!$F49,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SUMIF(CÁLCULO!$AM$15:$AW$162,CRONO!AF$12,CÁLCULO!$AB$15:$AL$162)/(ORÇAMENTO!$X$15-CÁLCULO.TotalAdmLocal)*CRONO!$F49,
                        0),
                 AF48*$S47),
          SUMIF(OFFSET($S49,1,0,$R47-2),($M47+1)&amp;"$",OFFSET(AF49,1,0,$R47-2)))</f>
        <v>0</v>
      </c>
      <c r="AG49" s="534"/>
    </row>
    <row r="50" spans="1:33" x14ac:dyDescent="0.2">
      <c r="A50" s="186" t="str">
        <f t="shared" ref="A50" ca="1" si="74">IF($M50&gt;1,_xlfn.CONCAT($I50," ",$J50),"")</f>
        <v>5.2. DISPOSITIVOS DE DRENAGEM</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cm="1">
        <f t="array" aca="1" ref="E50" ca="1">IF(AND($R50=2,ACOMPANHAMENTO="BM"),ROUND(E51,4),E52/$S50)</f>
        <v>0</v>
      </c>
      <c r="F50" s="185" cm="1">
        <f t="array" aca="1" ref="F50" ca="1">IF(B50&lt;=ORÇAMENTO.MáximoListaCrono,MATCH(B50,ORÇAMENTO.ListaCrono,0),NA())</f>
        <v>39</v>
      </c>
      <c r="G50" s="185" t="str">
        <f t="shared" ref="G50" ca="1" si="76">IF(AND($F51&lt;&gt;-1,$S50&gt;0),"F","")</f>
        <v/>
      </c>
      <c r="H50" s="189" t="str" cm="1">
        <f t="array" aca="1" ref="H50" ca="1">IF(OR(S50=0,S50=""),"Linha",IF(AND(OR(ACOMPANHAMENTO="PLE",$R50&lt;&gt;2),$F51=0),"Linha",ROUND(1-SUM(U50:AG50),4)))</f>
        <v>Linha</v>
      </c>
      <c r="I50" s="190" t="str">
        <f ca="1">IF($F51=0,OFFSET(ORÇAMENTO!O$15,$F50,0),IF($F51&lt;&gt;-1,OFFSET(QCI!$D$13,$F51,0),""))</f>
        <v>5.2.</v>
      </c>
      <c r="J50" s="191" t="str">
        <f ca="1">IF($F51=0,OFFSET(ORÇAMENTO!R$15,$F50,0),IF($F51&lt;&gt;-1,OFFSET(QCI!$G$13,$F51,0),""))</f>
        <v>DISPOSITIVOS DE DRENAGEM</v>
      </c>
      <c r="K50" s="191"/>
      <c r="L50" s="191"/>
      <c r="M50" s="192">
        <f ca="1">IF($F51=0,OFFSET(ORÇAMENTO!C$15,$F50,0),1)</f>
        <v>2</v>
      </c>
      <c r="N50" s="193">
        <f ca="1">IF($F51=-1,0,IF(N$13&lt;=$M50,IF(ISERROR(MATCH(N$13,OFFSET($M50,1,0,ROW($M$71)-ROW($M50)-1),0)),ROW($M$71)-ROW($M50)-1,MATCH(N$13,OFFSET($M50,1,0,ROW($M$71)-ROW($M50)-1),0)-1),0))</f>
        <v>5</v>
      </c>
      <c r="O50" s="193">
        <f ca="1">IF($F51=-1,0,IF(O$13&lt;=$M50,IF(ISERROR(MATCH(O$13,OFFSET($M50,1,0,ROW($M$71)-ROW($M50)-1),0)),ROW($M$71)-ROW($M50)-1,MATCH(O$13,OFFSET($M50,1,0,ROW($M$71)-ROW($M50)-1),0)-1),0))</f>
        <v>2</v>
      </c>
      <c r="P50" s="193">
        <f ca="1">IF($F51=-1,0,IF(P$13&lt;=$M50,IF(ISERROR(MATCH(P$13,OFFSET($M50,1,0,ROW($M$71)-ROW($M50)-1),0)),ROW($M$71)-ROW($M50)-1,MATCH(P$13,OFFSET($M50,1,0,ROW($M$71)-ROW($M50)-1),0)-1),0))</f>
        <v>0</v>
      </c>
      <c r="Q50" s="193">
        <f ca="1">IF($F51=-1,0,IF(Q$13&lt;=$M50,IF(ISERROR(MATCH(Q$13,OFFSET($M50,1,0,ROW($M$71)-ROW($M50)-1),0)),ROW($M$71)-ROW($M50)-1,MATCH(Q$13,OFFSET($M50,1,0,ROW($M$71)-ROW($M50)-1),0)-1),0))</f>
        <v>0</v>
      </c>
      <c r="R50" s="193">
        <f t="shared" ref="R50" ca="1" si="77">MIN(OFFSET(M50,0,1,,M50))</f>
        <v>2</v>
      </c>
      <c r="S50" s="194">
        <f ca="1">IF($F51=0,OFFSET(ORÇAMENTO!X$15,$F50,0),IF($F51&lt;&gt;-1,OFFSET(QCI!$O$13,$F51,0),""))</f>
        <v>0</v>
      </c>
      <c r="T50" s="195" t="s">
        <v>785</v>
      </c>
      <c r="U50" s="188" cm="1">
        <f t="array" aca="1" ref="U50" ca="1">IF(AND($R50=2,ACOMPANHAMENTO="BM"),ROUND(U51,4),U52/$S50)</f>
        <v>0</v>
      </c>
      <c r="V50" s="188" cm="1">
        <f t="array" aca="1" ref="V50" ca="1">IF(AND($R50=2,ACOMPANHAMENTO="BM"),ROUND(V51,4),V52/$S50)</f>
        <v>0.5</v>
      </c>
      <c r="W50" s="188" cm="1">
        <f t="array" aca="1" ref="W50" ca="1">IF(AND($R50=2,ACOMPANHAMENTO="BM"),ROUND(W51,4),W52/$S50)</f>
        <v>0.5</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v>0.5</v>
      </c>
      <c r="W51" s="587">
        <v>0.5</v>
      </c>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SUMIF(CÁLCULO!$AM$15:$AW$162,CRONO!E$12,CÁLCULO!$AB$15:$AL$162)/(ORÇAMENTO!$X$15-CÁLCULO.TotalAdmLocal)*CRONO!$F52,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SUMIF(CÁLCULO!$AM$15:$AW$162,CRONO!U$12,CÁLCULO!$AB$15:$AL$162)/(ORÇAMENTO!$X$15-CÁLCULO.TotalAdmLocal)*CRONO!$F52,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SUMIF(CÁLCULO!$AM$15:$AW$162,CRONO!V$12,CÁLCULO!$AB$15:$AL$162)/(ORÇAMENTO!$X$15-CÁLCULO.TotalAdmLocal)*CRONO!$F52,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SUMIF(CÁLCULO!$AM$15:$AW$162,CRONO!W$12,CÁLCULO!$AB$15:$AL$162)/(ORÇAMENTO!$X$15-CÁLCULO.TotalAdmLocal)*CRONO!$F52,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SUMIF(CÁLCULO!$AM$15:$AW$162,CRONO!X$12,CÁLCULO!$AB$15:$AL$162)/(ORÇAMENTO!$X$15-CÁLCULO.TotalAdmLocal)*CRONO!$F52,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SUMIF(CÁLCULO!$AM$15:$AW$162,CRONO!Y$12,CÁLCULO!$AB$15:$AL$162)/(ORÇAMENTO!$X$15-CÁLCULO.TotalAdmLocal)*CRONO!$F52,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SUMIF(CÁLCULO!$AM$15:$AW$162,CRONO!Z$12,CÁLCULO!$AB$15:$AL$162)/(ORÇAMENTO!$X$15-CÁLCULO.TotalAdmLocal)*CRONO!$F52,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SUMIF(CÁLCULO!$AM$15:$AW$162,CRONO!AA$12,CÁLCULO!$AB$15:$AL$162)/(ORÇAMENTO!$X$15-CÁLCULO.TotalAdmLocal)*CRONO!$F52,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SUMIF(CÁLCULO!$AM$15:$AW$162,CRONO!AB$12,CÁLCULO!$AB$15:$AL$162)/(ORÇAMENTO!$X$15-CÁLCULO.TotalAdmLocal)*CRONO!$F52,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SUMIF(CÁLCULO!$AM$15:$AW$162,CRONO!AC$12,CÁLCULO!$AB$15:$AL$162)/(ORÇAMENTO!$X$15-CÁLCULO.TotalAdmLocal)*CRONO!$F52,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SUMIF(CÁLCULO!$AM$15:$AW$162,CRONO!AD$12,CÁLCULO!$AB$15:$AL$162)/(ORÇAMENTO!$X$15-CÁLCULO.TotalAdmLocal)*CRONO!$F52,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SUMIF(CÁLCULO!$AM$15:$AW$162,CRONO!AE$12,CÁLCULO!$AB$15:$AL$162)/(ORÇAMENTO!$X$15-CÁLCULO.TotalAdmLocal)*CRONO!$F52,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SUMIF(CÁLCULO!$AM$15:$AW$162,CRONO!AF$12,CÁLCULO!$AB$15:$AL$162)/(ORÇAMENTO!$X$15-CÁLCULO.TotalAdmLocal)*CRONO!$F52,
                        0),
                 AF51*$S50),
          SUMIF(OFFSET($S52,1,0,$R50-2),($M50+1)&amp;"$",OFFSET(AF52,1,0,$R50-2)))</f>
        <v>0</v>
      </c>
      <c r="AG52" s="534"/>
    </row>
    <row r="53" spans="1:33" x14ac:dyDescent="0.2">
      <c r="A53" s="186" t="str">
        <f t="shared" ref="A53" ca="1" si="80">IF($M53&gt;1,_xlfn.CONCAT($I53," ",$J53),"")</f>
        <v>5.3. CANAL E DRENOS</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cm="1">
        <f t="array" aca="1" ref="E53" ca="1">IF(AND($R53=2,ACOMPANHAMENTO="BM"),ROUND(E54,4),E55/$S53)</f>
        <v>0</v>
      </c>
      <c r="F53" s="185" cm="1">
        <f t="array" aca="1" ref="F53" ca="1">IF(B53&lt;=ORÇAMENTO.MáximoListaCrono,MATCH(B53,ORÇAMENTO.ListaCrono,0),NA())</f>
        <v>43</v>
      </c>
      <c r="G53" s="185" t="str">
        <f t="shared" ref="G53" ca="1" si="82">IF(AND($F54&lt;&gt;-1,$S53&gt;0),"F","")</f>
        <v/>
      </c>
      <c r="H53" s="189" t="str" cm="1">
        <f t="array" aca="1" ref="H53" ca="1">IF(OR(S53=0,S53=""),"Linha",IF(AND(OR(ACOMPANHAMENTO="PLE",$R53&lt;&gt;2),$F54=0),"Linha",ROUND(1-SUM(U53:AG53),4)))</f>
        <v>Linha</v>
      </c>
      <c r="I53" s="190" t="str">
        <f ca="1">IF($F54=0,OFFSET(ORÇAMENTO!O$15,$F53,0),IF($F54&lt;&gt;-1,OFFSET(QCI!$D$13,$F54,0),""))</f>
        <v>5.3.</v>
      </c>
      <c r="J53" s="191" t="str">
        <f ca="1">IF($F54=0,OFFSET(ORÇAMENTO!R$15,$F53,0),IF($F54&lt;&gt;-1,OFFSET(QCI!$G$13,$F54,0),""))</f>
        <v>CANAL E DRENOS</v>
      </c>
      <c r="K53" s="191"/>
      <c r="L53" s="191"/>
      <c r="M53" s="192">
        <f ca="1">IF($F54=0,OFFSET(ORÇAMENTO!C$15,$F53,0),1)</f>
        <v>2</v>
      </c>
      <c r="N53" s="193">
        <f ca="1">IF($F54=-1,0,IF(N$13&lt;=$M53,IF(ISERROR(MATCH(N$13,OFFSET($M53,1,0,ROW($M$71)-ROW($M53)-1),0)),ROW($M$71)-ROW($M53)-1,MATCH(N$13,OFFSET($M53,1,0,ROW($M$71)-ROW($M53)-1),0)-1),0))</f>
        <v>2</v>
      </c>
      <c r="O53" s="193">
        <f ca="1">IF($F54=-1,0,IF(O$13&lt;=$M53,IF(ISERROR(MATCH(O$13,OFFSET($M53,1,0,ROW($M$71)-ROW($M53)-1),0)),ROW($M$71)-ROW($M53)-1,MATCH(O$13,OFFSET($M53,1,0,ROW($M$71)-ROW($M53)-1),0)-1),0))</f>
        <v>5</v>
      </c>
      <c r="P53" s="193">
        <f ca="1">IF($F54=-1,0,IF(P$13&lt;=$M53,IF(ISERROR(MATCH(P$13,OFFSET($M53,1,0,ROW($M$71)-ROW($M53)-1),0)),ROW($M$71)-ROW($M53)-1,MATCH(P$13,OFFSET($M53,1,0,ROW($M$71)-ROW($M53)-1),0)-1),0))</f>
        <v>0</v>
      </c>
      <c r="Q53" s="193">
        <f ca="1">IF($F54=-1,0,IF(Q$13&lt;=$M53,IF(ISERROR(MATCH(Q$13,OFFSET($M53,1,0,ROW($M$71)-ROW($M53)-1),0)),ROW($M$71)-ROW($M53)-1,MATCH(Q$13,OFFSET($M53,1,0,ROW($M$71)-ROW($M53)-1),0)-1),0))</f>
        <v>0</v>
      </c>
      <c r="R53" s="193">
        <f t="shared" ref="R53" ca="1" si="83">MIN(OFFSET(M53,0,1,,M53))</f>
        <v>2</v>
      </c>
      <c r="S53" s="194">
        <f ca="1">IF($F54=0,OFFSET(ORÇAMENTO!X$15,$F53,0),IF($F54&lt;&gt;-1,OFFSET(QCI!$O$13,$F54,0),""))</f>
        <v>0</v>
      </c>
      <c r="T53" s="195" t="s">
        <v>785</v>
      </c>
      <c r="U53" s="188" cm="1">
        <f t="array" aca="1" ref="U53" ca="1">IF(AND($R53=2,ACOMPANHAMENTO="BM"),ROUND(U54,4),U55/$S53)</f>
        <v>0</v>
      </c>
      <c r="V53" s="188" cm="1">
        <f t="array" aca="1" ref="V53" ca="1">IF(AND($R53=2,ACOMPANHAMENTO="BM"),ROUND(V54,4),V55/$S53)</f>
        <v>0.5</v>
      </c>
      <c r="W53" s="188" cm="1">
        <f t="array" aca="1" ref="W53" ca="1">IF(AND($R53=2,ACOMPANHAMENTO="BM"),ROUND(W54,4),W55/$S53)</f>
        <v>0.5</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v>0.5</v>
      </c>
      <c r="W54" s="587">
        <v>0.5</v>
      </c>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SUMIF(CÁLCULO!$AM$15:$AW$162,CRONO!E$12,CÁLCULO!$AB$15:$AL$162)/(ORÇAMENTO!$X$15-CÁLCULO.TotalAdmLocal)*CRONO!$F55,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SUMIF(CÁLCULO!$AM$15:$AW$162,CRONO!U$12,CÁLCULO!$AB$15:$AL$162)/(ORÇAMENTO!$X$15-CÁLCULO.TotalAdmLocal)*CRONO!$F55,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SUMIF(CÁLCULO!$AM$15:$AW$162,CRONO!V$12,CÁLCULO!$AB$15:$AL$162)/(ORÇAMENTO!$X$15-CÁLCULO.TotalAdmLocal)*CRONO!$F55,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SUMIF(CÁLCULO!$AM$15:$AW$162,CRONO!W$12,CÁLCULO!$AB$15:$AL$162)/(ORÇAMENTO!$X$15-CÁLCULO.TotalAdmLocal)*CRONO!$F55,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SUMIF(CÁLCULO!$AM$15:$AW$162,CRONO!X$12,CÁLCULO!$AB$15:$AL$162)/(ORÇAMENTO!$X$15-CÁLCULO.TotalAdmLocal)*CRONO!$F55,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SUMIF(CÁLCULO!$AM$15:$AW$162,CRONO!Y$12,CÁLCULO!$AB$15:$AL$162)/(ORÇAMENTO!$X$15-CÁLCULO.TotalAdmLocal)*CRONO!$F55,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SUMIF(CÁLCULO!$AM$15:$AW$162,CRONO!Z$12,CÁLCULO!$AB$15:$AL$162)/(ORÇAMENTO!$X$15-CÁLCULO.TotalAdmLocal)*CRONO!$F55,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SUMIF(CÁLCULO!$AM$15:$AW$162,CRONO!AA$12,CÁLCULO!$AB$15:$AL$162)/(ORÇAMENTO!$X$15-CÁLCULO.TotalAdmLocal)*CRONO!$F55,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SUMIF(CÁLCULO!$AM$15:$AW$162,CRONO!AB$12,CÁLCULO!$AB$15:$AL$162)/(ORÇAMENTO!$X$15-CÁLCULO.TotalAdmLocal)*CRONO!$F55,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SUMIF(CÁLCULO!$AM$15:$AW$162,CRONO!AC$12,CÁLCULO!$AB$15:$AL$162)/(ORÇAMENTO!$X$15-CÁLCULO.TotalAdmLocal)*CRONO!$F55,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SUMIF(CÁLCULO!$AM$15:$AW$162,CRONO!AD$12,CÁLCULO!$AB$15:$AL$162)/(ORÇAMENTO!$X$15-CÁLCULO.TotalAdmLocal)*CRONO!$F55,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SUMIF(CÁLCULO!$AM$15:$AW$162,CRONO!AE$12,CÁLCULO!$AB$15:$AL$162)/(ORÇAMENTO!$X$15-CÁLCULO.TotalAdmLocal)*CRONO!$F55,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SUMIF(CÁLCULO!$AM$15:$AW$162,CRONO!AF$12,CÁLCULO!$AB$15:$AL$162)/(ORÇAMENTO!$X$15-CÁLCULO.TotalAdmLocal)*CRONO!$F55,
                        0),
                 AF54*$S53),
          SUMIF(OFFSET($S55,1,0,$R53-2),($M53+1)&amp;"$",OFFSET(AF55,1,0,$R53-2)))</f>
        <v>0</v>
      </c>
      <c r="AG55" s="534"/>
    </row>
    <row r="56" spans="1:33" x14ac:dyDescent="0.2">
      <c r="A56" s="186" t="str">
        <f t="shared" ref="A56" ca="1" si="86">IF($M56&gt;1,_xlfn.CONCAT($I56," ",$J56),"")</f>
        <v/>
      </c>
      <c r="B56" s="185">
        <f t="shared" ref="B56" ca="1" si="87">OFFSET(B56,-3,0)+1</f>
        <v>15</v>
      </c>
      <c r="C56" s="185">
        <f ca="1">IF($R56&lt;&gt;2,0,IF($S56=0,1,IF(F57&gt;0,OFFSET(QCI!$M$13,SUBSTITUTE(F57,".",""),0),OFFSET(ORÇAMENTO!$AA$15,CRONO!$F56,0))/$S56))</f>
        <v>0</v>
      </c>
      <c r="D56" s="185">
        <f ca="1">IF($R56&lt;&gt;2,0,IF($S56=0,1,IF(F57&gt;0,OFFSET(QCI!$N$13,SUBSTITUTE(F57,".",""),0),OFFSET(ORÇAMENTO!$AB$15,CRONO!$F56,0))/$S56))</f>
        <v>0</v>
      </c>
      <c r="E56" s="188" t="e" cm="1">
        <f t="array" aca="1" ref="E56" ca="1">IF(AND($R56=2,ACOMPANHAMENTO="BM"),ROUND(E57,4),E58/$S56)</f>
        <v>#DIV/0!</v>
      </c>
      <c r="F56" s="185" cm="1">
        <f t="array" aca="1" ref="F56" ca="1">IF(B56&lt;=ORÇAMENTO.MáximoListaCrono,MATCH(B56,ORÇAMENTO.ListaCrono,0),NA())</f>
        <v>49</v>
      </c>
      <c r="G56" s="185" t="str">
        <f t="shared" ref="G56" ca="1" si="88">IF(AND($F57&lt;&gt;-1,$S56&gt;0),"F","")</f>
        <v/>
      </c>
      <c r="H56" s="189" t="str" cm="1">
        <f t="array" aca="1" ref="H56" ca="1">IF(OR(S56=0,S56=""),"Linha",IF(AND(OR(ACOMPANHAMENTO="PLE",$R56&lt;&gt;2),$F57=0),"Linha",ROUND(1-SUM(U56:AG56),4)))</f>
        <v>Linha</v>
      </c>
      <c r="I56" s="190" t="str">
        <f ca="1">IF($F57=0,OFFSET(ORÇAMENTO!O$15,$F56,0),IF($F57&lt;&gt;-1,OFFSET(QCI!$D$13,$F57,0),""))</f>
        <v>6.</v>
      </c>
      <c r="J56" s="191" t="str">
        <f ca="1">IF($F57=0,OFFSET(ORÇAMENTO!R$15,$F56,0),IF($F57&lt;&gt;-1,OFFSET(QCI!$G$13,$F57,0),""))</f>
        <v>SINALIZAÇÃO VIÁRIA</v>
      </c>
      <c r="K56" s="191"/>
      <c r="L56" s="191"/>
      <c r="M56" s="192">
        <f ca="1">IF($F57=0,OFFSET(ORÇAMENTO!C$15,$F56,0),1)</f>
        <v>1</v>
      </c>
      <c r="N56" s="193">
        <f ca="1">IF($F57=-1,0,IF(N$13&lt;=$M56,IF(ISERROR(MATCH(N$13,OFFSET($M56,1,0,ROW($M$71)-ROW($M56)-1),0)),ROW($M$71)-ROW($M56)-1,MATCH(N$13,OFFSET($M56,1,0,ROW($M$71)-ROW($M56)-1),0)-1),0))</f>
        <v>8</v>
      </c>
      <c r="O56" s="193">
        <f ca="1">IF($F57=-1,0,IF(O$13&lt;=$M56,IF(ISERROR(MATCH(O$13,OFFSET($M56,1,0,ROW($M$71)-ROW($M56)-1),0)),ROW($M$71)-ROW($M56)-1,MATCH(O$13,OFFSET($M56,1,0,ROW($M$71)-ROW($M56)-1),0)-1),0))</f>
        <v>0</v>
      </c>
      <c r="P56" s="193">
        <f ca="1">IF($F57=-1,0,IF(P$13&lt;=$M56,IF(ISERROR(MATCH(P$13,OFFSET($M56,1,0,ROW($M$71)-ROW($M56)-1),0)),ROW($M$71)-ROW($M56)-1,MATCH(P$13,OFFSET($M56,1,0,ROW($M$71)-ROW($M56)-1),0)-1),0))</f>
        <v>0</v>
      </c>
      <c r="Q56" s="193">
        <f ca="1">IF($F57=-1,0,IF(Q$13&lt;=$M56,IF(ISERROR(MATCH(Q$13,OFFSET($M56,1,0,ROW($M$71)-ROW($M56)-1),0)),ROW($M$71)-ROW($M56)-1,MATCH(Q$13,OFFSET($M56,1,0,ROW($M$71)-ROW($M56)-1),0)-1),0))</f>
        <v>0</v>
      </c>
      <c r="R56" s="193">
        <f t="shared" ref="R56" ca="1" si="89">MIN(OFFSET(M56,0,1,,M56))</f>
        <v>8</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534"/>
    </row>
    <row r="57" spans="1:33" ht="12.75" customHeight="1" x14ac:dyDescent="0.2">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SUMIF(CÁLCULO!$AM$15:$AW$162,CRONO!E$12,CÁLCULO!$AB$15:$AL$162)/(ORÇAMENTO!$X$15-CÁLCULO.TotalAdmLocal)*CRONO!$F58,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SUMIF(CÁLCULO!$AM$15:$AW$162,CRONO!U$12,CÁLCULO!$AB$15:$AL$162)/(ORÇAMENTO!$X$15-CÁLCULO.TotalAdmLocal)*CRONO!$F58,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SUMIF(CÁLCULO!$AM$15:$AW$162,CRONO!V$12,CÁLCULO!$AB$15:$AL$162)/(ORÇAMENTO!$X$15-CÁLCULO.TotalAdmLocal)*CRONO!$F58,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SUMIF(CÁLCULO!$AM$15:$AW$162,CRONO!W$12,CÁLCULO!$AB$15:$AL$162)/(ORÇAMENTO!$X$15-CÁLCULO.TotalAdmLocal)*CRONO!$F58,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SUMIF(CÁLCULO!$AM$15:$AW$162,CRONO!X$12,CÁLCULO!$AB$15:$AL$162)/(ORÇAMENTO!$X$15-CÁLCULO.TotalAdmLocal)*CRONO!$F58,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SUMIF(CÁLCULO!$AM$15:$AW$162,CRONO!Y$12,CÁLCULO!$AB$15:$AL$162)/(ORÇAMENTO!$X$15-CÁLCULO.TotalAdmLocal)*CRONO!$F58,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SUMIF(CÁLCULO!$AM$15:$AW$162,CRONO!Z$12,CÁLCULO!$AB$15:$AL$162)/(ORÇAMENTO!$X$15-CÁLCULO.TotalAdmLocal)*CRONO!$F58,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SUMIF(CÁLCULO!$AM$15:$AW$162,CRONO!AA$12,CÁLCULO!$AB$15:$AL$162)/(ORÇAMENTO!$X$15-CÁLCULO.TotalAdmLocal)*CRONO!$F58,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SUMIF(CÁLCULO!$AM$15:$AW$162,CRONO!AB$12,CÁLCULO!$AB$15:$AL$162)/(ORÇAMENTO!$X$15-CÁLCULO.TotalAdmLocal)*CRONO!$F58,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SUMIF(CÁLCULO!$AM$15:$AW$162,CRONO!AC$12,CÁLCULO!$AB$15:$AL$162)/(ORÇAMENTO!$X$15-CÁLCULO.TotalAdmLocal)*CRONO!$F58,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SUMIF(CÁLCULO!$AM$15:$AW$162,CRONO!AD$12,CÁLCULO!$AB$15:$AL$162)/(ORÇAMENTO!$X$15-CÁLCULO.TotalAdmLocal)*CRONO!$F58,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SUMIF(CÁLCULO!$AM$15:$AW$162,CRONO!AE$12,CÁLCULO!$AB$15:$AL$162)/(ORÇAMENTO!$X$15-CÁLCULO.TotalAdmLocal)*CRONO!$F58,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SUMIF(CÁLCULO!$AM$15:$AW$162,CRONO!AF$12,CÁLCULO!$AB$15:$AL$162)/(ORÇAMENTO!$X$15-CÁLCULO.TotalAdmLocal)*CRONO!$F58,
                        0),
                 AF57*$S56),
          SUMIF(OFFSET($S58,1,0,$R56-2),($M56+1)&amp;"$",OFFSET(AF58,1,0,$R56-2)))</f>
        <v>0</v>
      </c>
      <c r="AG58" s="534"/>
    </row>
    <row r="59" spans="1:33" x14ac:dyDescent="0.2">
      <c r="A59" s="186" t="str">
        <f t="shared" ref="A59" ca="1" si="92">IF($M59&gt;1,_xlfn.CONCAT($I59," ",$J59),"")</f>
        <v>6.1. SINALIZAÇÃO VERTICAL</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cm="1">
        <f t="array" aca="1" ref="E59" ca="1">IF(AND($R59=2,ACOMPANHAMENTO="BM"),ROUND(E60,4),E61/$S59)</f>
        <v>0</v>
      </c>
      <c r="F59" s="185" cm="1">
        <f t="array" aca="1" ref="F59" ca="1">IF(B59&lt;=ORÇAMENTO.MáximoListaCrono,MATCH(B59,ORÇAMENTO.ListaCrono,0),NA())</f>
        <v>50</v>
      </c>
      <c r="G59" s="185" t="str">
        <f t="shared" ref="G59" ca="1" si="94">IF(AND($F60&lt;&gt;-1,$S59&gt;0),"F","")</f>
        <v/>
      </c>
      <c r="H59" s="189" t="str" cm="1">
        <f t="array" aca="1" ref="H59" ca="1">IF(OR(S59=0,S59=""),"Linha",IF(AND(OR(ACOMPANHAMENTO="PLE",$R59&lt;&gt;2),$F60=0),"Linha",ROUND(1-SUM(U59:AG59),4)))</f>
        <v>Linha</v>
      </c>
      <c r="I59" s="190" t="str">
        <f ca="1">IF($F60=0,OFFSET(ORÇAMENTO!O$15,$F59,0),IF($F60&lt;&gt;-1,OFFSET(QCI!$D$13,$F60,0),""))</f>
        <v>6.1.</v>
      </c>
      <c r="J59" s="191" t="str">
        <f ca="1">IF($F60=0,OFFSET(ORÇAMENTO!R$15,$F59,0),IF($F60&lt;&gt;-1,OFFSET(QCI!$G$13,$F60,0),""))</f>
        <v>SINALIZAÇÃO VERTICAL</v>
      </c>
      <c r="K59" s="191"/>
      <c r="L59" s="191"/>
      <c r="M59" s="192">
        <f ca="1">IF($F60=0,OFFSET(ORÇAMENTO!C$15,$F59,0),1)</f>
        <v>2</v>
      </c>
      <c r="N59" s="193">
        <f ca="1">IF($F60=-1,0,IF(N$13&lt;=$M59,IF(ISERROR(MATCH(N$13,OFFSET($M59,1,0,ROW($M$71)-ROW($M59)-1),0)),ROW($M$71)-ROW($M59)-1,MATCH(N$13,OFFSET($M59,1,0,ROW($M$71)-ROW($M59)-1),0)-1),0))</f>
        <v>5</v>
      </c>
      <c r="O59" s="193">
        <f ca="1">IF($F60=-1,0,IF(O$13&lt;=$M59,IF(ISERROR(MATCH(O$13,OFFSET($M59,1,0,ROW($M$71)-ROW($M59)-1),0)),ROW($M$71)-ROW($M59)-1,MATCH(O$13,OFFSET($M59,1,0,ROW($M$71)-ROW($M59)-1),0)-1),0))</f>
        <v>2</v>
      </c>
      <c r="P59" s="193">
        <f ca="1">IF($F60=-1,0,IF(P$13&lt;=$M59,IF(ISERROR(MATCH(P$13,OFFSET($M59,1,0,ROW($M$71)-ROW($M59)-1),0)),ROW($M$71)-ROW($M59)-1,MATCH(P$13,OFFSET($M59,1,0,ROW($M$71)-ROW($M59)-1),0)-1),0))</f>
        <v>0</v>
      </c>
      <c r="Q59" s="193">
        <f ca="1">IF($F60=-1,0,IF(Q$13&lt;=$M59,IF(ISERROR(MATCH(Q$13,OFFSET($M59,1,0,ROW($M$71)-ROW($M59)-1),0)),ROW($M$71)-ROW($M59)-1,MATCH(Q$13,OFFSET($M59,1,0,ROW($M$71)-ROW($M59)-1),0)-1),0))</f>
        <v>0</v>
      </c>
      <c r="R59" s="193">
        <f t="shared" ref="R59" ca="1" si="95">MIN(OFFSET(M59,0,1,,M59))</f>
        <v>2</v>
      </c>
      <c r="S59" s="194">
        <f ca="1">IF($F60=0,OFFSET(ORÇAMENTO!X$15,$F59,0),IF($F60&lt;&gt;-1,OFFSET(QCI!$O$13,$F60,0),""))</f>
        <v>0</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1</v>
      </c>
      <c r="X59" s="188" cm="1">
        <f t="array" aca="1" ref="X59" ca="1">IF(AND($R59=2,ACOMPANHAMENTO="BM"),ROUND(X60,4),X61/$S59)</f>
        <v>0</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v>1</v>
      </c>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SUMIF(CÁLCULO!$AM$15:$AW$162,CRONO!E$12,CÁLCULO!$AB$15:$AL$162)/(ORÇAMENTO!$X$15-CÁLCULO.TotalAdmLocal)*CRONO!$F61,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SUMIF(CÁLCULO!$AM$15:$AW$162,CRONO!U$12,CÁLCULO!$AB$15:$AL$162)/(ORÇAMENTO!$X$15-CÁLCULO.TotalAdmLocal)*CRONO!$F61,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SUMIF(CÁLCULO!$AM$15:$AW$162,CRONO!V$12,CÁLCULO!$AB$15:$AL$162)/(ORÇAMENTO!$X$15-CÁLCULO.TotalAdmLocal)*CRONO!$F61,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SUMIF(CÁLCULO!$AM$15:$AW$162,CRONO!W$12,CÁLCULO!$AB$15:$AL$162)/(ORÇAMENTO!$X$15-CÁLCULO.TotalAdmLocal)*CRONO!$F61,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SUMIF(CÁLCULO!$AM$15:$AW$162,CRONO!X$12,CÁLCULO!$AB$15:$AL$162)/(ORÇAMENTO!$X$15-CÁLCULO.TotalAdmLocal)*CRONO!$F61,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SUMIF(CÁLCULO!$AM$15:$AW$162,CRONO!Y$12,CÁLCULO!$AB$15:$AL$162)/(ORÇAMENTO!$X$15-CÁLCULO.TotalAdmLocal)*CRONO!$F61,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SUMIF(CÁLCULO!$AM$15:$AW$162,CRONO!Z$12,CÁLCULO!$AB$15:$AL$162)/(ORÇAMENTO!$X$15-CÁLCULO.TotalAdmLocal)*CRONO!$F61,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SUMIF(CÁLCULO!$AM$15:$AW$162,CRONO!AA$12,CÁLCULO!$AB$15:$AL$162)/(ORÇAMENTO!$X$15-CÁLCULO.TotalAdmLocal)*CRONO!$F61,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SUMIF(CÁLCULO!$AM$15:$AW$162,CRONO!AB$12,CÁLCULO!$AB$15:$AL$162)/(ORÇAMENTO!$X$15-CÁLCULO.TotalAdmLocal)*CRONO!$F61,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SUMIF(CÁLCULO!$AM$15:$AW$162,CRONO!AC$12,CÁLCULO!$AB$15:$AL$162)/(ORÇAMENTO!$X$15-CÁLCULO.TotalAdmLocal)*CRONO!$F61,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SUMIF(CÁLCULO!$AM$15:$AW$162,CRONO!AD$12,CÁLCULO!$AB$15:$AL$162)/(ORÇAMENTO!$X$15-CÁLCULO.TotalAdmLocal)*CRONO!$F61,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SUMIF(CÁLCULO!$AM$15:$AW$162,CRONO!AE$12,CÁLCULO!$AB$15:$AL$162)/(ORÇAMENTO!$X$15-CÁLCULO.TotalAdmLocal)*CRONO!$F61,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SUMIF(CÁLCULO!$AM$15:$AW$162,CRONO!AF$12,CÁLCULO!$AB$15:$AL$162)/(ORÇAMENTO!$X$15-CÁLCULO.TotalAdmLocal)*CRONO!$F61,
                        0),
                 AF60*$S59),
          SUMIF(OFFSET($S61,1,0,$R59-2),($M59+1)&amp;"$",OFFSET(AF61,1,0,$R59-2)))</f>
        <v>0</v>
      </c>
      <c r="AG61" s="534"/>
    </row>
    <row r="62" spans="1:33" x14ac:dyDescent="0.2">
      <c r="A62" s="186" t="str">
        <f t="shared" ref="A62" ca="1" si="98">IF($M62&gt;1,_xlfn.CONCAT($I62," ",$J62),"")</f>
        <v>6.2. OBRAS COMPLEMENTARES</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cm="1">
        <f t="array" aca="1" ref="E62" ca="1">IF(AND($R62=2,ACOMPANHAMENTO="BM"),ROUND(E63,4),E64/$S62)</f>
        <v>0</v>
      </c>
      <c r="F62" s="185" cm="1">
        <f t="array" aca="1" ref="F62" ca="1">IF(B62&lt;=ORÇAMENTO.MáximoListaCrono,MATCH(B62,ORÇAMENTO.ListaCrono,0),NA())</f>
        <v>53</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6.2.</v>
      </c>
      <c r="J62" s="191" t="str">
        <f ca="1">IF($F63=0,OFFSET(ORÇAMENTO!R$15,$F62,0),IF($F63&lt;&gt;-1,OFFSET(QCI!$G$13,$F63,0),""))</f>
        <v>OBRAS COMPLEMENTARES</v>
      </c>
      <c r="K62" s="191"/>
      <c r="L62" s="191"/>
      <c r="M62" s="192">
        <f ca="1">IF($F63=0,OFFSET(ORÇAMENTO!C$15,$F62,0),1)</f>
        <v>2</v>
      </c>
      <c r="N62" s="193">
        <f ca="1">IF($F63=-1,0,IF(N$13&lt;=$M62,IF(ISERROR(MATCH(N$13,OFFSET($M62,1,0,ROW($M$71)-ROW($M62)-1),0)),ROW($M$71)-ROW($M62)-1,MATCH(N$13,OFFSET($M62,1,0,ROW($M$71)-ROW($M62)-1),0)-1),0))</f>
        <v>2</v>
      </c>
      <c r="O62" s="193">
        <f ca="1">IF($F63=-1,0,IF(O$13&lt;=$M62,IF(ISERROR(MATCH(O$13,OFFSET($M62,1,0,ROW($M$71)-ROW($M62)-1),0)),ROW($M$71)-ROW($M62)-1,MATCH(O$13,OFFSET($M62,1,0,ROW($M$71)-ROW($M62)-1),0)-1),0))</f>
        <v>5</v>
      </c>
      <c r="P62" s="193">
        <f ca="1">IF($F63=-1,0,IF(P$13&lt;=$M62,IF(ISERROR(MATCH(P$13,OFFSET($M62,1,0,ROW($M$71)-ROW($M62)-1),0)),ROW($M$71)-ROW($M62)-1,MATCH(P$13,OFFSET($M62,1,0,ROW($M$71)-ROW($M62)-1),0)-1),0))</f>
        <v>0</v>
      </c>
      <c r="Q62" s="193">
        <f ca="1">IF($F63=-1,0,IF(Q$13&lt;=$M62,IF(ISERROR(MATCH(Q$13,OFFSET($M62,1,0,ROW($M$71)-ROW($M62)-1),0)),ROW($M$71)-ROW($M62)-1,MATCH(Q$13,OFFSET($M62,1,0,ROW($M$71)-ROW($M62)-1),0)-1),0))</f>
        <v>0</v>
      </c>
      <c r="R62" s="193">
        <f t="shared" ref="R62" ca="1" si="101">MIN(OFFSET(M62,0,1,,M62))</f>
        <v>2</v>
      </c>
      <c r="S62" s="194">
        <f ca="1">IF($F63=0,OFFSET(ORÇAMENTO!X$15,$F62,0),IF($F63&lt;&gt;-1,OFFSET(QCI!$O$13,$F63,0),""))</f>
        <v>0</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1</v>
      </c>
      <c r="X62" s="188" cm="1">
        <f t="array" aca="1" ref="X62" ca="1">IF(AND($R62=2,ACOMPANHAMENTO="BM"),ROUND(X63,4),X64/$S62)</f>
        <v>0</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customHeight="1" x14ac:dyDescent="0.2">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v>1</v>
      </c>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SUMIF(CÁLCULO!$AM$15:$AW$162,CRONO!E$12,CÁLCULO!$AB$15:$AL$162)/(ORÇAMENTO!$X$15-CÁLCULO.TotalAdmLocal)*CRONO!$F64,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SUMIF(CÁLCULO!$AM$15:$AW$162,CRONO!U$12,CÁLCULO!$AB$15:$AL$162)/(ORÇAMENTO!$X$15-CÁLCULO.TotalAdmLocal)*CRONO!$F64,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SUMIF(CÁLCULO!$AM$15:$AW$162,CRONO!V$12,CÁLCULO!$AB$15:$AL$162)/(ORÇAMENTO!$X$15-CÁLCULO.TotalAdmLocal)*CRONO!$F64,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SUMIF(CÁLCULO!$AM$15:$AW$162,CRONO!W$12,CÁLCULO!$AB$15:$AL$162)/(ORÇAMENTO!$X$15-CÁLCULO.TotalAdmLocal)*CRONO!$F64,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SUMIF(CÁLCULO!$AM$15:$AW$162,CRONO!X$12,CÁLCULO!$AB$15:$AL$162)/(ORÇAMENTO!$X$15-CÁLCULO.TotalAdmLocal)*CRONO!$F64,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SUMIF(CÁLCULO!$AM$15:$AW$162,CRONO!Y$12,CÁLCULO!$AB$15:$AL$162)/(ORÇAMENTO!$X$15-CÁLCULO.TotalAdmLocal)*CRONO!$F64,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SUMIF(CÁLCULO!$AM$15:$AW$162,CRONO!Z$12,CÁLCULO!$AB$15:$AL$162)/(ORÇAMENTO!$X$15-CÁLCULO.TotalAdmLocal)*CRONO!$F64,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SUMIF(CÁLCULO!$AM$15:$AW$162,CRONO!AA$12,CÁLCULO!$AB$15:$AL$162)/(ORÇAMENTO!$X$15-CÁLCULO.TotalAdmLocal)*CRONO!$F64,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SUMIF(CÁLCULO!$AM$15:$AW$162,CRONO!AB$12,CÁLCULO!$AB$15:$AL$162)/(ORÇAMENTO!$X$15-CÁLCULO.TotalAdmLocal)*CRONO!$F64,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SUMIF(CÁLCULO!$AM$15:$AW$162,CRONO!AC$12,CÁLCULO!$AB$15:$AL$162)/(ORÇAMENTO!$X$15-CÁLCULO.TotalAdmLocal)*CRONO!$F64,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SUMIF(CÁLCULO!$AM$15:$AW$162,CRONO!AD$12,CÁLCULO!$AB$15:$AL$162)/(ORÇAMENTO!$X$15-CÁLCULO.TotalAdmLocal)*CRONO!$F64,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SUMIF(CÁLCULO!$AM$15:$AW$162,CRONO!AE$12,CÁLCULO!$AB$15:$AL$162)/(ORÇAMENTO!$X$15-CÁLCULO.TotalAdmLocal)*CRONO!$F64,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SUMIF(CÁLCULO!$AM$15:$AW$162,CRONO!AF$12,CÁLCULO!$AB$15:$AL$162)/(ORÇAMENTO!$X$15-CÁLCULO.TotalAdmLocal)*CRONO!$F64,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t="e" cm="1">
        <f t="array" aca="1" ref="E65" ca="1">IF(AND($R65=2,ACOMPANHAMENTO="BM"),ROUND(E66,4),E67/$S65)</f>
        <v>#DIV/0!</v>
      </c>
      <c r="F65" s="185" cm="1">
        <f t="array" aca="1" ref="F65" ca="1">IF(B65&lt;=ORÇAMENTO.MáximoListaCrono,MATCH(B65,ORÇAMENTO.ListaCrono,0),NA())</f>
        <v>58</v>
      </c>
      <c r="G65" s="185" t="str">
        <f t="shared" ref="G65" ca="1" si="106">IF(AND($F66&lt;&gt;-1,$S65&gt;0),"F","")</f>
        <v/>
      </c>
      <c r="H65" s="189" t="str" cm="1">
        <f t="array" aca="1" ref="H65" ca="1">IF(OR(S65=0,S65=""),"Linha",IF(AND(OR(ACOMPANHAMENTO="PLE",$R65&lt;&gt;2),$F66=0),"Linha",ROUND(1-SUM(U65:AG65),4)))</f>
        <v>Linha</v>
      </c>
      <c r="I65" s="190" t="str">
        <f ca="1">IF($F66=0,OFFSET(ORÇAMENTO!O$15,$F65,0),IF($F66&lt;&gt;-1,OFFSET(QCI!$D$13,$F66,0),""))</f>
        <v>7.</v>
      </c>
      <c r="J65" s="191" t="str">
        <f ca="1">IF($F66=0,OFFSET(ORÇAMENTO!R$15,$F65,0),IF($F66&lt;&gt;-1,OFFSET(QCI!$G$13,$F66,0),""))</f>
        <v xml:space="preserve">ADMINISTRAÇÃO LOCAL </v>
      </c>
      <c r="K65" s="191"/>
      <c r="L65" s="191"/>
      <c r="M65" s="192">
        <f ca="1">IF($F66=0,OFFSET(ORÇAMENTO!C$15,$F65,0),1)</f>
        <v>1</v>
      </c>
      <c r="N65" s="193">
        <f ca="1">IF($F66=-1,0,IF(N$13&lt;=$M65,IF(ISERROR(MATCH(N$13,OFFSET($M65,1,0,ROW($M$71)-ROW($M65)-1),0)),ROW($M$71)-ROW($M65)-1,MATCH(N$13,OFFSET($M65,1,0,ROW($M$71)-ROW($M65)-1),0)-1),0))</f>
        <v>5</v>
      </c>
      <c r="O65" s="193">
        <f ca="1">IF($F66=-1,0,IF(O$13&lt;=$M65,IF(ISERROR(MATCH(O$13,OFFSET($M65,1,0,ROW($M$71)-ROW($M65)-1),0)),ROW($M$71)-ROW($M65)-1,MATCH(O$13,OFFSET($M65,1,0,ROW($M$71)-ROW($M65)-1),0)-1),0))</f>
        <v>0</v>
      </c>
      <c r="P65" s="193">
        <f ca="1">IF($F66=-1,0,IF(P$13&lt;=$M65,IF(ISERROR(MATCH(P$13,OFFSET($M65,1,0,ROW($M$71)-ROW($M65)-1),0)),ROW($M$71)-ROW($M65)-1,MATCH(P$13,OFFSET($M65,1,0,ROW($M$71)-ROW($M65)-1),0)-1),0))</f>
        <v>0</v>
      </c>
      <c r="Q65" s="193">
        <f ca="1">IF($F66=-1,0,IF(Q$13&lt;=$M65,IF(ISERROR(MATCH(Q$13,OFFSET($M65,1,0,ROW($M$71)-ROW($M65)-1),0)),ROW($M$71)-ROW($M65)-1,MATCH(Q$13,OFFSET($M65,1,0,ROW($M$71)-ROW($M65)-1),0)-1),0))</f>
        <v>0</v>
      </c>
      <c r="R65" s="193">
        <f t="shared" ref="R65" ca="1" si="107">MIN(OFFSET(M65,0,1,,M65))</f>
        <v>5</v>
      </c>
      <c r="S65" s="194">
        <f ca="1">IF($F66=0,OFFSET(ORÇAMENTO!X$15,$F65,0),IF($F66&lt;&gt;-1,OFFSET(QCI!$O$13,$F66,0),""))</f>
        <v>0</v>
      </c>
      <c r="T65" s="195" t="s">
        <v>785</v>
      </c>
      <c r="U65" s="188" t="e" cm="1">
        <f t="array" aca="1" ref="U65" ca="1">IF(AND($R65=2,ACOMPANHAMENTO="BM"),ROUND(U66,4),U67/$S65)</f>
        <v>#DIV/0!</v>
      </c>
      <c r="V65" s="188" t="e" cm="1">
        <f t="array" aca="1" ref="V65" ca="1">IF(AND($R65=2,ACOMPANHAMENTO="BM"),ROUND(V66,4),V67/$S65)</f>
        <v>#DIV/0!</v>
      </c>
      <c r="W65" s="188" t="e" cm="1">
        <f t="array" aca="1" ref="W65" ca="1">IF(AND($R65=2,ACOMPANHAMENTO="BM"),ROUND(W66,4),W67/$S65)</f>
        <v>#DIV/0!</v>
      </c>
      <c r="X65" s="188" t="e" cm="1">
        <f t="array" aca="1" ref="X65" ca="1">IF(AND($R65=2,ACOMPANHAMENTO="BM"),ROUND(X66,4),X67/$S65)</f>
        <v>#DIV/0!</v>
      </c>
      <c r="Y65" s="188" t="e" cm="1">
        <f t="array" aca="1" ref="Y65" ca="1">IF(AND($R65=2,ACOMPANHAMENTO="BM"),ROUND(Y66,4),Y67/$S65)</f>
        <v>#DIV/0!</v>
      </c>
      <c r="Z65" s="188" t="e" cm="1">
        <f t="array" aca="1" ref="Z65" ca="1">IF(AND($R65=2,ACOMPANHAMENTO="BM"),ROUND(Z66,4),Z67/$S65)</f>
        <v>#DIV/0!</v>
      </c>
      <c r="AA65" s="188" t="e" cm="1">
        <f t="array" aca="1" ref="AA65" ca="1">IF(AND($R65=2,ACOMPANHAMENTO="BM"),ROUND(AA66,4),AA67/$S65)</f>
        <v>#DIV/0!</v>
      </c>
      <c r="AB65" s="188" t="e" cm="1">
        <f t="array" aca="1" ref="AB65" ca="1">IF(AND($R65=2,ACOMPANHAMENTO="BM"),ROUND(AB66,4),AB67/$S65)</f>
        <v>#DIV/0!</v>
      </c>
      <c r="AC65" s="188" t="e" cm="1">
        <f t="array" aca="1" ref="AC65" ca="1">IF(AND($R65=2,ACOMPANHAMENTO="BM"),ROUND(AC66,4),AC67/$S65)</f>
        <v>#DIV/0!</v>
      </c>
      <c r="AD65" s="188" t="e" cm="1">
        <f t="array" aca="1" ref="AD65" ca="1">IF(AND($R65=2,ACOMPANHAMENTO="BM"),ROUND(AD66,4),AD67/$S65)</f>
        <v>#DIV/0!</v>
      </c>
      <c r="AE65" s="188" t="e" cm="1">
        <f t="array" aca="1" ref="AE65" ca="1">IF(AND($R65=2,ACOMPANHAMENTO="BM"),ROUND(AE66,4),AE67/$S65)</f>
        <v>#DIV/0!</v>
      </c>
      <c r="AF65" s="188" t="e" cm="1">
        <f t="array" aca="1" ref="AF65" ca="1">IF(AND($R65=2,ACOMPANHAMENTO="BM"),ROUND(AF66,4),AF67/$S65)</f>
        <v>#DIV/0!</v>
      </c>
      <c r="AG65" s="534"/>
    </row>
    <row r="66" spans="1:33" ht="12.75" customHeight="1" x14ac:dyDescent="0.2">
      <c r="E66" s="587"/>
      <c r="F66" s="185">
        <f ca="1">IF(ISERROR(F65),IF(1+COUNTIF($M$13:OFFSET(M65,-1,0),1)&lt;=MAX(QCI!$D$13:$D$24),1+COUNTIF($M$13:OFFSET(M65,-1,0),1),-1),0)</f>
        <v>0</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hidden="1"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SUMIF(CÁLCULO!$AM$15:$AW$162,CRONO!E$12,CÁLCULO!$AB$15:$AL$162)/(ORÇAMENTO!$X$15-CÁLCULO.TotalAdmLocal)*CRONO!$F67,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SUMIF(CÁLCULO!$AM$15:$AW$162,CRONO!U$12,CÁLCULO!$AB$15:$AL$162)/(ORÇAMENTO!$X$15-CÁLCULO.TotalAdmLocal)*CRONO!$F67,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SUMIF(CÁLCULO!$AM$15:$AW$162,CRONO!V$12,CÁLCULO!$AB$15:$AL$162)/(ORÇAMENTO!$X$15-CÁLCULO.TotalAdmLocal)*CRONO!$F67,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SUMIF(CÁLCULO!$AM$15:$AW$162,CRONO!W$12,CÁLCULO!$AB$15:$AL$162)/(ORÇAMENTO!$X$15-CÁLCULO.TotalAdmLocal)*CRONO!$F67,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SUMIF(CÁLCULO!$AM$15:$AW$162,CRONO!X$12,CÁLCULO!$AB$15:$AL$162)/(ORÇAMENTO!$X$15-CÁLCULO.TotalAdmLocal)*CRONO!$F67,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SUMIF(CÁLCULO!$AM$15:$AW$162,CRONO!Y$12,CÁLCULO!$AB$15:$AL$162)/(ORÇAMENTO!$X$15-CÁLCULO.TotalAdmLocal)*CRONO!$F67,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SUMIF(CÁLCULO!$AM$15:$AW$162,CRONO!Z$12,CÁLCULO!$AB$15:$AL$162)/(ORÇAMENTO!$X$15-CÁLCULO.TotalAdmLocal)*CRONO!$F67,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SUMIF(CÁLCULO!$AM$15:$AW$162,CRONO!AA$12,CÁLCULO!$AB$15:$AL$162)/(ORÇAMENTO!$X$15-CÁLCULO.TotalAdmLocal)*CRONO!$F67,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SUMIF(CÁLCULO!$AM$15:$AW$162,CRONO!AB$12,CÁLCULO!$AB$15:$AL$162)/(ORÇAMENTO!$X$15-CÁLCULO.TotalAdmLocal)*CRONO!$F67,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SUMIF(CÁLCULO!$AM$15:$AW$162,CRONO!AC$12,CÁLCULO!$AB$15:$AL$162)/(ORÇAMENTO!$X$15-CÁLCULO.TotalAdmLocal)*CRONO!$F67,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SUMIF(CÁLCULO!$AM$15:$AW$162,CRONO!AD$12,CÁLCULO!$AB$15:$AL$162)/(ORÇAMENTO!$X$15-CÁLCULO.TotalAdmLocal)*CRONO!$F67,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SUMIF(CÁLCULO!$AM$15:$AW$162,CRONO!AE$12,CÁLCULO!$AB$15:$AL$162)/(ORÇAMENTO!$X$15-CÁLCULO.TotalAdmLocal)*CRONO!$F67,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SUMIF(CÁLCULO!$AM$15:$AW$162,CRONO!AF$12,CÁLCULO!$AB$15:$AL$162)/(ORÇAMENTO!$X$15-CÁLCULO.TotalAdmLocal)*CRONO!$F67,
                        0),
                 AF66*$S65),
          SUMIF(OFFSET($S67,1,0,$R65-2),($M65+1)&amp;"$",OFFSET(AF67,1,0,$R65-2)))</f>
        <v>0</v>
      </c>
      <c r="AG67" s="534"/>
    </row>
    <row r="68" spans="1:33" x14ac:dyDescent="0.2">
      <c r="A68" s="186" t="str">
        <f t="shared" ref="A68" ca="1" si="110">IF($M68&gt;1,_xlfn.CONCAT($I68," ",$J68),"")</f>
        <v xml:space="preserve">7.1. ADMINISTRAÇÃO LOCAL </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cm="1">
        <f t="array" aca="1" ref="E68" ca="1">IF(AND($R68=2,ACOMPANHAMENTO="BM"),ROUND(E69,4),E70/$S68)</f>
        <v>0</v>
      </c>
      <c r="F68" s="185" cm="1">
        <f t="array" aca="1" ref="F68" ca="1">IF(B68&lt;=ORÇAMENTO.MáximoListaCrono,MATCH(B68,ORÇAMENTO.ListaCrono,0),NA())</f>
        <v>59</v>
      </c>
      <c r="G68" s="185" t="str">
        <f t="shared" ref="G68" ca="1" si="112">IF(AND($F69&lt;&gt;-1,$S68&gt;0),"F","")</f>
        <v/>
      </c>
      <c r="H68" s="189" t="str" cm="1">
        <f t="array" aca="1" ref="H68" ca="1">IF(OR(S68=0,S68=""),"Linha",IF(AND(OR(ACOMPANHAMENTO="PLE",$R68&lt;&gt;2),$F69=0),"Linha",ROUND(1-SUM(U68:AG68),4)))</f>
        <v>Linha</v>
      </c>
      <c r="I68" s="190" t="str">
        <f ca="1">IF($F69=0,OFFSET(ORÇAMENTO!O$15,$F68,0),IF($F69&lt;&gt;-1,OFFSET(QCI!$D$13,$F69,0),""))</f>
        <v>7.1.</v>
      </c>
      <c r="J68" s="191" t="str">
        <f ca="1">IF($F69=0,OFFSET(ORÇAMENTO!R$15,$F68,0),IF($F69&lt;&gt;-1,OFFSET(QCI!$G$13,$F69,0),""))</f>
        <v xml:space="preserve">ADMINISTRAÇÃO LOCAL </v>
      </c>
      <c r="K68" s="191"/>
      <c r="L68" s="191"/>
      <c r="M68" s="192">
        <f ca="1">IF($F69=0,OFFSET(ORÇAMENTO!C$15,$F68,0),1)</f>
        <v>2</v>
      </c>
      <c r="N68" s="193">
        <f ca="1">IF($F69=-1,0,IF(N$13&lt;=$M68,IF(ISERROR(MATCH(N$13,OFFSET($M68,1,0,ROW($M$71)-ROW($M68)-1),0)),ROW($M$71)-ROW($M68)-1,MATCH(N$13,OFFSET($M68,1,0,ROW($M$71)-ROW($M68)-1),0)-1),0))</f>
        <v>2</v>
      </c>
      <c r="O68" s="193">
        <f ca="1">IF($F69=-1,0,IF(O$13&lt;=$M68,IF(ISERROR(MATCH(O$13,OFFSET($M68,1,0,ROW($M$71)-ROW($M68)-1),0)),ROW($M$71)-ROW($M68)-1,MATCH(O$13,OFFSET($M68,1,0,ROW($M$71)-ROW($M68)-1),0)-1),0))</f>
        <v>2</v>
      </c>
      <c r="P68" s="193">
        <f ca="1">IF($F69=-1,0,IF(P$13&lt;=$M68,IF(ISERROR(MATCH(P$13,OFFSET($M68,1,0,ROW($M$71)-ROW($M68)-1),0)),ROW($M$71)-ROW($M68)-1,MATCH(P$13,OFFSET($M68,1,0,ROW($M$71)-ROW($M68)-1),0)-1),0))</f>
        <v>0</v>
      </c>
      <c r="Q68" s="193">
        <f ca="1">IF($F69=-1,0,IF(Q$13&lt;=$M68,IF(ISERROR(MATCH(Q$13,OFFSET($M68,1,0,ROW($M$71)-ROW($M68)-1),0)),ROW($M$71)-ROW($M68)-1,MATCH(Q$13,OFFSET($M68,1,0,ROW($M$71)-ROW($M68)-1),0)-1),0))</f>
        <v>0</v>
      </c>
      <c r="R68" s="193">
        <f t="shared" ref="R68" ca="1" si="113">MIN(OFFSET(M68,0,1,,M68))</f>
        <v>2</v>
      </c>
      <c r="S68" s="194">
        <f ca="1">IF($F69=0,OFFSET(ORÇAMENTO!X$15,$F68,0),IF($F69&lt;&gt;-1,OFFSET(QCI!$O$13,$F69,0),""))</f>
        <v>0</v>
      </c>
      <c r="T68" s="195" t="s">
        <v>785</v>
      </c>
      <c r="U68" s="188" cm="1">
        <f t="array" aca="1" ref="U68" ca="1">IF(AND($R68=2,ACOMPANHAMENTO="BM"),ROUND(U69,4),U70/$S68)</f>
        <v>0.14099999999999999</v>
      </c>
      <c r="V68" s="188" cm="1">
        <f t="array" aca="1" ref="V68" ca="1">IF(AND($R68=2,ACOMPANHAMENTO="BM"),ROUND(V69,4),V70/$S68)</f>
        <v>0.46</v>
      </c>
      <c r="W68" s="188" cm="1">
        <f t="array" aca="1" ref="W68" ca="1">IF(AND($R68=2,ACOMPANHAMENTO="BM"),ROUND(W69,4),W70/$S68)</f>
        <v>0.39900000000000002</v>
      </c>
      <c r="X68" s="188" cm="1">
        <f t="array" aca="1" ref="X68" ca="1">IF(AND($R68=2,ACOMPANHAMENTO="BM"),ROUND(X69,4),X70/$S68)</f>
        <v>0</v>
      </c>
      <c r="Y68" s="188" cm="1">
        <f t="array" aca="1" ref="Y68" ca="1">IF(AND($R68=2,ACOMPANHAMENTO="BM"),ROUND(Y69,4),Y70/$S68)</f>
        <v>0</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customHeight="1" x14ac:dyDescent="0.2">
      <c r="E69" s="587"/>
      <c r="F69" s="185">
        <f ca="1">IF(ISERROR(F68),IF(1+COUNTIF($M$13:OFFSET(M68,-1,0),1)&lt;=MAX(QCI!$D$13:$D$24),1+COUNTIF($M$13:OFFSET(M68,-1,0),1),-1),0)</f>
        <v>0</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v>0.14099999999999999</v>
      </c>
      <c r="V69" s="587">
        <v>0.46</v>
      </c>
      <c r="W69" s="587">
        <f>1-U69-V69</f>
        <v>0.39899999999999997</v>
      </c>
      <c r="X69" s="587"/>
      <c r="Y69" s="587"/>
      <c r="Z69" s="587"/>
      <c r="AA69" s="587"/>
      <c r="AB69" s="587"/>
      <c r="AC69" s="587"/>
      <c r="AD69" s="587"/>
      <c r="AE69" s="587"/>
      <c r="AF69" s="587"/>
      <c r="AG69" s="534"/>
    </row>
    <row r="70" spans="1:33" ht="12.75" hidden="1"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SUMIF(CÁLCULO!$AM$15:$AW$162,CRONO!E$12,CÁLCULO!$AB$15:$AL$162)/(ORÇAMENTO!$X$15-CÁLCULO.TotalAdmLocal)*CRONO!$F70,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2$</v>
      </c>
      <c r="T70" s="205"/>
      <c r="U70" s="202" cm="1">
        <f t="array" aca="1" ref="U70" ca="1">IF($R68=2,
         IF(AND(ACOMPANHAMENTO="PLE",ISNUMBER($F68)),
                SUMIF((OFFSET(CÁLCULO!$AM$15:$AW$15,$F68,0,OFFSET(ORÇAMENTO!$D$15,CRONO!$F68,0))),CRONO!U$12,OFFSET(CÁLCULO!$AB$15:$AL$15,$F68,0,OFFSET(ORÇAMENTO!$D$15,CRONO!$F68,0)))
                +IF(AND($F70&lt;&gt;"",$F70&lt;&gt;0),
                        SUMIF(CÁLCULO!$AM$15:$AW$162,CRONO!U$12,CÁLCULO!$AB$15:$AL$162)/(ORÇAMENTO!$X$15-CÁLCULO.TotalAdmLocal)*CRONO!$F70,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SUMIF(CÁLCULO!$AM$15:$AW$162,CRONO!V$12,CÁLCULO!$AB$15:$AL$162)/(ORÇAMENTO!$X$15-CÁLCULO.TotalAdmLocal)*CRONO!$F70,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SUMIF(CÁLCULO!$AM$15:$AW$162,CRONO!W$12,CÁLCULO!$AB$15:$AL$162)/(ORÇAMENTO!$X$15-CÁLCULO.TotalAdmLocal)*CRONO!$F70,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SUMIF(CÁLCULO!$AM$15:$AW$162,CRONO!X$12,CÁLCULO!$AB$15:$AL$162)/(ORÇAMENTO!$X$15-CÁLCULO.TotalAdmLocal)*CRONO!$F70,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SUMIF(CÁLCULO!$AM$15:$AW$162,CRONO!Y$12,CÁLCULO!$AB$15:$AL$162)/(ORÇAMENTO!$X$15-CÁLCULO.TotalAdmLocal)*CRONO!$F70,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SUMIF(CÁLCULO!$AM$15:$AW$162,CRONO!Z$12,CÁLCULO!$AB$15:$AL$162)/(ORÇAMENTO!$X$15-CÁLCULO.TotalAdmLocal)*CRONO!$F70,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SUMIF(CÁLCULO!$AM$15:$AW$162,CRONO!AA$12,CÁLCULO!$AB$15:$AL$162)/(ORÇAMENTO!$X$15-CÁLCULO.TotalAdmLocal)*CRONO!$F70,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SUMIF(CÁLCULO!$AM$15:$AW$162,CRONO!AB$12,CÁLCULO!$AB$15:$AL$162)/(ORÇAMENTO!$X$15-CÁLCULO.TotalAdmLocal)*CRONO!$F70,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SUMIF(CÁLCULO!$AM$15:$AW$162,CRONO!AC$12,CÁLCULO!$AB$15:$AL$162)/(ORÇAMENTO!$X$15-CÁLCULO.TotalAdmLocal)*CRONO!$F70,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SUMIF(CÁLCULO!$AM$15:$AW$162,CRONO!AD$12,CÁLCULO!$AB$15:$AL$162)/(ORÇAMENTO!$X$15-CÁLCULO.TotalAdmLocal)*CRONO!$F70,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SUMIF(CÁLCULO!$AM$15:$AW$162,CRONO!AE$12,CÁLCULO!$AB$15:$AL$162)/(ORÇAMENTO!$X$15-CÁLCULO.TotalAdmLocal)*CRONO!$F70,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SUMIF(CÁLCULO!$AM$15:$AW$162,CRONO!AF$12,CÁLCULO!$AB$15:$AL$162)/(ORÇAMENTO!$X$15-CÁLCULO.TotalAdmLocal)*CRONO!$F70,
                        0),
                 AF69*$S68),
          SUMIF(OFFSET($S70,1,0,$R68-2),($M68+1)&amp;"$",OFFSET(AF70,1,0,$R68-2)))</f>
        <v>0</v>
      </c>
      <c r="AG70" s="534"/>
    </row>
    <row r="71" spans="1:33" ht="5.0999999999999996" customHeight="1" x14ac:dyDescent="0.2">
      <c r="E71" s="640"/>
      <c r="G71" s="185" t="s">
        <v>536</v>
      </c>
      <c r="H71" s="432"/>
      <c r="I71" s="641"/>
      <c r="J71" s="642"/>
      <c r="K71" s="642"/>
      <c r="L71" s="642"/>
      <c r="M71" s="643" t="s">
        <v>797</v>
      </c>
      <c r="N71" s="643"/>
      <c r="O71" s="643"/>
      <c r="P71" s="643"/>
      <c r="Q71" s="643"/>
      <c r="R71" s="643"/>
      <c r="S71" s="644"/>
      <c r="T71" s="644"/>
      <c r="U71" s="642"/>
      <c r="V71" s="642"/>
      <c r="W71" s="642"/>
      <c r="X71" s="642"/>
      <c r="Y71" s="642"/>
      <c r="Z71" s="642"/>
      <c r="AA71" s="642"/>
      <c r="AB71" s="642"/>
      <c r="AC71" s="642"/>
      <c r="AD71" s="642"/>
      <c r="AE71" s="642"/>
      <c r="AF71" s="642"/>
      <c r="AG71" s="534"/>
    </row>
    <row r="72" spans="1:33" ht="12.75" customHeight="1" x14ac:dyDescent="0.2">
      <c r="E72" s="528" t="e">
        <f ca="1">E76/$R$72</f>
        <v>#DIV/0!</v>
      </c>
      <c r="G72" s="185" t="s">
        <v>536</v>
      </c>
      <c r="I72" s="767" t="str">
        <f ca="1">"Total:    R$ "&amp;TEXT(R72,"#.##0,00")</f>
        <v>Total:    R$ .000</v>
      </c>
      <c r="J72" s="767"/>
      <c r="K72" s="767"/>
      <c r="L72" s="227"/>
      <c r="R72" s="228">
        <f ca="1">SUMIF(M12:M71,1,S12:S71)</f>
        <v>0</v>
      </c>
      <c r="S72" s="229"/>
      <c r="T72" s="230" t="s">
        <v>798</v>
      </c>
      <c r="U72" s="528" t="e">
        <f t="shared" ref="U72:AF72" ca="1" si="116">ROUND(U76,2)/$R$72</f>
        <v>#DIV/0!</v>
      </c>
      <c r="V72" s="528" t="e">
        <f t="shared" ca="1" si="116"/>
        <v>#DIV/0!</v>
      </c>
      <c r="W72" s="528" t="e">
        <f t="shared" ca="1" si="116"/>
        <v>#DIV/0!</v>
      </c>
      <c r="X72" s="528" t="e">
        <f t="shared" ca="1" si="116"/>
        <v>#DIV/0!</v>
      </c>
      <c r="Y72" s="528" t="e">
        <f t="shared" ca="1" si="116"/>
        <v>#DIV/0!</v>
      </c>
      <c r="Z72" s="528" t="e">
        <f t="shared" ca="1" si="116"/>
        <v>#DIV/0!</v>
      </c>
      <c r="AA72" s="528" t="e">
        <f t="shared" ca="1" si="116"/>
        <v>#DIV/0!</v>
      </c>
      <c r="AB72" s="528" t="e">
        <f t="shared" ca="1" si="116"/>
        <v>#DIV/0!</v>
      </c>
      <c r="AC72" s="528" t="e">
        <f t="shared" ca="1" si="116"/>
        <v>#DIV/0!</v>
      </c>
      <c r="AD72" s="528" t="e">
        <f t="shared" ca="1" si="116"/>
        <v>#DIV/0!</v>
      </c>
      <c r="AE72" s="528" t="e">
        <f t="shared" ca="1" si="116"/>
        <v>#DIV/0!</v>
      </c>
      <c r="AF72" s="539" t="e">
        <f t="shared" ca="1" si="116"/>
        <v>#DIV/0!</v>
      </c>
      <c r="AG72" s="534"/>
    </row>
    <row r="73" spans="1:33" ht="15" customHeight="1" x14ac:dyDescent="0.2">
      <c r="E73" s="231">
        <f ca="1">IF(E$12=1,ROUND(E78,2),ROUND(E78,2)-ROUND(D78,2))</f>
        <v>0</v>
      </c>
      <c r="G73" s="185" t="s">
        <v>536</v>
      </c>
      <c r="I73" s="767"/>
      <c r="J73" s="767"/>
      <c r="K73" s="767"/>
      <c r="L73" s="232"/>
      <c r="R73" s="228"/>
      <c r="S73" s="233"/>
      <c r="T73" s="234" t="str">
        <f>IF(import.recurso="FGTS","Financiamento:","Repasse:")</f>
        <v>Repasse:</v>
      </c>
      <c r="U73" s="231">
        <f t="shared" ref="U73:AF73" ca="1" si="117">IF(U$12=1,ROUND(U78,2),ROUND(U78,2)-ROUND(T78,2))</f>
        <v>0</v>
      </c>
      <c r="V73" s="231">
        <f t="shared" ca="1" si="117"/>
        <v>0</v>
      </c>
      <c r="W73" s="231">
        <f t="shared" ca="1" si="117"/>
        <v>0</v>
      </c>
      <c r="X73" s="231">
        <f t="shared" ca="1" si="117"/>
        <v>0</v>
      </c>
      <c r="Y73" s="231">
        <f t="shared" ca="1" si="117"/>
        <v>0</v>
      </c>
      <c r="Z73" s="231">
        <f t="shared" ca="1" si="117"/>
        <v>0</v>
      </c>
      <c r="AA73" s="231">
        <f t="shared" ca="1" si="117"/>
        <v>0</v>
      </c>
      <c r="AB73" s="231">
        <f t="shared" ca="1" si="117"/>
        <v>0</v>
      </c>
      <c r="AC73" s="231">
        <f t="shared" ca="1" si="117"/>
        <v>0</v>
      </c>
      <c r="AD73" s="231">
        <f t="shared" ca="1" si="117"/>
        <v>0</v>
      </c>
      <c r="AE73" s="231">
        <f t="shared" ca="1" si="117"/>
        <v>0</v>
      </c>
      <c r="AF73" s="231">
        <f t="shared" ca="1" si="117"/>
        <v>0</v>
      </c>
      <c r="AG73" s="534"/>
    </row>
    <row r="74" spans="1:33" ht="12.75" customHeight="1" x14ac:dyDescent="0.2">
      <c r="E74" s="529">
        <f ca="1">IF(E$12=1,ROUND(E79,2),ROUND(E79,2)-ROUND(D79,2))</f>
        <v>0</v>
      </c>
      <c r="G74" s="185" t="s">
        <v>536</v>
      </c>
      <c r="I74" s="235"/>
      <c r="L74" s="236" t="s">
        <v>799</v>
      </c>
      <c r="R74" s="228"/>
      <c r="S74" s="237"/>
      <c r="T74" s="238" t="s">
        <v>800</v>
      </c>
      <c r="U74" s="529">
        <f t="shared" ref="U74:AF74" ca="1" si="118">IF(U$12=1,ROUND(U79,2),ROUND(U79,2)-ROUND(T79,2))</f>
        <v>0</v>
      </c>
      <c r="V74" s="529">
        <f t="shared" ca="1" si="118"/>
        <v>0</v>
      </c>
      <c r="W74" s="529">
        <f t="shared" ca="1" si="118"/>
        <v>0</v>
      </c>
      <c r="X74" s="529">
        <f t="shared" ca="1" si="118"/>
        <v>0</v>
      </c>
      <c r="Y74" s="529">
        <f t="shared" ca="1" si="118"/>
        <v>0</v>
      </c>
      <c r="Z74" s="529">
        <f t="shared" ca="1" si="118"/>
        <v>0</v>
      </c>
      <c r="AA74" s="529">
        <f t="shared" ca="1" si="118"/>
        <v>0</v>
      </c>
      <c r="AB74" s="529">
        <f t="shared" ca="1" si="118"/>
        <v>0</v>
      </c>
      <c r="AC74" s="529">
        <f t="shared" ca="1" si="118"/>
        <v>0</v>
      </c>
      <c r="AD74" s="529">
        <f t="shared" ca="1" si="118"/>
        <v>0</v>
      </c>
      <c r="AE74" s="529">
        <f t="shared" ca="1" si="118"/>
        <v>0</v>
      </c>
      <c r="AF74" s="529">
        <f t="shared" ca="1" si="118"/>
        <v>0</v>
      </c>
      <c r="AG74" s="534"/>
    </row>
    <row r="75" spans="1:33" x14ac:dyDescent="0.2">
      <c r="E75" s="239">
        <f ca="1">IF(E$12=1,ROUND(E80,2),ROUND(E80,2)-ROUND(D80,2))</f>
        <v>0</v>
      </c>
      <c r="G75" s="185" t="s">
        <v>536</v>
      </c>
      <c r="I75" s="235"/>
      <c r="L75" s="236"/>
      <c r="R75" s="228"/>
      <c r="S75" s="240"/>
      <c r="T75" s="241" t="s">
        <v>801</v>
      </c>
      <c r="U75" s="239">
        <f t="shared" ref="U75:AF75" ca="1" si="119">IF(U$12=1,ROUND(U80,2),ROUND(U80,2)-ROUND(T80,2))</f>
        <v>0</v>
      </c>
      <c r="V75" s="239">
        <f t="shared" ca="1" si="119"/>
        <v>0</v>
      </c>
      <c r="W75" s="239">
        <f t="shared" ca="1" si="119"/>
        <v>0</v>
      </c>
      <c r="X75" s="239">
        <f t="shared" ca="1" si="119"/>
        <v>0</v>
      </c>
      <c r="Y75" s="239">
        <f t="shared" ca="1" si="119"/>
        <v>0</v>
      </c>
      <c r="Z75" s="239">
        <f t="shared" ca="1" si="119"/>
        <v>0</v>
      </c>
      <c r="AA75" s="239">
        <f t="shared" ca="1" si="119"/>
        <v>0</v>
      </c>
      <c r="AB75" s="239">
        <f t="shared" ca="1" si="119"/>
        <v>0</v>
      </c>
      <c r="AC75" s="239">
        <f t="shared" ca="1" si="119"/>
        <v>0</v>
      </c>
      <c r="AD75" s="239">
        <f t="shared" ca="1" si="119"/>
        <v>0</v>
      </c>
      <c r="AE75" s="239">
        <f t="shared" ca="1" si="119"/>
        <v>0</v>
      </c>
      <c r="AF75" s="239">
        <f t="shared" ca="1" si="119"/>
        <v>0</v>
      </c>
      <c r="AG75" s="534"/>
    </row>
    <row r="76" spans="1:33" x14ac:dyDescent="0.2">
      <c r="E76" s="530">
        <f ca="1">IF(E$12=1,ROUND(E81,2),ROUND(E81,2)-ROUND(D81,2))</f>
        <v>0</v>
      </c>
      <c r="G76" s="185" t="s">
        <v>536</v>
      </c>
      <c r="H76" s="536"/>
      <c r="L76" s="242"/>
      <c r="S76" s="243"/>
      <c r="T76" s="244" t="s">
        <v>802</v>
      </c>
      <c r="U76" s="530">
        <f t="shared" ref="U76:AF76" ca="1" si="120">IF(U$12=1,ROUND(U81,2),ROUND(U81,2)-ROUND(T81,2))</f>
        <v>0</v>
      </c>
      <c r="V76" s="530">
        <f t="shared" ca="1" si="120"/>
        <v>0</v>
      </c>
      <c r="W76" s="530">
        <f t="shared" ca="1" si="120"/>
        <v>0</v>
      </c>
      <c r="X76" s="530">
        <f t="shared" ca="1" si="120"/>
        <v>0</v>
      </c>
      <c r="Y76" s="530">
        <f t="shared" ca="1" si="120"/>
        <v>0</v>
      </c>
      <c r="Z76" s="530">
        <f t="shared" ca="1" si="120"/>
        <v>0</v>
      </c>
      <c r="AA76" s="530">
        <f t="shared" ca="1" si="120"/>
        <v>0</v>
      </c>
      <c r="AB76" s="530">
        <f t="shared" ca="1" si="120"/>
        <v>0</v>
      </c>
      <c r="AC76" s="530">
        <f t="shared" ca="1" si="120"/>
        <v>0</v>
      </c>
      <c r="AD76" s="530">
        <f t="shared" ca="1" si="120"/>
        <v>0</v>
      </c>
      <c r="AE76" s="530">
        <f t="shared" ca="1" si="120"/>
        <v>0</v>
      </c>
      <c r="AF76" s="530">
        <f t="shared" ca="1" si="120"/>
        <v>0</v>
      </c>
      <c r="AG76" s="534"/>
    </row>
    <row r="77" spans="1:33" x14ac:dyDescent="0.2">
      <c r="E77" s="528" t="e">
        <f ca="1">ROUND(ROUND(E81,2)/$R$72,4)</f>
        <v>#DIV/0!</v>
      </c>
      <c r="G77" s="185" t="s">
        <v>536</v>
      </c>
      <c r="L77" s="227"/>
      <c r="S77" s="229"/>
      <c r="T77" s="230" t="s">
        <v>798</v>
      </c>
      <c r="U77" s="528" t="e">
        <f t="shared" ref="U77:AF77" ca="1" si="121">ROUND(ROUND(U81,2)/$R$72,4)</f>
        <v>#DIV/0!</v>
      </c>
      <c r="V77" s="528" t="e">
        <f t="shared" ca="1" si="121"/>
        <v>#DIV/0!</v>
      </c>
      <c r="W77" s="528" t="e">
        <f t="shared" ca="1" si="121"/>
        <v>#DIV/0!</v>
      </c>
      <c r="X77" s="528" t="e">
        <f t="shared" ca="1" si="121"/>
        <v>#DIV/0!</v>
      </c>
      <c r="Y77" s="528" t="e">
        <f t="shared" ca="1" si="121"/>
        <v>#DIV/0!</v>
      </c>
      <c r="Z77" s="528" t="e">
        <f t="shared" ca="1" si="121"/>
        <v>#DIV/0!</v>
      </c>
      <c r="AA77" s="528" t="e">
        <f t="shared" ca="1" si="121"/>
        <v>#DIV/0!</v>
      </c>
      <c r="AB77" s="528" t="e">
        <f t="shared" ca="1" si="121"/>
        <v>#DIV/0!</v>
      </c>
      <c r="AC77" s="528" t="e">
        <f t="shared" ca="1" si="121"/>
        <v>#DIV/0!</v>
      </c>
      <c r="AD77" s="528" t="e">
        <f t="shared" ca="1" si="121"/>
        <v>#DIV/0!</v>
      </c>
      <c r="AE77" s="528" t="e">
        <f t="shared" ca="1" si="121"/>
        <v>#DIV/0!</v>
      </c>
      <c r="AF77" s="528" t="e">
        <f t="shared" ca="1" si="121"/>
        <v>#DIV/0!</v>
      </c>
      <c r="AG77" s="534"/>
    </row>
    <row r="78" spans="1:33" x14ac:dyDescent="0.2">
      <c r="E78" s="231">
        <f ca="1">ROUND(E81-E80-E79,2)</f>
        <v>0</v>
      </c>
      <c r="G78" s="185" t="s">
        <v>536</v>
      </c>
      <c r="L78" s="232"/>
      <c r="S78" s="233"/>
      <c r="T78" s="234" t="str">
        <f>IF(import.recurso="FGTS","Financiamento:","Repasse:")</f>
        <v>Repasse:</v>
      </c>
      <c r="U78" s="231">
        <f t="shared" ref="U78:AF78" ca="1" si="122">ROUND(U81-U80-U79,2)</f>
        <v>0</v>
      </c>
      <c r="V78" s="231">
        <f t="shared" ca="1" si="122"/>
        <v>0</v>
      </c>
      <c r="W78" s="231">
        <f t="shared" ca="1" si="122"/>
        <v>0</v>
      </c>
      <c r="X78" s="231">
        <f t="shared" ca="1" si="122"/>
        <v>0</v>
      </c>
      <c r="Y78" s="231">
        <f t="shared" ca="1" si="122"/>
        <v>0</v>
      </c>
      <c r="Z78" s="231">
        <f t="shared" ca="1" si="122"/>
        <v>0</v>
      </c>
      <c r="AA78" s="231">
        <f t="shared" ca="1" si="122"/>
        <v>0</v>
      </c>
      <c r="AB78" s="231">
        <f t="shared" ca="1" si="122"/>
        <v>0</v>
      </c>
      <c r="AC78" s="231">
        <f t="shared" ca="1" si="122"/>
        <v>0</v>
      </c>
      <c r="AD78" s="231">
        <f t="shared" ca="1" si="122"/>
        <v>0</v>
      </c>
      <c r="AE78" s="231">
        <f t="shared" ca="1" si="122"/>
        <v>0</v>
      </c>
      <c r="AF78" s="231">
        <f t="shared" ca="1" si="122"/>
        <v>0</v>
      </c>
      <c r="AG78" s="534"/>
    </row>
    <row r="79" spans="1:33" x14ac:dyDescent="0.2">
      <c r="E79" s="529" cm="1">
        <f t="array" aca="1" ref="E79" ca="1">IF(E$12=1,0,OFFSET(E79,0,-1))+SUM((OFFSET($C$13,1,0):OFFSET($C$71,-3,0))*IF(ISNUMBER(OFFSET(E$11,5,0):OFFSET(E$71,-1,0)),OFFSET(E$11,5,0):OFFSET(E$71,-1,0),0))</f>
        <v>0</v>
      </c>
      <c r="G79" s="185" t="s">
        <v>536</v>
      </c>
      <c r="L79" s="236" t="s">
        <v>803</v>
      </c>
      <c r="S79" s="237"/>
      <c r="T79" s="238" t="s">
        <v>800</v>
      </c>
      <c r="U79" s="529" cm="1">
        <f t="array" aca="1" ref="U79" ca="1">IF(U$12=1,0,OFFSET(U79,0,-1))+SUM((OFFSET($C$13,1,0):OFFSET($C$71,-3,0))*IF(ISNUMBER(OFFSET(U$11,5,0):OFFSET(U$71,-1,0)),OFFSET(U$11,5,0):OFFSET(U$71,-1,0),0))</f>
        <v>0</v>
      </c>
      <c r="V79" s="529" cm="1">
        <f t="array" aca="1" ref="V79" ca="1">IF(V$12=1,0,OFFSET(V79,0,-1))+SUM((OFFSET($C$13,1,0):OFFSET($C$71,-3,0))*IF(ISNUMBER(OFFSET(V$11,5,0):OFFSET(V$71,-1,0)),OFFSET(V$11,5,0):OFFSET(V$71,-1,0),0))</f>
        <v>0</v>
      </c>
      <c r="W79" s="529" cm="1">
        <f t="array" aca="1" ref="W79" ca="1">IF(W$12=1,0,OFFSET(W79,0,-1))+SUM((OFFSET($C$13,1,0):OFFSET($C$71,-3,0))*IF(ISNUMBER(OFFSET(W$11,5,0):OFFSET(W$71,-1,0)),OFFSET(W$11,5,0):OFFSET(W$71,-1,0),0))</f>
        <v>0</v>
      </c>
      <c r="X79" s="529" cm="1">
        <f t="array" aca="1" ref="X79" ca="1">IF(X$12=1,0,OFFSET(X79,0,-1))+SUM((OFFSET($C$13,1,0):OFFSET($C$71,-3,0))*IF(ISNUMBER(OFFSET(X$11,5,0):OFFSET(X$71,-1,0)),OFFSET(X$11,5,0):OFFSET(X$71,-1,0),0))</f>
        <v>0</v>
      </c>
      <c r="Y79" s="529" cm="1">
        <f t="array" aca="1" ref="Y79" ca="1">IF(Y$12=1,0,OFFSET(Y79,0,-1))+SUM((OFFSET($C$13,1,0):OFFSET($C$71,-3,0))*IF(ISNUMBER(OFFSET(Y$11,5,0):OFFSET(Y$71,-1,0)),OFFSET(Y$11,5,0):OFFSET(Y$71,-1,0),0))</f>
        <v>0</v>
      </c>
      <c r="Z79" s="529" cm="1">
        <f t="array" aca="1" ref="Z79" ca="1">IF(Z$12=1,0,OFFSET(Z79,0,-1))+SUM((OFFSET($C$13,1,0):OFFSET($C$71,-3,0))*IF(ISNUMBER(OFFSET(Z$11,5,0):OFFSET(Z$71,-1,0)),OFFSET(Z$11,5,0):OFFSET(Z$71,-1,0),0))</f>
        <v>0</v>
      </c>
      <c r="AA79" s="529" cm="1">
        <f t="array" aca="1" ref="AA79" ca="1">IF(AA$12=1,0,OFFSET(AA79,0,-1))+SUM((OFFSET($C$13,1,0):OFFSET($C$71,-3,0))*IF(ISNUMBER(OFFSET(AA$11,5,0):OFFSET(AA$71,-1,0)),OFFSET(AA$11,5,0):OFFSET(AA$71,-1,0),0))</f>
        <v>0</v>
      </c>
      <c r="AB79" s="529" cm="1">
        <f t="array" aca="1" ref="AB79" ca="1">IF(AB$12=1,0,OFFSET(AB79,0,-1))+SUM((OFFSET($C$13,1,0):OFFSET($C$71,-3,0))*IF(ISNUMBER(OFFSET(AB$11,5,0):OFFSET(AB$71,-1,0)),OFFSET(AB$11,5,0):OFFSET(AB$71,-1,0),0))</f>
        <v>0</v>
      </c>
      <c r="AC79" s="529" cm="1">
        <f t="array" aca="1" ref="AC79" ca="1">IF(AC$12=1,0,OFFSET(AC79,0,-1))+SUM((OFFSET($C$13,1,0):OFFSET($C$71,-3,0))*IF(ISNUMBER(OFFSET(AC$11,5,0):OFFSET(AC$71,-1,0)),OFFSET(AC$11,5,0):OFFSET(AC$71,-1,0),0))</f>
        <v>0</v>
      </c>
      <c r="AD79" s="529" cm="1">
        <f t="array" aca="1" ref="AD79" ca="1">IF(AD$12=1,0,OFFSET(AD79,0,-1))+SUM((OFFSET($C$13,1,0):OFFSET($C$71,-3,0))*IF(ISNUMBER(OFFSET(AD$11,5,0):OFFSET(AD$71,-1,0)),OFFSET(AD$11,5,0):OFFSET(AD$71,-1,0),0))</f>
        <v>0</v>
      </c>
      <c r="AE79" s="529" cm="1">
        <f t="array" aca="1" ref="AE79" ca="1">IF(AE$12=1,0,OFFSET(AE79,0,-1))+SUM((OFFSET($C$13,1,0):OFFSET($C$71,-3,0))*IF(ISNUMBER(OFFSET(AE$11,5,0):OFFSET(AE$71,-1,0)),OFFSET(AE$11,5,0):OFFSET(AE$71,-1,0),0))</f>
        <v>0</v>
      </c>
      <c r="AF79" s="529" cm="1">
        <f t="array" aca="1" ref="AF79" ca="1">IF(AF$12=1,0,OFFSET(AF79,0,-1))+SUM((OFFSET($C$13,1,0):OFFSET($C$71,-3,0))*IF(ISNUMBER(OFFSET(AF$11,5,0):OFFSET(AF$71,-1,0)),OFFSET(AF$11,5,0):OFFSET(AF$71,-1,0),0))</f>
        <v>0</v>
      </c>
      <c r="AG79" s="534"/>
    </row>
    <row r="80" spans="1:33" x14ac:dyDescent="0.2">
      <c r="E80" s="239" cm="1">
        <f t="array" aca="1" ref="E80" ca="1">IF(E$12=1,0,OFFSET(E80,0,-1))+SUM((OFFSET($D$13,1,0):OFFSET($D$71,-3,0))*IF(ISNUMBER(OFFSET(E$11,5,0):OFFSET(E$71,-1,0)),OFFSET(E$11,5,0):OFFSET(E$71,-1,0),0))</f>
        <v>0</v>
      </c>
      <c r="G80" s="185" t="s">
        <v>536</v>
      </c>
      <c r="L80" s="236"/>
      <c r="S80" s="240"/>
      <c r="T80" s="241" t="s">
        <v>801</v>
      </c>
      <c r="U80" s="239" cm="1">
        <f t="array" aca="1" ref="U80" ca="1">IF(U$12=1,0,OFFSET(U80,0,-1))+SUM((OFFSET($D$13,1,0):OFFSET($D$71,-3,0))*IF(ISNUMBER(OFFSET(U$11,5,0):OFFSET(U$71,-1,0)),OFFSET(U$11,5,0):OFFSET(U$71,-1,0),0))</f>
        <v>0</v>
      </c>
      <c r="V80" s="239" cm="1">
        <f t="array" aca="1" ref="V80" ca="1">IF(V$12=1,0,OFFSET(V80,0,-1))+SUM((OFFSET($D$13,1,0):OFFSET($D$71,-3,0))*IF(ISNUMBER(OFFSET(V$11,5,0):OFFSET(V$71,-1,0)),OFFSET(V$11,5,0):OFFSET(V$71,-1,0),0))</f>
        <v>0</v>
      </c>
      <c r="W80" s="239" cm="1">
        <f t="array" aca="1" ref="W80" ca="1">IF(W$12=1,0,OFFSET(W80,0,-1))+SUM((OFFSET($D$13,1,0):OFFSET($D$71,-3,0))*IF(ISNUMBER(OFFSET(W$11,5,0):OFFSET(W$71,-1,0)),OFFSET(W$11,5,0):OFFSET(W$71,-1,0),0))</f>
        <v>0</v>
      </c>
      <c r="X80" s="239" cm="1">
        <f t="array" aca="1" ref="X80" ca="1">IF(X$12=1,0,OFFSET(X80,0,-1))+SUM((OFFSET($D$13,1,0):OFFSET($D$71,-3,0))*IF(ISNUMBER(OFFSET(X$11,5,0):OFFSET(X$71,-1,0)),OFFSET(X$11,5,0):OFFSET(X$71,-1,0),0))</f>
        <v>0</v>
      </c>
      <c r="Y80" s="239" cm="1">
        <f t="array" aca="1" ref="Y80" ca="1">IF(Y$12=1,0,OFFSET(Y80,0,-1))+SUM((OFFSET($D$13,1,0):OFFSET($D$71,-3,0))*IF(ISNUMBER(OFFSET(Y$11,5,0):OFFSET(Y$71,-1,0)),OFFSET(Y$11,5,0):OFFSET(Y$71,-1,0),0))</f>
        <v>0</v>
      </c>
      <c r="Z80" s="239" cm="1">
        <f t="array" aca="1" ref="Z80" ca="1">IF(Z$12=1,0,OFFSET(Z80,0,-1))+SUM((OFFSET($D$13,1,0):OFFSET($D$71,-3,0))*IF(ISNUMBER(OFFSET(Z$11,5,0):OFFSET(Z$71,-1,0)),OFFSET(Z$11,5,0):OFFSET(Z$71,-1,0),0))</f>
        <v>0</v>
      </c>
      <c r="AA80" s="239" cm="1">
        <f t="array" aca="1" ref="AA80" ca="1">IF(AA$12=1,0,OFFSET(AA80,0,-1))+SUM((OFFSET($D$13,1,0):OFFSET($D$71,-3,0))*IF(ISNUMBER(OFFSET(AA$11,5,0):OFFSET(AA$71,-1,0)),OFFSET(AA$11,5,0):OFFSET(AA$71,-1,0),0))</f>
        <v>0</v>
      </c>
      <c r="AB80" s="239" cm="1">
        <f t="array" aca="1" ref="AB80" ca="1">IF(AB$12=1,0,OFFSET(AB80,0,-1))+SUM((OFFSET($D$13,1,0):OFFSET($D$71,-3,0))*IF(ISNUMBER(OFFSET(AB$11,5,0):OFFSET(AB$71,-1,0)),OFFSET(AB$11,5,0):OFFSET(AB$71,-1,0),0))</f>
        <v>0</v>
      </c>
      <c r="AC80" s="239" cm="1">
        <f t="array" aca="1" ref="AC80" ca="1">IF(AC$12=1,0,OFFSET(AC80,0,-1))+SUM((OFFSET($D$13,1,0):OFFSET($D$71,-3,0))*IF(ISNUMBER(OFFSET(AC$11,5,0):OFFSET(AC$71,-1,0)),OFFSET(AC$11,5,0):OFFSET(AC$71,-1,0),0))</f>
        <v>0</v>
      </c>
      <c r="AD80" s="239" cm="1">
        <f t="array" aca="1" ref="AD80" ca="1">IF(AD$12=1,0,OFFSET(AD80,0,-1))+SUM((OFFSET($D$13,1,0):OFFSET($D$71,-3,0))*IF(ISNUMBER(OFFSET(AD$11,5,0):OFFSET(AD$71,-1,0)),OFFSET(AD$11,5,0):OFFSET(AD$71,-1,0),0))</f>
        <v>0</v>
      </c>
      <c r="AE80" s="239" cm="1">
        <f t="array" aca="1" ref="AE80" ca="1">IF(AE$12=1,0,OFFSET(AE80,0,-1))+SUM((OFFSET($D$13,1,0):OFFSET($D$71,-3,0))*IF(ISNUMBER(OFFSET(AE$11,5,0):OFFSET(AE$71,-1,0)),OFFSET(AE$11,5,0):OFFSET(AE$71,-1,0),0))</f>
        <v>0</v>
      </c>
      <c r="AF80" s="239" cm="1">
        <f t="array" aca="1" ref="AF80" ca="1">IF(AF$12=1,0,OFFSET(AF80,0,-1))+SUM((OFFSET($D$13,1,0):OFFSET($D$71,-3,0))*IF(ISNUMBER(OFFSET(AF$11,5,0):OFFSET(AF$71,-1,0)),OFFSET(AF$11,5,0):OFFSET(AF$71,-1,0),0))</f>
        <v>0</v>
      </c>
      <c r="AG80" s="534"/>
    </row>
    <row r="81" spans="4:33" ht="13.5" thickBot="1" x14ac:dyDescent="0.25">
      <c r="D81" s="533"/>
      <c r="E81" s="531">
        <f ca="1">SUMIF($S$12:$S$71,"1$",E12:E71)+IF(E$12&gt;1,OFFSET(E81,0,-1),0)</f>
        <v>0</v>
      </c>
      <c r="G81" s="185" t="s">
        <v>536</v>
      </c>
      <c r="H81" s="522" t="str" cm="1">
        <f t="array" ref="H81">IF(ACOMPANHAMENTO="BM","Selecione o Macrosserviço da Administração Local:","")</f>
        <v>Selecione o Macrosserviço da Administração Local:</v>
      </c>
      <c r="I81"/>
      <c r="L81" s="236"/>
      <c r="S81" s="237"/>
      <c r="T81" s="526" t="s">
        <v>802</v>
      </c>
      <c r="U81" s="531">
        <f t="shared" ref="U81:AF81" ca="1" si="123">SUMIF($S$12:$S$71,"1$",U12:U71)+IF(U$12&gt;1,OFFSET(U81,0,-1),0)</f>
        <v>0</v>
      </c>
      <c r="V81" s="531">
        <f t="shared" ca="1" si="123"/>
        <v>0</v>
      </c>
      <c r="W81" s="531">
        <f t="shared" ca="1" si="123"/>
        <v>0</v>
      </c>
      <c r="X81" s="531">
        <f t="shared" ca="1" si="123"/>
        <v>0</v>
      </c>
      <c r="Y81" s="531">
        <f t="shared" ca="1" si="123"/>
        <v>0</v>
      </c>
      <c r="Z81" s="531">
        <f t="shared" ca="1" si="123"/>
        <v>0</v>
      </c>
      <c r="AA81" s="531">
        <f t="shared" ca="1" si="123"/>
        <v>0</v>
      </c>
      <c r="AB81" s="531">
        <f t="shared" ca="1" si="123"/>
        <v>0</v>
      </c>
      <c r="AC81" s="531">
        <f t="shared" ca="1" si="123"/>
        <v>0</v>
      </c>
      <c r="AD81" s="531">
        <f t="shared" ca="1" si="123"/>
        <v>0</v>
      </c>
      <c r="AE81" s="531">
        <f t="shared" ca="1" si="123"/>
        <v>0</v>
      </c>
      <c r="AF81" s="540">
        <f t="shared" ca="1" si="123"/>
        <v>0</v>
      </c>
      <c r="AG81" s="534"/>
    </row>
    <row r="82" spans="4:33" ht="13.5" thickBot="1" x14ac:dyDescent="0.25">
      <c r="D82" s="533"/>
      <c r="E82" s="532" t="e">
        <f ca="1">IF($F$82="","",
  IF(ACOMPANHAMENTO="PLE",
     IF(AUTOEVENTO="Manual",
         IF(AdmLocal="Automática",
              E77,
              SUMIF(OFFSET(CRONOPLE!$F$14,CRONOPLE!$A$8+1,1,1,OFFSET(CRONOPLE!$AF$12,0,-1)),"&lt;="&amp;E$12,OFFSET(EVENTOS!$G$14,CRONOPLE!$A$8+1,1,1,OFFSET(CRONOPLE!$AF$12,0,-1)))/OFFSET(EVENTOS!$G$14,CRONOPLE!$A$8+1,-1)),
         SUMIFS(OFFSET(CÁLCULO!$AA$15,$F$82,1,OFFSET(ORÇAMENTO!$D$15,$F$82,0),CÁLCULO.FrentesPreenchidas),OFFSET(CÁLCULO!$AL$15,$F$82,1,OFFSET(ORÇAMENTO!$D$15,$F$82,0),CÁLCULO.FrentesPreenchidas),"&lt;="&amp;E$12)/OFFSET(ORÇAMENTO!$X$15,$F$82,0)),
     IF(ACOMPANHAMENTO="BM",SUM(OFFSET($T$13,$F$82+2,1,1,E$12))/OFFSET($S$13,$F$82,0),"")))</f>
        <v>#DIV/0!</v>
      </c>
      <c r="F82" s="185">
        <f ca="1">IF(ACOMPANHAMENTO="PLE",
    IF(AUTOEVENTO="Manual",
        IF(AdmLocal="Automática",1,IF(CRONOPLE!$D$8&lt;&gt;"","",MATCH(Import.EventoAdmLocal,EVENTOS!$B$15:$B$65,0))),
        IF(CRONOPLE!$D$8&lt;&gt;"","",CRONOPLE!$A$10)),
    IF($H$83&lt;&gt;"","",MATCH(Import.MacrosserviçoAdmLocal,$A$13:$A$71,0)-1))</f>
        <v>55</v>
      </c>
      <c r="G82" s="185" t="s">
        <v>536</v>
      </c>
      <c r="H82" s="732" t="s">
        <v>1062</v>
      </c>
      <c r="I82" s="772"/>
      <c r="J82" s="733"/>
      <c r="L82" s="242"/>
      <c r="S82" s="525"/>
      <c r="T82" s="527" t="s">
        <v>804</v>
      </c>
      <c r="U82" s="532" t="e">
        <f ca="1">IF($F$82="","",
  IF(ACOMPANHAMENTO="PLE",
     IF(AUTOEVENTO="Manual",
         IF(AdmLocal="Automática",
              U77,
              SUMIF(OFFSET(CRONOPLE!$F$14,CRONOPLE!$A$8+1,1,1,OFFSET(CRONOPLE!$AF$12,0,-1)),"&lt;="&amp;U$12,OFFSET(EVENTOS!$G$14,CRONOPLE!$A$8+1,1,1,OFFSET(CRONOPLE!$AF$12,0,-1)))/OFFSET(EVENTOS!$G$14,CRONOPLE!$A$8+1,-1)),
         SUMIFS(OFFSET(CÁLCULO!$AA$15,$F$82,1,OFFSET(ORÇAMENTO!$D$15,$F$82,0),CÁLCULO.FrentesPreenchidas),OFFSET(CÁLCULO!$AL$15,$F$82,1,OFFSET(ORÇAMENTO!$D$15,$F$82,0),CÁLCULO.FrentesPreenchidas),"&lt;="&amp;U$12)/OFFSET(ORÇAMENTO!$X$15,$F$82,0)),
     IF(ACOMPANHAMENTO="BM",SUM(OFFSET($T$13,$F$82+2,1,1,U$12))/OFFSET($S$13,$F$82,0),"")))</f>
        <v>#DIV/0!</v>
      </c>
      <c r="V82" s="532" t="e">
        <f ca="1">IF($F$82="","",
  IF(ACOMPANHAMENTO="PLE",
     IF(AUTOEVENTO="Manual",
         IF(AdmLocal="Automática",
              V77,
              SUMIF(OFFSET(CRONOPLE!$F$14,CRONOPLE!$A$8+1,1,1,OFFSET(CRONOPLE!$AF$12,0,-1)),"&lt;="&amp;V$12,OFFSET(EVENTOS!$G$14,CRONOPLE!$A$8+1,1,1,OFFSET(CRONOPLE!$AF$12,0,-1)))/OFFSET(EVENTOS!$G$14,CRONOPLE!$A$8+1,-1)),
         SUMIFS(OFFSET(CÁLCULO!$AA$15,$F$82,1,OFFSET(ORÇAMENTO!$D$15,$F$82,0),CÁLCULO.FrentesPreenchidas),OFFSET(CÁLCULO!$AL$15,$F$82,1,OFFSET(ORÇAMENTO!$D$15,$F$82,0),CÁLCULO.FrentesPreenchidas),"&lt;="&amp;V$12)/OFFSET(ORÇAMENTO!$X$15,$F$82,0)),
     IF(ACOMPANHAMENTO="BM",SUM(OFFSET($T$13,$F$82+2,1,1,V$12))/OFFSET($S$13,$F$82,0),"")))</f>
        <v>#DIV/0!</v>
      </c>
      <c r="W82" s="532" t="e">
        <f ca="1">IF($F$82="","",
  IF(ACOMPANHAMENTO="PLE",
     IF(AUTOEVENTO="Manual",
         IF(AdmLocal="Automática",
              W77,
              SUMIF(OFFSET(CRONOPLE!$F$14,CRONOPLE!$A$8+1,1,1,OFFSET(CRONOPLE!$AF$12,0,-1)),"&lt;="&amp;W$12,OFFSET(EVENTOS!$G$14,CRONOPLE!$A$8+1,1,1,OFFSET(CRONOPLE!$AF$12,0,-1)))/OFFSET(EVENTOS!$G$14,CRONOPLE!$A$8+1,-1)),
         SUMIFS(OFFSET(CÁLCULO!$AA$15,$F$82,1,OFFSET(ORÇAMENTO!$D$15,$F$82,0),CÁLCULO.FrentesPreenchidas),OFFSET(CÁLCULO!$AL$15,$F$82,1,OFFSET(ORÇAMENTO!$D$15,$F$82,0),CÁLCULO.FrentesPreenchidas),"&lt;="&amp;W$12)/OFFSET(ORÇAMENTO!$X$15,$F$82,0)),
     IF(ACOMPANHAMENTO="BM",SUM(OFFSET($T$13,$F$82+2,1,1,W$12))/OFFSET($S$13,$F$82,0),"")))</f>
        <v>#DIV/0!</v>
      </c>
      <c r="X82" s="532" t="e">
        <f ca="1">IF($F$82="","",
  IF(ACOMPANHAMENTO="PLE",
     IF(AUTOEVENTO="Manual",
         IF(AdmLocal="Automática",
              X77,
              SUMIF(OFFSET(CRONOPLE!$F$14,CRONOPLE!$A$8+1,1,1,OFFSET(CRONOPLE!$AF$12,0,-1)),"&lt;="&amp;X$12,OFFSET(EVENTOS!$G$14,CRONOPLE!$A$8+1,1,1,OFFSET(CRONOPLE!$AF$12,0,-1)))/OFFSET(EVENTOS!$G$14,CRONOPLE!$A$8+1,-1)),
         SUMIFS(OFFSET(CÁLCULO!$AA$15,$F$82,1,OFFSET(ORÇAMENTO!$D$15,$F$82,0),CÁLCULO.FrentesPreenchidas),OFFSET(CÁLCULO!$AL$15,$F$82,1,OFFSET(ORÇAMENTO!$D$15,$F$82,0),CÁLCULO.FrentesPreenchidas),"&lt;="&amp;X$12)/OFFSET(ORÇAMENTO!$X$15,$F$82,0)),
     IF(ACOMPANHAMENTO="BM",SUM(OFFSET($T$13,$F$82+2,1,1,X$12))/OFFSET($S$13,$F$82,0),"")))</f>
        <v>#DIV/0!</v>
      </c>
      <c r="Y82" s="532" t="e">
        <f ca="1">IF($F$82="","",
  IF(ACOMPANHAMENTO="PLE",
     IF(AUTOEVENTO="Manual",
         IF(AdmLocal="Automática",
              Y77,
              SUMIF(OFFSET(CRONOPLE!$F$14,CRONOPLE!$A$8+1,1,1,OFFSET(CRONOPLE!$AF$12,0,-1)),"&lt;="&amp;Y$12,OFFSET(EVENTOS!$G$14,CRONOPLE!$A$8+1,1,1,OFFSET(CRONOPLE!$AF$12,0,-1)))/OFFSET(EVENTOS!$G$14,CRONOPLE!$A$8+1,-1)),
         SUMIFS(OFFSET(CÁLCULO!$AA$15,$F$82,1,OFFSET(ORÇAMENTO!$D$15,$F$82,0),CÁLCULO.FrentesPreenchidas),OFFSET(CÁLCULO!$AL$15,$F$82,1,OFFSET(ORÇAMENTO!$D$15,$F$82,0),CÁLCULO.FrentesPreenchidas),"&lt;="&amp;Y$12)/OFFSET(ORÇAMENTO!$X$15,$F$82,0)),
     IF(ACOMPANHAMENTO="BM",SUM(OFFSET($T$13,$F$82+2,1,1,Y$12))/OFFSET($S$13,$F$82,0),"")))</f>
        <v>#DIV/0!</v>
      </c>
      <c r="Z82" s="532" t="e">
        <f ca="1">IF($F$82="","",
  IF(ACOMPANHAMENTO="PLE",
     IF(AUTOEVENTO="Manual",
         IF(AdmLocal="Automática",
              Z77,
              SUMIF(OFFSET(CRONOPLE!$F$14,CRONOPLE!$A$8+1,1,1,OFFSET(CRONOPLE!$AF$12,0,-1)),"&lt;="&amp;Z$12,OFFSET(EVENTOS!$G$14,CRONOPLE!$A$8+1,1,1,OFFSET(CRONOPLE!$AF$12,0,-1)))/OFFSET(EVENTOS!$G$14,CRONOPLE!$A$8+1,-1)),
         SUMIFS(OFFSET(CÁLCULO!$AA$15,$F$82,1,OFFSET(ORÇAMENTO!$D$15,$F$82,0),CÁLCULO.FrentesPreenchidas),OFFSET(CÁLCULO!$AL$15,$F$82,1,OFFSET(ORÇAMENTO!$D$15,$F$82,0),CÁLCULO.FrentesPreenchidas),"&lt;="&amp;Z$12)/OFFSET(ORÇAMENTO!$X$15,$F$82,0)),
     IF(ACOMPANHAMENTO="BM",SUM(OFFSET($T$13,$F$82+2,1,1,Z$12))/OFFSET($S$13,$F$82,0),"")))</f>
        <v>#DIV/0!</v>
      </c>
      <c r="AA82" s="532" t="e">
        <f ca="1">IF($F$82="","",
  IF(ACOMPANHAMENTO="PLE",
     IF(AUTOEVENTO="Manual",
         IF(AdmLocal="Automática",
              AA77,
              SUMIF(OFFSET(CRONOPLE!$F$14,CRONOPLE!$A$8+1,1,1,OFFSET(CRONOPLE!$AF$12,0,-1)),"&lt;="&amp;AA$12,OFFSET(EVENTOS!$G$14,CRONOPLE!$A$8+1,1,1,OFFSET(CRONOPLE!$AF$12,0,-1)))/OFFSET(EVENTOS!$G$14,CRONOPLE!$A$8+1,-1)),
         SUMIFS(OFFSET(CÁLCULO!$AA$15,$F$82,1,OFFSET(ORÇAMENTO!$D$15,$F$82,0),CÁLCULO.FrentesPreenchidas),OFFSET(CÁLCULO!$AL$15,$F$82,1,OFFSET(ORÇAMENTO!$D$15,$F$82,0),CÁLCULO.FrentesPreenchidas),"&lt;="&amp;AA$12)/OFFSET(ORÇAMENTO!$X$15,$F$82,0)),
     IF(ACOMPANHAMENTO="BM",SUM(OFFSET($T$13,$F$82+2,1,1,AA$12))/OFFSET($S$13,$F$82,0),"")))</f>
        <v>#DIV/0!</v>
      </c>
      <c r="AB82" s="532" t="e">
        <f ca="1">IF($F$82="","",
  IF(ACOMPANHAMENTO="PLE",
     IF(AUTOEVENTO="Manual",
         IF(AdmLocal="Automática",
              AB77,
              SUMIF(OFFSET(CRONOPLE!$F$14,CRONOPLE!$A$8+1,1,1,OFFSET(CRONOPLE!$AF$12,0,-1)),"&lt;="&amp;AB$12,OFFSET(EVENTOS!$G$14,CRONOPLE!$A$8+1,1,1,OFFSET(CRONOPLE!$AF$12,0,-1)))/OFFSET(EVENTOS!$G$14,CRONOPLE!$A$8+1,-1)),
         SUMIFS(OFFSET(CÁLCULO!$AA$15,$F$82,1,OFFSET(ORÇAMENTO!$D$15,$F$82,0),CÁLCULO.FrentesPreenchidas),OFFSET(CÁLCULO!$AL$15,$F$82,1,OFFSET(ORÇAMENTO!$D$15,$F$82,0),CÁLCULO.FrentesPreenchidas),"&lt;="&amp;AB$12)/OFFSET(ORÇAMENTO!$X$15,$F$82,0)),
     IF(ACOMPANHAMENTO="BM",SUM(OFFSET($T$13,$F$82+2,1,1,AB$12))/OFFSET($S$13,$F$82,0),"")))</f>
        <v>#DIV/0!</v>
      </c>
      <c r="AC82" s="532" t="e">
        <f ca="1">IF($F$82="","",
  IF(ACOMPANHAMENTO="PLE",
     IF(AUTOEVENTO="Manual",
         IF(AdmLocal="Automática",
              AC77,
              SUMIF(OFFSET(CRONOPLE!$F$14,CRONOPLE!$A$8+1,1,1,OFFSET(CRONOPLE!$AF$12,0,-1)),"&lt;="&amp;AC$12,OFFSET(EVENTOS!$G$14,CRONOPLE!$A$8+1,1,1,OFFSET(CRONOPLE!$AF$12,0,-1)))/OFFSET(EVENTOS!$G$14,CRONOPLE!$A$8+1,-1)),
         SUMIFS(OFFSET(CÁLCULO!$AA$15,$F$82,1,OFFSET(ORÇAMENTO!$D$15,$F$82,0),CÁLCULO.FrentesPreenchidas),OFFSET(CÁLCULO!$AL$15,$F$82,1,OFFSET(ORÇAMENTO!$D$15,$F$82,0),CÁLCULO.FrentesPreenchidas),"&lt;="&amp;AC$12)/OFFSET(ORÇAMENTO!$X$15,$F$82,0)),
     IF(ACOMPANHAMENTO="BM",SUM(OFFSET($T$13,$F$82+2,1,1,AC$12))/OFFSET($S$13,$F$82,0),"")))</f>
        <v>#DIV/0!</v>
      </c>
      <c r="AD82" s="532" t="e">
        <f ca="1">IF($F$82="","",
  IF(ACOMPANHAMENTO="PLE",
     IF(AUTOEVENTO="Manual",
         IF(AdmLocal="Automática",
              AD77,
              SUMIF(OFFSET(CRONOPLE!$F$14,CRONOPLE!$A$8+1,1,1,OFFSET(CRONOPLE!$AF$12,0,-1)),"&lt;="&amp;AD$12,OFFSET(EVENTOS!$G$14,CRONOPLE!$A$8+1,1,1,OFFSET(CRONOPLE!$AF$12,0,-1)))/OFFSET(EVENTOS!$G$14,CRONOPLE!$A$8+1,-1)),
         SUMIFS(OFFSET(CÁLCULO!$AA$15,$F$82,1,OFFSET(ORÇAMENTO!$D$15,$F$82,0),CÁLCULO.FrentesPreenchidas),OFFSET(CÁLCULO!$AL$15,$F$82,1,OFFSET(ORÇAMENTO!$D$15,$F$82,0),CÁLCULO.FrentesPreenchidas),"&lt;="&amp;AD$12)/OFFSET(ORÇAMENTO!$X$15,$F$82,0)),
     IF(ACOMPANHAMENTO="BM",SUM(OFFSET($T$13,$F$82+2,1,1,AD$12))/OFFSET($S$13,$F$82,0),"")))</f>
        <v>#DIV/0!</v>
      </c>
      <c r="AE82" s="532" t="e">
        <f ca="1">IF($F$82="","",
  IF(ACOMPANHAMENTO="PLE",
     IF(AUTOEVENTO="Manual",
         IF(AdmLocal="Automática",
              AE77,
              SUMIF(OFFSET(CRONOPLE!$F$14,CRONOPLE!$A$8+1,1,1,OFFSET(CRONOPLE!$AF$12,0,-1)),"&lt;="&amp;AE$12,OFFSET(EVENTOS!$G$14,CRONOPLE!$A$8+1,1,1,OFFSET(CRONOPLE!$AF$12,0,-1)))/OFFSET(EVENTOS!$G$14,CRONOPLE!$A$8+1,-1)),
         SUMIFS(OFFSET(CÁLCULO!$AA$15,$F$82,1,OFFSET(ORÇAMENTO!$D$15,$F$82,0),CÁLCULO.FrentesPreenchidas),OFFSET(CÁLCULO!$AL$15,$F$82,1,OFFSET(ORÇAMENTO!$D$15,$F$82,0),CÁLCULO.FrentesPreenchidas),"&lt;="&amp;AE$12)/OFFSET(ORÇAMENTO!$X$15,$F$82,0)),
     IF(ACOMPANHAMENTO="BM",SUM(OFFSET($T$13,$F$82+2,1,1,AE$12))/OFFSET($S$13,$F$82,0),"")))</f>
        <v>#DIV/0!</v>
      </c>
      <c r="AF82" s="532" t="e">
        <f ca="1">IF($F$82="","",
  IF(ACOMPANHAMENTO="PLE",
     IF(AUTOEVENTO="Manual",
         IF(AdmLocal="Automática",
              AF77,
              SUMIF(OFFSET(CRONOPLE!$F$14,CRONOPLE!$A$8+1,1,1,OFFSET(CRONOPLE!$AF$12,0,-1)),"&lt;="&amp;AF$12,OFFSET(EVENTOS!$G$14,CRONOPLE!$A$8+1,1,1,OFFSET(CRONOPLE!$AF$12,0,-1)))/OFFSET(EVENTOS!$G$14,CRONOPLE!$A$8+1,-1)),
         SUMIFS(OFFSET(CÁLCULO!$AA$15,$F$82,1,OFFSET(ORÇAMENTO!$D$15,$F$82,0),CÁLCULO.FrentesPreenchidas),OFFSET(CÁLCULO!$AL$15,$F$82,1,OFFSET(ORÇAMENTO!$D$15,$F$82,0),CÁLCULO.FrentesPreenchidas),"&lt;="&amp;AF$12)/OFFSET(ORÇAMENTO!$X$15,$F$82,0)),
     IF(ACOMPANHAMENTO="BM",SUM(OFFSET($T$13,$F$82+2,1,1,AF$12))/OFFSET($S$13,$F$82,0),"")))</f>
        <v>#DIV/0!</v>
      </c>
      <c r="AG82" s="534"/>
    </row>
    <row r="83" spans="4:33" ht="17.100000000000001" customHeight="1" x14ac:dyDescent="0.25">
      <c r="G83" s="185" t="s">
        <v>536</v>
      </c>
      <c r="H83" s="571" t="str" cm="1">
        <f t="array" ref="H83">IF(AND(ACOMPANHAMENTO="BM",$H$82=""),"↑ Não foi indicado o Macrosserviço de Administração Local","")</f>
        <v/>
      </c>
      <c r="T83" s="583" t="str">
        <f ca="1">IF(COUNTIF(U83:AG83,"%Adm&gt;%Global")&gt;0,"Verificar proporcionalidade da Administração Local","")</f>
        <v/>
      </c>
      <c r="U83" s="535" t="e">
        <f ca="1">IF(U82="","",IF(ROUND(U82,4)&gt;ROUND(U77,4),"%Adm&gt;%Global",""))</f>
        <v>#DIV/0!</v>
      </c>
      <c r="V83" s="535" t="e">
        <f t="shared" ref="V83:AG83" ca="1" si="124">IF(V82="","",IF(ROUND(V82,4)&gt;ROUND(V77,4),"%Adm&gt;%Global",""))</f>
        <v>#DIV/0!</v>
      </c>
      <c r="W83" s="535" t="e">
        <f t="shared" ca="1" si="124"/>
        <v>#DIV/0!</v>
      </c>
      <c r="X83" s="535" t="e">
        <f t="shared" ca="1" si="124"/>
        <v>#DIV/0!</v>
      </c>
      <c r="Y83" s="535" t="e">
        <f t="shared" ca="1" si="124"/>
        <v>#DIV/0!</v>
      </c>
      <c r="Z83" s="535" t="e">
        <f t="shared" ca="1" si="124"/>
        <v>#DIV/0!</v>
      </c>
      <c r="AA83" s="535" t="e">
        <f t="shared" ca="1" si="124"/>
        <v>#DIV/0!</v>
      </c>
      <c r="AB83" s="535" t="e">
        <f t="shared" ca="1" si="124"/>
        <v>#DIV/0!</v>
      </c>
      <c r="AC83" s="535" t="e">
        <f t="shared" ca="1" si="124"/>
        <v>#DIV/0!</v>
      </c>
      <c r="AD83" s="535" t="e">
        <f t="shared" ca="1" si="124"/>
        <v>#DIV/0!</v>
      </c>
      <c r="AE83" s="535" t="e">
        <f t="shared" ca="1" si="124"/>
        <v>#DIV/0!</v>
      </c>
      <c r="AF83" s="535" t="e">
        <f t="shared" ca="1" si="124"/>
        <v>#DIV/0!</v>
      </c>
      <c r="AG83" s="535" t="str">
        <f t="shared" si="124"/>
        <v/>
      </c>
    </row>
    <row r="84" spans="4:33" ht="32.25" customHeight="1" x14ac:dyDescent="0.2">
      <c r="G84" s="185" t="s">
        <v>536</v>
      </c>
      <c r="I84" s="723" t="str">
        <f>Import.Município</f>
        <v>Passos / MG</v>
      </c>
      <c r="J84" s="723"/>
      <c r="K84" s="723"/>
      <c r="L84" s="723"/>
      <c r="M84" s="723"/>
      <c r="N84" s="723"/>
      <c r="O84" s="723"/>
      <c r="P84" s="723"/>
      <c r="Q84" s="723"/>
      <c r="R84" s="723"/>
      <c r="S84" s="723"/>
      <c r="AA84" s="460"/>
      <c r="AB84" s="460"/>
      <c r="AC84" s="460"/>
      <c r="AD84" s="460"/>
      <c r="AE84" s="462"/>
      <c r="AF84" s="462"/>
    </row>
    <row r="85" spans="4:33" x14ac:dyDescent="0.2">
      <c r="G85" s="185" t="s">
        <v>536</v>
      </c>
      <c r="I85" s="9" t="s">
        <v>693</v>
      </c>
      <c r="J85"/>
      <c r="K85"/>
      <c r="L85"/>
      <c r="AA85" s="181" t="s">
        <v>696</v>
      </c>
      <c r="AB85" s="181"/>
      <c r="AC85" s="181"/>
      <c r="AD85" s="181"/>
      <c r="AE85" s="185"/>
      <c r="AF85" s="185"/>
    </row>
    <row r="86" spans="4:33" x14ac:dyDescent="0.2">
      <c r="G86" s="185" t="s">
        <v>536</v>
      </c>
      <c r="I86"/>
      <c r="J86"/>
      <c r="K86"/>
      <c r="L86"/>
      <c r="AA86" s="398" t="str">
        <f t="array" aca="1" ref="AA86:AA88" ca="1">OFFSET(Import.RespOrçamento,0,-1) &amp; " " &amp; Import.RespOrçamento</f>
        <v xml:space="preserve">Nome: Mateus Junior Rosa </v>
      </c>
      <c r="AC86"/>
      <c r="AD86" s="79"/>
      <c r="AE86" s="185"/>
      <c r="AF86" s="185"/>
    </row>
    <row r="87" spans="4:33" x14ac:dyDescent="0.2">
      <c r="G87" s="185" t="s">
        <v>536</v>
      </c>
      <c r="I87" s="771">
        <f>DADOS!$C$25</f>
        <v>46121</v>
      </c>
      <c r="J87" s="771"/>
      <c r="K87" s="771"/>
      <c r="L87" s="180"/>
      <c r="M87" s="245"/>
      <c r="N87" s="245"/>
      <c r="O87" s="245"/>
      <c r="P87" s="245"/>
      <c r="Q87" s="245"/>
      <c r="R87" s="245"/>
      <c r="S87" s="246"/>
      <c r="AA87" s="398" t="str">
        <f ca="1"/>
        <v>CREA/CAU: 386526 MG</v>
      </c>
      <c r="AC87" s="79"/>
      <c r="AD87" s="79"/>
      <c r="AE87" s="185"/>
      <c r="AF87" s="185"/>
    </row>
    <row r="88" spans="4:33" x14ac:dyDescent="0.2">
      <c r="G88" s="185" t="s">
        <v>536</v>
      </c>
      <c r="I88" s="9" t="s">
        <v>694</v>
      </c>
      <c r="J88"/>
      <c r="K88"/>
      <c r="L88"/>
      <c r="AA88" s="398" t="str">
        <f ca="1"/>
        <v>ART/RRT: -</v>
      </c>
      <c r="AC88" s="79"/>
      <c r="AD88" s="79"/>
      <c r="AE88" s="185"/>
      <c r="AF88" s="185"/>
    </row>
  </sheetData>
  <sheetProtection algorithmName="SHA-512" hashValue="3vL+M4jqHEB7pGAG0nm0W4WWHVRRI9oIHpZQXqnm2De4Cz7TP59xM9UJbzMn5Fj3N/pLXFvudLbH2hSslm/cZQ==" saltValue="CPC+b2fRH3S4SYLeX/JSwQ==" spinCount="100000" sheet="1" objects="1" scenarios="1" autoFilter="0"/>
  <autoFilter ref="G13:G88"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87:K87"/>
    <mergeCell ref="I84:S84"/>
    <mergeCell ref="H82:J82"/>
    <mergeCell ref="S12:S13"/>
    <mergeCell ref="T12:T13"/>
    <mergeCell ref="L8:T8"/>
    <mergeCell ref="U8:Y8"/>
    <mergeCell ref="K10:T11"/>
    <mergeCell ref="I72:K73"/>
  </mergeCells>
  <phoneticPr fontId="38" type="noConversion"/>
  <conditionalFormatting sqref="U12:U13">
    <cfRule type="expression" dxfId="295" priority="16575" stopIfTrue="1">
      <formula>NOT(ISNUMBER(T$12))</formula>
    </cfRule>
  </conditionalFormatting>
  <conditionalFormatting sqref="E2 U2:AF2">
    <cfRule type="expression" dxfId="294" priority="16576" stopIfTrue="1">
      <formula>AND(ISNUMBER($H1),$H1&lt;&gt;0)</formula>
    </cfRule>
  </conditionalFormatting>
  <conditionalFormatting sqref="I2:S2">
    <cfRule type="expression" dxfId="293" priority="16577" stopIfTrue="1">
      <formula>$M1=2</formula>
    </cfRule>
    <cfRule type="expression" dxfId="292" priority="16578" stopIfTrue="1">
      <formula>AND($M1=1,$S1&lt;&gt;"")</formula>
    </cfRule>
  </conditionalFormatting>
  <conditionalFormatting sqref="I1:S1">
    <cfRule type="expression" dxfId="291" priority="16579" stopIfTrue="1">
      <formula>$M1=2</formula>
    </cfRule>
    <cfRule type="expression" dxfId="290" priority="16580" stopIfTrue="1">
      <formula>AND($M1=1,$S1&lt;&gt;"")</formula>
    </cfRule>
  </conditionalFormatting>
  <conditionalFormatting sqref="E72 E74 E76:E77 E79 E81 U81:AF81 U72:AF72 U74:AF74 U76:AF77 U79:AF79">
    <cfRule type="expression" dxfId="289" priority="16581" stopIfTrue="1">
      <formula>D$77=1</formula>
    </cfRule>
  </conditionalFormatting>
  <conditionalFormatting sqref="E73 E75 E78 E80 E82 U73:AF73 U75:AF75 U78:AF78 U80:AF80 U82:AF82">
    <cfRule type="expression" dxfId="288" priority="16582" stopIfTrue="1">
      <formula>D$77=1</formula>
    </cfRule>
  </conditionalFormatting>
  <conditionalFormatting sqref="AF7:AF8">
    <cfRule type="expression" dxfId="287" priority="16586" stopIfTrue="1">
      <formula>OR(TIPOORCAMENTO&lt;&gt;"Licitado",QCI.ExisteManual)</formula>
    </cfRule>
  </conditionalFormatting>
  <conditionalFormatting sqref="Z7:AE8">
    <cfRule type="expression" dxfId="286" priority="16574" stopIfTrue="1">
      <formula>QCI.ExisteManual</formula>
    </cfRule>
  </conditionalFormatting>
  <conditionalFormatting sqref="H2">
    <cfRule type="expression" dxfId="285" priority="12720">
      <formula>AND(H1&lt;&gt;0,ISNUMBER(H1))</formula>
    </cfRule>
  </conditionalFormatting>
  <conditionalFormatting sqref="E82 U82:AF82">
    <cfRule type="expression" dxfId="284" priority="12711">
      <formula>ROUND(E82,4)&gt;ROUND(E77,4)</formula>
    </cfRule>
  </conditionalFormatting>
  <conditionalFormatting sqref="H1">
    <cfRule type="expression" dxfId="283" priority="12710">
      <formula>AND(H1&lt;&gt;0,ISNUMBER(H1))</formula>
    </cfRule>
  </conditionalFormatting>
  <conditionalFormatting sqref="H82:J82">
    <cfRule type="expression" dxfId="282" priority="12709">
      <formula>$H$81=""</formula>
    </cfRule>
  </conditionalFormatting>
  <conditionalFormatting sqref="E82">
    <cfRule type="expression" dxfId="281" priority="12702" stopIfTrue="1">
      <formula>D$77=1</formula>
    </cfRule>
  </conditionalFormatting>
  <conditionalFormatting sqref="E1">
    <cfRule type="expression" dxfId="280" priority="12699" stopIfTrue="1">
      <formula>E1&lt;&gt;0</formula>
    </cfRule>
  </conditionalFormatting>
  <conditionalFormatting sqref="E2">
    <cfRule type="expression" dxfId="279" priority="12698">
      <formula>AND(_xlfn.SINGLE(ACOMPANHAMENTO)="BM",E2&gt;ROUND(E2,4))</formula>
    </cfRule>
  </conditionalFormatting>
  <conditionalFormatting sqref="E82">
    <cfRule type="expression" dxfId="278" priority="12697" stopIfTrue="1">
      <formula>D$77=1</formula>
    </cfRule>
  </conditionalFormatting>
  <conditionalFormatting sqref="U1:AF1">
    <cfRule type="expression" dxfId="277" priority="2653" stopIfTrue="1">
      <formula>U1&lt;&gt;0</formula>
    </cfRule>
  </conditionalFormatting>
  <conditionalFormatting sqref="U2:AF2">
    <cfRule type="expression" dxfId="276" priority="2652">
      <formula>AND(_xlfn.SINGLE(ACOMPANHAMENTO)="BM",U2&gt;ROUND(U2,4))</formula>
    </cfRule>
  </conditionalFormatting>
  <conditionalFormatting sqref="E15 E18 E21 U15:AF15 U18:AF18 U21:AF21">
    <cfRule type="expression" dxfId="275" priority="183" stopIfTrue="1">
      <formula>AND(ISNUMBER($H14),$H14&lt;&gt;0)</formula>
    </cfRule>
  </conditionalFormatting>
  <conditionalFormatting sqref="I15:S15 I18:S18 I21:S21">
    <cfRule type="expression" dxfId="274" priority="184" stopIfTrue="1">
      <formula>$M14=2</formula>
    </cfRule>
    <cfRule type="expression" dxfId="273" priority="185" stopIfTrue="1">
      <formula>AND($M14=1,$S14&lt;&gt;"")</formula>
    </cfRule>
  </conditionalFormatting>
  <conditionalFormatting sqref="I14:S14 I17:S17 I20:S20">
    <cfRule type="expression" dxfId="272" priority="186" stopIfTrue="1">
      <formula>$M14=2</formula>
    </cfRule>
    <cfRule type="expression" dxfId="271" priority="187" stopIfTrue="1">
      <formula>AND($M14=1,$S14&lt;&gt;"")</formula>
    </cfRule>
  </conditionalFormatting>
  <conditionalFormatting sqref="H15 H18 H21">
    <cfRule type="expression" dxfId="270" priority="182">
      <formula>AND(H14&lt;&gt;0,ISNUMBER(H14))</formula>
    </cfRule>
  </conditionalFormatting>
  <conditionalFormatting sqref="H14 H17 H20">
    <cfRule type="expression" dxfId="269" priority="181">
      <formula>AND(H14&lt;&gt;0,ISNUMBER(H14))</formula>
    </cfRule>
  </conditionalFormatting>
  <conditionalFormatting sqref="E14 E17 E20">
    <cfRule type="expression" dxfId="268" priority="180" stopIfTrue="1">
      <formula>E14&lt;&gt;0</formula>
    </cfRule>
  </conditionalFormatting>
  <conditionalFormatting sqref="E15 E18 E21">
    <cfRule type="expression" dxfId="267" priority="179">
      <formula>AND(_xlfn.SINGLE(ACOMPANHAMENTO)="BM",E15&gt;ROUND(E15,4))</formula>
    </cfRule>
  </conditionalFormatting>
  <conditionalFormatting sqref="U14:AF14 U17:AF17 U20:AF20">
    <cfRule type="expression" dxfId="266" priority="178" stopIfTrue="1">
      <formula>U14&lt;&gt;0</formula>
    </cfRule>
  </conditionalFormatting>
  <conditionalFormatting sqref="U15:AF15 U18:AF18 U21:AF21">
    <cfRule type="expression" dxfId="265" priority="177">
      <formula>AND(_xlfn.SINGLE(ACOMPANHAMENTO)="BM",U15&gt;ROUND(U15,4))</formula>
    </cfRule>
  </conditionalFormatting>
  <conditionalFormatting sqref="E24 E27 E30 U24:AF24 U27:AF27 U30:AF30">
    <cfRule type="expression" dxfId="264" priority="172" stopIfTrue="1">
      <formula>AND(ISNUMBER($H23),$H23&lt;&gt;0)</formula>
    </cfRule>
  </conditionalFormatting>
  <conditionalFormatting sqref="I24:S24 I27:S27 I30:S30">
    <cfRule type="expression" dxfId="263" priority="173" stopIfTrue="1">
      <formula>$M23=2</formula>
    </cfRule>
    <cfRule type="expression" dxfId="262" priority="174" stopIfTrue="1">
      <formula>AND($M23=1,$S23&lt;&gt;"")</formula>
    </cfRule>
  </conditionalFormatting>
  <conditionalFormatting sqref="I23:S23 I26:S26 I29:S29">
    <cfRule type="expression" dxfId="261" priority="175" stopIfTrue="1">
      <formula>$M23=2</formula>
    </cfRule>
    <cfRule type="expression" dxfId="260" priority="176" stopIfTrue="1">
      <formula>AND($M23=1,$S23&lt;&gt;"")</formula>
    </cfRule>
  </conditionalFormatting>
  <conditionalFormatting sqref="H24 H27 H30">
    <cfRule type="expression" dxfId="259" priority="171">
      <formula>AND(H23&lt;&gt;0,ISNUMBER(H23))</formula>
    </cfRule>
  </conditionalFormatting>
  <conditionalFormatting sqref="H23 H26 H29">
    <cfRule type="expression" dxfId="258" priority="170">
      <formula>AND(H23&lt;&gt;0,ISNUMBER(H23))</formula>
    </cfRule>
  </conditionalFormatting>
  <conditionalFormatting sqref="E23 E26 E29">
    <cfRule type="expression" dxfId="257" priority="169" stopIfTrue="1">
      <formula>E23&lt;&gt;0</formula>
    </cfRule>
  </conditionalFormatting>
  <conditionalFormatting sqref="E24 E27 E30">
    <cfRule type="expression" dxfId="256" priority="168">
      <formula>AND(_xlfn.SINGLE(ACOMPANHAMENTO)="BM",E24&gt;ROUND(E24,4))</formula>
    </cfRule>
  </conditionalFormatting>
  <conditionalFormatting sqref="U23:AF23 U26:AF26 U29:AF29">
    <cfRule type="expression" dxfId="255" priority="167" stopIfTrue="1">
      <formula>U23&lt;&gt;0</formula>
    </cfRule>
  </conditionalFormatting>
  <conditionalFormatting sqref="U24:AF24 U27:AF27 U30:AF30">
    <cfRule type="expression" dxfId="254" priority="166">
      <formula>AND(_xlfn.SINGLE(ACOMPANHAMENTO)="BM",U24&gt;ROUND(U24,4))</formula>
    </cfRule>
  </conditionalFormatting>
  <conditionalFormatting sqref="E33 E36 E39 U33:AF33 U36:AF36 U39:AF39">
    <cfRule type="expression" dxfId="253" priority="161" stopIfTrue="1">
      <formula>AND(ISNUMBER($H32),$H32&lt;&gt;0)</formula>
    </cfRule>
  </conditionalFormatting>
  <conditionalFormatting sqref="I33:S33 I36:S36 I39:S39">
    <cfRule type="expression" dxfId="252" priority="162" stopIfTrue="1">
      <formula>$M32=2</formula>
    </cfRule>
    <cfRule type="expression" dxfId="251" priority="163" stopIfTrue="1">
      <formula>AND($M32=1,$S32&lt;&gt;"")</formula>
    </cfRule>
  </conditionalFormatting>
  <conditionalFormatting sqref="I32:S32 I35:S35 I38:S38">
    <cfRule type="expression" dxfId="250" priority="164" stopIfTrue="1">
      <formula>$M32=2</formula>
    </cfRule>
    <cfRule type="expression" dxfId="249" priority="165" stopIfTrue="1">
      <formula>AND($M32=1,$S32&lt;&gt;"")</formula>
    </cfRule>
  </conditionalFormatting>
  <conditionalFormatting sqref="H33 H36 H39">
    <cfRule type="expression" dxfId="248" priority="160">
      <formula>AND(H32&lt;&gt;0,ISNUMBER(H32))</formula>
    </cfRule>
  </conditionalFormatting>
  <conditionalFormatting sqref="H32 H35 H38">
    <cfRule type="expression" dxfId="247" priority="159">
      <formula>AND(H32&lt;&gt;0,ISNUMBER(H32))</formula>
    </cfRule>
  </conditionalFormatting>
  <conditionalFormatting sqref="E32 E35 E38">
    <cfRule type="expression" dxfId="246" priority="158" stopIfTrue="1">
      <formula>E32&lt;&gt;0</formula>
    </cfRule>
  </conditionalFormatting>
  <conditionalFormatting sqref="E33 E36 E39">
    <cfRule type="expression" dxfId="245" priority="157">
      <formula>AND(_xlfn.SINGLE(ACOMPANHAMENTO)="BM",E33&gt;ROUND(E33,4))</formula>
    </cfRule>
  </conditionalFormatting>
  <conditionalFormatting sqref="U32:AF32 U35:AF35 U38:AF38">
    <cfRule type="expression" dxfId="244" priority="156" stopIfTrue="1">
      <formula>U32&lt;&gt;0</formula>
    </cfRule>
  </conditionalFormatting>
  <conditionalFormatting sqref="U33:AF33 U36:AF36 U39:AF39">
    <cfRule type="expression" dxfId="243" priority="155">
      <formula>AND(_xlfn.SINGLE(ACOMPANHAMENTO)="BM",U33&gt;ROUND(U33,4))</formula>
    </cfRule>
  </conditionalFormatting>
  <conditionalFormatting sqref="E42 E45 E48 U42:AF42 U45:AF45 U48:AF48">
    <cfRule type="expression" dxfId="242" priority="150" stopIfTrue="1">
      <formula>AND(ISNUMBER($H41),$H41&lt;&gt;0)</formula>
    </cfRule>
  </conditionalFormatting>
  <conditionalFormatting sqref="I42:S42 I45:S45 I48:S48">
    <cfRule type="expression" dxfId="241" priority="151" stopIfTrue="1">
      <formula>$M41=2</formula>
    </cfRule>
    <cfRule type="expression" dxfId="240" priority="152" stopIfTrue="1">
      <formula>AND($M41=1,$S41&lt;&gt;"")</formula>
    </cfRule>
  </conditionalFormatting>
  <conditionalFormatting sqref="I41:S41 I44:S44 I47:S47">
    <cfRule type="expression" dxfId="239" priority="153" stopIfTrue="1">
      <formula>$M41=2</formula>
    </cfRule>
    <cfRule type="expression" dxfId="238" priority="154" stopIfTrue="1">
      <formula>AND($M41=1,$S41&lt;&gt;"")</formula>
    </cfRule>
  </conditionalFormatting>
  <conditionalFormatting sqref="H42 H45 H48">
    <cfRule type="expression" dxfId="237" priority="149">
      <formula>AND(H41&lt;&gt;0,ISNUMBER(H41))</formula>
    </cfRule>
  </conditionalFormatting>
  <conditionalFormatting sqref="H41 H44 H47">
    <cfRule type="expression" dxfId="236" priority="148">
      <formula>AND(H41&lt;&gt;0,ISNUMBER(H41))</formula>
    </cfRule>
  </conditionalFormatting>
  <conditionalFormatting sqref="E41 E44 E47">
    <cfRule type="expression" dxfId="235" priority="147" stopIfTrue="1">
      <formula>E41&lt;&gt;0</formula>
    </cfRule>
  </conditionalFormatting>
  <conditionalFormatting sqref="E42 E45 E48">
    <cfRule type="expression" dxfId="234" priority="146">
      <formula>AND(_xlfn.SINGLE(ACOMPANHAMENTO)="BM",E42&gt;ROUND(E42,4))</formula>
    </cfRule>
  </conditionalFormatting>
  <conditionalFormatting sqref="U41:AF41 U44:AF44 U47:AF47">
    <cfRule type="expression" dxfId="233" priority="145" stopIfTrue="1">
      <formula>U41&lt;&gt;0</formula>
    </cfRule>
  </conditionalFormatting>
  <conditionalFormatting sqref="U42:AF42 U45:AF45 U48:AF48">
    <cfRule type="expression" dxfId="232" priority="144">
      <formula>AND(_xlfn.SINGLE(ACOMPANHAMENTO)="BM",U42&gt;ROUND(U42,4))</formula>
    </cfRule>
  </conditionalFormatting>
  <conditionalFormatting sqref="E51 E54 E57 U51:AF51 U54:AF54 U57:AF57">
    <cfRule type="expression" dxfId="231" priority="139" stopIfTrue="1">
      <formula>AND(ISNUMBER($H50),$H50&lt;&gt;0)</formula>
    </cfRule>
  </conditionalFormatting>
  <conditionalFormatting sqref="I51:S51 I54:S54 I57:S57">
    <cfRule type="expression" dxfId="230" priority="140" stopIfTrue="1">
      <formula>$M50=2</formula>
    </cfRule>
    <cfRule type="expression" dxfId="229" priority="141" stopIfTrue="1">
      <formula>AND($M50=1,$S50&lt;&gt;"")</formula>
    </cfRule>
  </conditionalFormatting>
  <conditionalFormatting sqref="I50:S50 I53:S53 I56:S56">
    <cfRule type="expression" dxfId="228" priority="142" stopIfTrue="1">
      <formula>$M50=2</formula>
    </cfRule>
    <cfRule type="expression" dxfId="227" priority="143" stopIfTrue="1">
      <formula>AND($M50=1,$S50&lt;&gt;"")</formula>
    </cfRule>
  </conditionalFormatting>
  <conditionalFormatting sqref="H51 H54 H57">
    <cfRule type="expression" dxfId="226" priority="138">
      <formula>AND(H50&lt;&gt;0,ISNUMBER(H50))</formula>
    </cfRule>
  </conditionalFormatting>
  <conditionalFormatting sqref="H50 H53 H56">
    <cfRule type="expression" dxfId="225" priority="137">
      <formula>AND(H50&lt;&gt;0,ISNUMBER(H50))</formula>
    </cfRule>
  </conditionalFormatting>
  <conditionalFormatting sqref="E50 E53 E56">
    <cfRule type="expression" dxfId="224" priority="136" stopIfTrue="1">
      <formula>E50&lt;&gt;0</formula>
    </cfRule>
  </conditionalFormatting>
  <conditionalFormatting sqref="E51 E54 E57">
    <cfRule type="expression" dxfId="223" priority="135">
      <formula>AND(_xlfn.SINGLE(ACOMPANHAMENTO)="BM",E51&gt;ROUND(E51,4))</formula>
    </cfRule>
  </conditionalFormatting>
  <conditionalFormatting sqref="U50:AF50 U53:AF53 U56:AF56">
    <cfRule type="expression" dxfId="222" priority="134" stopIfTrue="1">
      <formula>U50&lt;&gt;0</formula>
    </cfRule>
  </conditionalFormatting>
  <conditionalFormatting sqref="U51:AF51 U54:AF54 U57:AF57">
    <cfRule type="expression" dxfId="221" priority="133">
      <formula>AND(_xlfn.SINGLE(ACOMPANHAMENTO)="BM",U51&gt;ROUND(U51,4))</formula>
    </cfRule>
  </conditionalFormatting>
  <conditionalFormatting sqref="E60 E63 E66 U60:AF60 U63:AF63 U66:AF66">
    <cfRule type="expression" dxfId="220" priority="128" stopIfTrue="1">
      <formula>AND(ISNUMBER($H59),$H59&lt;&gt;0)</formula>
    </cfRule>
  </conditionalFormatting>
  <conditionalFormatting sqref="I60:S60 I63:S63 I66:S66">
    <cfRule type="expression" dxfId="219" priority="129" stopIfTrue="1">
      <formula>$M59=2</formula>
    </cfRule>
    <cfRule type="expression" dxfId="218" priority="130" stopIfTrue="1">
      <formula>AND($M59=1,$S59&lt;&gt;"")</formula>
    </cfRule>
  </conditionalFormatting>
  <conditionalFormatting sqref="I59:S59 I62:S62 I65:S65">
    <cfRule type="expression" dxfId="217" priority="131" stopIfTrue="1">
      <formula>$M59=2</formula>
    </cfRule>
    <cfRule type="expression" dxfId="216" priority="132" stopIfTrue="1">
      <formula>AND($M59=1,$S59&lt;&gt;"")</formula>
    </cfRule>
  </conditionalFormatting>
  <conditionalFormatting sqref="H60 H63 H66">
    <cfRule type="expression" dxfId="215" priority="127">
      <formula>AND(H59&lt;&gt;0,ISNUMBER(H59))</formula>
    </cfRule>
  </conditionalFormatting>
  <conditionalFormatting sqref="H59 H62 H65">
    <cfRule type="expression" dxfId="214" priority="126">
      <formula>AND(H59&lt;&gt;0,ISNUMBER(H59))</formula>
    </cfRule>
  </conditionalFormatting>
  <conditionalFormatting sqref="E59 E62 E65">
    <cfRule type="expression" dxfId="213" priority="125" stopIfTrue="1">
      <formula>E59&lt;&gt;0</formula>
    </cfRule>
  </conditionalFormatting>
  <conditionalFormatting sqref="E60 E63 E66">
    <cfRule type="expression" dxfId="212" priority="124">
      <formula>AND(_xlfn.SINGLE(ACOMPANHAMENTO)="BM",E60&gt;ROUND(E60,4))</formula>
    </cfRule>
  </conditionalFormatting>
  <conditionalFormatting sqref="U59:AF59 U62:AF62 U65:AF65">
    <cfRule type="expression" dxfId="211" priority="123" stopIfTrue="1">
      <formula>U59&lt;&gt;0</formula>
    </cfRule>
  </conditionalFormatting>
  <conditionalFormatting sqref="U60:AF60 U63:AF63 U66:AF66">
    <cfRule type="expression" dxfId="210" priority="122">
      <formula>AND(_xlfn.SINGLE(ACOMPANHAMENTO)="BM",U60&gt;ROUND(U60,4))</formula>
    </cfRule>
  </conditionalFormatting>
  <conditionalFormatting sqref="E69 U69:AF69">
    <cfRule type="expression" dxfId="209" priority="117" stopIfTrue="1">
      <formula>AND(ISNUMBER($H68),$H68&lt;&gt;0)</formula>
    </cfRule>
  </conditionalFormatting>
  <conditionalFormatting sqref="I69:S69">
    <cfRule type="expression" dxfId="208" priority="118" stopIfTrue="1">
      <formula>$M68=2</formula>
    </cfRule>
    <cfRule type="expression" dxfId="207" priority="119" stopIfTrue="1">
      <formula>AND($M68=1,$S68&lt;&gt;"")</formula>
    </cfRule>
  </conditionalFormatting>
  <conditionalFormatting sqref="I68:S68">
    <cfRule type="expression" dxfId="206" priority="120" stopIfTrue="1">
      <formula>$M68=2</formula>
    </cfRule>
    <cfRule type="expression" dxfId="205" priority="121" stopIfTrue="1">
      <formula>AND($M68=1,$S68&lt;&gt;"")</formula>
    </cfRule>
  </conditionalFormatting>
  <conditionalFormatting sqref="H69">
    <cfRule type="expression" dxfId="204" priority="116">
      <formula>AND(H68&lt;&gt;0,ISNUMBER(H68))</formula>
    </cfRule>
  </conditionalFormatting>
  <conditionalFormatting sqref="H68">
    <cfRule type="expression" dxfId="203" priority="115">
      <formula>AND(H68&lt;&gt;0,ISNUMBER(H68))</formula>
    </cfRule>
  </conditionalFormatting>
  <conditionalFormatting sqref="E68">
    <cfRule type="expression" dxfId="202" priority="114" stopIfTrue="1">
      <formula>E68&lt;&gt;0</formula>
    </cfRule>
  </conditionalFormatting>
  <conditionalFormatting sqref="E69">
    <cfRule type="expression" dxfId="201" priority="113">
      <formula>AND(_xlfn.SINGLE(ACOMPANHAMENTO)="BM",E69&gt;ROUND(E69,4))</formula>
    </cfRule>
  </conditionalFormatting>
  <conditionalFormatting sqref="U68:AF68">
    <cfRule type="expression" dxfId="200" priority="112" stopIfTrue="1">
      <formula>U68&lt;&gt;0</formula>
    </cfRule>
  </conditionalFormatting>
  <conditionalFormatting sqref="U69:AF69">
    <cfRule type="expression" dxfId="199" priority="111">
      <formula>AND(_xlfn.SINGLE(ACOMPANHAMENTO)="BM",U69&gt;ROUND(U69,4))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U68:AF68"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U69:AG69"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82:J82"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48"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03">
        <f>Import.CR</f>
        <v>0</v>
      </c>
      <c r="E4" s="703"/>
      <c r="F4" s="56">
        <f>Import.TransfereGOV</f>
        <v>0</v>
      </c>
      <c r="G4" s="703">
        <f>Import.Proponente</f>
        <v>0</v>
      </c>
      <c r="H4" s="703"/>
      <c r="I4" s="703"/>
      <c r="J4" s="783" t="str">
        <f>Import.Município</f>
        <v>Passos / MG</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 xml:space="preserve">TRAVESSIA EM ADUELAS ESTRADA PRINCIPAL DO VIRA </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IF(OFFSET($A$24,-1,0)&lt;OFFSET(ORÇAMENTO!$E$162,-1,0),"ERRO: NÚMERO DE LINHAS DO QCI INSUFICIENTE. CLIQUE NO BOTÃO ADICIONAR LINHAS",
  "")))))))</f>
        <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0</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IF(NOT(ISBLANK(QCI.DescManual)),IF(QCI.Divisao="Calculado","Manual","SemiAuto"),IF(ISERROR(MATCH($A12,ORÇAMENTO!$E$15:$E$162,0)),"Branco","Automático"))</f>
        <v>Branco</v>
      </c>
      <c r="C12" t="str">
        <f ca="1">IF(O12&gt;0,"F","")</f>
        <v/>
      </c>
      <c r="D12" s="281">
        <f>ROW()-ROW($D$13)</f>
        <v>-1</v>
      </c>
      <c r="E12" s="118"/>
      <c r="F12" s="118"/>
      <c r="G12" s="163" t="str">
        <f ca="1">IF(OR($B12="Manual",$B12="SemiAuto"),QCI.DescManual,IF($B12="Automático",INDEX(ORÇAMENTO!$R$15:$R$162,MATCH($A12,ORÇAMENTO!$E$15:$E$162,0)),""))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IF($B12="Branco",0,IF(OR($B12="Manual",$B12="SemiAuto"),QCI.InvManual,INDEX(ORÇAMENTO!X$15:X$162,MATCH($A12,ORÇAMENTO!$E$15:$E$162,0))))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IF($B12="Branco",0,IF($B12="Manual",QCI.CPManual,IF($B12="SemiAuto",ROUND(QCI!$AA$3*QCI.InvManual,2),INDEX(ORÇAMENTO!$AA$15:$AA$162,MATCH($A12,ORÇAMENTO!$E$15:$E$162,0)))))</f>
        <v>0</v>
      </c>
      <c r="AB12" cm="1">
        <f t="array" aca="1" ref="AB12" ca="1">IF($B12="Branco",0,IF($B12="Manual",QCI.OutrosManual,IF($B12="SemiAuto",0,INDEX(ORÇAMENTO!$AB$15:$AB$162,MATCH($A12,ORÇAMENTO!$E$15:$E$162,0)))))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IF(NOT(ISBLANK(QCI.DescManual)),IF(QCI.Divisao="Calculado","Manual","SemiAuto"),IF(ISERROR(MATCH($A14,ORÇAMENTO!$E$15:$E$162,0)),"Branco","Automático"))</f>
        <v>Automático</v>
      </c>
      <c r="C14" t="str">
        <f t="shared" ref="C14:C22" ca="1" si="1">IF(O14&gt;0,"F","")</f>
        <v/>
      </c>
      <c r="D14" s="281">
        <f t="shared" ref="D14:D22" si="2">ROW()-ROW($D$13)</f>
        <v>1</v>
      </c>
      <c r="E14" s="118"/>
      <c r="F14" s="118"/>
      <c r="G14" s="163" t="str">
        <f ca="1">IF(OR($B14="Manual",$B14="SemiAuto"),QCI.DescManual,IF($B14="Automático",INDEX(ORÇAMENTO!$R$15:$R$162,MATCH($A14,ORÇAMENTO!$E$15:$E$162,0)),""))</f>
        <v>CANTEIRO DE OBRA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IF($B14="Branco",0,IF(OR($B14="Manual",$B14="SemiAuto"),QCI.InvManual,INDEX(ORÇAMENTO!X$15:X$162,MATCH($A14,ORÇAMENTO!$E$15:$E$162,0))))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IF($B14="Branco",0,IF($B14="Manual",QCI.CPManual,IF($B14="SemiAuto",ROUND(QCI!$AA$3*QCI.InvManual,2),INDEX(ORÇAMENTO!$AA$15:$AA$162,MATCH($A14,ORÇAMENTO!$E$15:$E$162,0)))))</f>
        <v>0</v>
      </c>
      <c r="AB14" cm="1">
        <f t="array" aca="1" ref="AB14" ca="1">IF($B14="Branco",0,IF($B14="Manual",QCI.OutrosManual,IF($B14="SemiAuto",0,INDEX(ORÇAMENTO!$AB$15:$AB$162,MATCH($A14,ORÇAMENTO!$E$15:$E$162,0)))))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IF(NOT(ISBLANK(QCI.DescManual)),IF(QCI.Divisao="Calculado","Manual","SemiAuto"),IF(ISERROR(MATCH($A15,ORÇAMENTO!$E$15:$E$162,0)),"Branco","Automático"))</f>
        <v>Automático</v>
      </c>
      <c r="C15" t="str">
        <f t="shared" ca="1" si="1"/>
        <v/>
      </c>
      <c r="D15" s="281">
        <f t="shared" si="2"/>
        <v>2</v>
      </c>
      <c r="E15" s="118"/>
      <c r="F15" s="118"/>
      <c r="G15" s="163" t="str">
        <f ca="1">IF(OR($B15="Manual",$B15="SemiAuto"),QCI.DescManual,IF($B15="Automático",INDEX(ORÇAMENTO!$R$15:$R$162,MATCH($A15,ORÇAMENTO!$E$15:$E$162,0)),""))</f>
        <v>DEMOLIÇÕES E REMOÇÕES</v>
      </c>
      <c r="H15" s="118"/>
      <c r="I15" s="464"/>
      <c r="J15" s="282" t="str">
        <f ca="1">IF(AND(ISBLANK(E15),ISBLANK(F15)),"",VLOOKUP($F15,OFFSET(DADOS!$A$2,1,MATCH(QCI!$E15,DADOS!$2:$2,0)-1,100,50),2,FALSE))</f>
        <v/>
      </c>
      <c r="K15" s="463" t="str" cm="1">
        <f t="array" aca="1" ref="K15" ca="1">IF(OR($B15="Manual",$B15="SemiAuto"),QCI.LoteManual,IF($B15="Automático",IF(TIPOORCAMENTO="Licitado",Import.CTEF,"LOTE 1"),""))</f>
        <v>LOTE 1</v>
      </c>
      <c r="L15" s="283">
        <f t="shared" ca="1" si="3"/>
        <v>0</v>
      </c>
      <c r="M15" s="284">
        <f t="shared" ca="1" si="4"/>
        <v>0</v>
      </c>
      <c r="N15" s="285">
        <f t="shared" ca="1" si="5"/>
        <v>0</v>
      </c>
      <c r="O15" s="286" cm="1">
        <f t="array" aca="1" ref="O15" ca="1">IF($B15="Branco",0,IF(OR($B15="Manual",$B15="SemiAuto"),QCI.InvManual,INDEX(ORÇAMENTO!X$15:X$162,MATCH($A15,ORÇAMENTO!$E$15:$E$162,0))))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IF($B15="Branco",0,IF($B15="Manual",QCI.CPManual,IF($B15="SemiAuto",ROUND(QCI!$AA$3*QCI.InvManual,2),INDEX(ORÇAMENTO!$AA$15:$AA$162,MATCH($A15,ORÇAMENTO!$E$15:$E$162,0)))))</f>
        <v>0</v>
      </c>
      <c r="AB15" cm="1">
        <f t="array" aca="1" ref="AB15" ca="1">IF($B15="Branco",0,IF($B15="Manual",QCI.OutrosManual,IF($B15="SemiAuto",0,INDEX(ORÇAMENTO!$AB$15:$AB$162,MATCH($A15,ORÇAMENTO!$E$15:$E$162,0)))))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IF(NOT(ISBLANK(QCI.DescManual)),IF(QCI.Divisao="Calculado","Manual","SemiAuto"),IF(ISERROR(MATCH($A16,ORÇAMENTO!$E$15:$E$162,0)),"Branco","Automático"))</f>
        <v>Automático</v>
      </c>
      <c r="C16" t="str">
        <f t="shared" ca="1" si="1"/>
        <v/>
      </c>
      <c r="D16" s="281">
        <f t="shared" si="2"/>
        <v>3</v>
      </c>
      <c r="E16" s="118"/>
      <c r="F16" s="118"/>
      <c r="G16" s="163" t="str">
        <f ca="1">IF(OR($B16="Manual",$B16="SemiAuto"),QCI.DescManual,IF($B16="Automático",INDEX(ORÇAMENTO!$R$15:$R$162,MATCH($A16,ORÇAMENTO!$E$15:$E$162,0)),""))</f>
        <v>MOVIMENTAÇÃO DE TERRA</v>
      </c>
      <c r="H16" s="118"/>
      <c r="I16" s="464"/>
      <c r="J16" s="282" t="str">
        <f ca="1">IF(AND(ISBLANK(E16),ISBLANK(F16)),"",VLOOKUP($F16,OFFSET(DADOS!$A$2,1,MATCH(QCI!$E16,DADOS!$2:$2,0)-1,100,50),2,FALSE))</f>
        <v/>
      </c>
      <c r="K16" s="463" t="str" cm="1">
        <f t="array" aca="1" ref="K16" ca="1">IF(OR($B16="Manual",$B16="SemiAuto"),QCI.LoteManual,IF($B16="Automático",IF(TIPOORCAMENTO="Licitado",Import.CTEF,"LOTE 1"),""))</f>
        <v>LOTE 1</v>
      </c>
      <c r="L16" s="283">
        <f t="shared" ca="1" si="3"/>
        <v>0</v>
      </c>
      <c r="M16" s="284">
        <f t="shared" ca="1" si="4"/>
        <v>0</v>
      </c>
      <c r="N16" s="285">
        <f t="shared" ca="1" si="5"/>
        <v>0</v>
      </c>
      <c r="O16" s="286" cm="1">
        <f t="array" aca="1" ref="O16" ca="1">IF($B16="Branco",0,IF(OR($B16="Manual",$B16="SemiAuto"),QCI.InvManual,INDEX(ORÇAMENTO!X$15:X$162,MATCH($A16,ORÇAMENTO!$E$15:$E$162,0))))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IF($B16="Branco",0,IF($B16="Manual",QCI.CPManual,IF($B16="SemiAuto",ROUND(QCI!$AA$3*QCI.InvManual,2),INDEX(ORÇAMENTO!$AA$15:$AA$162,MATCH($A16,ORÇAMENTO!$E$15:$E$162,0)))))</f>
        <v>0</v>
      </c>
      <c r="AB16" cm="1">
        <f t="array" aca="1" ref="AB16" ca="1">IF($B16="Branco",0,IF($B16="Manual",QCI.OutrosManual,IF($B16="SemiAuto",0,INDEX(ORÇAMENTO!$AB$15:$AB$162,MATCH($A16,ORÇAMENTO!$E$15:$E$162,0)))))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IF(NOT(ISBLANK(QCI.DescManual)),IF(QCI.Divisao="Calculado","Manual","SemiAuto"),IF(ISERROR(MATCH($A17,ORÇAMENTO!$E$15:$E$162,0)),"Branco","Automático"))</f>
        <v>Automático</v>
      </c>
      <c r="C17" t="str">
        <f t="shared" ca="1" si="1"/>
        <v/>
      </c>
      <c r="D17" s="281">
        <f t="shared" si="2"/>
        <v>4</v>
      </c>
      <c r="E17" s="118"/>
      <c r="F17" s="118"/>
      <c r="G17" s="163" t="str">
        <f ca="1">IF(OR($B17="Manual",$B17="SemiAuto"),QCI.DescManual,IF($B17="Automático",INDEX(ORÇAMENTO!$R$15:$R$162,MATCH($A17,ORÇAMENTO!$E$15:$E$162,0)),""))</f>
        <v>FUNDAÇÕES</v>
      </c>
      <c r="H17" s="118"/>
      <c r="I17" s="464"/>
      <c r="J17" s="282" t="str">
        <f ca="1">IF(AND(ISBLANK(E17),ISBLANK(F17)),"",VLOOKUP($F17,OFFSET(DADOS!$A$2,1,MATCH(QCI!$E17,DADOS!$2:$2,0)-1,100,50),2,FALSE))</f>
        <v/>
      </c>
      <c r="K17" s="463" t="str" cm="1">
        <f t="array" aca="1" ref="K17" ca="1">IF(OR($B17="Manual",$B17="SemiAuto"),QCI.LoteManual,IF($B17="Automático",IF(TIPOORCAMENTO="Licitado",Import.CTEF,"LOTE 1"),""))</f>
        <v>LOTE 1</v>
      </c>
      <c r="L17" s="283">
        <f t="shared" ca="1" si="3"/>
        <v>0</v>
      </c>
      <c r="M17" s="284">
        <f t="shared" ca="1" si="4"/>
        <v>0</v>
      </c>
      <c r="N17" s="285">
        <f t="shared" ca="1" si="5"/>
        <v>0</v>
      </c>
      <c r="O17" s="286" cm="1">
        <f t="array" aca="1" ref="O17" ca="1">IF($B17="Branco",0,IF(OR($B17="Manual",$B17="SemiAuto"),QCI.InvManual,INDEX(ORÇAMENTO!X$15:X$162,MATCH($A17,ORÇAMENTO!$E$15:$E$162,0))))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IF($B17="Branco",0,IF($B17="Manual",QCI.CPManual,IF($B17="SemiAuto",ROUND(QCI!$AA$3*QCI.InvManual,2),INDEX(ORÇAMENTO!$AA$15:$AA$162,MATCH($A17,ORÇAMENTO!$E$15:$E$162,0)))))</f>
        <v>0</v>
      </c>
      <c r="AB17" cm="1">
        <f t="array" aca="1" ref="AB17" ca="1">IF($B17="Branco",0,IF($B17="Manual",QCI.OutrosManual,IF($B17="SemiAuto",0,INDEX(ORÇAMENTO!$AB$15:$AB$162,MATCH($A17,ORÇAMENTO!$E$15:$E$162,0)))))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IF(NOT(ISBLANK(QCI.DescManual)),IF(QCI.Divisao="Calculado","Manual","SemiAuto"),IF(ISERROR(MATCH($A18,ORÇAMENTO!$E$15:$E$162,0)),"Branco","Automático"))</f>
        <v>Automático</v>
      </c>
      <c r="C18" t="str">
        <f t="shared" ca="1" si="1"/>
        <v/>
      </c>
      <c r="D18" s="281">
        <f t="shared" si="2"/>
        <v>5</v>
      </c>
      <c r="E18" s="118"/>
      <c r="F18" s="118"/>
      <c r="G18" s="163" t="str">
        <f ca="1">IF(OR($B18="Manual",$B18="SemiAuto"),QCI.DescManual,IF($B18="Automático",INDEX(ORÇAMENTO!$R$15:$R$162,MATCH($A18,ORÇAMENTO!$E$15:$E$162,0)),""))</f>
        <v>DRENAGEM PROFUNDA E SUPERFICIAL</v>
      </c>
      <c r="H18" s="118"/>
      <c r="I18" s="464"/>
      <c r="J18" s="282" t="str">
        <f ca="1">IF(AND(ISBLANK(E18),ISBLANK(F18)),"",VLOOKUP($F18,OFFSET(DADOS!$A$2,1,MATCH(QCI!$E18,DADOS!$2:$2,0)-1,100,50),2,FALSE))</f>
        <v/>
      </c>
      <c r="K18" s="463" t="str" cm="1">
        <f t="array" aca="1" ref="K18" ca="1">IF(OR($B18="Manual",$B18="SemiAuto"),QCI.LoteManual,IF($B18="Automático",IF(TIPOORCAMENTO="Licitado",Import.CTEF,"LOTE 1"),""))</f>
        <v>LOTE 1</v>
      </c>
      <c r="L18" s="283">
        <f t="shared" ca="1" si="3"/>
        <v>0</v>
      </c>
      <c r="M18" s="284">
        <f t="shared" ca="1" si="4"/>
        <v>0</v>
      </c>
      <c r="N18" s="285">
        <f t="shared" ca="1" si="5"/>
        <v>0</v>
      </c>
      <c r="O18" s="286" cm="1">
        <f t="array" aca="1" ref="O18" ca="1">IF($B18="Branco",0,IF(OR($B18="Manual",$B18="SemiAuto"),QCI.InvManual,INDEX(ORÇAMENTO!X$15:X$162,MATCH($A18,ORÇAMENTO!$E$15:$E$162,0))))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IF($B18="Branco",0,IF($B18="Manual",QCI.CPManual,IF($B18="SemiAuto",ROUND(QCI!$AA$3*QCI.InvManual,2),INDEX(ORÇAMENTO!$AA$15:$AA$162,MATCH($A18,ORÇAMENTO!$E$15:$E$162,0)))))</f>
        <v>0</v>
      </c>
      <c r="AB18" cm="1">
        <f t="array" aca="1" ref="AB18" ca="1">IF($B18="Branco",0,IF($B18="Manual",QCI.OutrosManual,IF($B18="SemiAuto",0,INDEX(ORÇAMENTO!$AB$15:$AB$162,MATCH($A18,ORÇAMENTO!$E$15:$E$162,0)))))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IF(NOT(ISBLANK(QCI.DescManual)),IF(QCI.Divisao="Calculado","Manual","SemiAuto"),IF(ISERROR(MATCH($A19,ORÇAMENTO!$E$15:$E$162,0)),"Branco","Automático"))</f>
        <v>Automático</v>
      </c>
      <c r="C19" t="str">
        <f t="shared" ca="1" si="1"/>
        <v/>
      </c>
      <c r="D19" s="281">
        <f t="shared" si="2"/>
        <v>6</v>
      </c>
      <c r="E19" s="118"/>
      <c r="F19" s="118"/>
      <c r="G19" s="163" t="str">
        <f ca="1">IF(OR($B19="Manual",$B19="SemiAuto"),QCI.DescManual,IF($B19="Automático",INDEX(ORÇAMENTO!$R$15:$R$162,MATCH($A19,ORÇAMENTO!$E$15:$E$162,0)),""))</f>
        <v>SINALIZAÇÃO VIÁRIA</v>
      </c>
      <c r="H19" s="118"/>
      <c r="I19" s="464"/>
      <c r="J19" s="282" t="str">
        <f ca="1">IF(AND(ISBLANK(E19),ISBLANK(F19)),"",VLOOKUP($F19,OFFSET(DADOS!$A$2,1,MATCH(QCI!$E19,DADOS!$2:$2,0)-1,100,50),2,FALSE))</f>
        <v/>
      </c>
      <c r="K19" s="463" t="str" cm="1">
        <f t="array" aca="1" ref="K19" ca="1">IF(OR($B19="Manual",$B19="SemiAuto"),QCI.LoteManual,IF($B19="Automático",IF(TIPOORCAMENTO="Licitado",Import.CTEF,"LOTE 1"),""))</f>
        <v>LOTE 1</v>
      </c>
      <c r="L19" s="283">
        <f t="shared" ca="1" si="3"/>
        <v>0</v>
      </c>
      <c r="M19" s="284">
        <f t="shared" ca="1" si="4"/>
        <v>0</v>
      </c>
      <c r="N19" s="285">
        <f t="shared" ca="1" si="5"/>
        <v>0</v>
      </c>
      <c r="O19" s="286" cm="1">
        <f t="array" aca="1" ref="O19" ca="1">IF($B19="Branco",0,IF(OR($B19="Manual",$B19="SemiAuto"),QCI.InvManual,INDEX(ORÇAMENTO!X$15:X$162,MATCH($A19,ORÇAMENTO!$E$15:$E$162,0))))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IF($B19="Branco",0,IF($B19="Manual",QCI.CPManual,IF($B19="SemiAuto",ROUND(QCI!$AA$3*QCI.InvManual,2),INDEX(ORÇAMENTO!$AA$15:$AA$162,MATCH($A19,ORÇAMENTO!$E$15:$E$162,0)))))</f>
        <v>0</v>
      </c>
      <c r="AB19" cm="1">
        <f t="array" aca="1" ref="AB19" ca="1">IF($B19="Branco",0,IF($B19="Manual",QCI.OutrosManual,IF($B19="SemiAuto",0,INDEX(ORÇAMENTO!$AB$15:$AB$162,MATCH($A19,ORÇAMENTO!$E$15:$E$162,0)))))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IF(NOT(ISBLANK(QCI.DescManual)),IF(QCI.Divisao="Calculado","Manual","SemiAuto"),IF(ISERROR(MATCH($A20,ORÇAMENTO!$E$15:$E$162,0)),"Branco","Automático"))</f>
        <v>Automático</v>
      </c>
      <c r="C20" t="str">
        <f t="shared" ca="1" si="1"/>
        <v/>
      </c>
      <c r="D20" s="281">
        <f t="shared" si="2"/>
        <v>7</v>
      </c>
      <c r="E20" s="118"/>
      <c r="F20" s="118"/>
      <c r="G20" s="163" t="str">
        <f ca="1">IF(OR($B20="Manual",$B20="SemiAuto"),QCI.DescManual,IF($B20="Automático",INDEX(ORÇAMENTO!$R$15:$R$162,MATCH($A20,ORÇAMENTO!$E$15:$E$162,0)),""))</f>
        <v xml:space="preserve">ADMINISTRAÇÃO LOCAL </v>
      </c>
      <c r="H20" s="118"/>
      <c r="I20" s="464"/>
      <c r="J20" s="282" t="str">
        <f ca="1">IF(AND(ISBLANK(E20),ISBLANK(F20)),"",VLOOKUP($F20,OFFSET(DADOS!$A$2,1,MATCH(QCI!$E20,DADOS!$2:$2,0)-1,100,50),2,FALSE))</f>
        <v/>
      </c>
      <c r="K20" s="463" t="str" cm="1">
        <f t="array" aca="1" ref="K20" ca="1">IF(OR($B20="Manual",$B20="SemiAuto"),QCI.LoteManual,IF($B20="Automático",IF(TIPOORCAMENTO="Licitado",Import.CTEF,"LOTE 1"),""))</f>
        <v>LOTE 1</v>
      </c>
      <c r="L20" s="283">
        <f t="shared" ca="1" si="3"/>
        <v>0</v>
      </c>
      <c r="M20" s="284">
        <f t="shared" ca="1" si="4"/>
        <v>0</v>
      </c>
      <c r="N20" s="285">
        <f t="shared" ca="1" si="5"/>
        <v>0</v>
      </c>
      <c r="O20" s="286" cm="1">
        <f t="array" aca="1" ref="O20" ca="1">IF($B20="Branco",0,IF(OR($B20="Manual",$B20="SemiAuto"),QCI.InvManual,INDEX(ORÇAMENTO!X$15:X$162,MATCH($A20,ORÇAMENTO!$E$15:$E$162,0))))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IF($B20="Branco",0,IF($B20="Manual",QCI.CPManual,IF($B20="SemiAuto",ROUND(QCI!$AA$3*QCI.InvManual,2),INDEX(ORÇAMENTO!$AA$15:$AA$162,MATCH($A20,ORÇAMENTO!$E$15:$E$162,0)))))</f>
        <v>0</v>
      </c>
      <c r="AB20" cm="1">
        <f t="array" aca="1" ref="AB20" ca="1">IF($B20="Branco",0,IF($B20="Manual",QCI.OutrosManual,IF($B20="SemiAuto",0,INDEX(ORÇAMENTO!$AB$15:$AB$162,MATCH($A20,ORÇAMENTO!$E$15:$E$162,0)))))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IF(NOT(ISBLANK(QCI.DescManual)),IF(QCI.Divisao="Calculado","Manual","SemiAuto"),IF(ISERROR(MATCH($A21,ORÇAMENTO!$E$15:$E$162,0)),"Branco","Automático"))</f>
        <v>Branco</v>
      </c>
      <c r="C21" t="str">
        <f t="shared" ca="1" si="1"/>
        <v/>
      </c>
      <c r="D21" s="281">
        <f t="shared" si="2"/>
        <v>8</v>
      </c>
      <c r="E21" s="118"/>
      <c r="F21" s="118"/>
      <c r="G21" s="163" t="str">
        <f ca="1">IF(OR($B21="Manual",$B21="SemiAuto"),QCI.DescManual,IF($B21="Automático",INDEX(ORÇAMENTO!$R$15:$R$162,MATCH($A21,ORÇAMENTO!$E$15:$E$162,0)),""))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IF($B21="Branco",0,IF(OR($B21="Manual",$B21="SemiAuto"),QCI.InvManual,INDEX(ORÇAMENTO!X$15:X$162,MATCH($A21,ORÇAMENTO!$E$15:$E$162,0))))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IF($B21="Branco",0,IF($B21="Manual",QCI.CPManual,IF($B21="SemiAuto",ROUND(QCI!$AA$3*QCI.InvManual,2),INDEX(ORÇAMENTO!$AA$15:$AA$162,MATCH($A21,ORÇAMENTO!$E$15:$E$162,0)))))</f>
        <v>0</v>
      </c>
      <c r="AB21" cm="1">
        <f t="array" aca="1" ref="AB21" ca="1">IF($B21="Branco",0,IF($B21="Manual",QCI.OutrosManual,IF($B21="SemiAuto",0,INDEX(ORÇAMENTO!$AB$15:$AB$162,MATCH($A21,ORÇAMENTO!$E$15:$E$162,0)))))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IF(NOT(ISBLANK(QCI.DescManual)),IF(QCI.Divisao="Calculado","Manual","SemiAuto"),IF(ISERROR(MATCH($A22,ORÇAMENTO!$E$15:$E$162,0)),"Branco","Automático"))</f>
        <v>Branco</v>
      </c>
      <c r="C22" t="str">
        <f t="shared" ca="1" si="1"/>
        <v/>
      </c>
      <c r="D22" s="281">
        <f t="shared" si="2"/>
        <v>9</v>
      </c>
      <c r="E22" s="118"/>
      <c r="F22" s="118"/>
      <c r="G22" s="163" t="str">
        <f ca="1">IF(OR($B22="Manual",$B22="SemiAuto"),QCI.DescManual,IF($B22="Automático",INDEX(ORÇAMENTO!$R$15:$R$162,MATCH($A22,ORÇAMENTO!$E$15:$E$162,0)),""))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IF($B22="Branco",0,IF(OR($B22="Manual",$B22="SemiAuto"),QCI.InvManual,INDEX(ORÇAMENTO!X$15:X$162,MATCH($A22,ORÇAMENTO!$E$15:$E$162,0))))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IF($B22="Branco",0,IF($B22="Manual",QCI.CPManual,IF($B22="SemiAuto",ROUND(QCI!$AA$3*QCI.InvManual,2),INDEX(ORÇAMENTO!$AA$15:$AA$162,MATCH($A22,ORÇAMENTO!$E$15:$E$162,0)))))</f>
        <v>0</v>
      </c>
      <c r="AB22" cm="1">
        <f t="array" aca="1" ref="AB22" ca="1">IF($B22="Branco",0,IF($B22="Manual",QCI.OutrosManual,IF($B22="SemiAuto",0,INDEX(ORÇAMENTO!$AB$15:$AB$162,MATCH($A22,ORÇAMENTO!$E$15:$E$162,0)))))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IF(NOT(ISBLANK(QCI.DescManual)),IF(QCI.Divisao="Calculado","Manual","SemiAuto"),IF(ISERROR(MATCH($A23,ORÇAMENTO!$E$15:$E$162,0)),"Branco","Automático"))</f>
        <v>Branco</v>
      </c>
      <c r="C23" t="str">
        <f ca="1">IF(O23&gt;0,"F","")</f>
        <v/>
      </c>
      <c r="D23" s="281">
        <f>ROW()-ROW($D$13)</f>
        <v>10</v>
      </c>
      <c r="E23" s="118"/>
      <c r="F23" s="118"/>
      <c r="G23" s="163" t="str">
        <f ca="1">IF(OR($B23="Manual",$B23="SemiAuto"),QCI.DescManual,IF($B23="Automático",INDEX(ORÇAMENTO!$R$15:$R$162,MATCH($A23,ORÇAMENTO!$E$15:$E$162,0)),""))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IF($B23="Branco",0,IF(OR($B23="Manual",$B23="SemiAuto"),QCI.InvManual,INDEX(ORÇAMENTO!X$15:X$162,MATCH($A23,ORÇAMENTO!$E$15:$E$162,0))))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IF($B23="Branco",0,IF($B23="Manual",QCI.CPManual,IF($B23="SemiAuto",ROUND(QCI!$AA$3*QCI.InvManual,2),INDEX(ORÇAMENTO!$AA$15:$AA$162,MATCH($A23,ORÇAMENTO!$E$15:$E$162,0)))))</f>
        <v>0</v>
      </c>
      <c r="AB23" cm="1">
        <f t="array" aca="1" ref="AB23" ca="1">IF($B23="Branco",0,IF($B23="Manual",QCI.OutrosManual,IF($B23="SemiAuto",0,INDEX(ORÇAMENTO!$AB$15:$AB$162,MATCH($A23,ORÇAMENTO!$E$15:$E$162,0)))))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Passos / MG</v>
      </c>
      <c r="E33" s="723"/>
      <c r="F33" s="723"/>
      <c r="I33" s="139"/>
      <c r="J33" s="139"/>
      <c r="K33" s="180"/>
      <c r="L33" s="180"/>
    </row>
    <row r="34" spans="4:12" x14ac:dyDescent="0.2">
      <c r="D34" s="9" t="s">
        <v>693</v>
      </c>
      <c r="I34" s="181" t="s">
        <v>832</v>
      </c>
      <c r="J34" s="181"/>
    </row>
    <row r="35" spans="4:12" x14ac:dyDescent="0.2">
      <c r="I35" s="77" t="str">
        <f>"Nome:" &amp;  " " &amp; DADOS!C28</f>
        <v xml:space="preserve">Nome: Diego Rodrigo de Oliveira </v>
      </c>
    </row>
    <row r="36" spans="4:12" x14ac:dyDescent="0.2">
      <c r="D36" s="717">
        <f>DADOS!$C$25</f>
        <v>46121</v>
      </c>
      <c r="E36" s="717"/>
      <c r="F36" s="717"/>
      <c r="I36" s="77" t="str">
        <f>"Cargo:"  &amp; " " &amp; DADOS!C29</f>
        <v>Cargo: Prefeito Municipal</v>
      </c>
    </row>
    <row r="37" spans="4:12" x14ac:dyDescent="0.2">
      <c r="D37" s="140" t="s">
        <v>694</v>
      </c>
      <c r="E37" s="1"/>
      <c r="F37" s="1"/>
      <c r="K37" s="77"/>
      <c r="L37" s="78"/>
    </row>
  </sheetData>
  <sheetProtection algorithmName="SHA-512" hashValue="3AYnVxPVSo5o920cIT1RcTAVaCyZBrgdMkn101bIJZ5GMIiIO2nwQOvC7PQuDNRPuYgIxyjwz1fNPZlc/wNdzg==" saltValue="6sHjFeRNQ86B2Ys5sv2Ws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98" priority="961" stopIfTrue="1">
      <formula>OR($B12="Automático",$B12="Branco")</formula>
    </cfRule>
  </conditionalFormatting>
  <conditionalFormatting sqref="L12">
    <cfRule type="expression" dxfId="19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96" priority="963" stopIfTrue="1">
      <formula>OR($B12="Automático",$B12="Branco",$V12&lt;&gt;"Calculado")</formula>
    </cfRule>
  </conditionalFormatting>
  <conditionalFormatting sqref="M25">
    <cfRule type="expression" dxfId="195" priority="965" stopIfTrue="1">
      <formula>AND($G$9&lt;&gt;"",OR($M$25&lt;Import.CPMinPerc,$M$25&gt;Import.CPMaxPerc))</formula>
    </cfRule>
  </conditionalFormatting>
  <conditionalFormatting sqref="M24">
    <cfRule type="expression" dxfId="194" priority="966" stopIfTrue="1">
      <formula>AND($G$9&lt;&gt;"",$M$24&lt;Import.CPMinAbsoluta)</formula>
    </cfRule>
  </conditionalFormatting>
  <conditionalFormatting sqref="L10:M10">
    <cfRule type="cellIs" dxfId="193" priority="967" stopIfTrue="1" operator="lessThan">
      <formula>0</formula>
    </cfRule>
  </conditionalFormatting>
  <conditionalFormatting sqref="G12">
    <cfRule type="cellIs" dxfId="192" priority="968" stopIfTrue="1" operator="equal">
      <formula>"(digite a descrição aqui)"</formula>
    </cfRule>
  </conditionalFormatting>
  <conditionalFormatting sqref="T14:V22">
    <cfRule type="expression" dxfId="191" priority="5" stopIfTrue="1">
      <formula>OR($B14="Automático",$B14="Branco")</formula>
    </cfRule>
  </conditionalFormatting>
  <conditionalFormatting sqref="L14:L22">
    <cfRule type="expression" dxfId="19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89" priority="7" stopIfTrue="1">
      <formula>OR($B14="Automático",$B14="Branco",$V14&lt;&gt;"Calculado")</formula>
    </cfRule>
  </conditionalFormatting>
  <conditionalFormatting sqref="G14:G22">
    <cfRule type="cellIs" dxfId="188" priority="8" stopIfTrue="1" operator="equal">
      <formula>"(digite a descrição aqui)"</formula>
    </cfRule>
  </conditionalFormatting>
  <conditionalFormatting sqref="T23:V23">
    <cfRule type="expression" dxfId="187" priority="1" stopIfTrue="1">
      <formula>OR($B23="Automático",$B23="Branco")</formula>
    </cfRule>
  </conditionalFormatting>
  <conditionalFormatting sqref="L23">
    <cfRule type="expression" dxfId="18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85" priority="3" stopIfTrue="1">
      <formula>OR($B23="Automático",$B23="Branco",$V23&lt;&gt;"Calculado")</formula>
    </cfRule>
  </conditionalFormatting>
  <conditionalFormatting sqref="G23">
    <cfRule type="cellIs" dxfId="18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IF(AUTOEVENTO="Manual",OFFSET(EVENTOS!$D$15,$B1-$B$15,0),IF(B1&lt;=MAX(CÁLCULO!$M$15:$M$162),VLOOKUP($B1,CÁLCULO!$M$15:$N$162,2,FALSE),0))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(SELECIONAR)</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65">
        <f>Import.CR</f>
        <v>0</v>
      </c>
      <c r="C7" s="765"/>
      <c r="D7" s="214">
        <f>Import.TransfereGOV</f>
        <v>0</v>
      </c>
      <c r="E7" s="42"/>
      <c r="H7" s="764">
        <f>Import.Proponente</f>
        <v>0</v>
      </c>
      <c r="I7" s="764"/>
      <c r="J7" s="764"/>
      <c r="K7" s="764"/>
      <c r="L7" s="764"/>
      <c r="M7" s="764"/>
      <c r="N7" s="764"/>
      <c r="O7" s="765" t="str">
        <f>Import.Apelido</f>
        <v xml:space="preserve">TRAVESSIA EM ADUELAS ESTRADA PRINCIPAL DO VIRA </v>
      </c>
      <c r="P7" s="765"/>
      <c r="Q7" s="765"/>
      <c r="R7" s="765"/>
      <c r="S7" s="765"/>
      <c r="T7" s="765"/>
      <c r="U7" s="765"/>
      <c r="V7" s="765" t="str" cm="1">
        <f t="array" ref="V7">IF(TIPOORCAMENTO="Licitado",Import.empresa,Import.DescLote)</f>
        <v>REGIÃO DO ZÉ PRETO</v>
      </c>
      <c r="W7" s="765"/>
      <c r="X7" s="765"/>
      <c r="Y7" s="765"/>
      <c r="Z7" s="765"/>
      <c r="AA7" s="765"/>
      <c r="AB7" s="765"/>
      <c r="AC7" s="765"/>
      <c r="AD7" s="765"/>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00/01/Saturday a 00/01/Saturday</v>
      </c>
      <c r="O9" s="800"/>
      <c r="P9" s="800"/>
      <c r="Q9" s="800"/>
      <c r="R9" s="800"/>
      <c r="S9" s="800"/>
      <c r="T9" s="800"/>
      <c r="U9" s="268"/>
      <c r="X9" s="267" t="s">
        <v>835</v>
      </c>
      <c r="Y9" s="798" t="e">
        <f ca="1">OFFSET($I$69,1+8*(ROUNDUP(($J$9-0)/((COLUMN($AG$14)-COLUMN($G$14)-1)/25*12),0)-1),ROUNDDOWN((($J$9-0)-OFFSET($I$69,8*(ROUNDUP(($J$9-0)/((COLUMN($AG$14)-COLUMN($G$14)-1)/25*12),0)-1),0))*(2+1/12),0))</f>
        <v>#DIV/0!</v>
      </c>
      <c r="Z9" s="798"/>
      <c r="AD9" s="267" t="s">
        <v>836</v>
      </c>
      <c r="AE9" s="798" t="e">
        <f ca="1">OFFSET($I$69,3+8*(ROUNDUP(($J$9-0)/((COLUMN($AG$14)-COLUMN($G$14)-1)/25*12),0)-1),ROUNDDOWN((($J$9-0)-OFFSET($I$69,8*(ROUNDUP(($J$9-0)/((COLUMN($AG$14)-COLUMN($G$14)-1)/25*12),0)-1),0))*(2+1/12),0))</f>
        <v>#DIV/0!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1" t="str">
        <f ca="1">IF(AUTOEVENTO="Manual",OFFSET(EVENTOS!$D$15,$B16-$B$15,0),IF(B16&lt;=MAX(CÁLCULO!$M$15:$M$162),VLOOKUP($B16,CÁLCULO!$M$15:$N$162,2,FALSE),0))</f>
        <v>SERVIÇOS PRELIMINARES</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IF(AUTOEVENTO="Manual",OFFSET(EVENTOS!$D$15,$B17-$B$15,0),IF(B17&lt;=MAX(CÁLCULO!$M$15:$M$162),VLOOKUP($B17,CÁLCULO!$M$15:$N$162,2,FALSE),0))</f>
        <v>INSTALAÇÃO DA OBRA</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IF(AUTOEVENTO="Manual",OFFSET(EVENTOS!$D$15,$B18-$B$15,0),IF(B18&lt;=MAX(CÁLCULO!$M$15:$M$162),VLOOKUP($B18,CÁLCULO!$M$15:$N$162,2,FALSE),0))</f>
        <v>DEMOLIÇÕES E REMOÇÕES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IF(AUTOEVENTO="Manual",OFFSET(EVENTOS!$D$15,$B19-$B$15,0),IF(B19&lt;=MAX(CÁLCULO!$M$15:$M$162),VLOOKUP($B19,CÁLCULO!$M$15:$N$162,2,FALSE),0))</f>
        <v>CORTA RIO</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1" t="str">
        <f ca="1">IF(AUTOEVENTO="Manual",OFFSET(EVENTOS!$D$15,$B20-$B$15,0),IF(B20&lt;=MAX(CÁLCULO!$M$15:$M$162),VLOOKUP($B20,CÁLCULO!$M$15:$N$162,2,FALSE),0))</f>
        <v>MOVIMENTAÇÃO DE TERRA</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1" t="str">
        <f ca="1">IF(AUTOEVENTO="Manual",OFFSET(EVENTOS!$D$15,$B21-$B$15,0),IF(B21&lt;=MAX(CÁLCULO!$M$15:$M$162),VLOOKUP($B21,CÁLCULO!$M$15:$N$162,2,FALSE),0))</f>
        <v>FUNDAÇÕES</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1" t="str">
        <f ca="1">IF(AUTOEVENTO="Manual",OFFSET(EVENTOS!$D$15,$B22-$B$15,0),IF(B22&lt;=MAX(CÁLCULO!$M$15:$M$162),VLOOKUP($B22,CÁLCULO!$M$15:$N$162,2,FALSE),0))</f>
        <v>ESCORAMENTO</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1" t="str">
        <f ca="1">IF(AUTOEVENTO="Manual",OFFSET(EVENTOS!$D$15,$B23-$B$15,0),IF(B23&lt;=MAX(CÁLCULO!$M$15:$M$162),VLOOKUP($B23,CÁLCULO!$M$15:$N$162,2,FALSE),0))</f>
        <v>DISPOSITIVOS DE DRENAGEM</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1" t="str">
        <f ca="1">IF(AUTOEVENTO="Manual",OFFSET(EVENTOS!$D$15,$B24-$B$15,0),IF(B24&lt;=MAX(CÁLCULO!$M$15:$M$162),VLOOKUP($B24,CÁLCULO!$M$15:$N$162,2,FALSE),0))</f>
        <v>CANAL E DRENOS</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91" t="str">
        <f ca="1">IF(AUTOEVENTO="Manual",OFFSET(EVENTOS!$D$15,$B25-$B$15,0),IF(B25&lt;=MAX(CÁLCULO!$M$15:$M$162),VLOOKUP($B25,CÁLCULO!$M$15:$N$162,2,FALSE),0))</f>
        <v>SINALIZAÇÃO VERTICAL</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91" t="str">
        <f ca="1">IF(AUTOEVENTO="Manual",OFFSET(EVENTOS!$D$15,$B26-$B$15,0),IF(B26&lt;=MAX(CÁLCULO!$M$15:$M$162),VLOOKUP($B26,CÁLCULO!$M$15:$N$162,2,FALSE),0))</f>
        <v>OBRAS COMPLEMENTARES</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91" t="str">
        <f ca="1">IF(AUTOEVENTO="Manual",OFFSET(EVENTOS!$D$15,$B27-$B$15,0),IF(B27&lt;=MAX(CÁLCULO!$M$15:$M$162),VLOOKUP($B27,CÁLCULO!$M$15:$N$162,2,FALSE),0))</f>
        <v xml:space="preserve">ADMINISTRAÇÃO LOCAL </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91">
        <f ca="1">IF(AUTOEVENTO="Manual",OFFSET(EVENTOS!$D$15,$B28-$B$15,0),IF(B28&lt;=MAX(CÁLCULO!$M$15:$M$162),VLOOKUP($B28,CÁLCULO!$M$15:$N$162,2,FALSE),0))</f>
        <v>0</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91">
        <f ca="1">IF(AUTOEVENTO="Manual",OFFSET(EVENTOS!$D$15,$B29-$B$15,0),IF(B29&lt;=MAX(CÁLCULO!$M$15:$M$162),VLOOKUP($B29,CÁLCULO!$M$15:$N$162,2,FALSE),0))</f>
        <v>0</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91">
        <f ca="1">IF(AUTOEVENTO="Manual",OFFSET(EVENTOS!$D$15,$B30-$B$15,0),IF(B30&lt;=MAX(CÁLCULO!$M$15:$M$162),VLOOKUP($B30,CÁLCULO!$M$15:$N$162,2,FALSE),0))</f>
        <v>0</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91">
        <f ca="1">IF(AUTOEVENTO="Manual",OFFSET(EVENTOS!$D$15,$B31-$B$15,0),IF(B31&lt;=MAX(CÁLCULO!$M$15:$M$162),VLOOKUP($B31,CÁLCULO!$M$15:$N$162,2,FALSE),0))</f>
        <v>0</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91">
        <f ca="1">IF(AUTOEVENTO="Manual",OFFSET(EVENTOS!$D$15,$B32-$B$15,0),IF(B32&lt;=MAX(CÁLCULO!$M$15:$M$162),VLOOKUP($B32,CÁLCULO!$M$15:$N$162,2,FALSE),0))</f>
        <v>0</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91">
        <f ca="1">IF(AUTOEVENTO="Manual",OFFSET(EVENTOS!$D$15,$B33-$B$15,0),IF(B33&lt;=MAX(CÁLCULO!$M$15:$M$162),VLOOKUP($B33,CÁLCULO!$M$15:$N$162,2,FALSE),0))</f>
        <v>0</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1">
        <f ca="1">IF(AUTOEVENTO="Manual",OFFSET(EVENTOS!$D$15,$B34-$B$15,0),IF(B34&lt;=MAX(CÁLCULO!$M$15:$M$162),VLOOKUP($B34,CÁLCULO!$M$15:$N$162,2,FALSE),0))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1">
        <f ca="1">IF(AUTOEVENTO="Manual",OFFSET(EVENTOS!$D$15,$B35-$B$15,0),IF(B35&lt;=MAX(CÁLCULO!$M$15:$M$162),VLOOKUP($B35,CÁLCULO!$M$15:$N$162,2,FALSE),0))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1">
        <f ca="1">IF(AUTOEVENTO="Manual",OFFSET(EVENTOS!$D$15,$B36-$B$15,0),IF(B36&lt;=MAX(CÁLCULO!$M$15:$M$162),VLOOKUP($B36,CÁLCULO!$M$15:$N$162,2,FALSE),0))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1">
        <f ca="1">IF(AUTOEVENTO="Manual",OFFSET(EVENTOS!$D$15,$B37-$B$15,0),IF(B37&lt;=MAX(CÁLCULO!$M$15:$M$162),VLOOKUP($B37,CÁLCULO!$M$15:$N$162,2,FALSE),0))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1">
        <f ca="1">IF(AUTOEVENTO="Manual",OFFSET(EVENTOS!$D$15,$B38-$B$15,0),IF(B38&lt;=MAX(CÁLCULO!$M$15:$M$162),VLOOKUP($B38,CÁLCULO!$M$15:$N$162,2,FALSE),0))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1">
        <f ca="1">IF(AUTOEVENTO="Manual",OFFSET(EVENTOS!$D$15,$B39-$B$15,0),IF(B39&lt;=MAX(CÁLCULO!$M$15:$M$162),VLOOKUP($B39,CÁLCULO!$M$15:$N$162,2,FALSE),0))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1">
        <f ca="1">IF(AUTOEVENTO="Manual",OFFSET(EVENTOS!$D$15,$B40-$B$15,0),IF(B40&lt;=MAX(CÁLCULO!$M$15:$M$162),VLOOKUP($B40,CÁLCULO!$M$15:$N$162,2,FALSE),0))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1">
        <f ca="1">IF(AUTOEVENTO="Manual",OFFSET(EVENTOS!$D$15,$B41-$B$15,0),IF(B41&lt;=MAX(CÁLCULO!$M$15:$M$162),VLOOKUP($B41,CÁLCULO!$M$15:$N$162,2,FALSE),0))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1">
        <f ca="1">IF(AUTOEVENTO="Manual",OFFSET(EVENTOS!$D$15,$B42-$B$15,0),IF(B42&lt;=MAX(CÁLCULO!$M$15:$M$162),VLOOKUP($B42,CÁLCULO!$M$15:$N$162,2,FALSE),0))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1">
        <f ca="1">IF(AUTOEVENTO="Manual",OFFSET(EVENTOS!$D$15,$B43-$B$15,0),IF(B43&lt;=MAX(CÁLCULO!$M$15:$M$162),VLOOKUP($B43,CÁLCULO!$M$15:$N$162,2,FALSE),0))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1">
        <f ca="1">IF(AUTOEVENTO="Manual",OFFSET(EVENTOS!$D$15,$B44-$B$15,0),IF(B44&lt;=MAX(CÁLCULO!$M$15:$M$162),VLOOKUP($B44,CÁLCULO!$M$15:$N$162,2,FALSE),0))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1">
        <f ca="1">IF(AUTOEVENTO="Manual",OFFSET(EVENTOS!$D$15,$B45-$B$15,0),IF(B45&lt;=MAX(CÁLCULO!$M$15:$M$162),VLOOKUP($B45,CÁLCULO!$M$15:$N$162,2,FALSE),0))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1">
        <f ca="1">IF(AUTOEVENTO="Manual",OFFSET(EVENTOS!$D$15,$B46-$B$15,0),IF(B46&lt;=MAX(CÁLCULO!$M$15:$M$162),VLOOKUP($B46,CÁLCULO!$M$15:$N$162,2,FALSE),0))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1">
        <f ca="1">IF(AUTOEVENTO="Manual",OFFSET(EVENTOS!$D$15,$B47-$B$15,0),IF(B47&lt;=MAX(CÁLCULO!$M$15:$M$162),VLOOKUP($B47,CÁLCULO!$M$15:$N$162,2,FALSE),0))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1">
        <f ca="1">IF(AUTOEVENTO="Manual",OFFSET(EVENTOS!$D$15,$B48-$B$15,0),IF(B48&lt;=MAX(CÁLCULO!$M$15:$M$162),VLOOKUP($B48,CÁLCULO!$M$15:$N$162,2,FALSE),0))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1">
        <f ca="1">IF(AUTOEVENTO="Manual",OFFSET(EVENTOS!$D$15,$B49-$B$15,0),IF(B49&lt;=MAX(CÁLCULO!$M$15:$M$162),VLOOKUP($B49,CÁLCULO!$M$15:$N$162,2,FALSE),0))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1">
        <f ca="1">IF(AUTOEVENTO="Manual",OFFSET(EVENTOS!$D$15,$B50-$B$15,0),IF(B50&lt;=MAX(CÁLCULO!$M$15:$M$162),VLOOKUP($B50,CÁLCULO!$M$15:$N$162,2,FALSE),0))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1">
        <f ca="1">IF(AUTOEVENTO="Manual",OFFSET(EVENTOS!$D$15,$B51-$B$15,0),IF(B51&lt;=MAX(CÁLCULO!$M$15:$M$162),VLOOKUP($B51,CÁLCULO!$M$15:$N$162,2,FALSE),0))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1">
        <f ca="1">IF(AUTOEVENTO="Manual",OFFSET(EVENTOS!$D$15,$B52-$B$15,0),IF(B52&lt;=MAX(CÁLCULO!$M$15:$M$162),VLOOKUP($B52,CÁLCULO!$M$15:$N$162,2,FALSE),0))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1">
        <f ca="1">IF(AUTOEVENTO="Manual",OFFSET(EVENTOS!$D$15,$B53-$B$15,0),IF(B53&lt;=MAX(CÁLCULO!$M$15:$M$162),VLOOKUP($B53,CÁLCULO!$M$15:$N$162,2,FALSE),0))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1">
        <f ca="1">IF(AUTOEVENTO="Manual",OFFSET(EVENTOS!$D$15,$B54-$B$15,0),IF(B54&lt;=MAX(CÁLCULO!$M$15:$M$162),VLOOKUP($B54,CÁLCULO!$M$15:$N$162,2,FALSE),0))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1">
        <f ca="1">IF(AUTOEVENTO="Manual",OFFSET(EVENTOS!$D$15,$B55-$B$15,0),IF(B55&lt;=MAX(CÁLCULO!$M$15:$M$162),VLOOKUP($B55,CÁLCULO!$M$15:$N$162,2,FALSE),0))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1">
        <f ca="1">IF(AUTOEVENTO="Manual",OFFSET(EVENTOS!$D$15,$B56-$B$15,0),IF(B56&lt;=MAX(CÁLCULO!$M$15:$M$162),VLOOKUP($B56,CÁLCULO!$M$15:$N$162,2,FALSE),0))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1">
        <f ca="1">IF(AUTOEVENTO="Manual",OFFSET(EVENTOS!$D$15,$B57-$B$15,0),IF(B57&lt;=MAX(CÁLCULO!$M$15:$M$162),VLOOKUP($B57,CÁLCULO!$M$15:$N$162,2,FALSE),0))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1">
        <f ca="1">IF(AUTOEVENTO="Manual",OFFSET(EVENTOS!$D$15,$B58-$B$15,0),IF(B58&lt;=MAX(CÁLCULO!$M$15:$M$162),VLOOKUP($B58,CÁLCULO!$M$15:$N$162,2,FALSE),0))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1">
        <f ca="1">IF(AUTOEVENTO="Manual",OFFSET(EVENTOS!$D$15,$B59-$B$15,0),IF(B59&lt;=MAX(CÁLCULO!$M$15:$M$162),VLOOKUP($B59,CÁLCULO!$M$15:$N$162,2,FALSE),0))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1">
        <f ca="1">IF(AUTOEVENTO="Manual",OFFSET(EVENTOS!$D$15,$B60-$B$15,0),IF(B60&lt;=MAX(CÁLCULO!$M$15:$M$162),VLOOKUP($B60,CÁLCULO!$M$15:$N$162,2,FALSE),0))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1">
        <f ca="1">IF(AUTOEVENTO="Manual",OFFSET(EVENTOS!$D$15,$B61-$B$15,0),IF(B61&lt;=MAX(CÁLCULO!$M$15:$M$162),VLOOKUP($B61,CÁLCULO!$M$15:$N$162,2,FALSE),0))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1">
        <f ca="1">IF(AUTOEVENTO="Manual",OFFSET(EVENTOS!$D$15,$B62-$B$15,0),IF(B62&lt;=MAX(CÁLCULO!$M$15:$M$162),VLOOKUP($B62,CÁLCULO!$M$15:$N$162,2,FALSE),0))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1">
        <f ca="1">IF(AUTOEVENTO="Manual",OFFSET(EVENTOS!$D$15,$B63-$B$15,0),IF(B63&lt;=MAX(CÁLCULO!$M$15:$M$162),VLOOKUP($B63,CÁLCULO!$M$15:$N$162,2,FALSE),0))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1">
        <f ca="1">IF(AUTOEVENTO="Manual",OFFSET(EVENTOS!$D$15,$B64-$B$15,0),IF(B64&lt;=MAX(CÁLCULO!$M$15:$M$162),VLOOKUP($B64,CÁLCULO!$M$15:$N$162,2,FALSE),0))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
      <c r="A70" s="7" t="s">
        <v>536</v>
      </c>
      <c r="D70" s="784" t="s">
        <v>799</v>
      </c>
      <c r="H70" s="270" t="s">
        <v>781</v>
      </c>
      <c r="I70" s="795" t="e">
        <f ca="1">ROUND(I71,2)/ORÇAMENTO!$X$15</f>
        <v>#DIV/0!</v>
      </c>
      <c r="J70" s="795"/>
      <c r="K70" s="801" t="e">
        <f ca="1">ROUND(K71,2)/ORÇAMENTO!$X$15</f>
        <v>#DIV/0!</v>
      </c>
      <c r="L70" s="801"/>
      <c r="M70" s="801" t="e">
        <f ca="1">ROUND(M71,2)/ORÇAMENTO!$X$15</f>
        <v>#DIV/0!</v>
      </c>
      <c r="N70" s="801"/>
      <c r="O70" s="801" t="e">
        <f ca="1">ROUND(O71,2)/ORÇAMENTO!$X$15</f>
        <v>#DIV/0!</v>
      </c>
      <c r="P70" s="801"/>
      <c r="Q70" s="801" t="e">
        <f ca="1">ROUND(Q71,2)/ORÇAMENTO!$X$15</f>
        <v>#DIV/0!</v>
      </c>
      <c r="R70" s="801"/>
      <c r="S70" s="801" t="e">
        <f ca="1">ROUND(S71,2)/ORÇAMENTO!$X$15</f>
        <v>#DIV/0!</v>
      </c>
      <c r="T70" s="801"/>
      <c r="U70" s="801" t="e">
        <f ca="1">ROUND(U71,2)/ORÇAMENTO!$X$15</f>
        <v>#DIV/0!</v>
      </c>
      <c r="V70" s="801"/>
      <c r="W70" s="801" t="e">
        <f ca="1">ROUND(W71,2)/ORÇAMENTO!$X$15</f>
        <v>#DIV/0!</v>
      </c>
      <c r="X70" s="801"/>
      <c r="Y70" s="801" t="e">
        <f ca="1">ROUND(Y71,2)/ORÇAMENTO!$X$15</f>
        <v>#DIV/0!</v>
      </c>
      <c r="Z70" s="801"/>
      <c r="AA70" s="801" t="e">
        <f ca="1">ROUND(AA71,2)/ORÇAMENTO!$X$15</f>
        <v>#DIV/0!</v>
      </c>
      <c r="AB70" s="801"/>
      <c r="AC70" s="801" t="e">
        <f ca="1">ROUND(AC71,2)/ORÇAMENTO!$X$15</f>
        <v>#DIV/0!</v>
      </c>
      <c r="AD70" s="801"/>
      <c r="AE70" s="801" t="e">
        <f ca="1">ROUND(AE71,2)/ORÇAMENTO!$X$15</f>
        <v>#DIV/0!</v>
      </c>
      <c r="AF70" s="801"/>
    </row>
    <row r="71" spans="1:32" x14ac:dyDescent="0.2">
      <c r="A71" s="7" t="s">
        <v>536</v>
      </c>
      <c r="D71" s="784"/>
      <c r="H71" s="11" t="s">
        <v>782</v>
      </c>
      <c r="I71" s="786" cm="1">
        <f t="array" aca="1" ref="I71" ca="1">IF(I69=1,I73,ROUND(I73,2)-ROUND(SUMIF(CÁLCULO!$AX$15:$BH$162,"&lt;="&amp;PLE!I69-1,CÁLCULO!$AB$15:$AL$162)*IF(AdmLocal="Automática",(1+CÁLCULO.TotalAdmLocal/(ORÇAMENTO!$X$15-CÁLCULO.TotalAdmLocal)),1),2))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84" t="s">
        <v>803</v>
      </c>
      <c r="H72" s="270" t="s">
        <v>781</v>
      </c>
      <c r="I72" s="788" t="e">
        <f ca="1">ROUND(I73,2)/ORÇAMENTO!$X$15</f>
        <v>#DIV/0!</v>
      </c>
      <c r="J72" s="788"/>
      <c r="K72" s="785" t="e">
        <f ca="1">ROUND(K73,2)/ORÇAMENTO!$X$15</f>
        <v>#DIV/0!</v>
      </c>
      <c r="L72" s="785"/>
      <c r="M72" s="785" t="e">
        <f ca="1">ROUND(M73,2)/ORÇAMENTO!$X$15</f>
        <v>#DIV/0!</v>
      </c>
      <c r="N72" s="785"/>
      <c r="O72" s="785" t="e">
        <f ca="1">ROUND(O73,2)/ORÇAMENTO!$X$15</f>
        <v>#DIV/0!</v>
      </c>
      <c r="P72" s="785"/>
      <c r="Q72" s="785" t="e">
        <f ca="1">ROUND(Q73,2)/ORÇAMENTO!$X$15</f>
        <v>#DIV/0!</v>
      </c>
      <c r="R72" s="785"/>
      <c r="S72" s="785" t="e">
        <f ca="1">ROUND(S73,2)/ORÇAMENTO!$X$15</f>
        <v>#DIV/0!</v>
      </c>
      <c r="T72" s="785"/>
      <c r="U72" s="785" t="e">
        <f ca="1">ROUND(U73,2)/ORÇAMENTO!$X$15</f>
        <v>#DIV/0!</v>
      </c>
      <c r="V72" s="785"/>
      <c r="W72" s="785" t="e">
        <f ca="1">ROUND(W73,2)/ORÇAMENTO!$X$15</f>
        <v>#DIV/0!</v>
      </c>
      <c r="X72" s="785"/>
      <c r="Y72" s="785" t="e">
        <f ca="1">ROUND(Y73,2)/ORÇAMENTO!$X$15</f>
        <v>#DIV/0!</v>
      </c>
      <c r="Z72" s="785"/>
      <c r="AA72" s="785" t="e">
        <f ca="1">ROUND(AA73,2)/ORÇAMENTO!$X$15</f>
        <v>#DIV/0!</v>
      </c>
      <c r="AB72" s="785"/>
      <c r="AC72" s="785" t="e">
        <f ca="1">ROUND(AC73,2)/ORÇAMENTO!$X$15</f>
        <v>#DIV/0!</v>
      </c>
      <c r="AD72" s="785"/>
      <c r="AE72" s="785" t="e">
        <f ca="1">ROUND(AE73,2)/ORÇAMENTO!$X$15</f>
        <v>#DIV/0!</v>
      </c>
      <c r="AF72" s="785"/>
    </row>
    <row r="73" spans="1:32" x14ac:dyDescent="0.2">
      <c r="A73" s="7" t="s">
        <v>536</v>
      </c>
      <c r="D73" s="784"/>
      <c r="H73" s="11" t="s">
        <v>782</v>
      </c>
      <c r="I73" s="787" cm="1">
        <f t="array" aca="1" ref="I73" ca="1">SUMIF(CÁLCULO!$AX$15:$BH$162,"&lt;="&amp;PLE!I69,CÁLCULO!$AB$15:$AL$162)*IF(AdmLocal="Automática",(1+CÁLCULO.TotalAdmLocal/(ORÇAMENTO!$X$15-CÁLCULO.TotalAdmLocal)),1)</f>
        <v>0</v>
      </c>
      <c r="J73" s="787"/>
      <c r="K73" s="786" cm="1">
        <f t="array" aca="1" ref="K73" ca="1">SUMIF(CÁLCULO!$AX$15:$BH$162,"&lt;="&amp;PLE!K69,CÁLCULO!$AB$15:$AL$162)*IF(AdmLocal="Automática",(1+CÁLCULO.TotalAdmLocal/(ORÇAMENTO!$X$15-CÁLCULO.TotalAdmLocal)),1)</f>
        <v>0</v>
      </c>
      <c r="L73" s="786"/>
      <c r="M73" s="786" cm="1">
        <f t="array" aca="1" ref="M73" ca="1">SUMIF(CÁLCULO!$AX$15:$BH$162,"&lt;="&amp;PLE!M69,CÁLCULO!$AB$15:$AL$162)*IF(AdmLocal="Automática",(1+CÁLCULO.TotalAdmLocal/(ORÇAMENTO!$X$15-CÁLCULO.TotalAdmLocal)),1)</f>
        <v>0</v>
      </c>
      <c r="N73" s="786"/>
      <c r="O73" s="786" cm="1">
        <f t="array" aca="1" ref="O73" ca="1">SUMIF(CÁLCULO!$AX$15:$BH$162,"&lt;="&amp;PLE!O69,CÁLCULO!$AB$15:$AL$162)*IF(AdmLocal="Automática",(1+CÁLCULO.TotalAdmLocal/(ORÇAMENTO!$X$15-CÁLCULO.TotalAdmLocal)),1)</f>
        <v>0</v>
      </c>
      <c r="P73" s="786"/>
      <c r="Q73" s="786" cm="1">
        <f t="array" aca="1" ref="Q73" ca="1">SUMIF(CÁLCULO!$AX$15:$BH$162,"&lt;="&amp;PLE!Q69,CÁLCULO!$AB$15:$AL$162)*IF(AdmLocal="Automática",(1+CÁLCULO.TotalAdmLocal/(ORÇAMENTO!$X$15-CÁLCULO.TotalAdmLocal)),1)</f>
        <v>0</v>
      </c>
      <c r="R73" s="786"/>
      <c r="S73" s="786" cm="1">
        <f t="array" aca="1" ref="S73" ca="1">SUMIF(CÁLCULO!$AX$15:$BH$162,"&lt;="&amp;PLE!S69,CÁLCULO!$AB$15:$AL$162)*IF(AdmLocal="Automática",(1+CÁLCULO.TotalAdmLocal/(ORÇAMENTO!$X$15-CÁLCULO.TotalAdmLocal)),1)</f>
        <v>0</v>
      </c>
      <c r="T73" s="786"/>
      <c r="U73" s="786" cm="1">
        <f t="array" aca="1" ref="U73" ca="1">SUMIF(CÁLCULO!$AX$15:$BH$162,"&lt;="&amp;PLE!U69,CÁLCULO!$AB$15:$AL$162)*IF(AdmLocal="Automática",(1+CÁLCULO.TotalAdmLocal/(ORÇAMENTO!$X$15-CÁLCULO.TotalAdmLocal)),1)</f>
        <v>0</v>
      </c>
      <c r="V73" s="786"/>
      <c r="W73" s="786" cm="1">
        <f t="array" aca="1" ref="W73" ca="1">SUMIF(CÁLCULO!$AX$15:$BH$162,"&lt;="&amp;PLE!W69,CÁLCULO!$AB$15:$AL$162)*IF(AdmLocal="Automática",(1+CÁLCULO.TotalAdmLocal/(ORÇAMENTO!$X$15-CÁLCULO.TotalAdmLocal)),1)</f>
        <v>0</v>
      </c>
      <c r="X73" s="786"/>
      <c r="Y73" s="786" cm="1">
        <f t="array" aca="1" ref="Y73" ca="1">SUMIF(CÁLCULO!$AX$15:$BH$162,"&lt;="&amp;PLE!Y69,CÁLCULO!$AB$15:$AL$162)*IF(AdmLocal="Automática",(1+CÁLCULO.TotalAdmLocal/(ORÇAMENTO!$X$15-CÁLCULO.TotalAdmLocal)),1)</f>
        <v>0</v>
      </c>
      <c r="Z73" s="786"/>
      <c r="AA73" s="786" cm="1">
        <f t="array" aca="1" ref="AA73" ca="1">SUMIF(CÁLCULO!$AX$15:$BH$162,"&lt;="&amp;PLE!AA69,CÁLCULO!$AB$15:$AL$162)*IF(AdmLocal="Automática",(1+CÁLCULO.TotalAdmLocal/(ORÇAMENTO!$X$15-CÁLCULO.TotalAdmLocal)),1)</f>
        <v>0</v>
      </c>
      <c r="AB73" s="786"/>
      <c r="AC73" s="786" cm="1">
        <f t="array" aca="1" ref="AC73" ca="1">SUMIF(CÁLCULO!$AX$15:$BH$162,"&lt;="&amp;PLE!AC69,CÁLCULO!$AB$15:$AL$162)*IF(AdmLocal="Automática",(1+CÁLCULO.TotalAdmLocal/(ORÇAMENTO!$X$15-CÁLCULO.TotalAdmLocal)),1)</f>
        <v>0</v>
      </c>
      <c r="AD73" s="786"/>
      <c r="AE73" s="786" cm="1">
        <f t="array" aca="1" ref="AE73" ca="1">SUMIF(CÁLCULO!$AX$15:$BH$162,"&lt;="&amp;PLE!AE69,CÁLCULO!$AB$15:$AL$162)*IF(AdmLocal="Automática",(1+CÁLCULO.TotalAdmLocal/(ORÇAMENTO!$X$15-CÁLCULO.TotalAdmLocal)),1)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e">
        <f ca="1">IF(I74="","",IF(ROUND(I74,4)&gt;ROUND(I72,4),"%Adm&gt;%Global",""))</f>
        <v>#DIV/0!</v>
      </c>
      <c r="J75" s="524"/>
      <c r="K75" s="535" t="e">
        <f t="shared" ref="K75" ca="1" si="13">IF(K74="","",IF(ROUND(K74,4)&gt;ROUND(K72,4),"%Adm&gt;%Global",""))</f>
        <v>#DIV/0!</v>
      </c>
      <c r="L75" s="524"/>
      <c r="M75" s="535" t="e">
        <f t="shared" ref="M75" ca="1" si="14">IF(M74="","",IF(ROUND(M74,4)&gt;ROUND(M72,4),"%Adm&gt;%Global",""))</f>
        <v>#DIV/0!</v>
      </c>
      <c r="N75" s="524"/>
      <c r="O75" s="535" t="e">
        <f t="shared" ref="O75" ca="1" si="15">IF(O74="","",IF(ROUND(O74,4)&gt;ROUND(O72,4),"%Adm&gt;%Global",""))</f>
        <v>#DIV/0!</v>
      </c>
      <c r="P75" s="524"/>
      <c r="Q75" s="535" t="e">
        <f t="shared" ref="Q75" ca="1" si="16">IF(Q74="","",IF(ROUND(Q74,4)&gt;ROUND(Q72,4),"%Adm&gt;%Global",""))</f>
        <v>#DIV/0!</v>
      </c>
      <c r="R75" s="524"/>
      <c r="S75" s="535" t="e">
        <f t="shared" ref="S75" ca="1" si="17">IF(S74="","",IF(ROUND(S74,4)&gt;ROUND(S72,4),"%Adm&gt;%Global",""))</f>
        <v>#DIV/0!</v>
      </c>
      <c r="T75" s="524"/>
      <c r="U75" s="535" t="e">
        <f t="shared" ref="U75" ca="1" si="18">IF(U74="","",IF(ROUND(U74,4)&gt;ROUND(U72,4),"%Adm&gt;%Global",""))</f>
        <v>#DIV/0!</v>
      </c>
      <c r="V75" s="524"/>
      <c r="W75" s="535" t="e">
        <f t="shared" ref="W75" ca="1" si="19">IF(W74="","",IF(ROUND(W74,4)&gt;ROUND(W72,4),"%Adm&gt;%Global",""))</f>
        <v>#DIV/0!</v>
      </c>
      <c r="X75" s="524"/>
      <c r="Y75" s="535" t="e">
        <f t="shared" ref="Y75" ca="1" si="20">IF(Y74="","",IF(ROUND(Y74,4)&gt;ROUND(Y72,4),"%Adm&gt;%Global",""))</f>
        <v>#DIV/0!</v>
      </c>
      <c r="Z75" s="524"/>
      <c r="AA75" s="535" t="e">
        <f t="shared" ref="AA75" ca="1" si="21">IF(AA74="","",IF(ROUND(AA74,4)&gt;ROUND(AA72,4),"%Adm&gt;%Global",""))</f>
        <v>#DIV/0!</v>
      </c>
      <c r="AB75" s="524"/>
      <c r="AC75" s="535" t="e">
        <f t="shared" ref="AC75" ca="1" si="22">IF(AC74="","",IF(ROUND(AC74,4)&gt;ROUND(AC72,4),"%Adm&gt;%Global",""))</f>
        <v>#DIV/0!</v>
      </c>
      <c r="AD75" s="524"/>
      <c r="AE75" s="535" t="e">
        <f t="shared" ref="AE75" ca="1" si="23">IF(AE74="","",IF(ROUND(AE74,4)&gt;ROUND(AE72,4),"%Adm&gt;%Global",""))</f>
        <v>#DIV/0!</v>
      </c>
      <c r="AF75" s="524"/>
    </row>
    <row r="76" spans="1:32" ht="20.25" customHeight="1" x14ac:dyDescent="0.2">
      <c r="A76" s="7" t="s">
        <v>536</v>
      </c>
      <c r="I76" s="789"/>
      <c r="J76" s="789"/>
    </row>
    <row r="77" spans="1:32" ht="15" x14ac:dyDescent="0.25">
      <c r="A77" s="7" t="s">
        <v>536</v>
      </c>
      <c r="B77" s="723" t="str">
        <f>Import.Município</f>
        <v>Passos / MG</v>
      </c>
      <c r="C77" s="723"/>
      <c r="D77" s="723"/>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7">
        <f>DADOS!$C$48</f>
        <v>0</v>
      </c>
      <c r="C80" s="717"/>
      <c r="D80" s="717"/>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kVzdBfYUkMZCeKbkC1uTJUE26DVlAKxFvIT0btB/5pxOen16zfVzNdNPTvZqiCPpvcIO6+5E81MwUKBcLijkVA==" saltValue="w+vnGHyjb3sUyeGD3MSm1Q=="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183" priority="2721" stopIfTrue="1">
      <formula>IF(OR(ACOMPANHAMENTO="BM",F$12&gt;CÁLCULO.NúmeroDeFrentes),TRUE,PLE.ValorDoEvento=0)</formula>
    </cfRule>
    <cfRule type="cellIs" dxfId="182" priority="2722" stopIfTrue="1" operator="equal">
      <formula>$J$9</formula>
    </cfRule>
  </conditionalFormatting>
  <conditionalFormatting sqref="I70:AF70">
    <cfRule type="expression" dxfId="181" priority="2723" stopIfTrue="1">
      <formula>I69=$J$9</formula>
    </cfRule>
  </conditionalFormatting>
  <conditionalFormatting sqref="I71:AF71">
    <cfRule type="expression" dxfId="180" priority="2724" stopIfTrue="1">
      <formula>I69=$J$9</formula>
    </cfRule>
  </conditionalFormatting>
  <conditionalFormatting sqref="I72:AF72">
    <cfRule type="expression" dxfId="179" priority="2725" stopIfTrue="1">
      <formula>I69=$J$9</formula>
    </cfRule>
  </conditionalFormatting>
  <conditionalFormatting sqref="I73:AF73">
    <cfRule type="expression" dxfId="178" priority="2726" stopIfTrue="1">
      <formula>I69=$J$9</formula>
    </cfRule>
  </conditionalFormatting>
  <conditionalFormatting sqref="I69:J69">
    <cfRule type="cellIs" dxfId="177" priority="2720" stopIfTrue="1" operator="notEqual">
      <formula>1</formula>
    </cfRule>
  </conditionalFormatting>
  <conditionalFormatting sqref="H1:AF1">
    <cfRule type="expression" dxfId="176" priority="2738" stopIfTrue="1">
      <formula>IF(OR(ACOMPANHAMENTO="BM",TIPOORCAMENTO="Proposto",H$12&gt;CÁLCULO.NúmeroDeFrentes),TRUE,PLE.ValorDoEvento=0)</formula>
    </cfRule>
    <cfRule type="cellIs" dxfId="175" priority="2739" stopIfTrue="1" operator="equal">
      <formula>$J$9</formula>
    </cfRule>
  </conditionalFormatting>
  <conditionalFormatting sqref="AE6:AE7">
    <cfRule type="expression" dxfId="174" priority="2727" stopIfTrue="1">
      <formula>TIPOORCAMENTO&lt;&gt;"Licitado"</formula>
    </cfRule>
  </conditionalFormatting>
  <conditionalFormatting sqref="N9:T9">
    <cfRule type="expression" dxfId="173" priority="2728" stopIfTrue="1">
      <formula>COLUMN(N9)&gt;COLUMN($AF$12)</formula>
    </cfRule>
    <cfRule type="expression" dxfId="172" priority="2729" stopIfTrue="1">
      <formula>$N$9="DIGITE A DATA DA MEDIÇÃO"</formula>
    </cfRule>
  </conditionalFormatting>
  <conditionalFormatting sqref="I9:M9 U9:AF9">
    <cfRule type="expression" dxfId="171" priority="2730" stopIfTrue="1">
      <formula>COLUMN(I9)&gt;COLUMN($AF$12)</formula>
    </cfRule>
  </conditionalFormatting>
  <conditionalFormatting sqref="K70:AF73">
    <cfRule type="expression" dxfId="170" priority="1736" stopIfTrue="1">
      <formula>I$72=100%</formula>
    </cfRule>
  </conditionalFormatting>
  <conditionalFormatting sqref="J75 L75 N75 P75 R75 T75 V75 X75 Z75 AB75 AD75 AF75">
    <cfRule type="expression" dxfId="169" priority="14447" stopIfTrue="1">
      <formula>J70=$J$9</formula>
    </cfRule>
  </conditionalFormatting>
  <conditionalFormatting sqref="K74:AF74">
    <cfRule type="expression" dxfId="168" priority="1735">
      <formula>OFFSET(K74,-2,-2)=1</formula>
    </cfRule>
  </conditionalFormatting>
  <conditionalFormatting sqref="I74:AF74">
    <cfRule type="expression" dxfId="167" priority="1734">
      <formula>ROUND(I74,4)&gt;ROUND(I72,4)</formula>
    </cfRule>
  </conditionalFormatting>
  <conditionalFormatting sqref="N13">
    <cfRule type="expression" dxfId="166" priority="1733">
      <formula>$Y$9=0</formula>
    </cfRule>
  </conditionalFormatting>
  <conditionalFormatting sqref="F16:F24">
    <cfRule type="expression" dxfId="165" priority="21" stopIfTrue="1">
      <formula>IF(OR(ACOMPANHAMENTO="BM",F$12&gt;CÁLCULO.NúmeroDeFrentes),TRUE,PLE.ValorDoEvento=0)</formula>
    </cfRule>
    <cfRule type="cellIs" dxfId="164" priority="22" stopIfTrue="1" operator="equal">
      <formula>$J$9</formula>
    </cfRule>
  </conditionalFormatting>
  <conditionalFormatting sqref="H16:AF24">
    <cfRule type="expression" dxfId="163" priority="23" stopIfTrue="1">
      <formula>IF(OR(ACOMPANHAMENTO="BM",TIPOORCAMENTO="Proposto",H$12&gt;CÁLCULO.NúmeroDeFrentes),TRUE,PLE.ValorDoEvento=0)</formula>
    </cfRule>
    <cfRule type="cellIs" dxfId="162" priority="24" stopIfTrue="1" operator="equal">
      <formula>$J$9</formula>
    </cfRule>
  </conditionalFormatting>
  <conditionalFormatting sqref="F25:F33">
    <cfRule type="expression" dxfId="161" priority="17" stopIfTrue="1">
      <formula>IF(OR(ACOMPANHAMENTO="BM",F$12&gt;CÁLCULO.NúmeroDeFrentes),TRUE,PLE.ValorDoEvento=0)</formula>
    </cfRule>
    <cfRule type="cellIs" dxfId="160" priority="18" stopIfTrue="1" operator="equal">
      <formula>$J$9</formula>
    </cfRule>
  </conditionalFormatting>
  <conditionalFormatting sqref="H25:AF33">
    <cfRule type="expression" dxfId="159" priority="19" stopIfTrue="1">
      <formula>IF(OR(ACOMPANHAMENTO="BM",TIPOORCAMENTO="Proposto",H$12&gt;CÁLCULO.NúmeroDeFrentes),TRUE,PLE.ValorDoEvento=0)</formula>
    </cfRule>
    <cfRule type="cellIs" dxfId="158" priority="20" stopIfTrue="1" operator="equal">
      <formula>$J$9</formula>
    </cfRule>
  </conditionalFormatting>
  <conditionalFormatting sqref="F34:F42">
    <cfRule type="expression" dxfId="157" priority="13" stopIfTrue="1">
      <formula>IF(OR(ACOMPANHAMENTO="BM",F$12&gt;CÁLCULO.NúmeroDeFrentes),TRUE,PLE.ValorDoEvento=0)</formula>
    </cfRule>
    <cfRule type="cellIs" dxfId="156" priority="14" stopIfTrue="1" operator="equal">
      <formula>$J$9</formula>
    </cfRule>
  </conditionalFormatting>
  <conditionalFormatting sqref="H34:AF42">
    <cfRule type="expression" dxfId="155" priority="15" stopIfTrue="1">
      <formula>IF(OR(ACOMPANHAMENTO="BM",TIPOORCAMENTO="Proposto",H$12&gt;CÁLCULO.NúmeroDeFrentes),TRUE,PLE.ValorDoEvento=0)</formula>
    </cfRule>
    <cfRule type="cellIs" dxfId="154" priority="16" stopIfTrue="1" operator="equal">
      <formula>$J$9</formula>
    </cfRule>
  </conditionalFormatting>
  <conditionalFormatting sqref="F43:F51">
    <cfRule type="expression" dxfId="153" priority="9" stopIfTrue="1">
      <formula>IF(OR(ACOMPANHAMENTO="BM",F$12&gt;CÁLCULO.NúmeroDeFrentes),TRUE,PLE.ValorDoEvento=0)</formula>
    </cfRule>
    <cfRule type="cellIs" dxfId="152" priority="10" stopIfTrue="1" operator="equal">
      <formula>$J$9</formula>
    </cfRule>
  </conditionalFormatting>
  <conditionalFormatting sqref="H43:AF51">
    <cfRule type="expression" dxfId="151" priority="11" stopIfTrue="1">
      <formula>IF(OR(ACOMPANHAMENTO="BM",TIPOORCAMENTO="Proposto",H$12&gt;CÁLCULO.NúmeroDeFrentes),TRUE,PLE.ValorDoEvento=0)</formula>
    </cfRule>
    <cfRule type="cellIs" dxfId="150" priority="12" stopIfTrue="1" operator="equal">
      <formula>$J$9</formula>
    </cfRule>
  </conditionalFormatting>
  <conditionalFormatting sqref="F52:F60">
    <cfRule type="expression" dxfId="149" priority="5" stopIfTrue="1">
      <formula>IF(OR(ACOMPANHAMENTO="BM",F$12&gt;CÁLCULO.NúmeroDeFrentes),TRUE,PLE.ValorDoEvento=0)</formula>
    </cfRule>
    <cfRule type="cellIs" dxfId="148" priority="6" stopIfTrue="1" operator="equal">
      <formula>$J$9</formula>
    </cfRule>
  </conditionalFormatting>
  <conditionalFormatting sqref="H52:AF60">
    <cfRule type="expression" dxfId="147" priority="7" stopIfTrue="1">
      <formula>IF(OR(ACOMPANHAMENTO="BM",TIPOORCAMENTO="Proposto",H$12&gt;CÁLCULO.NúmeroDeFrentes),TRUE,PLE.ValorDoEvento=0)</formula>
    </cfRule>
    <cfRule type="cellIs" dxfId="146" priority="8" stopIfTrue="1" operator="equal">
      <formula>$J$9</formula>
    </cfRule>
  </conditionalFormatting>
  <conditionalFormatting sqref="F61:F64">
    <cfRule type="expression" dxfId="145" priority="1" stopIfTrue="1">
      <formula>IF(OR(ACOMPANHAMENTO="BM",F$12&gt;CÁLCULO.NúmeroDeFrentes),TRUE,PLE.ValorDoEvento=0)</formula>
    </cfRule>
    <cfRule type="cellIs" dxfId="144" priority="2" stopIfTrue="1" operator="equal">
      <formula>$J$9</formula>
    </cfRule>
  </conditionalFormatting>
  <conditionalFormatting sqref="H61:AF64">
    <cfRule type="expression" dxfId="143" priority="3" stopIfTrue="1">
      <formula>IF(OR(ACOMPANHAMENTO="BM",TIPOORCAMENTO="Proposto",H$12&gt;CÁLCULO.NúmeroDeFrentes),TRUE,PLE.ValorDoEvento=0)</formula>
    </cfRule>
    <cfRule type="cellIs" dxfId="14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77"/>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UNITÁRIO - (SELECIONAR)</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f>Import.Proponente</f>
        <v>0</v>
      </c>
      <c r="E5" s="703"/>
      <c r="F5" s="716">
        <f>Import.CR</f>
        <v>0</v>
      </c>
      <c r="G5" s="716"/>
      <c r="H5" s="716"/>
      <c r="I5" s="322">
        <f>Import.TransfereGOV</f>
        <v>0</v>
      </c>
      <c r="J5" s="703" t="str">
        <f>Import.Apelido</f>
        <v xml:space="preserve">TRAVESSIA EM ADUELAS ESTRADA PRINCIPAL DO VIRA </v>
      </c>
      <c r="K5" s="703"/>
      <c r="L5" s="703"/>
      <c r="M5" s="703"/>
      <c r="N5" s="70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ref="I8">IF(TIPOORCAMENTO="Licitado",Import.RegimeExecução,Import.Município)</f>
        <v>Passos / MG</v>
      </c>
      <c r="J8" s="703"/>
      <c r="K8" s="703"/>
      <c r="L8" s="703"/>
      <c r="M8" s="703" t="str" cm="1">
        <f t="array" aca="1" ref="M8" ca="1">TEXT(IF(BM.medicao=1,Import.DataInicioObra,OFFSET($AB$12,0,BM.medicao-1-$AB$13)+1),"dd/mm/aaaa")&amp;" a "&amp;TEXT(OFFSET($AB$12,0,BM.medicao-$AB$13),"dd/mm/aaaa")</f>
        <v>00/01/Saturday a 00/01/Saturday</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IF($J$172&lt;&gt;"",UPPER($J$172),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OFFSET(CRONO!$F$13,CRONO!$F$82,0)</f>
        <v>59</v>
      </c>
      <c r="B11" s="418"/>
      <c r="C11" s="693"/>
      <c r="E11" s="556"/>
      <c r="F11" s="815"/>
      <c r="G11" s="815"/>
      <c r="H11" s="815"/>
      <c r="I11" s="815"/>
      <c r="N11" s="557"/>
      <c r="O11" s="558" t="str">
        <f ca="1">IF(ISERROR(P11),"","Administração Local Acumulada: "&amp;TEXT(P11,"0,00%"))</f>
        <v/>
      </c>
      <c r="P11" s="561" t="e">
        <f ca="1">OFFSET($O$15,$A$11,0)/OFFSET($I$15,$A$11,0)</f>
        <v>#DIV/0!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(Qtde.)</v>
      </c>
      <c r="K12" s="705"/>
      <c r="L12" s="705"/>
      <c r="M12" s="705" t="s">
        <v>856</v>
      </c>
      <c r="N12" s="705"/>
      <c r="O12" s="705"/>
      <c r="Q12" s="705" t="str" cm="1">
        <f t="array" aca="1" ref="Q12" ca="1">"Aferido (CAIXA) "&amp;CHOOSE(MATCH(RegimeExecucao,{"Unitário","Global"},0),"(Qtde.)","(%)")</f>
        <v>Aferido (CAIXA) (Qtde.)</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REGIÃO DO ZÉ PRETO</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IF(OR(ACOMPANHAMENTO="PLE",TIPOORCAMENTO="Proposto"),0,SUMIF(OFFSET($A15,1,0):$A$162,"S",OFFSET(M15,1,0):M$162))</f>
        <v>0</v>
      </c>
      <c r="N15" s="341">
        <f ca="1">O15-M15</f>
        <v>0</v>
      </c>
      <c r="O15" s="341" cm="1">
        <f t="array" aca="1" ref="O15" ca="1">IF(OR(ACOMPANHAMENTO="PLE",TIPOORCAMENTO="Proposto"),0,SUMIF(OFFSET($A15,1,0):$A$162,"S",OFFSET(O15,1,0):O$162))</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11</v>
      </c>
      <c r="C16" s="114" t="str">
        <f t="shared" ref="C16:C53" ca="1" si="1">IF(OR($I16&gt;0,$A16=1,$A16=2,$A16=3,$A16=4),"F","")</f>
        <v>F</v>
      </c>
      <c r="D16" s="117" t="str">
        <f ca="1">ORÇAMENTO!O16</f>
        <v>1.</v>
      </c>
      <c r="E16" s="163" t="str">
        <f t="shared" ref="E16:E53" si="2">ORÇAMENTO.Descricao</f>
        <v>CANTEIRO DE OBRA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53"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53" ca="1" si="4">O16-M16</f>
        <v>0</v>
      </c>
      <c r="O16" s="125" cm="1">
        <f t="array" aca="1" ref="O16" ca="1">IF($A16="S",VTOTALBM,IF($A16=0,0,ROUND(SomaAgrupBM,15-13*ORÇAMENTO!$AF$11)))</f>
        <v>0</v>
      </c>
      <c r="Q16" s="337"/>
      <c r="R16" s="338"/>
      <c r="T16" s="117" t="str">
        <f t="shared" ref="T16:T53" ca="1" si="5">IF($W16&gt;0,$D16,"")</f>
        <v/>
      </c>
      <c r="U16" s="163" t="str">
        <f t="shared" ref="U16:U53"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53"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6.48</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v>
      </c>
      <c r="G19" s="122" cm="1">
        <f t="array" aca="1" ref="G19" ca="1">IF(RegimeExecucao="Global","",ORÇAMENTO!T19)</f>
        <v>20</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20</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6</v>
      </c>
      <c r="C21" s="114" t="str">
        <f t="shared" ca="1" si="1"/>
        <v>F</v>
      </c>
      <c r="D21" s="117" t="str">
        <f ca="1">ORÇAMENTO!O21</f>
        <v>1.2.</v>
      </c>
      <c r="E21" s="163" t="str">
        <f t="shared" si="2"/>
        <v>INSTALAÇÃO DA OBRA</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8.2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v>
      </c>
      <c r="G22" s="122" cm="1">
        <f t="array" aca="1" ref="G22" ca="1">IF(RegimeExecucao="Global","",ORÇAMENTO!T22)</f>
        <v>3</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3</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ca="1">IF(OR($I24&gt;0,$A24=1,$A24=2,$A24=3,$A24=4),"F","")</f>
        <v/>
      </c>
      <c r="D24" s="117" t="str">
        <f ca="1">ORÇAMENTO!O24</f>
        <v>-</v>
      </c>
      <c r="E24" s="163" t="str">
        <f ca="1">ORÇAMENTO.Descricao</f>
        <v>(Código não identificado nas referências)</v>
      </c>
      <c r="F24" s="164" t="str" cm="1">
        <f t="array" aca="1" ref="F24" ca="1">IF(RegimeExecucao="Global","",ORÇAMENTO.Unidade)</f>
        <v>-</v>
      </c>
      <c r="G24" s="122" cm="1">
        <f t="array" aca="1" ref="G24" ca="1">IF(RegimeExecucao="Global","",ORÇAMENTO!T24)</f>
        <v>3</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ca="1">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ca="1">O24-M24</f>
        <v>0</v>
      </c>
      <c r="O24" s="125" cm="1">
        <f t="array" aca="1" ref="O24" ca="1">IF($A24="S",VTOTALBM,IF($A24=0,0,ROUND(SomaAgrupBM,15-13*ORÇAMENTO!$AF$11)))</f>
        <v>0</v>
      </c>
      <c r="Q24" s="337"/>
      <c r="R24" s="338"/>
      <c r="T24" s="117" t="str">
        <f ca="1">IF($W24&gt;0,$D24,"")</f>
        <v/>
      </c>
      <c r="U24" s="163" t="str">
        <f ca="1">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ca="1">AO24-O24</f>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4" t="str">
        <f t="shared" ca="1" si="1"/>
        <v/>
      </c>
      <c r="D25" s="117" t="str">
        <f ca="1">ORÇAMENTO!O25</f>
        <v>-</v>
      </c>
      <c r="E25" s="163" t="str">
        <f t="shared" ca="1" si="2"/>
        <v>(Código não identificado nas referências)</v>
      </c>
      <c r="F25" s="164" t="str" cm="1">
        <f t="array" aca="1" ref="F25" ca="1">IF(RegimeExecucao="Global","",ORÇAMENTO.Unidade)</f>
        <v>-</v>
      </c>
      <c r="G25" s="122" cm="1">
        <f t="array" aca="1" ref="G25" ca="1">IF(RegimeExecucao="Global","",ORÇAMENTO!T25)</f>
        <v>300</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ca="1">IF(OR($I26&gt;0,$A26=1,$A26=2,$A26=3,$A26=4),"F","")</f>
        <v/>
      </c>
      <c r="D26" s="117" t="str">
        <f ca="1">ORÇAMENTO!O26</f>
        <v>-</v>
      </c>
      <c r="E26" s="163" t="str">
        <f ca="1">ORÇAMENTO.Descricao</f>
        <v>(Código não identificado nas referências)</v>
      </c>
      <c r="F26" s="164" t="str" cm="1">
        <f t="array" aca="1" ref="F26" ca="1">IF(RegimeExecucao="Global","",ORÇAMENTO.Unidade)</f>
        <v>-</v>
      </c>
      <c r="G26" s="122" cm="1">
        <f t="array" aca="1" ref="G26" ca="1">IF(RegimeExecucao="Global","",ORÇAMENTO!T26)</f>
        <v>504</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ca="1">L26-J26</f>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ca="1">O26-M26</f>
        <v>0</v>
      </c>
      <c r="O26" s="125" cm="1">
        <f t="array" aca="1" ref="O26" ca="1">IF($A26="S",VTOTALBM,IF($A26=0,0,ROUND(SomaAgrupBM,15-13*ORÇAMENTO!$AF$11)))</f>
        <v>0</v>
      </c>
      <c r="Q26" s="337"/>
      <c r="R26" s="338"/>
      <c r="T26" s="117" t="str">
        <f ca="1">IF($W26&gt;0,$D26,"")</f>
        <v/>
      </c>
      <c r="U26" s="163" t="str">
        <f ca="1">IF($W26&gt;0,$E26,"")</f>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ca="1">AO26-O26</f>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f ca="1">ORÇAMENTO!C27</f>
        <v>1</v>
      </c>
      <c r="B27">
        <f ca="1">ORÇAMENTO!D27</f>
        <v>8</v>
      </c>
      <c r="C27" s="114" t="str">
        <f t="shared" ca="1" si="1"/>
        <v>F</v>
      </c>
      <c r="D27" s="117" t="str">
        <f ca="1">ORÇAMENTO!O27</f>
        <v>2.</v>
      </c>
      <c r="E27" s="163" t="str">
        <f t="shared" si="2"/>
        <v>DEMOLIÇÕES E REMOÇÕES</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2</v>
      </c>
      <c r="B28">
        <f ca="1">ORÇAMENTO!D28</f>
        <v>7</v>
      </c>
      <c r="C28" s="114" t="str">
        <f t="shared" ca="1" si="1"/>
        <v>F</v>
      </c>
      <c r="D28" s="117" t="str">
        <f ca="1">ORÇAMENTO!O28</f>
        <v>2.1.</v>
      </c>
      <c r="E28" s="163" t="str">
        <f t="shared" si="2"/>
        <v>DEMOLIÇÕES E REMOÇÕES</v>
      </c>
      <c r="F28" s="164" t="str" cm="1">
        <f t="array" aca="1" ref="F28" ca="1">IF(RegimeExecucao="Global","",ORÇAMENTO.Unidade)</f>
        <v>-</v>
      </c>
      <c r="G28" s="122" cm="1">
        <f t="array" aca="1" ref="G28" ca="1">IF(RegimeExecucao="Global","",ORÇAMENTO!T28)</f>
        <v>0</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v>
      </c>
      <c r="G29" s="122" cm="1">
        <f t="array" aca="1" ref="G29" ca="1">IF(RegimeExecucao="Global","",ORÇAMENTO!T29)</f>
        <v>178.64</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5.5" x14ac:dyDescent="0.2">
      <c r="A30" t="str">
        <f ca="1">ORÇAMENTO!C30</f>
        <v>S</v>
      </c>
      <c r="B30">
        <f ca="1">ORÇAMENTO!D30</f>
        <v>0</v>
      </c>
      <c r="C30" s="114" t="str">
        <f ca="1">IF(OR($I30&gt;0,$A30=1,$A30=2,$A30=3,$A30=4),"F","")</f>
        <v/>
      </c>
      <c r="D30" s="117" t="str">
        <f ca="1">ORÇAMENTO!O30</f>
        <v>-</v>
      </c>
      <c r="E30" s="163" t="str">
        <f ca="1">ORÇAMENTO.Descricao</f>
        <v>(Código não identificado nas referências)</v>
      </c>
      <c r="F30" s="164" t="str" cm="1">
        <f t="array" aca="1" ref="F30" ca="1">IF(RegimeExecucao="Global","",ORÇAMENTO.Unidade)</f>
        <v>-</v>
      </c>
      <c r="G30" s="122" cm="1">
        <f t="array" aca="1" ref="G30" ca="1">IF(RegimeExecucao="Global","",ORÇAMENTO!T30)</f>
        <v>5</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v>
      </c>
      <c r="G31" s="122" cm="1">
        <f t="array" aca="1" ref="G31" ca="1">IF(RegimeExecucao="Global","",ORÇAMENTO!T31)</f>
        <v>5</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v>
      </c>
      <c r="G32" s="122" cm="1">
        <f t="array" aca="1" ref="G32" ca="1">IF(RegimeExecucao="Global","",ORÇAMENTO!T32)</f>
        <v>6</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51"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v>
      </c>
      <c r="G33" s="122" cm="1">
        <f t="array" aca="1" ref="G33" ca="1">IF(RegimeExecucao="Global","",ORÇAMENTO!T33)</f>
        <v>21</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v>
      </c>
      <c r="G34" s="122" cm="1">
        <f t="array" aca="1" ref="G34" ca="1">IF(RegimeExecucao="Global","",ORÇAMENTO!T34)</f>
        <v>420</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1</v>
      </c>
      <c r="B35">
        <f ca="1">ORÇAMENTO!D35</f>
        <v>11</v>
      </c>
      <c r="C35" s="114" t="str">
        <f t="shared" ca="1" si="1"/>
        <v>F</v>
      </c>
      <c r="D35" s="117" t="str">
        <f ca="1">ORÇAMENTO!O35</f>
        <v>3.</v>
      </c>
      <c r="E35" s="163" t="str">
        <f t="shared" si="2"/>
        <v>MOVIMENTAÇÃO DE TERRA</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2</v>
      </c>
      <c r="B36">
        <f ca="1">ORÇAMENTO!D36</f>
        <v>3</v>
      </c>
      <c r="C36" s="114" t="str">
        <f ca="1">IF(OR($I36&gt;0,$A36=1,$A36=2,$A36=3,$A36=4),"F","")</f>
        <v>F</v>
      </c>
      <c r="D36" s="117" t="str">
        <f ca="1">ORÇAMENTO!O36</f>
        <v>3.1.</v>
      </c>
      <c r="E36" s="163" t="str">
        <f>ORÇAMENTO.Descricao</f>
        <v>CORTA RIO</v>
      </c>
      <c r="F36" s="164" t="str" cm="1">
        <f t="array" aca="1" ref="F36" ca="1">IF(RegimeExecucao="Global","",ORÇAMENTO.Unidade)</f>
        <v>-</v>
      </c>
      <c r="G36" s="122" cm="1">
        <f t="array" aca="1" ref="G36" ca="1">IF(RegimeExecucao="Global","",ORÇAMENTO!T36)</f>
        <v>0</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ca="1">L36-J36</f>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ca="1">O36-M36</f>
        <v>0</v>
      </c>
      <c r="O36" s="125" cm="1">
        <f t="array" aca="1" ref="O36" ca="1">IF($A36="S",VTOTALBM,IF($A36=0,0,ROUND(SomaAgrupBM,15-13*ORÇAMENTO!$AF$11)))</f>
        <v>0</v>
      </c>
      <c r="Q36" s="337"/>
      <c r="R36" s="338"/>
      <c r="T36" s="117" t="str">
        <f ca="1">IF($W36&gt;0,$D36,"")</f>
        <v/>
      </c>
      <c r="U36" s="163" t="str">
        <f ca="1">IF($W36&gt;0,$E36,"")</f>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ca="1">AO36-O36</f>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51" x14ac:dyDescent="0.2">
      <c r="A37" t="str">
        <f ca="1">ORÇAMENTO!C37</f>
        <v>S</v>
      </c>
      <c r="B37">
        <f ca="1">ORÇAMENTO!D37</f>
        <v>0</v>
      </c>
      <c r="C37" s="114" t="str">
        <f t="shared" ref="C37:C38" ca="1" si="8">IF(OR($I37&gt;0,$A37=1,$A37=2,$A37=3,$A37=4),"F","")</f>
        <v/>
      </c>
      <c r="D37" s="117" t="str">
        <f ca="1">ORÇAMENTO!O37</f>
        <v>-</v>
      </c>
      <c r="E37" s="163" t="str">
        <f ca="1">ORÇAMENTO.Descricao</f>
        <v>(Código não identificado nas referências)</v>
      </c>
      <c r="F37" s="164" t="str" cm="1">
        <f t="array" aca="1" ref="F37" ca="1">IF(RegimeExecucao="Global","",ORÇAMENTO.Unidade)</f>
        <v>-</v>
      </c>
      <c r="G37" s="122" cm="1">
        <f t="array" aca="1" ref="G37" ca="1">IF(RegimeExecucao="Global","",ORÇAMENTO!T37)</f>
        <v>96</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ref="K37:K38" ca="1" si="9">L37-J37</f>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ref="N37:N38" ca="1" si="10">O37-M37</f>
        <v>0</v>
      </c>
      <c r="O37" s="125" cm="1">
        <f t="array" aca="1" ref="O37" ca="1">IF($A37="S",VTOTALBM,IF($A37=0,0,ROUND(SomaAgrupBM,15-13*ORÇAMENTO!$AF$11)))</f>
        <v>0</v>
      </c>
      <c r="Q37" s="337"/>
      <c r="R37" s="338"/>
      <c r="T37" s="117" t="str">
        <f t="shared" ref="T37:T38" ca="1" si="11">IF($W37&gt;0,$D37,"")</f>
        <v/>
      </c>
      <c r="U37" s="163" t="str">
        <f t="shared" ref="U37:U38" ca="1" si="12">IF($W37&gt;0,$E37,"")</f>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ref="Y37:Y38" ca="1" si="13">AO37-O37</f>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51" x14ac:dyDescent="0.2">
      <c r="A38" t="str">
        <f ca="1">ORÇAMENTO!C38</f>
        <v>S</v>
      </c>
      <c r="B38">
        <f ca="1">ORÇAMENTO!D38</f>
        <v>0</v>
      </c>
      <c r="C38" s="114" t="str">
        <f t="shared" ca="1" si="8"/>
        <v/>
      </c>
      <c r="D38" s="117" t="str">
        <f ca="1">ORÇAMENTO!O38</f>
        <v>-</v>
      </c>
      <c r="E38" s="163" t="str">
        <f ca="1">ORÇAMENTO.Descricao</f>
        <v>(Código não identificado nas referências)</v>
      </c>
      <c r="F38" s="164" t="str" cm="1">
        <f t="array" aca="1" ref="F38" ca="1">IF(RegimeExecucao="Global","",ORÇAMENTO.Unidade)</f>
        <v>-</v>
      </c>
      <c r="G38" s="122" cm="1">
        <f t="array" aca="1" ref="G38" ca="1">IF(RegimeExecucao="Global","",ORÇAMENTO!T38)</f>
        <v>96</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9"/>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10"/>
        <v>0</v>
      </c>
      <c r="O38" s="125" cm="1">
        <f t="array" aca="1" ref="O38" ca="1">IF($A38="S",VTOTALBM,IF($A38=0,0,ROUND(SomaAgrupBM,15-13*ORÇAMENTO!$AF$11)))</f>
        <v>0</v>
      </c>
      <c r="Q38" s="337"/>
      <c r="R38" s="338"/>
      <c r="T38" s="117" t="str">
        <f t="shared" ca="1" si="11"/>
        <v/>
      </c>
      <c r="U38" s="163" t="str">
        <f t="shared" ca="1" si="12"/>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13"/>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7</v>
      </c>
      <c r="C39" s="114" t="str">
        <f t="shared" ca="1" si="1"/>
        <v>F</v>
      </c>
      <c r="D39" s="117" t="str">
        <f ca="1">ORÇAMENTO!O39</f>
        <v>3.2.</v>
      </c>
      <c r="E39" s="163" t="str">
        <f t="shared" si="2"/>
        <v>MOVIMENTAÇÃO DE TERRA</v>
      </c>
      <c r="F39" s="164" t="str" cm="1">
        <f t="array" aca="1" ref="F39" ca="1">IF(RegimeExecucao="Global","",ORÇAMENTO.Unidade)</f>
        <v>-</v>
      </c>
      <c r="G39" s="122" cm="1">
        <f t="array" aca="1" ref="G39" ca="1">IF(RegimeExecucao="Global","",ORÇAMENTO!T39)</f>
        <v>0</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51" x14ac:dyDescent="0.2">
      <c r="A40" t="str">
        <f ca="1">ORÇAMENTO!C40</f>
        <v>S</v>
      </c>
      <c r="B40">
        <f ca="1">ORÇAMENTO!D40</f>
        <v>0</v>
      </c>
      <c r="C40" s="114" t="str">
        <f t="shared" ca="1" si="1"/>
        <v/>
      </c>
      <c r="D40" s="117" t="str">
        <f ca="1">ORÇAMENTO!O40</f>
        <v>-</v>
      </c>
      <c r="E40" s="163" t="str">
        <f t="shared" ca="1" si="2"/>
        <v>(Código não identificado nas referências)</v>
      </c>
      <c r="F40" s="164" t="str" cm="1">
        <f t="array" aca="1" ref="F40" ca="1">IF(RegimeExecucao="Global","",ORÇAMENTO.Unidade)</f>
        <v>-</v>
      </c>
      <c r="G40" s="122" cm="1">
        <f t="array" aca="1" ref="G40" ca="1">IF(RegimeExecucao="Global","",ORÇAMENTO!T40)</f>
        <v>199.5</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63.75" x14ac:dyDescent="0.2">
      <c r="A41" t="str">
        <f ca="1">ORÇAMENTO!C41</f>
        <v>S</v>
      </c>
      <c r="B41">
        <f ca="1">ORÇAMENTO!D41</f>
        <v>0</v>
      </c>
      <c r="C41" s="114" t="str">
        <f ca="1">IF(OR($I41&gt;0,$A41=1,$A41=2,$A41=3,$A41=4),"F","")</f>
        <v/>
      </c>
      <c r="D41" s="117" t="str">
        <f ca="1">ORÇAMENTO!O41</f>
        <v>-</v>
      </c>
      <c r="E41" s="163" t="str">
        <f ca="1">ORÇAMENTO.Descricao</f>
        <v>(Código não identificado nas referências)</v>
      </c>
      <c r="F41" s="164" t="str" cm="1">
        <f t="array" aca="1" ref="F41" ca="1">IF(RegimeExecucao="Global","",ORÇAMENTO.Unidade)</f>
        <v>-</v>
      </c>
      <c r="G41" s="122" cm="1">
        <f t="array" aca="1" ref="G41" ca="1">IF(RegimeExecucao="Global","",ORÇAMENTO!T41)</f>
        <v>82.11</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ca="1">L41-J41</f>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ca="1">O41-M41</f>
        <v>0</v>
      </c>
      <c r="O41" s="125" cm="1">
        <f t="array" aca="1" ref="O41" ca="1">IF($A41="S",VTOTALBM,IF($A41=0,0,ROUND(SomaAgrupBM,15-13*ORÇAMENTO!$AF$11)))</f>
        <v>0</v>
      </c>
      <c r="Q41" s="337"/>
      <c r="R41" s="338"/>
      <c r="T41" s="117" t="str">
        <f ca="1">IF($W41&gt;0,$D41,"")</f>
        <v/>
      </c>
      <c r="U41" s="163" t="str">
        <f ca="1">IF($W41&gt;0,$E41,"")</f>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ca="1">AO41-O41</f>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51" x14ac:dyDescent="0.2">
      <c r="A42" t="str">
        <f ca="1">ORÇAMENTO!C42</f>
        <v>S</v>
      </c>
      <c r="B42">
        <f ca="1">ORÇAMENTO!D42</f>
        <v>0</v>
      </c>
      <c r="C42" s="114" t="str">
        <f ca="1">IF(OR($I42&gt;0,$A42=1,$A42=2,$A42=3,$A42=4),"F","")</f>
        <v/>
      </c>
      <c r="D42" s="117" t="str">
        <f ca="1">ORÇAMENTO!O42</f>
        <v>-</v>
      </c>
      <c r="E42" s="163" t="str">
        <f ca="1">ORÇAMENTO.Descricao</f>
        <v>(Código não identificado nas referências)</v>
      </c>
      <c r="F42" s="164" t="str" cm="1">
        <f t="array" aca="1" ref="F42" ca="1">IF(RegimeExecucao="Global","",ORÇAMENTO.Unidade)</f>
        <v>-</v>
      </c>
      <c r="G42" s="122" cm="1">
        <f t="array" aca="1" ref="G42" ca="1">IF(RegimeExecucao="Global","",ORÇAMENTO!T42)</f>
        <v>237.03</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ca="1">L42-J42</f>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ca="1">O42-M42</f>
        <v>0</v>
      </c>
      <c r="O42" s="125" cm="1">
        <f t="array" aca="1" ref="O42" ca="1">IF($A42="S",VTOTALBM,IF($A42=0,0,ROUND(SomaAgrupBM,15-13*ORÇAMENTO!$AF$11)))</f>
        <v>0</v>
      </c>
      <c r="Q42" s="337"/>
      <c r="R42" s="338"/>
      <c r="T42" s="117" t="str">
        <f ca="1">IF($W42&gt;0,$D42,"")</f>
        <v/>
      </c>
      <c r="U42" s="163" t="str">
        <f ca="1">IF($W42&gt;0,$E42,"")</f>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ca="1">AO42-O42</f>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ca="1">IF(OR($I43&gt;0,$A43=1,$A43=2,$A43=3,$A43=4),"F","")</f>
        <v/>
      </c>
      <c r="D43" s="117" t="str">
        <f ca="1">ORÇAMENTO!O43</f>
        <v>-</v>
      </c>
      <c r="E43" s="163" t="str">
        <f ca="1">ORÇAMENTO.Descricao</f>
        <v>(Código não identificado nas referências)</v>
      </c>
      <c r="F43" s="164" t="str" cm="1">
        <f t="array" aca="1" ref="F43" ca="1">IF(RegimeExecucao="Global","",ORÇAMENTO.Unidade)</f>
        <v>-</v>
      </c>
      <c r="G43" s="122" cm="1">
        <f t="array" aca="1" ref="G43" ca="1">IF(RegimeExecucao="Global","",ORÇAMENTO!T43)</f>
        <v>37.53</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ca="1">L43-J43</f>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ca="1">O43-M43</f>
        <v>0</v>
      </c>
      <c r="O43" s="125" cm="1">
        <f t="array" aca="1" ref="O43" ca="1">IF($A43="S",VTOTALBM,IF($A43=0,0,ROUND(SomaAgrupBM,15-13*ORÇAMENTO!$AF$11)))</f>
        <v>0</v>
      </c>
      <c r="Q43" s="337"/>
      <c r="R43" s="338"/>
      <c r="T43" s="117" t="str">
        <f ca="1">IF($W43&gt;0,$D43,"")</f>
        <v/>
      </c>
      <c r="U43" s="163" t="str">
        <f ca="1">IF($W43&gt;0,$E43,"")</f>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ca="1">AO43-O43</f>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51"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v>
      </c>
      <c r="G44" s="122" cm="1">
        <f t="array" aca="1" ref="G44" ca="1">IF(RegimeExecucao="Global","",ORÇAMENTO!T44)</f>
        <v>119.64</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ca="1">IF(OR($I45&gt;0,$A45=1,$A45=2,$A45=3,$A45=4),"F","")</f>
        <v/>
      </c>
      <c r="D45" s="117" t="str">
        <f ca="1">ORÇAMENTO!O45</f>
        <v>-</v>
      </c>
      <c r="E45" s="163" t="str">
        <f ca="1">ORÇAMENTO.Descricao</f>
        <v>(Código não identificado nas referências)</v>
      </c>
      <c r="F45" s="164" t="str" cm="1">
        <f t="array" aca="1" ref="F45" ca="1">IF(RegimeExecucao="Global","",ORÇAMENTO.Unidade)</f>
        <v>-</v>
      </c>
      <c r="G45" s="122" cm="1">
        <f t="array" aca="1" ref="G45" ca="1">IF(RegimeExecucao="Global","",ORÇAMENTO!T45)</f>
        <v>1196.4000000000001</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ca="1">L45-J45</f>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ca="1">O45-M45</f>
        <v>0</v>
      </c>
      <c r="O45" s="125" cm="1">
        <f t="array" aca="1" ref="O45" ca="1">IF($A45="S",VTOTALBM,IF($A45=0,0,ROUND(SomaAgrupBM,15-13*ORÇAMENTO!$AF$11)))</f>
        <v>0</v>
      </c>
      <c r="Q45" s="337"/>
      <c r="R45" s="338"/>
      <c r="T45" s="117" t="str">
        <f ca="1">IF($W45&gt;0,$D45,"")</f>
        <v/>
      </c>
      <c r="U45" s="163" t="str">
        <f ca="1">IF($W45&gt;0,$E45,"")</f>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ca="1">AO45-O45</f>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f ca="1">ORÇAMENTO!C46</f>
        <v>1</v>
      </c>
      <c r="B46">
        <f ca="1">ORÇAMENTO!D46</f>
        <v>5</v>
      </c>
      <c r="C46" s="114" t="str">
        <f t="shared" ca="1" si="1"/>
        <v>F</v>
      </c>
      <c r="D46" s="117" t="str">
        <f ca="1">ORÇAMENTO!O46</f>
        <v>4.</v>
      </c>
      <c r="E46" s="163" t="str">
        <f t="shared" si="2"/>
        <v>FUNDAÇÕES</v>
      </c>
      <c r="F46" s="164" t="str" cm="1">
        <f t="array" aca="1" ref="F46" ca="1">IF(RegimeExecucao="Global","",ORÇAMENTO.Unidade)</f>
        <v>-</v>
      </c>
      <c r="G46" s="122" cm="1">
        <f t="array" aca="1" ref="G46" ca="1">IF(RegimeExecucao="Global","",ORÇAMENTO!T46)</f>
        <v>0</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4</v>
      </c>
      <c r="C47" s="114" t="str">
        <f t="shared" ca="1" si="1"/>
        <v>F</v>
      </c>
      <c r="D47" s="117" t="str">
        <f ca="1">ORÇAMENTO!O47</f>
        <v>4.1.</v>
      </c>
      <c r="E47" s="163" t="str">
        <f t="shared" si="2"/>
        <v>FUNDAÇÕES</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v>
      </c>
      <c r="G48" s="122" cm="1">
        <f t="array" aca="1" ref="G48" ca="1">IF(RegimeExecucao="Global","",ORÇAMENTO!T48)</f>
        <v>82.11</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v>
      </c>
      <c r="G49" s="122" cm="1">
        <f t="array" aca="1" ref="G49" ca="1">IF(RegimeExecucao="Global","",ORÇAMENTO!T49)</f>
        <v>205.28</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4" t="str">
        <f ca="1">IF(OR($I50&gt;0,$A50=1,$A50=2,$A50=3,$A50=4),"F","")</f>
        <v/>
      </c>
      <c r="D50" s="117" t="str">
        <f ca="1">ORÇAMENTO!O50</f>
        <v>-</v>
      </c>
      <c r="E50" s="163" t="str">
        <f ca="1">ORÇAMENTO.Descricao</f>
        <v>(Código não identificado nas referências)</v>
      </c>
      <c r="F50" s="164" t="str" cm="1">
        <f t="array" aca="1" ref="F50" ca="1">IF(RegimeExecucao="Global","",ORÇAMENTO.Unidade)</f>
        <v>-</v>
      </c>
      <c r="G50" s="122" cm="1">
        <f t="array" aca="1" ref="G50" ca="1">IF(RegimeExecucao="Global","",ORÇAMENTO!T50)</f>
        <v>1642.2</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ca="1">L50-J50</f>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ca="1">O50-M50</f>
        <v>0</v>
      </c>
      <c r="O50" s="125" cm="1">
        <f t="array" aca="1" ref="O50" ca="1">IF($A50="S",VTOTALBM,IF($A50=0,0,ROUND(SomaAgrupBM,15-13*ORÇAMENTO!$AF$11)))</f>
        <v>0</v>
      </c>
      <c r="Q50" s="337"/>
      <c r="R50" s="338"/>
      <c r="T50" s="117" t="str">
        <f ca="1">IF($W50&gt;0,$D50,"")</f>
        <v/>
      </c>
      <c r="U50" s="163" t="str">
        <f ca="1">IF($W50&gt;0,$E50,"")</f>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ca="1">AO50-O50</f>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1</v>
      </c>
      <c r="B51">
        <f ca="1">ORÇAMENTO!D51</f>
        <v>13</v>
      </c>
      <c r="C51" s="114" t="str">
        <f t="shared" ca="1" si="1"/>
        <v>F</v>
      </c>
      <c r="D51" s="117" t="str">
        <f ca="1">ORÇAMENTO!O51</f>
        <v>5.</v>
      </c>
      <c r="E51" s="163" t="str">
        <f t="shared" si="2"/>
        <v>DRENAGEM PROFUNDA E SUPERFICIAL</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2</v>
      </c>
      <c r="B52">
        <f ca="1">ORÇAMENTO!D52</f>
        <v>2</v>
      </c>
      <c r="C52" s="114" t="str">
        <f t="shared" ca="1" si="1"/>
        <v>F</v>
      </c>
      <c r="D52" s="117" t="str">
        <f ca="1">ORÇAMENTO!O52</f>
        <v>5.1.</v>
      </c>
      <c r="E52" s="163" t="str">
        <f t="shared" si="2"/>
        <v>ESCORAMENTO</v>
      </c>
      <c r="F52" s="164" t="str" cm="1">
        <f t="array" aca="1" ref="F52" ca="1">IF(RegimeExecucao="Global","",ORÇAMENTO.Unidade)</f>
        <v>-</v>
      </c>
      <c r="G52" s="122" cm="1">
        <f t="array" aca="1" ref="G52" ca="1">IF(RegimeExecucao="Global","",ORÇAMENTO!T52)</f>
        <v>0</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51" x14ac:dyDescent="0.2">
      <c r="A53" t="str">
        <f ca="1">ORÇAMENTO!C53</f>
        <v>S</v>
      </c>
      <c r="B53">
        <f ca="1">ORÇAMENTO!D53</f>
        <v>0</v>
      </c>
      <c r="C53" s="114" t="str">
        <f t="shared" ca="1" si="1"/>
        <v/>
      </c>
      <c r="D53" s="117" t="str">
        <f ca="1">ORÇAMENTO!O53</f>
        <v>-</v>
      </c>
      <c r="E53" s="163" t="str">
        <f t="shared" ca="1" si="2"/>
        <v>(Código não identificado nas referências)</v>
      </c>
      <c r="F53" s="164" t="str" cm="1">
        <f t="array" aca="1" ref="F53" ca="1">IF(RegimeExecucao="Global","",ORÇAMENTO.Unidade)</f>
        <v>-</v>
      </c>
      <c r="G53" s="122" cm="1">
        <f t="array" aca="1" ref="G53" ca="1">IF(RegimeExecucao="Global","",ORÇAMENTO!T53)</f>
        <v>66</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f ca="1">ORÇAMENTO!C54</f>
        <v>2</v>
      </c>
      <c r="B54">
        <f ca="1">ORÇAMENTO!D54</f>
        <v>4</v>
      </c>
      <c r="C54" s="114" t="str">
        <f t="shared" ref="C54:C69" ca="1" si="14">IF(OR($I54&gt;0,$A54=1,$A54=2,$A54=3,$A54=4),"F","")</f>
        <v>F</v>
      </c>
      <c r="D54" s="117" t="str">
        <f ca="1">ORÇAMENTO!O54</f>
        <v>5.2.</v>
      </c>
      <c r="E54" s="163" t="str">
        <f t="shared" ref="E54:E69" si="15">ORÇAMENTO.Descricao</f>
        <v>DISPOSITIVOS DE DRENAGEM</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t="shared" ref="K54:K69" ca="1" si="16">L54-J54</f>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ref="N54:N69" ca="1" si="17">O54-M54</f>
        <v>0</v>
      </c>
      <c r="O54" s="125" cm="1">
        <f t="array" aca="1" ref="O54" ca="1">IF($A54="S",VTOTALBM,IF($A54=0,0,ROUND(SomaAgrupBM,15-13*ORÇAMENTO!$AF$11)))</f>
        <v>0</v>
      </c>
      <c r="Q54" s="337"/>
      <c r="R54" s="338"/>
      <c r="T54" s="117" t="str">
        <f t="shared" ref="T54:T69" ca="1" si="18">IF($W54&gt;0,$D54,"")</f>
        <v/>
      </c>
      <c r="U54" s="163" t="str">
        <f t="shared" ref="U54:U69" ca="1" si="19">IF($W54&gt;0,$E54,"")</f>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ref="Y54:Y69" ca="1" si="20">AO54-O54</f>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4"/>
        <v/>
      </c>
      <c r="D55" s="117" t="str">
        <f ca="1">ORÇAMENTO!O55</f>
        <v>-</v>
      </c>
      <c r="E55" s="163" t="str">
        <f t="shared" ca="1" si="15"/>
        <v>(Código não identificado nas referências)</v>
      </c>
      <c r="F55" s="164" t="str" cm="1">
        <f t="array" aca="1" ref="F55" ca="1">IF(RegimeExecucao="Global","",ORÇAMENTO.Unidade)</f>
        <v>-</v>
      </c>
      <c r="G55" s="122" cm="1">
        <f t="array" aca="1" ref="G55" ca="1">IF(RegimeExecucao="Global","",ORÇAMENTO!T55)</f>
        <v>78.83</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16"/>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17"/>
        <v>0</v>
      </c>
      <c r="O55" s="125" cm="1">
        <f t="array" aca="1" ref="O55" ca="1">IF($A55="S",VTOTALBM,IF($A55=0,0,ROUND(SomaAgrupBM,15-13*ORÇAMENTO!$AF$11)))</f>
        <v>0</v>
      </c>
      <c r="Q55" s="337"/>
      <c r="R55" s="338"/>
      <c r="T55" s="117" t="str">
        <f t="shared" ca="1" si="18"/>
        <v/>
      </c>
      <c r="U55" s="163" t="str">
        <f t="shared" ca="1" si="19"/>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20"/>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14" t="str">
        <f ca="1">IF(OR($I56&gt;0,$A56=1,$A56=2,$A56=3,$A56=4),"F","")</f>
        <v/>
      </c>
      <c r="D56" s="117" t="str">
        <f ca="1">ORÇAMENTO!O56</f>
        <v>-</v>
      </c>
      <c r="E56" s="163" t="str">
        <f ca="1">ORÇAMENTO.Descricao</f>
        <v>(Código não identificado nas referências)</v>
      </c>
      <c r="F56" s="164" t="str" cm="1">
        <f t="array" aca="1" ref="F56" ca="1">IF(RegimeExecucao="Global","",ORÇAMENTO.Unidade)</f>
        <v>-</v>
      </c>
      <c r="G56" s="122" cm="1">
        <f t="array" aca="1" ref="G56" ca="1">IF(RegimeExecucao="Global","",ORÇAMENTO!T56)</f>
        <v>4</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ca="1">L56-J56</f>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ca="1">O56-M56</f>
        <v>0</v>
      </c>
      <c r="O56" s="125" cm="1">
        <f t="array" aca="1" ref="O56" ca="1">IF($A56="S",VTOTALBM,IF($A56=0,0,ROUND(SomaAgrupBM,15-13*ORÇAMENTO!$AF$11)))</f>
        <v>0</v>
      </c>
      <c r="Q56" s="337"/>
      <c r="R56" s="338"/>
      <c r="T56" s="117" t="str">
        <f ca="1">IF($W56&gt;0,$D56,"")</f>
        <v/>
      </c>
      <c r="U56" s="163" t="str">
        <f ca="1">IF($W56&gt;0,$E56,"")</f>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ca="1">AO56-O56</f>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25.5" x14ac:dyDescent="0.2">
      <c r="A57" t="str">
        <f ca="1">ORÇAMENTO!C57</f>
        <v>S</v>
      </c>
      <c r="B57">
        <f ca="1">ORÇAMENTO!D57</f>
        <v>0</v>
      </c>
      <c r="C57" s="114" t="str">
        <f ca="1">IF(OR($I57&gt;0,$A57=1,$A57=2,$A57=3,$A57=4),"F","")</f>
        <v/>
      </c>
      <c r="D57" s="117" t="str">
        <f ca="1">ORÇAMENTO!O57</f>
        <v>-</v>
      </c>
      <c r="E57" s="163" t="str">
        <f ca="1">ORÇAMENTO.Descricao</f>
        <v>(Código não identificado nas referências)</v>
      </c>
      <c r="F57" s="164" t="str" cm="1">
        <f t="array" aca="1" ref="F57" ca="1">IF(RegimeExecucao="Global","",ORÇAMENTO.Unidade)</f>
        <v>-</v>
      </c>
      <c r="G57" s="122" cm="1">
        <f t="array" aca="1" ref="G57" ca="1">IF(RegimeExecucao="Global","",ORÇAMENTO!T57)</f>
        <v>18.43</v>
      </c>
      <c r="H57" s="122" cm="1">
        <f t="array" aca="1" ref="H57" ca="1">IF(RegimeExecucao="Global","",ORÇAMENTO!W57)</f>
        <v>0</v>
      </c>
      <c r="I57" s="125">
        <f ca="1">ORÇAMENTO!X57</f>
        <v>0</v>
      </c>
      <c r="J57" s="333" cm="1">
        <f t="array" aca="1" ref="J57" ca="1">IF($A57="S",IF(CAIXA.Modo,BM.AFAnterior,BM.MEDAnterior),IF(AND(RegimeExecucao="Global",$I57&gt;0,COUNTIF($AB$13:$AM$13,BM.medicao-1)&gt;0),M57/$I57*100,0))</f>
        <v>0</v>
      </c>
      <c r="K57" s="122">
        <f ca="1">L57-J57</f>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ca="1">O57-M57</f>
        <v>0</v>
      </c>
      <c r="O57" s="125" cm="1">
        <f t="array" aca="1" ref="O57" ca="1">IF($A57="S",VTOTALBM,IF($A57=0,0,ROUND(SomaAgrupBM,15-13*ORÇAMENTO!$AF$11)))</f>
        <v>0</v>
      </c>
      <c r="Q57" s="337"/>
      <c r="R57" s="338"/>
      <c r="T57" s="117" t="str">
        <f ca="1">IF($W57&gt;0,$D57,"")</f>
        <v/>
      </c>
      <c r="U57" s="163" t="str">
        <f ca="1">IF($W57&gt;0,$E57,"")</f>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ca="1">AO57-O57</f>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f ca="1">ORÇAMENTO!C58</f>
        <v>2</v>
      </c>
      <c r="B58">
        <f ca="1">ORÇAMENTO!D58</f>
        <v>6</v>
      </c>
      <c r="C58" s="114" t="str">
        <f t="shared" ca="1" si="14"/>
        <v>F</v>
      </c>
      <c r="D58" s="117" t="str">
        <f ca="1">ORÇAMENTO!O58</f>
        <v>5.3.</v>
      </c>
      <c r="E58" s="163" t="str">
        <f t="shared" si="15"/>
        <v>CANAL E DRENOS</v>
      </c>
      <c r="F58" s="164" t="str" cm="1">
        <f t="array" aca="1" ref="F58" ca="1">IF(RegimeExecucao="Global","",ORÇAMENTO.Unidade)</f>
        <v>-</v>
      </c>
      <c r="G58" s="122" cm="1">
        <f t="array" aca="1" ref="G58" ca="1">IF(RegimeExecucao="Global","",ORÇAMENTO!T58)</f>
        <v>0</v>
      </c>
      <c r="H58" s="122" cm="1">
        <f t="array" aca="1" ref="H58" ca="1">IF(RegimeExecucao="Global","",ORÇAMENTO!W58)</f>
        <v>0</v>
      </c>
      <c r="I58" s="125">
        <f ca="1">ORÇAMENTO!X58</f>
        <v>0</v>
      </c>
      <c r="J58" s="333" cm="1">
        <f t="array" aca="1" ref="J58" ca="1">IF($A58="S",IF(CAIXA.Modo,BM.AFAnterior,BM.MEDAnterior),IF(AND(RegimeExecucao="Global",$I58&gt;0,COUNTIF($AB$13:$AM$13,BM.medicao-1)&gt;0),M58/$I58*100,0))</f>
        <v>0</v>
      </c>
      <c r="K58" s="122">
        <f t="shared" ca="1" si="16"/>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17"/>
        <v>0</v>
      </c>
      <c r="O58" s="125" cm="1">
        <f t="array" aca="1" ref="O58" ca="1">IF($A58="S",VTOTALBM,IF($A58=0,0,ROUND(SomaAgrupBM,15-13*ORÇAMENTO!$AF$11)))</f>
        <v>0</v>
      </c>
      <c r="Q58" s="337"/>
      <c r="R58" s="338"/>
      <c r="T58" s="117" t="str">
        <f t="shared" ca="1" si="18"/>
        <v/>
      </c>
      <c r="U58" s="163" t="str">
        <f t="shared" ca="1" si="19"/>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20"/>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4" t="str">
        <f t="shared" ca="1" si="14"/>
        <v/>
      </c>
      <c r="D59" s="117" t="str">
        <f ca="1">ORÇAMENTO!O59</f>
        <v>-</v>
      </c>
      <c r="E59" s="163" t="str">
        <f t="shared" ca="1" si="15"/>
        <v>(Código não identificado nas referências)</v>
      </c>
      <c r="F59" s="164" t="str" cm="1">
        <f t="array" aca="1" ref="F59" ca="1">IF(RegimeExecucao="Global","",ORÇAMENTO.Unidade)</f>
        <v>-</v>
      </c>
      <c r="G59" s="122" cm="1">
        <f t="array" aca="1" ref="G59" ca="1">IF(RegimeExecucao="Global","",ORÇAMENTO!T59)</f>
        <v>11</v>
      </c>
      <c r="H59" s="122" cm="1">
        <f t="array" aca="1" ref="H59" ca="1">IF(RegimeExecucao="Global","",ORÇAMENTO!W59)</f>
        <v>0</v>
      </c>
      <c r="I59" s="125">
        <f ca="1">ORÇAMENTO!X59</f>
        <v>0</v>
      </c>
      <c r="J59" s="333" cm="1">
        <f t="array" aca="1" ref="J59" ca="1">IF($A59="S",IF(CAIXA.Modo,BM.AFAnterior,BM.MEDAnterior),IF(AND(RegimeExecucao="Global",$I59&gt;0,COUNTIF($AB$13:$AM$13,BM.medicao-1)&gt;0),M59/$I59*100,0))</f>
        <v>0</v>
      </c>
      <c r="K59" s="122">
        <f t="shared" ca="1" si="16"/>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17"/>
        <v>0</v>
      </c>
      <c r="O59" s="125" cm="1">
        <f t="array" aca="1" ref="O59" ca="1">IF($A59="S",VTOTALBM,IF($A59=0,0,ROUND(SomaAgrupBM,15-13*ORÇAMENTO!$AF$11)))</f>
        <v>0</v>
      </c>
      <c r="Q59" s="337"/>
      <c r="R59" s="338"/>
      <c r="T59" s="117" t="str">
        <f t="shared" ca="1" si="18"/>
        <v/>
      </c>
      <c r="U59" s="163" t="str">
        <f t="shared" ca="1" si="19"/>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20"/>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114" t="str">
        <f ca="1">IF(OR($I60&gt;0,$A60=1,$A60=2,$A60=3,$A60=4),"F","")</f>
        <v/>
      </c>
      <c r="D60" s="117" t="str">
        <f ca="1">ORÇAMENTO!O60</f>
        <v>-</v>
      </c>
      <c r="E60" s="163" t="str">
        <f ca="1">ORÇAMENTO.Descricao</f>
        <v>(Código não identificado nas referências)</v>
      </c>
      <c r="F60" s="164" t="str" cm="1">
        <f t="array" aca="1" ref="F60" ca="1">IF(RegimeExecucao="Global","",ORÇAMENTO.Unidade)</f>
        <v>-</v>
      </c>
      <c r="G60" s="122" cm="1">
        <f t="array" aca="1" ref="G60" ca="1">IF(RegimeExecucao="Global","",ORÇAMENTO!T60)</f>
        <v>1</v>
      </c>
      <c r="H60" s="122" cm="1">
        <f t="array" aca="1" ref="H60" ca="1">IF(RegimeExecucao="Global","",ORÇAMENTO!W60)</f>
        <v>0</v>
      </c>
      <c r="I60" s="125">
        <f ca="1">ORÇAMENTO!X60</f>
        <v>0</v>
      </c>
      <c r="J60" s="333" cm="1">
        <f t="array" aca="1" ref="J60" ca="1">IF($A60="S",IF(CAIXA.Modo,BM.AFAnterior,BM.MEDAnterior),IF(AND(RegimeExecucao="Global",$I60&gt;0,COUNTIF($AB$13:$AM$13,BM.medicao-1)&gt;0),M60/$I60*100,0))</f>
        <v>0</v>
      </c>
      <c r="K60" s="122">
        <f ca="1">L60-J60</f>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ca="1">O60-M60</f>
        <v>0</v>
      </c>
      <c r="O60" s="125" cm="1">
        <f t="array" aca="1" ref="O60" ca="1">IF($A60="S",VTOTALBM,IF($A60=0,0,ROUND(SomaAgrupBM,15-13*ORÇAMENTO!$AF$11)))</f>
        <v>0</v>
      </c>
      <c r="Q60" s="337"/>
      <c r="R60" s="338"/>
      <c r="T60" s="117" t="str">
        <f ca="1">IF($W60&gt;0,$D60,"")</f>
        <v/>
      </c>
      <c r="U60" s="163" t="str">
        <f ca="1">IF($W60&gt;0,$E60,"")</f>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ca="1">AO60-O60</f>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4" t="str">
        <f ca="1">IF(OR($I61&gt;0,$A61=1,$A61=2,$A61=3,$A61=4),"F","")</f>
        <v/>
      </c>
      <c r="D61" s="117" t="str">
        <f ca="1">ORÇAMENTO!O61</f>
        <v>-</v>
      </c>
      <c r="E61" s="163" t="str">
        <f ca="1">ORÇAMENTO.Descricao</f>
        <v>(Código não identificado nas referências)</v>
      </c>
      <c r="F61" s="164" t="str" cm="1">
        <f t="array" aca="1" ref="F61" ca="1">IF(RegimeExecucao="Global","",ORÇAMENTO.Unidade)</f>
        <v>-</v>
      </c>
      <c r="G61" s="122" cm="1">
        <f t="array" aca="1" ref="G61" ca="1">IF(RegimeExecucao="Global","",ORÇAMENTO!T61)</f>
        <v>1</v>
      </c>
      <c r="H61" s="122" cm="1">
        <f t="array" aca="1" ref="H61" ca="1">IF(RegimeExecucao="Global","",ORÇAMENTO!W61)</f>
        <v>0</v>
      </c>
      <c r="I61" s="125">
        <f ca="1">ORÇAMENTO!X61</f>
        <v>0</v>
      </c>
      <c r="J61" s="333" cm="1">
        <f t="array" aca="1" ref="J61" ca="1">IF($A61="S",IF(CAIXA.Modo,BM.AFAnterior,BM.MEDAnterior),IF(AND(RegimeExecucao="Global",$I61&gt;0,COUNTIF($AB$13:$AM$13,BM.medicao-1)&gt;0),M61/$I61*100,0))</f>
        <v>0</v>
      </c>
      <c r="K61" s="122">
        <f ca="1">L61-J61</f>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ca="1">O61-M61</f>
        <v>0</v>
      </c>
      <c r="O61" s="125" cm="1">
        <f t="array" aca="1" ref="O61" ca="1">IF($A61="S",VTOTALBM,IF($A61=0,0,ROUND(SomaAgrupBM,15-13*ORÇAMENTO!$AF$11)))</f>
        <v>0</v>
      </c>
      <c r="Q61" s="337"/>
      <c r="R61" s="338"/>
      <c r="T61" s="117" t="str">
        <f ca="1">IF($W61&gt;0,$D61,"")</f>
        <v/>
      </c>
      <c r="U61" s="163" t="str">
        <f ca="1">IF($W61&gt;0,$E61,"")</f>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ca="1">AO61-O61</f>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4" t="str">
        <f t="shared" ca="1" si="14"/>
        <v/>
      </c>
      <c r="D62" s="117" t="str">
        <f ca="1">ORÇAMENTO!O62</f>
        <v>-</v>
      </c>
      <c r="E62" s="163" t="str">
        <f t="shared" ca="1" si="15"/>
        <v>(Código não identificado nas referências)</v>
      </c>
      <c r="F62" s="164" t="str" cm="1">
        <f t="array" aca="1" ref="F62" ca="1">IF(RegimeExecucao="Global","",ORÇAMENTO.Unidade)</f>
        <v>-</v>
      </c>
      <c r="G62" s="122" cm="1">
        <f t="array" aca="1" ref="G62" ca="1">IF(RegimeExecucao="Global","",ORÇAMENTO!T62)</f>
        <v>44</v>
      </c>
      <c r="H62" s="122" cm="1">
        <f t="array" aca="1" ref="H62" ca="1">IF(RegimeExecucao="Global","",ORÇAMENTO!W62)</f>
        <v>0</v>
      </c>
      <c r="I62" s="125">
        <f ca="1">ORÇAMENTO!X62</f>
        <v>0</v>
      </c>
      <c r="J62" s="333" cm="1">
        <f t="array" aca="1" ref="J62" ca="1">IF($A62="S",IF(CAIXA.Modo,BM.AFAnterior,BM.MEDAnterior),IF(AND(RegimeExecucao="Global",$I62&gt;0,COUNTIF($AB$13:$AM$13,BM.medicao-1)&gt;0),M62/$I62*100,0))</f>
        <v>0</v>
      </c>
      <c r="K62" s="122">
        <f t="shared" ca="1" si="16"/>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17"/>
        <v>0</v>
      </c>
      <c r="O62" s="125" cm="1">
        <f t="array" aca="1" ref="O62" ca="1">IF($A62="S",VTOTALBM,IF($A62=0,0,ROUND(SomaAgrupBM,15-13*ORÇAMENTO!$AF$11)))</f>
        <v>0</v>
      </c>
      <c r="Q62" s="337"/>
      <c r="R62" s="338"/>
      <c r="T62" s="117" t="str">
        <f t="shared" ca="1" si="18"/>
        <v/>
      </c>
      <c r="U62" s="163" t="str">
        <f t="shared" ca="1" si="19"/>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20"/>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4" t="str">
        <f t="shared" ca="1" si="14"/>
        <v/>
      </c>
      <c r="D63" s="117" t="str">
        <f ca="1">ORÇAMENTO!O63</f>
        <v>-</v>
      </c>
      <c r="E63" s="163" t="str">
        <f t="shared" ca="1" si="15"/>
        <v>(Código não identificado nas referências)</v>
      </c>
      <c r="F63" s="164" t="str" cm="1">
        <f t="array" aca="1" ref="F63" ca="1">IF(RegimeExecucao="Global","",ORÇAMENTO.Unidade)</f>
        <v>-</v>
      </c>
      <c r="G63" s="122" cm="1">
        <f t="array" aca="1" ref="G63" ca="1">IF(RegimeExecucao="Global","",ORÇAMENTO!T63)</f>
        <v>21.81</v>
      </c>
      <c r="H63" s="122" cm="1">
        <f t="array" aca="1" ref="H63" ca="1">IF(RegimeExecucao="Global","",ORÇAMENTO!W63)</f>
        <v>0</v>
      </c>
      <c r="I63" s="125">
        <f ca="1">ORÇAMENTO!X63</f>
        <v>0</v>
      </c>
      <c r="J63" s="333" cm="1">
        <f t="array" aca="1" ref="J63" ca="1">IF($A63="S",IF(CAIXA.Modo,BM.AFAnterior,BM.MEDAnterior),IF(AND(RegimeExecucao="Global",$I63&gt;0,COUNTIF($AB$13:$AM$13,BM.medicao-1)&gt;0),M63/$I63*100,0))</f>
        <v>0</v>
      </c>
      <c r="K63" s="122">
        <f t="shared" ca="1" si="16"/>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17"/>
        <v>0</v>
      </c>
      <c r="O63" s="125" cm="1">
        <f t="array" aca="1" ref="O63" ca="1">IF($A63="S",VTOTALBM,IF($A63=0,0,ROUND(SomaAgrupBM,15-13*ORÇAMENTO!$AF$11)))</f>
        <v>0</v>
      </c>
      <c r="Q63" s="337"/>
      <c r="R63" s="338"/>
      <c r="T63" s="117" t="str">
        <f t="shared" ca="1" si="18"/>
        <v/>
      </c>
      <c r="U63" s="163" t="str">
        <f t="shared" ca="1" si="19"/>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20"/>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x14ac:dyDescent="0.2">
      <c r="A64">
        <f ca="1">ORÇAMENTO!C64</f>
        <v>1</v>
      </c>
      <c r="B64">
        <f ca="1">ORÇAMENTO!D64</f>
        <v>9</v>
      </c>
      <c r="C64" s="114" t="str">
        <f t="shared" ca="1" si="14"/>
        <v>F</v>
      </c>
      <c r="D64" s="117" t="str">
        <f ca="1">ORÇAMENTO!O64</f>
        <v>6.</v>
      </c>
      <c r="E64" s="163" t="str">
        <f t="shared" si="15"/>
        <v>SINALIZAÇÃO VIÁRIA</v>
      </c>
      <c r="F64" s="164" t="str" cm="1">
        <f t="array" aca="1" ref="F64" ca="1">IF(RegimeExecucao="Global","",ORÇAMENTO.Unidade)</f>
        <v>-</v>
      </c>
      <c r="G64" s="122" cm="1">
        <f t="array" aca="1" ref="G64" ca="1">IF(RegimeExecucao="Global","",ORÇAMENTO!T64)</f>
        <v>0</v>
      </c>
      <c r="H64" s="122" cm="1">
        <f t="array" aca="1" ref="H64" ca="1">IF(RegimeExecucao="Global","",ORÇAMENTO!W64)</f>
        <v>0</v>
      </c>
      <c r="I64" s="125">
        <f ca="1">ORÇAMENTO!X64</f>
        <v>0</v>
      </c>
      <c r="J64" s="333" cm="1">
        <f t="array" aca="1" ref="J64" ca="1">IF($A64="S",IF(CAIXA.Modo,BM.AFAnterior,BM.MEDAnterior),IF(AND(RegimeExecucao="Global",$I64&gt;0,COUNTIF($AB$13:$AM$13,BM.medicao-1)&gt;0),M64/$I64*100,0))</f>
        <v>0</v>
      </c>
      <c r="K64" s="122">
        <f t="shared" ca="1" si="16"/>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17"/>
        <v>0</v>
      </c>
      <c r="O64" s="125" cm="1">
        <f t="array" aca="1" ref="O64" ca="1">IF($A64="S",VTOTALBM,IF($A64=0,0,ROUND(SomaAgrupBM,15-13*ORÇAMENTO!$AF$11)))</f>
        <v>0</v>
      </c>
      <c r="Q64" s="337"/>
      <c r="R64" s="338"/>
      <c r="T64" s="117" t="str">
        <f t="shared" ca="1" si="18"/>
        <v/>
      </c>
      <c r="U64" s="163" t="str">
        <f t="shared" ca="1" si="19"/>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20"/>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2</v>
      </c>
      <c r="B65">
        <f ca="1">ORÇAMENTO!D65</f>
        <v>3</v>
      </c>
      <c r="C65" s="114" t="str">
        <f t="shared" ca="1" si="14"/>
        <v>F</v>
      </c>
      <c r="D65" s="117" t="str">
        <f ca="1">ORÇAMENTO!O65</f>
        <v>6.1.</v>
      </c>
      <c r="E65" s="163" t="str">
        <f t="shared" si="15"/>
        <v>SINALIZAÇÃO VERTICAL</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0</v>
      </c>
      <c r="J65" s="333" cm="1">
        <f t="array" aca="1" ref="J65" ca="1">IF($A65="S",IF(CAIXA.Modo,BM.AFAnterior,BM.MEDAnterior),IF(AND(RegimeExecucao="Global",$I65&gt;0,COUNTIF($AB$13:$AM$13,BM.medicao-1)&gt;0),M65/$I65*100,0))</f>
        <v>0</v>
      </c>
      <c r="K65" s="122">
        <f t="shared" ca="1" si="16"/>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17"/>
        <v>0</v>
      </c>
      <c r="O65" s="125" cm="1">
        <f t="array" aca="1" ref="O65" ca="1">IF($A65="S",VTOTALBM,IF($A65=0,0,ROUND(SomaAgrupBM,15-13*ORÇAMENTO!$AF$11)))</f>
        <v>0</v>
      </c>
      <c r="Q65" s="337"/>
      <c r="R65" s="338"/>
      <c r="T65" s="117" t="str">
        <f t="shared" ca="1" si="18"/>
        <v/>
      </c>
      <c r="U65" s="163" t="str">
        <f t="shared" ca="1" si="19"/>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20"/>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t="str">
        <f ca="1">ORÇAMENTO!C66</f>
        <v>S</v>
      </c>
      <c r="B66">
        <f ca="1">ORÇAMENTO!D66</f>
        <v>0</v>
      </c>
      <c r="C66" s="114" t="str">
        <f t="shared" ca="1" si="14"/>
        <v/>
      </c>
      <c r="D66" s="117" t="str">
        <f ca="1">ORÇAMENTO!O66</f>
        <v>-</v>
      </c>
      <c r="E66" s="163" t="str">
        <f t="shared" ca="1" si="15"/>
        <v>(Código não identificado nas referências)</v>
      </c>
      <c r="F66" s="164" t="str" cm="1">
        <f t="array" aca="1" ref="F66" ca="1">IF(RegimeExecucao="Global","",ORÇAMENTO.Unidade)</f>
        <v>M2</v>
      </c>
      <c r="G66" s="122" cm="1">
        <f t="array" aca="1" ref="G66" ca="1">IF(RegimeExecucao="Global","",ORÇAMENTO!T66)</f>
        <v>0.72</v>
      </c>
      <c r="H66" s="122" cm="1">
        <f t="array" aca="1" ref="H66" ca="1">IF(RegimeExecucao="Global","",ORÇAMENTO!W66)</f>
        <v>0</v>
      </c>
      <c r="I66" s="125">
        <f ca="1">ORÇAMENTO!X66</f>
        <v>0</v>
      </c>
      <c r="J66" s="333" cm="1">
        <f t="array" aca="1" ref="J66" ca="1">IF($A66="S",IF(CAIXA.Modo,BM.AFAnterior,BM.MEDAnterior),IF(AND(RegimeExecucao="Global",$I66&gt;0,COUNTIF($AB$13:$AM$13,BM.medicao-1)&gt;0),M66/$I66*100,0))</f>
        <v>0</v>
      </c>
      <c r="K66" s="122">
        <f t="shared" ca="1" si="16"/>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17"/>
        <v>0</v>
      </c>
      <c r="O66" s="125" cm="1">
        <f t="array" aca="1" ref="O66" ca="1">IF($A66="S",VTOTALBM,IF($A66=0,0,ROUND(SomaAgrupBM,15-13*ORÇAMENTO!$AF$11)))</f>
        <v>0</v>
      </c>
      <c r="Q66" s="337"/>
      <c r="R66" s="338"/>
      <c r="T66" s="117" t="str">
        <f t="shared" ca="1" si="18"/>
        <v/>
      </c>
      <c r="U66" s="163" t="str">
        <f t="shared" ca="1" si="19"/>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20"/>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4"/>
        <v/>
      </c>
      <c r="D67" s="117" t="str">
        <f ca="1">ORÇAMENTO!O67</f>
        <v>-</v>
      </c>
      <c r="E67" s="163" t="str">
        <f t="shared" ca="1" si="15"/>
        <v>(Código não identificado nas referências)</v>
      </c>
      <c r="F67" s="164" t="str" cm="1">
        <f t="array" aca="1" ref="F67" ca="1">IF(RegimeExecucao="Global","",ORÇAMENTO.Unidade)</f>
        <v>-</v>
      </c>
      <c r="G67" s="122" cm="1">
        <f t="array" aca="1" ref="G67" ca="1">IF(RegimeExecucao="Global","",ORÇAMENTO!T67)</f>
        <v>2</v>
      </c>
      <c r="H67" s="122" cm="1">
        <f t="array" aca="1" ref="H67" ca="1">IF(RegimeExecucao="Global","",ORÇAMENTO!W67)</f>
        <v>0</v>
      </c>
      <c r="I67" s="125">
        <f ca="1">ORÇAMENTO!X67</f>
        <v>0</v>
      </c>
      <c r="J67" s="333" cm="1">
        <f t="array" aca="1" ref="J67" ca="1">IF($A67="S",IF(CAIXA.Modo,BM.AFAnterior,BM.MEDAnterior),IF(AND(RegimeExecucao="Global",$I67&gt;0,COUNTIF($AB$13:$AM$13,BM.medicao-1)&gt;0),M67/$I67*100,0))</f>
        <v>0</v>
      </c>
      <c r="K67" s="122">
        <f t="shared" ca="1" si="16"/>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17"/>
        <v>0</v>
      </c>
      <c r="O67" s="125" cm="1">
        <f t="array" aca="1" ref="O67" ca="1">IF($A67="S",VTOTALBM,IF($A67=0,0,ROUND(SomaAgrupBM,15-13*ORÇAMENTO!$AF$11)))</f>
        <v>0</v>
      </c>
      <c r="Q67" s="337"/>
      <c r="R67" s="338"/>
      <c r="T67" s="117" t="str">
        <f t="shared" ca="1" si="18"/>
        <v/>
      </c>
      <c r="U67" s="163" t="str">
        <f t="shared" ca="1" si="19"/>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20"/>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2</v>
      </c>
      <c r="B68">
        <f ca="1">ORÇAMENTO!D68</f>
        <v>5</v>
      </c>
      <c r="C68" s="114" t="str">
        <f t="shared" ca="1" si="14"/>
        <v>F</v>
      </c>
      <c r="D68" s="117" t="str">
        <f ca="1">ORÇAMENTO!O68</f>
        <v>6.2.</v>
      </c>
      <c r="E68" s="163" t="str">
        <f t="shared" si="15"/>
        <v>OBRAS COMPLEMENTARES</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0</v>
      </c>
      <c r="J68" s="333" cm="1">
        <f t="array" aca="1" ref="J68" ca="1">IF($A68="S",IF(CAIXA.Modo,BM.AFAnterior,BM.MEDAnterior),IF(AND(RegimeExecucao="Global",$I68&gt;0,COUNTIF($AB$13:$AM$13,BM.medicao-1)&gt;0),M68/$I68*100,0))</f>
        <v>0</v>
      </c>
      <c r="K68" s="122">
        <f t="shared" ca="1" si="16"/>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17"/>
        <v>0</v>
      </c>
      <c r="O68" s="125" cm="1">
        <f t="array" aca="1" ref="O68" ca="1">IF($A68="S",VTOTALBM,IF($A68=0,0,ROUND(SomaAgrupBM,15-13*ORÇAMENTO!$AF$11)))</f>
        <v>0</v>
      </c>
      <c r="Q68" s="337"/>
      <c r="R68" s="338"/>
      <c r="T68" s="117" t="str">
        <f t="shared" ca="1" si="18"/>
        <v/>
      </c>
      <c r="U68" s="163" t="str">
        <f t="shared" ca="1" si="19"/>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20"/>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4" t="str">
        <f t="shared" ca="1" si="14"/>
        <v/>
      </c>
      <c r="D69" s="117" t="str">
        <f ca="1">ORÇAMENTO!O69</f>
        <v>-</v>
      </c>
      <c r="E69" s="163" t="str">
        <f t="shared" ca="1" si="15"/>
        <v>(Código não identificado nas referências)</v>
      </c>
      <c r="F69" s="164" t="str" cm="1">
        <f t="array" aca="1" ref="F69" ca="1">IF(RegimeExecucao="Global","",ORÇAMENTO.Unidade)</f>
        <v>-</v>
      </c>
      <c r="G69" s="122" cm="1">
        <f t="array" aca="1" ref="G69" ca="1">IF(RegimeExecucao="Global","",ORÇAMENTO!T69)</f>
        <v>20.09</v>
      </c>
      <c r="H69" s="122" cm="1">
        <f t="array" aca="1" ref="H69" ca="1">IF(RegimeExecucao="Global","",ORÇAMENTO!W69)</f>
        <v>0</v>
      </c>
      <c r="I69" s="125">
        <f ca="1">ORÇAMENTO!X69</f>
        <v>0</v>
      </c>
      <c r="J69" s="333" cm="1">
        <f t="array" aca="1" ref="J69" ca="1">IF($A69="S",IF(CAIXA.Modo,BM.AFAnterior,BM.MEDAnterior),IF(AND(RegimeExecucao="Global",$I69&gt;0,COUNTIF($AB$13:$AM$13,BM.medicao-1)&gt;0),M69/$I69*100,0))</f>
        <v>0</v>
      </c>
      <c r="K69" s="122">
        <f t="shared" ca="1" si="16"/>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17"/>
        <v>0</v>
      </c>
      <c r="O69" s="125" cm="1">
        <f t="array" aca="1" ref="O69" ca="1">IF($A69="S",VTOTALBM,IF($A69=0,0,ROUND(SomaAgrupBM,15-13*ORÇAMENTO!$AF$11)))</f>
        <v>0</v>
      </c>
      <c r="Q69" s="337"/>
      <c r="R69" s="338"/>
      <c r="T69" s="117" t="str">
        <f t="shared" ca="1" si="18"/>
        <v/>
      </c>
      <c r="U69" s="163" t="str">
        <f t="shared" ca="1" si="19"/>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20"/>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4" t="str">
        <f ca="1">IF(OR($I70&gt;0,$A70=1,$A70=2,$A70=3,$A70=4),"F","")</f>
        <v/>
      </c>
      <c r="D70" s="117" t="str">
        <f ca="1">ORÇAMENTO!O70</f>
        <v>-</v>
      </c>
      <c r="E70" s="163" t="str">
        <f ca="1">ORÇAMENTO.Descricao</f>
        <v>(Código não identificado nas referências)</v>
      </c>
      <c r="F70" s="164" t="str" cm="1">
        <f t="array" aca="1" ref="F70" ca="1">IF(RegimeExecucao="Global","",ORÇAMENTO.Unidade)</f>
        <v>-</v>
      </c>
      <c r="G70" s="122" cm="1">
        <f t="array" aca="1" ref="G70" ca="1">IF(RegimeExecucao="Global","",ORÇAMENTO!T70)</f>
        <v>178.63</v>
      </c>
      <c r="H70" s="122" cm="1">
        <f t="array" aca="1" ref="H70" ca="1">IF(RegimeExecucao="Global","",ORÇAMENTO!W70)</f>
        <v>0</v>
      </c>
      <c r="I70" s="125">
        <f ca="1">ORÇAMENTO!X70</f>
        <v>0</v>
      </c>
      <c r="J70" s="333" cm="1">
        <f t="array" aca="1" ref="J70" ca="1">IF($A70="S",IF(CAIXA.Modo,BM.AFAnterior,BM.MEDAnterior),IF(AND(RegimeExecucao="Global",$I70&gt;0,COUNTIF($AB$13:$AM$13,BM.medicao-1)&gt;0),M70/$I70*100,0))</f>
        <v>0</v>
      </c>
      <c r="K70" s="122">
        <f ca="1">L70-J70</f>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ca="1">O70-M70</f>
        <v>0</v>
      </c>
      <c r="O70" s="125" cm="1">
        <f t="array" aca="1" ref="O70" ca="1">IF($A70="S",VTOTALBM,IF($A70=0,0,ROUND(SomaAgrupBM,15-13*ORÇAMENTO!$AF$11)))</f>
        <v>0</v>
      </c>
      <c r="Q70" s="337"/>
      <c r="R70" s="338"/>
      <c r="T70" s="117" t="str">
        <f ca="1">IF($W70&gt;0,$D70,"")</f>
        <v/>
      </c>
      <c r="U70" s="163" t="str">
        <f ca="1">IF($W70&gt;0,$E70,"")</f>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ca="1">AO70-O70</f>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25.5" x14ac:dyDescent="0.2">
      <c r="A71" t="str">
        <f ca="1">ORÇAMENTO!C71</f>
        <v>S</v>
      </c>
      <c r="B71">
        <f ca="1">ORÇAMENTO!D71</f>
        <v>0</v>
      </c>
      <c r="C71" s="114" t="str">
        <f ca="1">IF(OR($I71&gt;0,$A71=1,$A71=2,$A71=3,$A71=4),"F","")</f>
        <v/>
      </c>
      <c r="D71" s="117" t="str">
        <f ca="1">ORÇAMENTO!O71</f>
        <v>-</v>
      </c>
      <c r="E71" s="163" t="str">
        <f ca="1">ORÇAMENTO.Descricao</f>
        <v>(Código não identificado nas referências)</v>
      </c>
      <c r="F71" s="164" t="str" cm="1">
        <f t="array" aca="1" ref="F71" ca="1">IF(RegimeExecucao="Global","",ORÇAMENTO.Unidade)</f>
        <v>-</v>
      </c>
      <c r="G71" s="122" cm="1">
        <f t="array" aca="1" ref="G71" ca="1">IF(RegimeExecucao="Global","",ORÇAMENTO!T71)</f>
        <v>16.04</v>
      </c>
      <c r="H71" s="122" cm="1">
        <f t="array" aca="1" ref="H71" ca="1">IF(RegimeExecucao="Global","",ORÇAMENTO!W71)</f>
        <v>0</v>
      </c>
      <c r="I71" s="125">
        <f ca="1">ORÇAMENTO!X71</f>
        <v>0</v>
      </c>
      <c r="J71" s="333" cm="1">
        <f t="array" aca="1" ref="J71" ca="1">IF($A71="S",IF(CAIXA.Modo,BM.AFAnterior,BM.MEDAnterior),IF(AND(RegimeExecucao="Global",$I71&gt;0,COUNTIF($AB$13:$AM$13,BM.medicao-1)&gt;0),M71/$I71*100,0))</f>
        <v>0</v>
      </c>
      <c r="K71" s="122">
        <f ca="1">L71-J71</f>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ca="1">O71-M71</f>
        <v>0</v>
      </c>
      <c r="O71" s="125" cm="1">
        <f t="array" aca="1" ref="O71" ca="1">IF($A71="S",VTOTALBM,IF($A71=0,0,ROUND(SomaAgrupBM,15-13*ORÇAMENTO!$AF$11)))</f>
        <v>0</v>
      </c>
      <c r="Q71" s="337"/>
      <c r="R71" s="338"/>
      <c r="T71" s="117" t="str">
        <f ca="1">IF($W71&gt;0,$D71,"")</f>
        <v/>
      </c>
      <c r="U71" s="163" t="str">
        <f ca="1">IF($W71&gt;0,$E71,"")</f>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ca="1">AO71-O71</f>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t="str">
        <f ca="1">ORÇAMENTO!C72</f>
        <v>S</v>
      </c>
      <c r="B72">
        <f ca="1">ORÇAMENTO!D72</f>
        <v>0</v>
      </c>
      <c r="C72" s="114" t="str">
        <f ca="1">IF(OR($I72&gt;0,$A72=1,$A72=2,$A72=3,$A72=4),"F","")</f>
        <v/>
      </c>
      <c r="D72" s="117" t="str">
        <f ca="1">ORÇAMENTO!O72</f>
        <v>-</v>
      </c>
      <c r="E72" s="163" t="str">
        <f ca="1">ORÇAMENTO.Descricao</f>
        <v>(Código não identificado nas referências)</v>
      </c>
      <c r="F72" s="164" t="str" cm="1">
        <f t="array" aca="1" ref="F72" ca="1">IF(RegimeExecucao="Global","",ORÇAMENTO.Unidade)</f>
        <v>-</v>
      </c>
      <c r="G72" s="122" cm="1">
        <f t="array" aca="1" ref="G72" ca="1">IF(RegimeExecucao="Global","",ORÇAMENTO!T72)</f>
        <v>16.04</v>
      </c>
      <c r="H72" s="122" cm="1">
        <f t="array" aca="1" ref="H72" ca="1">IF(RegimeExecucao="Global","",ORÇAMENTO!W72)</f>
        <v>0</v>
      </c>
      <c r="I72" s="125">
        <f ca="1">ORÇAMENTO!X72</f>
        <v>0</v>
      </c>
      <c r="J72" s="333" cm="1">
        <f t="array" aca="1" ref="J72" ca="1">IF($A72="S",IF(CAIXA.Modo,BM.AFAnterior,BM.MEDAnterior),IF(AND(RegimeExecucao="Global",$I72&gt;0,COUNTIF($AB$13:$AM$13,BM.medicao-1)&gt;0),M72/$I72*100,0))</f>
        <v>0</v>
      </c>
      <c r="K72" s="122">
        <f ca="1">L72-J72</f>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ca="1">O72-M72</f>
        <v>0</v>
      </c>
      <c r="O72" s="125" cm="1">
        <f t="array" aca="1" ref="O72" ca="1">IF($A72="S",VTOTALBM,IF($A72=0,0,ROUND(SomaAgrupBM,15-13*ORÇAMENTO!$AF$11)))</f>
        <v>0</v>
      </c>
      <c r="Q72" s="337"/>
      <c r="R72" s="338"/>
      <c r="T72" s="117" t="str">
        <f ca="1">IF($W72&gt;0,$D72,"")</f>
        <v/>
      </c>
      <c r="U72" s="163" t="str">
        <f ca="1">IF($W72&gt;0,$E72,"")</f>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ca="1">AO72-O72</f>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f ca="1">ORÇAMENTO!C73</f>
        <v>1</v>
      </c>
      <c r="B73">
        <f ca="1">ORÇAMENTO!D73</f>
        <v>89</v>
      </c>
      <c r="C73" s="114" t="str">
        <f t="shared" ref="C73:C103" ca="1" si="21">IF(OR($I73&gt;0,$A73=1,$A73=2,$A73=3,$A73=4),"F","")</f>
        <v>F</v>
      </c>
      <c r="D73" s="117" t="str">
        <f ca="1">ORÇAMENTO!O73</f>
        <v>7.</v>
      </c>
      <c r="E73" s="163" t="str">
        <f t="shared" ref="E73:E103" si="22">ORÇAMENTO.Descricao</f>
        <v xml:space="preserve">ADMINISTRAÇÃO LOCAL </v>
      </c>
      <c r="F73" s="164" t="str" cm="1">
        <f t="array" aca="1" ref="F73" ca="1">IF(RegimeExecucao="Global","",ORÇAMENTO.Unidade)</f>
        <v>-</v>
      </c>
      <c r="G73" s="122" cm="1">
        <f t="array" aca="1" ref="G73" ca="1">IF(RegimeExecucao="Global","",ORÇAMENTO!T73)</f>
        <v>0</v>
      </c>
      <c r="H73" s="122" cm="1">
        <f t="array" aca="1" ref="H73" ca="1">IF(RegimeExecucao="Global","",ORÇAMENTO!W73)</f>
        <v>0</v>
      </c>
      <c r="I73" s="125">
        <f ca="1">ORÇAMENTO!X73</f>
        <v>0</v>
      </c>
      <c r="J73" s="333" cm="1">
        <f t="array" aca="1" ref="J73" ca="1">IF($A73="S",IF(CAIXA.Modo,BM.AFAnterior,BM.MEDAnterior),IF(AND(RegimeExecucao="Global",$I73&gt;0,COUNTIF($AB$13:$AM$13,BM.medicao-1)&gt;0),M73/$I73*100,0))</f>
        <v>0</v>
      </c>
      <c r="K73" s="122">
        <f t="shared" ref="K73:K103" ca="1" si="23">L73-J73</f>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ref="N73:N103" ca="1" si="24">O73-M73</f>
        <v>0</v>
      </c>
      <c r="O73" s="125" cm="1">
        <f t="array" aca="1" ref="O73" ca="1">IF($A73="S",VTOTALBM,IF($A73=0,0,ROUND(SomaAgrupBM,15-13*ORÇAMENTO!$AF$11)))</f>
        <v>0</v>
      </c>
      <c r="Q73" s="337"/>
      <c r="R73" s="338"/>
      <c r="T73" s="117" t="str">
        <f t="shared" ref="T73:T103" ca="1" si="25">IF($W73&gt;0,$D73,"")</f>
        <v/>
      </c>
      <c r="U73" s="163" t="str">
        <f t="shared" ref="U73:U103" ca="1" si="26">IF($W73&gt;0,$E73,"")</f>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ref="Y73:Y103" ca="1" si="27">AO73-O73</f>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f ca="1">ORÇAMENTO!C74</f>
        <v>2</v>
      </c>
      <c r="B74">
        <f ca="1">ORÇAMENTO!D74</f>
        <v>88</v>
      </c>
      <c r="C74" s="114" t="str">
        <f t="shared" ca="1" si="21"/>
        <v>F</v>
      </c>
      <c r="D74" s="117" t="str">
        <f ca="1">ORÇAMENTO!O74</f>
        <v>7.1.</v>
      </c>
      <c r="E74" s="163" t="str">
        <f t="shared" si="22"/>
        <v xml:space="preserve">ADMINISTRAÇÃO LOCAL </v>
      </c>
      <c r="F74" s="164" t="str" cm="1">
        <f t="array" aca="1" ref="F74" ca="1">IF(RegimeExecucao="Global","",ORÇAMENTO.Unidade)</f>
        <v>-</v>
      </c>
      <c r="G74" s="122" cm="1">
        <f t="array" aca="1" ref="G74" ca="1">IF(RegimeExecucao="Global","",ORÇAMENTO!T74)</f>
        <v>0</v>
      </c>
      <c r="H74" s="122" cm="1">
        <f t="array" aca="1" ref="H74" ca="1">IF(RegimeExecucao="Global","",ORÇAMENTO!W74)</f>
        <v>0</v>
      </c>
      <c r="I74" s="125">
        <f ca="1">ORÇAMENTO!X74</f>
        <v>0</v>
      </c>
      <c r="J74" s="333" cm="1">
        <f t="array" aca="1" ref="J74" ca="1">IF($A74="S",IF(CAIXA.Modo,BM.AFAnterior,BM.MEDAnterior),IF(AND(RegimeExecucao="Global",$I74&gt;0,COUNTIF($AB$13:$AM$13,BM.medicao-1)&gt;0),M74/$I74*100,0))</f>
        <v>0</v>
      </c>
      <c r="K74" s="122">
        <f t="shared" ca="1" si="2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24"/>
        <v>0</v>
      </c>
      <c r="O74" s="125" cm="1">
        <f t="array" aca="1" ref="O74" ca="1">IF($A74="S",VTOTALBM,IF($A74=0,0,ROUND(SomaAgrupBM,15-13*ORÇAMENTO!$AF$11)))</f>
        <v>0</v>
      </c>
      <c r="Q74" s="337"/>
      <c r="R74" s="338"/>
      <c r="T74" s="117" t="str">
        <f t="shared" ca="1" si="25"/>
        <v/>
      </c>
      <c r="U74" s="163" t="str">
        <f t="shared" ca="1" si="2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2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t="str">
        <f ca="1">ORÇAMENTO!C75</f>
        <v>S</v>
      </c>
      <c r="B75">
        <f ca="1">ORÇAMENTO!D75</f>
        <v>0</v>
      </c>
      <c r="C75" s="114" t="str">
        <f t="shared" ca="1" si="21"/>
        <v/>
      </c>
      <c r="D75" s="117" t="str">
        <f ca="1">ORÇAMENTO!O75</f>
        <v>-</v>
      </c>
      <c r="E75" s="163" t="str">
        <f t="shared" ca="1" si="22"/>
        <v>(Código não identificado nas referências)</v>
      </c>
      <c r="F75" s="164" t="str" cm="1">
        <f t="array" aca="1" ref="F75" ca="1">IF(RegimeExecucao="Global","",ORÇAMENTO.Unidade)</f>
        <v>-</v>
      </c>
      <c r="G75" s="122" cm="1">
        <f t="array" aca="1" ref="G75" ca="1">IF(RegimeExecucao="Global","",ORÇAMENTO!T75)</f>
        <v>3</v>
      </c>
      <c r="H75" s="122" cm="1">
        <f t="array" aca="1" ref="H75" ca="1">IF(RegimeExecucao="Global","",ORÇAMENTO!W75)</f>
        <v>0</v>
      </c>
      <c r="I75" s="125">
        <f ca="1">ORÇAMENTO!X75</f>
        <v>0</v>
      </c>
      <c r="J75" s="333" cm="1">
        <f t="array" aca="1" ref="J75" ca="1">IF($A75="S",IF(CAIXA.Modo,BM.AFAnterior,BM.MEDAnterior),IF(AND(RegimeExecucao="Global",$I75&gt;0,COUNTIF($AB$13:$AM$13,BM.medicao-1)&gt;0),M75/$I75*100,0))</f>
        <v>0</v>
      </c>
      <c r="K75" s="122">
        <f t="shared" ca="1" si="2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24"/>
        <v>0</v>
      </c>
      <c r="O75" s="125" cm="1">
        <f t="array" aca="1" ref="O75" ca="1">IF($A75="S",VTOTALBM,IF($A75=0,0,ROUND(SomaAgrupBM,15-13*ORÇAMENTO!$AF$11)))</f>
        <v>0</v>
      </c>
      <c r="Q75" s="337"/>
      <c r="R75" s="338"/>
      <c r="T75" s="117" t="str">
        <f t="shared" ca="1" si="25"/>
        <v/>
      </c>
      <c r="U75" s="163" t="str">
        <f t="shared" ca="1" si="2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2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t="str">
        <f ca="1">ORÇAMENTO!C76</f>
        <v>S</v>
      </c>
      <c r="B76">
        <f ca="1">ORÇAMENTO!D76</f>
        <v>0</v>
      </c>
      <c r="C76" s="114" t="str">
        <f t="shared" ca="1" si="21"/>
        <v/>
      </c>
      <c r="D76" s="117" t="str">
        <f ca="1">ORÇAMENTO!O76</f>
        <v>-</v>
      </c>
      <c r="E76" s="163" t="str">
        <f t="shared" ca="1" si="22"/>
        <v>(Sem Código)</v>
      </c>
      <c r="F76" s="164" t="str" cm="1">
        <f t="array" aca="1" ref="F76" ca="1">IF(RegimeExecucao="Global","",ORÇAMENTO.Unidade)</f>
        <v>-</v>
      </c>
      <c r="G76" s="122" cm="1">
        <f t="array" aca="1" ref="G76" ca="1">IF(RegimeExecucao="Global","",ORÇAMENTO!T76)</f>
        <v>0</v>
      </c>
      <c r="H76" s="122" cm="1">
        <f t="array" aca="1" ref="H76" ca="1">IF(RegimeExecucao="Global","",ORÇAMENTO!W76)</f>
        <v>0</v>
      </c>
      <c r="I76" s="125">
        <f ca="1">ORÇAMENTO!X76</f>
        <v>0</v>
      </c>
      <c r="J76" s="333" cm="1">
        <f t="array" aca="1" ref="J76" ca="1">IF($A76="S",IF(CAIXA.Modo,BM.AFAnterior,BM.MEDAnterior),IF(AND(RegimeExecucao="Global",$I76&gt;0,COUNTIF($AB$13:$AM$13,BM.medicao-1)&gt;0),M76/$I76*100,0))</f>
        <v>0</v>
      </c>
      <c r="K76" s="122">
        <f t="shared" ca="1" si="2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24"/>
        <v>0</v>
      </c>
      <c r="O76" s="125" cm="1">
        <f t="array" aca="1" ref="O76" ca="1">IF($A76="S",VTOTALBM,IF($A76=0,0,ROUND(SomaAgrupBM,15-13*ORÇAMENTO!$AF$11)))</f>
        <v>0</v>
      </c>
      <c r="Q76" s="337"/>
      <c r="R76" s="338"/>
      <c r="T76" s="117" t="str">
        <f t="shared" ca="1" si="25"/>
        <v/>
      </c>
      <c r="U76" s="163" t="str">
        <f t="shared" ca="1" si="2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2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t="str">
        <f ca="1">ORÇAMENTO!C77</f>
        <v>S</v>
      </c>
      <c r="B77">
        <f ca="1">ORÇAMENTO!D77</f>
        <v>0</v>
      </c>
      <c r="C77" s="114" t="str">
        <f t="shared" ca="1" si="21"/>
        <v/>
      </c>
      <c r="D77" s="117" t="str">
        <f ca="1">ORÇAMENTO!O77</f>
        <v>-</v>
      </c>
      <c r="E77" s="163" t="str">
        <f t="shared" ca="1" si="22"/>
        <v>(Sem Código)</v>
      </c>
      <c r="F77" s="164" t="str" cm="1">
        <f t="array" aca="1" ref="F77" ca="1">IF(RegimeExecucao="Global","",ORÇAMENTO.Unidade)</f>
        <v>-</v>
      </c>
      <c r="G77" s="122" cm="1">
        <f t="array" aca="1" ref="G77" ca="1">IF(RegimeExecucao="Global","",ORÇAMENTO!T77)</f>
        <v>0</v>
      </c>
      <c r="H77" s="122" cm="1">
        <f t="array" aca="1" ref="H77" ca="1">IF(RegimeExecucao="Global","",ORÇAMENTO!W77)</f>
        <v>0</v>
      </c>
      <c r="I77" s="125">
        <f ca="1">ORÇAMENTO!X77</f>
        <v>0</v>
      </c>
      <c r="J77" s="333" cm="1">
        <f t="array" aca="1" ref="J77" ca="1">IF($A77="S",IF(CAIXA.Modo,BM.AFAnterior,BM.MEDAnterior),IF(AND(RegimeExecucao="Global",$I77&gt;0,COUNTIF($AB$13:$AM$13,BM.medicao-1)&gt;0),M77/$I77*100,0))</f>
        <v>0</v>
      </c>
      <c r="K77" s="122">
        <f t="shared" ca="1" si="2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24"/>
        <v>0</v>
      </c>
      <c r="O77" s="125" cm="1">
        <f t="array" aca="1" ref="O77" ca="1">IF($A77="S",VTOTALBM,IF($A77=0,0,ROUND(SomaAgrupBM,15-13*ORÇAMENTO!$AF$11)))</f>
        <v>0</v>
      </c>
      <c r="Q77" s="337"/>
      <c r="R77" s="338"/>
      <c r="T77" s="117" t="str">
        <f t="shared" ca="1" si="25"/>
        <v/>
      </c>
      <c r="U77" s="163" t="str">
        <f t="shared" ca="1" si="2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2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4" t="str">
        <f t="shared" ca="1" si="21"/>
        <v/>
      </c>
      <c r="D78" s="117" t="str">
        <f ca="1">ORÇAMENTO!O78</f>
        <v>-</v>
      </c>
      <c r="E78" s="163" t="str">
        <f t="shared" ca="1" si="22"/>
        <v>(Sem Código)</v>
      </c>
      <c r="F78" s="164" t="str" cm="1">
        <f t="array" aca="1" ref="F78" ca="1">IF(RegimeExecucao="Global","",ORÇAMENTO.Unidade)</f>
        <v>-</v>
      </c>
      <c r="G78" s="122" cm="1">
        <f t="array" aca="1" ref="G78" ca="1">IF(RegimeExecucao="Global","",ORÇAMENTO!T78)</f>
        <v>0</v>
      </c>
      <c r="H78" s="122" cm="1">
        <f t="array" aca="1" ref="H78" ca="1">IF(RegimeExecucao="Global","",ORÇAMENTO!W78)</f>
        <v>0</v>
      </c>
      <c r="I78" s="125">
        <f ca="1">ORÇAMENTO!X78</f>
        <v>0</v>
      </c>
      <c r="J78" s="333" cm="1">
        <f t="array" aca="1" ref="J78" ca="1">IF($A78="S",IF(CAIXA.Modo,BM.AFAnterior,BM.MEDAnterior),IF(AND(RegimeExecucao="Global",$I78&gt;0,COUNTIF($AB$13:$AM$13,BM.medicao-1)&gt;0),M78/$I78*100,0))</f>
        <v>0</v>
      </c>
      <c r="K78" s="122">
        <f t="shared" ca="1" si="2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24"/>
        <v>0</v>
      </c>
      <c r="O78" s="125" cm="1">
        <f t="array" aca="1" ref="O78" ca="1">IF($A78="S",VTOTALBM,IF($A78=0,0,ROUND(SomaAgrupBM,15-13*ORÇAMENTO!$AF$11)))</f>
        <v>0</v>
      </c>
      <c r="Q78" s="337"/>
      <c r="R78" s="338"/>
      <c r="T78" s="117" t="str">
        <f t="shared" ca="1" si="25"/>
        <v/>
      </c>
      <c r="U78" s="163" t="str">
        <f t="shared" ca="1" si="2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2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114" t="str">
        <f t="shared" ca="1" si="21"/>
        <v/>
      </c>
      <c r="D79" s="117" t="str">
        <f ca="1">ORÇAMENTO!O79</f>
        <v>-</v>
      </c>
      <c r="E79" s="163" t="str">
        <f t="shared" ca="1" si="22"/>
        <v>(Sem Código)</v>
      </c>
      <c r="F79" s="164" t="str" cm="1">
        <f t="array" aca="1" ref="F79" ca="1">IF(RegimeExecucao="Global","",ORÇAMENTO.Unidade)</f>
        <v>-</v>
      </c>
      <c r="G79" s="122" cm="1">
        <f t="array" aca="1" ref="G79" ca="1">IF(RegimeExecucao="Global","",ORÇAMENTO!T79)</f>
        <v>0</v>
      </c>
      <c r="H79" s="122" cm="1">
        <f t="array" aca="1" ref="H79" ca="1">IF(RegimeExecucao="Global","",ORÇAMENTO!W79)</f>
        <v>0</v>
      </c>
      <c r="I79" s="125">
        <f ca="1">ORÇAMENTO!X79</f>
        <v>0</v>
      </c>
      <c r="J79" s="333" cm="1">
        <f t="array" aca="1" ref="J79" ca="1">IF($A79="S",IF(CAIXA.Modo,BM.AFAnterior,BM.MEDAnterior),IF(AND(RegimeExecucao="Global",$I79&gt;0,COUNTIF($AB$13:$AM$13,BM.medicao-1)&gt;0),M79/$I79*100,0))</f>
        <v>0</v>
      </c>
      <c r="K79" s="122">
        <f t="shared" ca="1" si="2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24"/>
        <v>0</v>
      </c>
      <c r="O79" s="125" cm="1">
        <f t="array" aca="1" ref="O79" ca="1">IF($A79="S",VTOTALBM,IF($A79=0,0,ROUND(SomaAgrupBM,15-13*ORÇAMENTO!$AF$11)))</f>
        <v>0</v>
      </c>
      <c r="Q79" s="337"/>
      <c r="R79" s="338"/>
      <c r="T79" s="117" t="str">
        <f t="shared" ca="1" si="25"/>
        <v/>
      </c>
      <c r="U79" s="163" t="str">
        <f t="shared" ca="1" si="2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2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t="str">
        <f ca="1">ORÇAMENTO!C80</f>
        <v>S</v>
      </c>
      <c r="B80">
        <f ca="1">ORÇAMENTO!D80</f>
        <v>0</v>
      </c>
      <c r="C80" s="114" t="str">
        <f t="shared" ca="1" si="21"/>
        <v/>
      </c>
      <c r="D80" s="117" t="str">
        <f ca="1">ORÇAMENTO!O80</f>
        <v>-</v>
      </c>
      <c r="E80" s="163" t="str">
        <f t="shared" ca="1" si="22"/>
        <v>(Sem Código)</v>
      </c>
      <c r="F80" s="164" t="str" cm="1">
        <f t="array" aca="1" ref="F80" ca="1">IF(RegimeExecucao="Global","",ORÇAMENTO.Unidade)</f>
        <v>-</v>
      </c>
      <c r="G80" s="122" cm="1">
        <f t="array" aca="1" ref="G80" ca="1">IF(RegimeExecucao="Global","",ORÇAMENTO!T80)</f>
        <v>0</v>
      </c>
      <c r="H80" s="122" cm="1">
        <f t="array" aca="1" ref="H80" ca="1">IF(RegimeExecucao="Global","",ORÇAMENTO!W80)</f>
        <v>0</v>
      </c>
      <c r="I80" s="125">
        <f ca="1">ORÇAMENTO!X80</f>
        <v>0</v>
      </c>
      <c r="J80" s="333" cm="1">
        <f t="array" aca="1" ref="J80" ca="1">IF($A80="S",IF(CAIXA.Modo,BM.AFAnterior,BM.MEDAnterior),IF(AND(RegimeExecucao="Global",$I80&gt;0,COUNTIF($AB$13:$AM$13,BM.medicao-1)&gt;0),M80/$I80*100,0))</f>
        <v>0</v>
      </c>
      <c r="K80" s="122">
        <f t="shared" ca="1" si="2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24"/>
        <v>0</v>
      </c>
      <c r="O80" s="125" cm="1">
        <f t="array" aca="1" ref="O80" ca="1">IF($A80="S",VTOTALBM,IF($A80=0,0,ROUND(SomaAgrupBM,15-13*ORÇAMENTO!$AF$11)))</f>
        <v>0</v>
      </c>
      <c r="Q80" s="337"/>
      <c r="R80" s="338"/>
      <c r="T80" s="117" t="str">
        <f t="shared" ca="1" si="25"/>
        <v/>
      </c>
      <c r="U80" s="163" t="str">
        <f t="shared" ca="1" si="2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2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t="str">
        <f ca="1">ORÇAMENTO!C81</f>
        <v>S</v>
      </c>
      <c r="B81">
        <f ca="1">ORÇAMENTO!D81</f>
        <v>0</v>
      </c>
      <c r="C81" s="114" t="str">
        <f t="shared" ca="1" si="21"/>
        <v/>
      </c>
      <c r="D81" s="117" t="str">
        <f ca="1">ORÇAMENTO!O81</f>
        <v>-</v>
      </c>
      <c r="E81" s="163" t="str">
        <f t="shared" ca="1" si="22"/>
        <v>(Sem Código)</v>
      </c>
      <c r="F81" s="164" t="str" cm="1">
        <f t="array" aca="1" ref="F81" ca="1">IF(RegimeExecucao="Global","",ORÇAMENTO.Unidade)</f>
        <v>-</v>
      </c>
      <c r="G81" s="122" cm="1">
        <f t="array" aca="1" ref="G81" ca="1">IF(RegimeExecucao="Global","",ORÇAMENTO!T81)</f>
        <v>0</v>
      </c>
      <c r="H81" s="122" cm="1">
        <f t="array" aca="1" ref="H81" ca="1">IF(RegimeExecucao="Global","",ORÇAMENTO!W81)</f>
        <v>0</v>
      </c>
      <c r="I81" s="125">
        <f ca="1">ORÇAMENTO!X81</f>
        <v>0</v>
      </c>
      <c r="J81" s="333" cm="1">
        <f t="array" aca="1" ref="J81" ca="1">IF($A81="S",IF(CAIXA.Modo,BM.AFAnterior,BM.MEDAnterior),IF(AND(RegimeExecucao="Global",$I81&gt;0,COUNTIF($AB$13:$AM$13,BM.medicao-1)&gt;0),M81/$I81*100,0))</f>
        <v>0</v>
      </c>
      <c r="K81" s="122">
        <f t="shared" ca="1" si="2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24"/>
        <v>0</v>
      </c>
      <c r="O81" s="125" cm="1">
        <f t="array" aca="1" ref="O81" ca="1">IF($A81="S",VTOTALBM,IF($A81=0,0,ROUND(SomaAgrupBM,15-13*ORÇAMENTO!$AF$11)))</f>
        <v>0</v>
      </c>
      <c r="Q81" s="337"/>
      <c r="R81" s="338"/>
      <c r="T81" s="117" t="str">
        <f t="shared" ca="1" si="25"/>
        <v/>
      </c>
      <c r="U81" s="163" t="str">
        <f t="shared" ca="1" si="2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2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t="str">
        <f ca="1">ORÇAMENTO!C82</f>
        <v>S</v>
      </c>
      <c r="B82">
        <f ca="1">ORÇAMENTO!D82</f>
        <v>0</v>
      </c>
      <c r="C82" s="114" t="str">
        <f t="shared" ca="1" si="21"/>
        <v/>
      </c>
      <c r="D82" s="117" t="str">
        <f ca="1">ORÇAMENTO!O82</f>
        <v>-</v>
      </c>
      <c r="E82" s="163" t="str">
        <f t="shared" ca="1" si="22"/>
        <v>(Sem Código)</v>
      </c>
      <c r="F82" s="164" t="str" cm="1">
        <f t="array" aca="1" ref="F82" ca="1">IF(RegimeExecucao="Global","",ORÇAMENTO.Unidade)</f>
        <v>-</v>
      </c>
      <c r="G82" s="122" cm="1">
        <f t="array" aca="1" ref="G82" ca="1">IF(RegimeExecucao="Global","",ORÇAMENTO!T82)</f>
        <v>0</v>
      </c>
      <c r="H82" s="122" cm="1">
        <f t="array" aca="1" ref="H82" ca="1">IF(RegimeExecucao="Global","",ORÇAMENTO!W82)</f>
        <v>0</v>
      </c>
      <c r="I82" s="125">
        <f ca="1">ORÇAMENTO!X82</f>
        <v>0</v>
      </c>
      <c r="J82" s="333" cm="1">
        <f t="array" aca="1" ref="J82" ca="1">IF($A82="S",IF(CAIXA.Modo,BM.AFAnterior,BM.MEDAnterior),IF(AND(RegimeExecucao="Global",$I82&gt;0,COUNTIF($AB$13:$AM$13,BM.medicao-1)&gt;0),M82/$I82*100,0))</f>
        <v>0</v>
      </c>
      <c r="K82" s="122">
        <f t="shared" ca="1" si="23"/>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24"/>
        <v>0</v>
      </c>
      <c r="O82" s="125" cm="1">
        <f t="array" aca="1" ref="O82" ca="1">IF($A82="S",VTOTALBM,IF($A82=0,0,ROUND(SomaAgrupBM,15-13*ORÇAMENTO!$AF$11)))</f>
        <v>0</v>
      </c>
      <c r="Q82" s="337"/>
      <c r="R82" s="338"/>
      <c r="T82" s="117" t="str">
        <f t="shared" ca="1" si="25"/>
        <v/>
      </c>
      <c r="U82" s="163" t="str">
        <f t="shared" ca="1" si="26"/>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27"/>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t="str">
        <f ca="1">ORÇAMENTO!C83</f>
        <v>S</v>
      </c>
      <c r="B83">
        <f ca="1">ORÇAMENTO!D83</f>
        <v>0</v>
      </c>
      <c r="C83" s="114" t="str">
        <f t="shared" ca="1" si="21"/>
        <v/>
      </c>
      <c r="D83" s="117" t="str">
        <f ca="1">ORÇAMENTO!O83</f>
        <v>-</v>
      </c>
      <c r="E83" s="163" t="str">
        <f t="shared" ca="1" si="22"/>
        <v>(Sem Código)</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0</v>
      </c>
      <c r="J83" s="333" cm="1">
        <f t="array" aca="1" ref="J83" ca="1">IF($A83="S",IF(CAIXA.Modo,BM.AFAnterior,BM.MEDAnterior),IF(AND(RegimeExecucao="Global",$I83&gt;0,COUNTIF($AB$13:$AM$13,BM.medicao-1)&gt;0),M83/$I83*100,0))</f>
        <v>0</v>
      </c>
      <c r="K83" s="122">
        <f t="shared" ca="1" si="2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24"/>
        <v>0</v>
      </c>
      <c r="O83" s="125" cm="1">
        <f t="array" aca="1" ref="O83" ca="1">IF($A83="S",VTOTALBM,IF($A83=0,0,ROUND(SomaAgrupBM,15-13*ORÇAMENTO!$AF$11)))</f>
        <v>0</v>
      </c>
      <c r="Q83" s="337"/>
      <c r="R83" s="338"/>
      <c r="T83" s="117" t="str">
        <f t="shared" ca="1" si="25"/>
        <v/>
      </c>
      <c r="U83" s="163" t="str">
        <f t="shared" ca="1" si="2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2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t="str">
        <f ca="1">ORÇAMENTO!C84</f>
        <v>S</v>
      </c>
      <c r="B84">
        <f ca="1">ORÇAMENTO!D84</f>
        <v>0</v>
      </c>
      <c r="C84" s="114" t="str">
        <f t="shared" ca="1" si="21"/>
        <v/>
      </c>
      <c r="D84" s="117" t="str">
        <f ca="1">ORÇAMENTO!O84</f>
        <v>-</v>
      </c>
      <c r="E84" s="163" t="str">
        <f t="shared" ca="1" si="22"/>
        <v>(Sem Código)</v>
      </c>
      <c r="F84" s="164" t="str" cm="1">
        <f t="array" aca="1" ref="F84" ca="1">IF(RegimeExecucao="Global","",ORÇAMENTO.Unidade)</f>
        <v>-</v>
      </c>
      <c r="G84" s="122" cm="1">
        <f t="array" aca="1" ref="G84" ca="1">IF(RegimeExecucao="Global","",ORÇAMENTO!T84)</f>
        <v>0</v>
      </c>
      <c r="H84" s="122" cm="1">
        <f t="array" aca="1" ref="H84" ca="1">IF(RegimeExecucao="Global","",ORÇAMENTO!W84)</f>
        <v>0</v>
      </c>
      <c r="I84" s="125">
        <f ca="1">ORÇAMENTO!X84</f>
        <v>0</v>
      </c>
      <c r="J84" s="333" cm="1">
        <f t="array" aca="1" ref="J84" ca="1">IF($A84="S",IF(CAIXA.Modo,BM.AFAnterior,BM.MEDAnterior),IF(AND(RegimeExecucao="Global",$I84&gt;0,COUNTIF($AB$13:$AM$13,BM.medicao-1)&gt;0),M84/$I84*100,0))</f>
        <v>0</v>
      </c>
      <c r="K84" s="122">
        <f t="shared" ca="1" si="23"/>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24"/>
        <v>0</v>
      </c>
      <c r="O84" s="125" cm="1">
        <f t="array" aca="1" ref="O84" ca="1">IF($A84="S",VTOTALBM,IF($A84=0,0,ROUND(SomaAgrupBM,15-13*ORÇAMENTO!$AF$11)))</f>
        <v>0</v>
      </c>
      <c r="Q84" s="337"/>
      <c r="R84" s="338"/>
      <c r="T84" s="117" t="str">
        <f t="shared" ca="1" si="25"/>
        <v/>
      </c>
      <c r="U84" s="163" t="str">
        <f t="shared" ca="1" si="26"/>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27"/>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t="str">
        <f ca="1">ORÇAMENTO!C85</f>
        <v>S</v>
      </c>
      <c r="B85">
        <f ca="1">ORÇAMENTO!D85</f>
        <v>0</v>
      </c>
      <c r="C85" s="114" t="str">
        <f t="shared" ca="1" si="21"/>
        <v/>
      </c>
      <c r="D85" s="117" t="str">
        <f ca="1">ORÇAMENTO!O85</f>
        <v>-</v>
      </c>
      <c r="E85" s="163" t="str">
        <f t="shared" ca="1" si="22"/>
        <v>(Sem Código)</v>
      </c>
      <c r="F85" s="164" t="str" cm="1">
        <f t="array" aca="1" ref="F85" ca="1">IF(RegimeExecucao="Global","",ORÇAMENTO.Unidade)</f>
        <v>-</v>
      </c>
      <c r="G85" s="122" cm="1">
        <f t="array" aca="1" ref="G85" ca="1">IF(RegimeExecucao="Global","",ORÇAMENTO!T85)</f>
        <v>0</v>
      </c>
      <c r="H85" s="122" cm="1">
        <f t="array" aca="1" ref="H85" ca="1">IF(RegimeExecucao="Global","",ORÇAMENTO!W85)</f>
        <v>0</v>
      </c>
      <c r="I85" s="125">
        <f ca="1">ORÇAMENTO!X85</f>
        <v>0</v>
      </c>
      <c r="J85" s="333" cm="1">
        <f t="array" aca="1" ref="J85" ca="1">IF($A85="S",IF(CAIXA.Modo,BM.AFAnterior,BM.MEDAnterior),IF(AND(RegimeExecucao="Global",$I85&gt;0,COUNTIF($AB$13:$AM$13,BM.medicao-1)&gt;0),M85/$I85*100,0))</f>
        <v>0</v>
      </c>
      <c r="K85" s="122">
        <f t="shared" ca="1" si="23"/>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24"/>
        <v>0</v>
      </c>
      <c r="O85" s="125" cm="1">
        <f t="array" aca="1" ref="O85" ca="1">IF($A85="S",VTOTALBM,IF($A85=0,0,ROUND(SomaAgrupBM,15-13*ORÇAMENTO!$AF$11)))</f>
        <v>0</v>
      </c>
      <c r="Q85" s="337"/>
      <c r="R85" s="338"/>
      <c r="T85" s="117" t="str">
        <f t="shared" ca="1" si="25"/>
        <v/>
      </c>
      <c r="U85" s="163" t="str">
        <f t="shared" ca="1" si="26"/>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27"/>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t="str">
        <f ca="1">ORÇAMENTO!C86</f>
        <v>S</v>
      </c>
      <c r="B86">
        <f ca="1">ORÇAMENTO!D86</f>
        <v>0</v>
      </c>
      <c r="C86" s="114" t="str">
        <f t="shared" ca="1" si="21"/>
        <v/>
      </c>
      <c r="D86" s="117" t="str">
        <f ca="1">ORÇAMENTO!O86</f>
        <v>-</v>
      </c>
      <c r="E86" s="163" t="str">
        <f t="shared" ca="1" si="22"/>
        <v>(Sem Código)</v>
      </c>
      <c r="F86" s="164" t="str" cm="1">
        <f t="array" aca="1" ref="F86" ca="1">IF(RegimeExecucao="Global","",ORÇAMENTO.Unidade)</f>
        <v>-</v>
      </c>
      <c r="G86" s="122" cm="1">
        <f t="array" aca="1" ref="G86" ca="1">IF(RegimeExecucao="Global","",ORÇAMENTO!T86)</f>
        <v>0</v>
      </c>
      <c r="H86" s="122" cm="1">
        <f t="array" aca="1" ref="H86" ca="1">IF(RegimeExecucao="Global","",ORÇAMENTO!W86)</f>
        <v>0</v>
      </c>
      <c r="I86" s="125">
        <f ca="1">ORÇAMENTO!X86</f>
        <v>0</v>
      </c>
      <c r="J86" s="333" cm="1">
        <f t="array" aca="1" ref="J86" ca="1">IF($A86="S",IF(CAIXA.Modo,BM.AFAnterior,BM.MEDAnterior),IF(AND(RegimeExecucao="Global",$I86&gt;0,COUNTIF($AB$13:$AM$13,BM.medicao-1)&gt;0),M86/$I86*100,0))</f>
        <v>0</v>
      </c>
      <c r="K86" s="122">
        <f t="shared" ca="1" si="23"/>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24"/>
        <v>0</v>
      </c>
      <c r="O86" s="125" cm="1">
        <f t="array" aca="1" ref="O86" ca="1">IF($A86="S",VTOTALBM,IF($A86=0,0,ROUND(SomaAgrupBM,15-13*ORÇAMENTO!$AF$11)))</f>
        <v>0</v>
      </c>
      <c r="Q86" s="337"/>
      <c r="R86" s="338"/>
      <c r="T86" s="117" t="str">
        <f t="shared" ca="1" si="25"/>
        <v/>
      </c>
      <c r="U86" s="163" t="str">
        <f t="shared" ca="1" si="26"/>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27"/>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t="str">
        <f ca="1">ORÇAMENTO!C87</f>
        <v>S</v>
      </c>
      <c r="B87">
        <f ca="1">ORÇAMENTO!D87</f>
        <v>0</v>
      </c>
      <c r="C87" s="114" t="str">
        <f t="shared" ca="1" si="21"/>
        <v/>
      </c>
      <c r="D87" s="117" t="str">
        <f ca="1">ORÇAMENTO!O87</f>
        <v>-</v>
      </c>
      <c r="E87" s="163" t="str">
        <f t="shared" ca="1" si="22"/>
        <v>(Sem Código)</v>
      </c>
      <c r="F87" s="164" t="str" cm="1">
        <f t="array" aca="1" ref="F87" ca="1">IF(RegimeExecucao="Global","",ORÇAMENTO.Unidade)</f>
        <v>-</v>
      </c>
      <c r="G87" s="122" cm="1">
        <f t="array" aca="1" ref="G87" ca="1">IF(RegimeExecucao="Global","",ORÇAMENTO!T87)</f>
        <v>0</v>
      </c>
      <c r="H87" s="122" cm="1">
        <f t="array" aca="1" ref="H87" ca="1">IF(RegimeExecucao="Global","",ORÇAMENTO!W87)</f>
        <v>0</v>
      </c>
      <c r="I87" s="125">
        <f ca="1">ORÇAMENTO!X87</f>
        <v>0</v>
      </c>
      <c r="J87" s="333" cm="1">
        <f t="array" aca="1" ref="J87" ca="1">IF($A87="S",IF(CAIXA.Modo,BM.AFAnterior,BM.MEDAnterior),IF(AND(RegimeExecucao="Global",$I87&gt;0,COUNTIF($AB$13:$AM$13,BM.medicao-1)&gt;0),M87/$I87*100,0))</f>
        <v>0</v>
      </c>
      <c r="K87" s="122">
        <f t="shared" ca="1" si="23"/>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24"/>
        <v>0</v>
      </c>
      <c r="O87" s="125" cm="1">
        <f t="array" aca="1" ref="O87" ca="1">IF($A87="S",VTOTALBM,IF($A87=0,0,ROUND(SomaAgrupBM,15-13*ORÇAMENTO!$AF$11)))</f>
        <v>0</v>
      </c>
      <c r="Q87" s="337"/>
      <c r="R87" s="338"/>
      <c r="T87" s="117" t="str">
        <f t="shared" ca="1" si="25"/>
        <v/>
      </c>
      <c r="U87" s="163" t="str">
        <f t="shared" ca="1" si="26"/>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27"/>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x14ac:dyDescent="0.2">
      <c r="A88" t="str">
        <f ca="1">ORÇAMENTO!C88</f>
        <v>S</v>
      </c>
      <c r="B88">
        <f ca="1">ORÇAMENTO!D88</f>
        <v>0</v>
      </c>
      <c r="C88" s="114" t="str">
        <f t="shared" ca="1" si="21"/>
        <v/>
      </c>
      <c r="D88" s="117" t="str">
        <f ca="1">ORÇAMENTO!O88</f>
        <v>-</v>
      </c>
      <c r="E88" s="163" t="str">
        <f t="shared" ca="1" si="22"/>
        <v>(Sem Código)</v>
      </c>
      <c r="F88" s="164" t="str" cm="1">
        <f t="array" aca="1" ref="F88" ca="1">IF(RegimeExecucao="Global","",ORÇAMENTO.Unidade)</f>
        <v>-</v>
      </c>
      <c r="G88" s="122" cm="1">
        <f t="array" aca="1" ref="G88" ca="1">IF(RegimeExecucao="Global","",ORÇAMENTO!T88)</f>
        <v>0</v>
      </c>
      <c r="H88" s="122" cm="1">
        <f t="array" aca="1" ref="H88" ca="1">IF(RegimeExecucao="Global","",ORÇAMENTO!W88)</f>
        <v>0</v>
      </c>
      <c r="I88" s="125">
        <f ca="1">ORÇAMENTO!X88</f>
        <v>0</v>
      </c>
      <c r="J88" s="333" cm="1">
        <f t="array" aca="1" ref="J88" ca="1">IF($A88="S",IF(CAIXA.Modo,BM.AFAnterior,BM.MEDAnterior),IF(AND(RegimeExecucao="Global",$I88&gt;0,COUNTIF($AB$13:$AM$13,BM.medicao-1)&gt;0),M88/$I88*100,0))</f>
        <v>0</v>
      </c>
      <c r="K88" s="122">
        <f t="shared" ca="1" si="23"/>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24"/>
        <v>0</v>
      </c>
      <c r="O88" s="125" cm="1">
        <f t="array" aca="1" ref="O88" ca="1">IF($A88="S",VTOTALBM,IF($A88=0,0,ROUND(SomaAgrupBM,15-13*ORÇAMENTO!$AF$11)))</f>
        <v>0</v>
      </c>
      <c r="Q88" s="337"/>
      <c r="R88" s="338"/>
      <c r="T88" s="117" t="str">
        <f t="shared" ca="1" si="25"/>
        <v/>
      </c>
      <c r="U88" s="163" t="str">
        <f t="shared" ca="1" si="26"/>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27"/>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t="str">
        <f ca="1">ORÇAMENTO!C89</f>
        <v>S</v>
      </c>
      <c r="B89">
        <f ca="1">ORÇAMENTO!D89</f>
        <v>0</v>
      </c>
      <c r="C89" s="114" t="str">
        <f t="shared" ca="1" si="21"/>
        <v/>
      </c>
      <c r="D89" s="117" t="str">
        <f ca="1">ORÇAMENTO!O89</f>
        <v>-</v>
      </c>
      <c r="E89" s="163" t="str">
        <f t="shared" ca="1" si="22"/>
        <v>(Sem Código)</v>
      </c>
      <c r="F89" s="164" t="str" cm="1">
        <f t="array" aca="1" ref="F89" ca="1">IF(RegimeExecucao="Global","",ORÇAMENTO.Unidade)</f>
        <v>-</v>
      </c>
      <c r="G89" s="122" cm="1">
        <f t="array" aca="1" ref="G89" ca="1">IF(RegimeExecucao="Global","",ORÇAMENTO!T89)</f>
        <v>0</v>
      </c>
      <c r="H89" s="122" cm="1">
        <f t="array" aca="1" ref="H89" ca="1">IF(RegimeExecucao="Global","",ORÇAMENTO!W89)</f>
        <v>0</v>
      </c>
      <c r="I89" s="125">
        <f ca="1">ORÇAMENTO!X89</f>
        <v>0</v>
      </c>
      <c r="J89" s="333" cm="1">
        <f t="array" aca="1" ref="J89" ca="1">IF($A89="S",IF(CAIXA.Modo,BM.AFAnterior,BM.MEDAnterior),IF(AND(RegimeExecucao="Global",$I89&gt;0,COUNTIF($AB$13:$AM$13,BM.medicao-1)&gt;0),M89/$I89*100,0))</f>
        <v>0</v>
      </c>
      <c r="K89" s="122">
        <f t="shared" ca="1" si="23"/>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24"/>
        <v>0</v>
      </c>
      <c r="O89" s="125" cm="1">
        <f t="array" aca="1" ref="O89" ca="1">IF($A89="S",VTOTALBM,IF($A89=0,0,ROUND(SomaAgrupBM,15-13*ORÇAMENTO!$AF$11)))</f>
        <v>0</v>
      </c>
      <c r="Q89" s="337"/>
      <c r="R89" s="338"/>
      <c r="T89" s="117" t="str">
        <f t="shared" ca="1" si="25"/>
        <v/>
      </c>
      <c r="U89" s="163" t="str">
        <f t="shared" ca="1" si="26"/>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27"/>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t="str">
        <f ca="1">ORÇAMENTO!C90</f>
        <v>S</v>
      </c>
      <c r="B90">
        <f ca="1">ORÇAMENTO!D90</f>
        <v>0</v>
      </c>
      <c r="C90" s="114" t="str">
        <f t="shared" ca="1" si="21"/>
        <v/>
      </c>
      <c r="D90" s="117" t="str">
        <f ca="1">ORÇAMENTO!O90</f>
        <v>-</v>
      </c>
      <c r="E90" s="163" t="str">
        <f t="shared" ca="1" si="22"/>
        <v>(Sem Código)</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0</v>
      </c>
      <c r="J90" s="333" cm="1">
        <f t="array" aca="1" ref="J90" ca="1">IF($A90="S",IF(CAIXA.Modo,BM.AFAnterior,BM.MEDAnterior),IF(AND(RegimeExecucao="Global",$I90&gt;0,COUNTIF($AB$13:$AM$13,BM.medicao-1)&gt;0),M90/$I90*100,0))</f>
        <v>0</v>
      </c>
      <c r="K90" s="122">
        <f t="shared" ca="1" si="23"/>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24"/>
        <v>0</v>
      </c>
      <c r="O90" s="125" cm="1">
        <f t="array" aca="1" ref="O90" ca="1">IF($A90="S",VTOTALBM,IF($A90=0,0,ROUND(SomaAgrupBM,15-13*ORÇAMENTO!$AF$11)))</f>
        <v>0</v>
      </c>
      <c r="Q90" s="337"/>
      <c r="R90" s="338"/>
      <c r="T90" s="117" t="str">
        <f t="shared" ca="1" si="25"/>
        <v/>
      </c>
      <c r="U90" s="163" t="str">
        <f t="shared" ca="1" si="26"/>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27"/>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t="str">
        <f ca="1">ORÇAMENTO!C91</f>
        <v>S</v>
      </c>
      <c r="B91">
        <f ca="1">ORÇAMENTO!D91</f>
        <v>0</v>
      </c>
      <c r="C91" s="114" t="str">
        <f t="shared" ca="1" si="21"/>
        <v/>
      </c>
      <c r="D91" s="117" t="str">
        <f ca="1">ORÇAMENTO!O91</f>
        <v>-</v>
      </c>
      <c r="E91" s="163" t="str">
        <f t="shared" ca="1" si="22"/>
        <v>(Sem Código)</v>
      </c>
      <c r="F91" s="164" t="str" cm="1">
        <f t="array" aca="1" ref="F91" ca="1">IF(RegimeExecucao="Global","",ORÇAMENTO.Unidade)</f>
        <v>-</v>
      </c>
      <c r="G91" s="122" cm="1">
        <f t="array" aca="1" ref="G91" ca="1">IF(RegimeExecucao="Global","",ORÇAMENTO!T91)</f>
        <v>0</v>
      </c>
      <c r="H91" s="122" cm="1">
        <f t="array" aca="1" ref="H91" ca="1">IF(RegimeExecucao="Global","",ORÇAMENTO!W91)</f>
        <v>0</v>
      </c>
      <c r="I91" s="125">
        <f ca="1">ORÇAMENTO!X91</f>
        <v>0</v>
      </c>
      <c r="J91" s="333" cm="1">
        <f t="array" aca="1" ref="J91" ca="1">IF($A91="S",IF(CAIXA.Modo,BM.AFAnterior,BM.MEDAnterior),IF(AND(RegimeExecucao="Global",$I91&gt;0,COUNTIF($AB$13:$AM$13,BM.medicao-1)&gt;0),M91/$I91*100,0))</f>
        <v>0</v>
      </c>
      <c r="K91" s="122">
        <f t="shared" ca="1" si="23"/>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24"/>
        <v>0</v>
      </c>
      <c r="O91" s="125" cm="1">
        <f t="array" aca="1" ref="O91" ca="1">IF($A91="S",VTOTALBM,IF($A91=0,0,ROUND(SomaAgrupBM,15-13*ORÇAMENTO!$AF$11)))</f>
        <v>0</v>
      </c>
      <c r="Q91" s="337"/>
      <c r="R91" s="338"/>
      <c r="T91" s="117" t="str">
        <f t="shared" ca="1" si="25"/>
        <v/>
      </c>
      <c r="U91" s="163" t="str">
        <f t="shared" ca="1" si="26"/>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27"/>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t="str">
        <f ca="1">ORÇAMENTO!C92</f>
        <v>S</v>
      </c>
      <c r="B92">
        <f ca="1">ORÇAMENTO!D92</f>
        <v>0</v>
      </c>
      <c r="C92" s="114" t="str">
        <f t="shared" ca="1" si="21"/>
        <v/>
      </c>
      <c r="D92" s="117" t="str">
        <f ca="1">ORÇAMENTO!O92</f>
        <v>-</v>
      </c>
      <c r="E92" s="163" t="str">
        <f t="shared" ca="1" si="22"/>
        <v>(Sem Código)</v>
      </c>
      <c r="F92" s="164" t="str" cm="1">
        <f t="array" aca="1" ref="F92" ca="1">IF(RegimeExecucao="Global","",ORÇAMENTO.Unidade)</f>
        <v>-</v>
      </c>
      <c r="G92" s="122" cm="1">
        <f t="array" aca="1" ref="G92" ca="1">IF(RegimeExecucao="Global","",ORÇAMENTO!T92)</f>
        <v>0</v>
      </c>
      <c r="H92" s="122" cm="1">
        <f t="array" aca="1" ref="H92" ca="1">IF(RegimeExecucao="Global","",ORÇAMENTO!W92)</f>
        <v>0</v>
      </c>
      <c r="I92" s="125">
        <f ca="1">ORÇAMENTO!X92</f>
        <v>0</v>
      </c>
      <c r="J92" s="333" cm="1">
        <f t="array" aca="1" ref="J92" ca="1">IF($A92="S",IF(CAIXA.Modo,BM.AFAnterior,BM.MEDAnterior),IF(AND(RegimeExecucao="Global",$I92&gt;0,COUNTIF($AB$13:$AM$13,BM.medicao-1)&gt;0),M92/$I92*100,0))</f>
        <v>0</v>
      </c>
      <c r="K92" s="122">
        <f t="shared" ca="1" si="23"/>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24"/>
        <v>0</v>
      </c>
      <c r="O92" s="125" cm="1">
        <f t="array" aca="1" ref="O92" ca="1">IF($A92="S",VTOTALBM,IF($A92=0,0,ROUND(SomaAgrupBM,15-13*ORÇAMENTO!$AF$11)))</f>
        <v>0</v>
      </c>
      <c r="Q92" s="337"/>
      <c r="R92" s="338"/>
      <c r="T92" s="117" t="str">
        <f t="shared" ca="1" si="25"/>
        <v/>
      </c>
      <c r="U92" s="163" t="str">
        <f t="shared" ca="1" si="26"/>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27"/>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t="str">
        <f ca="1">ORÇAMENTO!C93</f>
        <v>S</v>
      </c>
      <c r="B93">
        <f ca="1">ORÇAMENTO!D93</f>
        <v>0</v>
      </c>
      <c r="C93" s="114" t="str">
        <f t="shared" ca="1" si="21"/>
        <v/>
      </c>
      <c r="D93" s="117" t="str">
        <f ca="1">ORÇAMENTO!O93</f>
        <v>-</v>
      </c>
      <c r="E93" s="163" t="str">
        <f t="shared" ca="1" si="22"/>
        <v>(Sem Código)</v>
      </c>
      <c r="F93" s="164" t="str" cm="1">
        <f t="array" aca="1" ref="F93" ca="1">IF(RegimeExecucao="Global","",ORÇAMENTO.Unidade)</f>
        <v>-</v>
      </c>
      <c r="G93" s="122" cm="1">
        <f t="array" aca="1" ref="G93" ca="1">IF(RegimeExecucao="Global","",ORÇAMENTO!T93)</f>
        <v>0</v>
      </c>
      <c r="H93" s="122" cm="1">
        <f t="array" aca="1" ref="H93" ca="1">IF(RegimeExecucao="Global","",ORÇAMENTO!W93)</f>
        <v>0</v>
      </c>
      <c r="I93" s="125">
        <f ca="1">ORÇAMENTO!X93</f>
        <v>0</v>
      </c>
      <c r="J93" s="333" cm="1">
        <f t="array" aca="1" ref="J93" ca="1">IF($A93="S",IF(CAIXA.Modo,BM.AFAnterior,BM.MEDAnterior),IF(AND(RegimeExecucao="Global",$I93&gt;0,COUNTIF($AB$13:$AM$13,BM.medicao-1)&gt;0),M93/$I93*100,0))</f>
        <v>0</v>
      </c>
      <c r="K93" s="122">
        <f t="shared" ca="1" si="23"/>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24"/>
        <v>0</v>
      </c>
      <c r="O93" s="125" cm="1">
        <f t="array" aca="1" ref="O93" ca="1">IF($A93="S",VTOTALBM,IF($A93=0,0,ROUND(SomaAgrupBM,15-13*ORÇAMENTO!$AF$11)))</f>
        <v>0</v>
      </c>
      <c r="Q93" s="337"/>
      <c r="R93" s="338"/>
      <c r="T93" s="117" t="str">
        <f t="shared" ca="1" si="25"/>
        <v/>
      </c>
      <c r="U93" s="163" t="str">
        <f t="shared" ca="1" si="26"/>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27"/>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t="str">
        <f ca="1">ORÇAMENTO!C94</f>
        <v>S</v>
      </c>
      <c r="B94">
        <f ca="1">ORÇAMENTO!D94</f>
        <v>0</v>
      </c>
      <c r="C94" s="114" t="str">
        <f t="shared" ca="1" si="21"/>
        <v/>
      </c>
      <c r="D94" s="117" t="str">
        <f ca="1">ORÇAMENTO!O94</f>
        <v>-</v>
      </c>
      <c r="E94" s="163" t="str">
        <f t="shared" ca="1" si="22"/>
        <v>(Sem Código)</v>
      </c>
      <c r="F94" s="164" t="str" cm="1">
        <f t="array" aca="1" ref="F94" ca="1">IF(RegimeExecucao="Global","",ORÇAMENTO.Unidade)</f>
        <v>-</v>
      </c>
      <c r="G94" s="122" cm="1">
        <f t="array" aca="1" ref="G94" ca="1">IF(RegimeExecucao="Global","",ORÇAMENTO!T94)</f>
        <v>0</v>
      </c>
      <c r="H94" s="122" cm="1">
        <f t="array" aca="1" ref="H94" ca="1">IF(RegimeExecucao="Global","",ORÇAMENTO!W94)</f>
        <v>0</v>
      </c>
      <c r="I94" s="125">
        <f ca="1">ORÇAMENTO!X94</f>
        <v>0</v>
      </c>
      <c r="J94" s="333" cm="1">
        <f t="array" aca="1" ref="J94" ca="1">IF($A94="S",IF(CAIXA.Modo,BM.AFAnterior,BM.MEDAnterior),IF(AND(RegimeExecucao="Global",$I94&gt;0,COUNTIF($AB$13:$AM$13,BM.medicao-1)&gt;0),M94/$I94*100,0))</f>
        <v>0</v>
      </c>
      <c r="K94" s="122">
        <f t="shared" ca="1" si="23"/>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24"/>
        <v>0</v>
      </c>
      <c r="O94" s="125" cm="1">
        <f t="array" aca="1" ref="O94" ca="1">IF($A94="S",VTOTALBM,IF($A94=0,0,ROUND(SomaAgrupBM,15-13*ORÇAMENTO!$AF$11)))</f>
        <v>0</v>
      </c>
      <c r="Q94" s="337"/>
      <c r="R94" s="338"/>
      <c r="T94" s="117" t="str">
        <f t="shared" ca="1" si="25"/>
        <v/>
      </c>
      <c r="U94" s="163" t="str">
        <f t="shared" ca="1" si="26"/>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27"/>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x14ac:dyDescent="0.2">
      <c r="A95" t="str">
        <f ca="1">ORÇAMENTO!C95</f>
        <v>S</v>
      </c>
      <c r="B95">
        <f ca="1">ORÇAMENTO!D95</f>
        <v>0</v>
      </c>
      <c r="C95" s="114" t="str">
        <f t="shared" ca="1" si="21"/>
        <v/>
      </c>
      <c r="D95" s="117" t="str">
        <f ca="1">ORÇAMENTO!O95</f>
        <v>-</v>
      </c>
      <c r="E95" s="163" t="str">
        <f t="shared" ca="1" si="22"/>
        <v>(Sem Código)</v>
      </c>
      <c r="F95" s="164" t="str" cm="1">
        <f t="array" aca="1" ref="F95" ca="1">IF(RegimeExecucao="Global","",ORÇAMENTO.Unidade)</f>
        <v>-</v>
      </c>
      <c r="G95" s="122" cm="1">
        <f t="array" aca="1" ref="G95" ca="1">IF(RegimeExecucao="Global","",ORÇAMENTO!T95)</f>
        <v>0</v>
      </c>
      <c r="H95" s="122" cm="1">
        <f t="array" aca="1" ref="H95" ca="1">IF(RegimeExecucao="Global","",ORÇAMENTO!W95)</f>
        <v>0</v>
      </c>
      <c r="I95" s="125">
        <f ca="1">ORÇAMENTO!X95</f>
        <v>0</v>
      </c>
      <c r="J95" s="333" cm="1">
        <f t="array" aca="1" ref="J95" ca="1">IF($A95="S",IF(CAIXA.Modo,BM.AFAnterior,BM.MEDAnterior),IF(AND(RegimeExecucao="Global",$I95&gt;0,COUNTIF($AB$13:$AM$13,BM.medicao-1)&gt;0),M95/$I95*100,0))</f>
        <v>0</v>
      </c>
      <c r="K95" s="122">
        <f t="shared" ca="1" si="23"/>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24"/>
        <v>0</v>
      </c>
      <c r="O95" s="125" cm="1">
        <f t="array" aca="1" ref="O95" ca="1">IF($A95="S",VTOTALBM,IF($A95=0,0,ROUND(SomaAgrupBM,15-13*ORÇAMENTO!$AF$11)))</f>
        <v>0</v>
      </c>
      <c r="Q95" s="337"/>
      <c r="R95" s="338"/>
      <c r="T95" s="117" t="str">
        <f t="shared" ca="1" si="25"/>
        <v/>
      </c>
      <c r="U95" s="163" t="str">
        <f t="shared" ca="1" si="26"/>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27"/>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x14ac:dyDescent="0.2">
      <c r="A96" t="str">
        <f ca="1">ORÇAMENTO!C96</f>
        <v>S</v>
      </c>
      <c r="B96">
        <f ca="1">ORÇAMENTO!D96</f>
        <v>0</v>
      </c>
      <c r="C96" s="114" t="str">
        <f t="shared" ca="1" si="21"/>
        <v/>
      </c>
      <c r="D96" s="117" t="str">
        <f ca="1">ORÇAMENTO!O96</f>
        <v>-</v>
      </c>
      <c r="E96" s="163" t="str">
        <f t="shared" ca="1" si="22"/>
        <v>(Sem Código)</v>
      </c>
      <c r="F96" s="164" t="str" cm="1">
        <f t="array" aca="1" ref="F96" ca="1">IF(RegimeExecucao="Global","",ORÇAMENTO.Unidade)</f>
        <v>-</v>
      </c>
      <c r="G96" s="122" cm="1">
        <f t="array" aca="1" ref="G96" ca="1">IF(RegimeExecucao="Global","",ORÇAMENTO!T96)</f>
        <v>0</v>
      </c>
      <c r="H96" s="122" cm="1">
        <f t="array" aca="1" ref="H96" ca="1">IF(RegimeExecucao="Global","",ORÇAMENTO!W96)</f>
        <v>0</v>
      </c>
      <c r="I96" s="125">
        <f ca="1">ORÇAMENTO!X96</f>
        <v>0</v>
      </c>
      <c r="J96" s="333" cm="1">
        <f t="array" aca="1" ref="J96" ca="1">IF($A96="S",IF(CAIXA.Modo,BM.AFAnterior,BM.MEDAnterior),IF(AND(RegimeExecucao="Global",$I96&gt;0,COUNTIF($AB$13:$AM$13,BM.medicao-1)&gt;0),M96/$I96*100,0))</f>
        <v>0</v>
      </c>
      <c r="K96" s="122">
        <f t="shared" ca="1" si="23"/>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24"/>
        <v>0</v>
      </c>
      <c r="O96" s="125" cm="1">
        <f t="array" aca="1" ref="O96" ca="1">IF($A96="S",VTOTALBM,IF($A96=0,0,ROUND(SomaAgrupBM,15-13*ORÇAMENTO!$AF$11)))</f>
        <v>0</v>
      </c>
      <c r="Q96" s="337"/>
      <c r="R96" s="338"/>
      <c r="T96" s="117" t="str">
        <f t="shared" ca="1" si="25"/>
        <v/>
      </c>
      <c r="U96" s="163" t="str">
        <f t="shared" ca="1" si="26"/>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27"/>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x14ac:dyDescent="0.2">
      <c r="A97" t="str">
        <f ca="1">ORÇAMENTO!C97</f>
        <v>S</v>
      </c>
      <c r="B97">
        <f ca="1">ORÇAMENTO!D97</f>
        <v>0</v>
      </c>
      <c r="C97" s="114" t="str">
        <f t="shared" ca="1" si="21"/>
        <v/>
      </c>
      <c r="D97" s="117" t="str">
        <f ca="1">ORÇAMENTO!O97</f>
        <v>-</v>
      </c>
      <c r="E97" s="163" t="str">
        <f t="shared" ca="1" si="22"/>
        <v>(Sem Código)</v>
      </c>
      <c r="F97" s="164" t="str" cm="1">
        <f t="array" aca="1" ref="F97" ca="1">IF(RegimeExecucao="Global","",ORÇAMENTO.Unidade)</f>
        <v>-</v>
      </c>
      <c r="G97" s="122" cm="1">
        <f t="array" aca="1" ref="G97" ca="1">IF(RegimeExecucao="Global","",ORÇAMENTO!T97)</f>
        <v>0</v>
      </c>
      <c r="H97" s="122" cm="1">
        <f t="array" aca="1" ref="H97" ca="1">IF(RegimeExecucao="Global","",ORÇAMENTO!W97)</f>
        <v>0</v>
      </c>
      <c r="I97" s="125">
        <f ca="1">ORÇAMENTO!X97</f>
        <v>0</v>
      </c>
      <c r="J97" s="333" cm="1">
        <f t="array" aca="1" ref="J97" ca="1">IF($A97="S",IF(CAIXA.Modo,BM.AFAnterior,BM.MEDAnterior),IF(AND(RegimeExecucao="Global",$I97&gt;0,COUNTIF($AB$13:$AM$13,BM.medicao-1)&gt;0),M97/$I97*100,0))</f>
        <v>0</v>
      </c>
      <c r="K97" s="122">
        <f t="shared" ca="1" si="23"/>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24"/>
        <v>0</v>
      </c>
      <c r="O97" s="125" cm="1">
        <f t="array" aca="1" ref="O97" ca="1">IF($A97="S",VTOTALBM,IF($A97=0,0,ROUND(SomaAgrupBM,15-13*ORÇAMENTO!$AF$11)))</f>
        <v>0</v>
      </c>
      <c r="Q97" s="337"/>
      <c r="R97" s="338"/>
      <c r="T97" s="117" t="str">
        <f t="shared" ca="1" si="25"/>
        <v/>
      </c>
      <c r="U97" s="163" t="str">
        <f t="shared" ca="1" si="26"/>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27"/>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x14ac:dyDescent="0.2">
      <c r="A98" t="str">
        <f ca="1">ORÇAMENTO!C98</f>
        <v>S</v>
      </c>
      <c r="B98">
        <f ca="1">ORÇAMENTO!D98</f>
        <v>0</v>
      </c>
      <c r="C98" s="114" t="str">
        <f t="shared" ca="1" si="21"/>
        <v/>
      </c>
      <c r="D98" s="117" t="str">
        <f ca="1">ORÇAMENTO!O98</f>
        <v>-</v>
      </c>
      <c r="E98" s="163" t="str">
        <f t="shared" ca="1" si="22"/>
        <v>(Sem Código)</v>
      </c>
      <c r="F98" s="164" t="str" cm="1">
        <f t="array" aca="1" ref="F98" ca="1">IF(RegimeExecucao="Global","",ORÇAMENTO.Unidade)</f>
        <v>-</v>
      </c>
      <c r="G98" s="122" cm="1">
        <f t="array" aca="1" ref="G98" ca="1">IF(RegimeExecucao="Global","",ORÇAMENTO!T98)</f>
        <v>0</v>
      </c>
      <c r="H98" s="122" cm="1">
        <f t="array" aca="1" ref="H98" ca="1">IF(RegimeExecucao="Global","",ORÇAMENTO!W98)</f>
        <v>0</v>
      </c>
      <c r="I98" s="125">
        <f ca="1">ORÇAMENTO!X98</f>
        <v>0</v>
      </c>
      <c r="J98" s="333" cm="1">
        <f t="array" aca="1" ref="J98" ca="1">IF($A98="S",IF(CAIXA.Modo,BM.AFAnterior,BM.MEDAnterior),IF(AND(RegimeExecucao="Global",$I98&gt;0,COUNTIF($AB$13:$AM$13,BM.medicao-1)&gt;0),M98/$I98*100,0))</f>
        <v>0</v>
      </c>
      <c r="K98" s="122">
        <f t="shared" ca="1" si="23"/>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24"/>
        <v>0</v>
      </c>
      <c r="O98" s="125" cm="1">
        <f t="array" aca="1" ref="O98" ca="1">IF($A98="S",VTOTALBM,IF($A98=0,0,ROUND(SomaAgrupBM,15-13*ORÇAMENTO!$AF$11)))</f>
        <v>0</v>
      </c>
      <c r="Q98" s="337"/>
      <c r="R98" s="338"/>
      <c r="T98" s="117" t="str">
        <f t="shared" ca="1" si="25"/>
        <v/>
      </c>
      <c r="U98" s="163" t="str">
        <f t="shared" ca="1" si="26"/>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27"/>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x14ac:dyDescent="0.2">
      <c r="A99" t="str">
        <f ca="1">ORÇAMENTO!C99</f>
        <v>S</v>
      </c>
      <c r="B99">
        <f ca="1">ORÇAMENTO!D99</f>
        <v>0</v>
      </c>
      <c r="C99" s="114" t="str">
        <f t="shared" ca="1" si="21"/>
        <v/>
      </c>
      <c r="D99" s="117" t="str">
        <f ca="1">ORÇAMENTO!O99</f>
        <v>-</v>
      </c>
      <c r="E99" s="163" t="str">
        <f t="shared" ca="1" si="22"/>
        <v>(Sem Código)</v>
      </c>
      <c r="F99" s="164" t="str" cm="1">
        <f t="array" aca="1" ref="F99" ca="1">IF(RegimeExecucao="Global","",ORÇAMENTO.Unidade)</f>
        <v>-</v>
      </c>
      <c r="G99" s="122" cm="1">
        <f t="array" aca="1" ref="G99" ca="1">IF(RegimeExecucao="Global","",ORÇAMENTO!T99)</f>
        <v>0</v>
      </c>
      <c r="H99" s="122" cm="1">
        <f t="array" aca="1" ref="H99" ca="1">IF(RegimeExecucao="Global","",ORÇAMENTO!W99)</f>
        <v>0</v>
      </c>
      <c r="I99" s="125">
        <f ca="1">ORÇAMENTO!X99</f>
        <v>0</v>
      </c>
      <c r="J99" s="333" cm="1">
        <f t="array" aca="1" ref="J99" ca="1">IF($A99="S",IF(CAIXA.Modo,BM.AFAnterior,BM.MEDAnterior),IF(AND(RegimeExecucao="Global",$I99&gt;0,COUNTIF($AB$13:$AM$13,BM.medicao-1)&gt;0),M99/$I99*100,0))</f>
        <v>0</v>
      </c>
      <c r="K99" s="122">
        <f t="shared" ca="1" si="23"/>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24"/>
        <v>0</v>
      </c>
      <c r="O99" s="125" cm="1">
        <f t="array" aca="1" ref="O99" ca="1">IF($A99="S",VTOTALBM,IF($A99=0,0,ROUND(SomaAgrupBM,15-13*ORÇAMENTO!$AF$11)))</f>
        <v>0</v>
      </c>
      <c r="Q99" s="337"/>
      <c r="R99" s="338"/>
      <c r="T99" s="117" t="str">
        <f t="shared" ca="1" si="25"/>
        <v/>
      </c>
      <c r="U99" s="163" t="str">
        <f t="shared" ca="1" si="26"/>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27"/>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t="str">
        <f ca="1">ORÇAMENTO!C100</f>
        <v>S</v>
      </c>
      <c r="B100">
        <f ca="1">ORÇAMENTO!D100</f>
        <v>0</v>
      </c>
      <c r="C100" s="114" t="str">
        <f t="shared" ca="1" si="21"/>
        <v/>
      </c>
      <c r="D100" s="117" t="str">
        <f ca="1">ORÇAMENTO!O100</f>
        <v>-</v>
      </c>
      <c r="E100" s="163" t="str">
        <f t="shared" ca="1" si="22"/>
        <v>(Sem Código)</v>
      </c>
      <c r="F100" s="164" t="str" cm="1">
        <f t="array" aca="1" ref="F100" ca="1">IF(RegimeExecucao="Global","",ORÇAMENTO.Unidade)</f>
        <v>-</v>
      </c>
      <c r="G100" s="122" cm="1">
        <f t="array" aca="1" ref="G100" ca="1">IF(RegimeExecucao="Global","",ORÇAMENTO!T100)</f>
        <v>0</v>
      </c>
      <c r="H100" s="122" cm="1">
        <f t="array" aca="1" ref="H100" ca="1">IF(RegimeExecucao="Global","",ORÇAMENTO!W100)</f>
        <v>0</v>
      </c>
      <c r="I100" s="125">
        <f ca="1">ORÇAMENTO!X100</f>
        <v>0</v>
      </c>
      <c r="J100" s="333" cm="1">
        <f t="array" aca="1" ref="J100" ca="1">IF($A100="S",IF(CAIXA.Modo,BM.AFAnterior,BM.MEDAnterior),IF(AND(RegimeExecucao="Global",$I100&gt;0,COUNTIF($AB$13:$AM$13,BM.medicao-1)&gt;0),M100/$I100*100,0))</f>
        <v>0</v>
      </c>
      <c r="K100" s="122">
        <f t="shared" ca="1" si="23"/>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24"/>
        <v>0</v>
      </c>
      <c r="O100" s="125" cm="1">
        <f t="array" aca="1" ref="O100" ca="1">IF($A100="S",VTOTALBM,IF($A100=0,0,ROUND(SomaAgrupBM,15-13*ORÇAMENTO!$AF$11)))</f>
        <v>0</v>
      </c>
      <c r="Q100" s="337"/>
      <c r="R100" s="338"/>
      <c r="T100" s="117" t="str">
        <f t="shared" ca="1" si="25"/>
        <v/>
      </c>
      <c r="U100" s="163" t="str">
        <f t="shared" ca="1" si="26"/>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27"/>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t="str">
        <f ca="1">ORÇAMENTO!C101</f>
        <v>S</v>
      </c>
      <c r="B101">
        <f ca="1">ORÇAMENTO!D101</f>
        <v>0</v>
      </c>
      <c r="C101" s="114" t="str">
        <f t="shared" ca="1" si="21"/>
        <v/>
      </c>
      <c r="D101" s="117" t="str">
        <f ca="1">ORÇAMENTO!O101</f>
        <v>-</v>
      </c>
      <c r="E101" s="163" t="str">
        <f t="shared" ca="1" si="22"/>
        <v>(Sem Código)</v>
      </c>
      <c r="F101" s="164" t="str" cm="1">
        <f t="array" aca="1" ref="F101" ca="1">IF(RegimeExecucao="Global","",ORÇAMENTO.Unidade)</f>
        <v>-</v>
      </c>
      <c r="G101" s="122" cm="1">
        <f t="array" aca="1" ref="G101" ca="1">IF(RegimeExecucao="Global","",ORÇAMENTO!T101)</f>
        <v>0</v>
      </c>
      <c r="H101" s="122" cm="1">
        <f t="array" aca="1" ref="H101" ca="1">IF(RegimeExecucao="Global","",ORÇAMENTO!W101)</f>
        <v>0</v>
      </c>
      <c r="I101" s="125">
        <f ca="1">ORÇAMENTO!X101</f>
        <v>0</v>
      </c>
      <c r="J101" s="333" cm="1">
        <f t="array" aca="1" ref="J101" ca="1">IF($A101="S",IF(CAIXA.Modo,BM.AFAnterior,BM.MEDAnterior),IF(AND(RegimeExecucao="Global",$I101&gt;0,COUNTIF($AB$13:$AM$13,BM.medicao-1)&gt;0),M101/$I101*100,0))</f>
        <v>0</v>
      </c>
      <c r="K101" s="122">
        <f t="shared" ca="1" si="23"/>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24"/>
        <v>0</v>
      </c>
      <c r="O101" s="125" cm="1">
        <f t="array" aca="1" ref="O101" ca="1">IF($A101="S",VTOTALBM,IF($A101=0,0,ROUND(SomaAgrupBM,15-13*ORÇAMENTO!$AF$11)))</f>
        <v>0</v>
      </c>
      <c r="Q101" s="337"/>
      <c r="R101" s="338"/>
      <c r="T101" s="117" t="str">
        <f t="shared" ca="1" si="25"/>
        <v/>
      </c>
      <c r="U101" s="163" t="str">
        <f t="shared" ca="1" si="26"/>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27"/>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t="str">
        <f ca="1">ORÇAMENTO!C102</f>
        <v>S</v>
      </c>
      <c r="B102">
        <f ca="1">ORÇAMENTO!D102</f>
        <v>0</v>
      </c>
      <c r="C102" s="114" t="str">
        <f t="shared" ca="1" si="21"/>
        <v/>
      </c>
      <c r="D102" s="117" t="str">
        <f ca="1">ORÇAMENTO!O102</f>
        <v>-</v>
      </c>
      <c r="E102" s="163" t="str">
        <f t="shared" ca="1" si="22"/>
        <v>(Sem Código)</v>
      </c>
      <c r="F102" s="164" t="str" cm="1">
        <f t="array" aca="1" ref="F102" ca="1">IF(RegimeExecucao="Global","",ORÇAMENTO.Unidade)</f>
        <v>-</v>
      </c>
      <c r="G102" s="122" cm="1">
        <f t="array" aca="1" ref="G102" ca="1">IF(RegimeExecucao="Global","",ORÇAMENTO!T102)</f>
        <v>0</v>
      </c>
      <c r="H102" s="122" cm="1">
        <f t="array" aca="1" ref="H102" ca="1">IF(RegimeExecucao="Global","",ORÇAMENTO!W102)</f>
        <v>0</v>
      </c>
      <c r="I102" s="125">
        <f ca="1">ORÇAMENTO!X102</f>
        <v>0</v>
      </c>
      <c r="J102" s="333" cm="1">
        <f t="array" aca="1" ref="J102" ca="1">IF($A102="S",IF(CAIXA.Modo,BM.AFAnterior,BM.MEDAnterior),IF(AND(RegimeExecucao="Global",$I102&gt;0,COUNTIF($AB$13:$AM$13,BM.medicao-1)&gt;0),M102/$I102*100,0))</f>
        <v>0</v>
      </c>
      <c r="K102" s="122">
        <f t="shared" ca="1" si="23"/>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24"/>
        <v>0</v>
      </c>
      <c r="O102" s="125" cm="1">
        <f t="array" aca="1" ref="O102" ca="1">IF($A102="S",VTOTALBM,IF($A102=0,0,ROUND(SomaAgrupBM,15-13*ORÇAMENTO!$AF$11)))</f>
        <v>0</v>
      </c>
      <c r="Q102" s="337"/>
      <c r="R102" s="338"/>
      <c r="T102" s="117" t="str">
        <f t="shared" ca="1" si="25"/>
        <v/>
      </c>
      <c r="U102" s="163" t="str">
        <f t="shared" ca="1" si="26"/>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27"/>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x14ac:dyDescent="0.2">
      <c r="A103" t="str">
        <f ca="1">ORÇAMENTO!C103</f>
        <v>S</v>
      </c>
      <c r="B103">
        <f ca="1">ORÇAMENTO!D103</f>
        <v>0</v>
      </c>
      <c r="C103" s="114" t="str">
        <f t="shared" ca="1" si="21"/>
        <v/>
      </c>
      <c r="D103" s="117" t="str">
        <f ca="1">ORÇAMENTO!O103</f>
        <v>-</v>
      </c>
      <c r="E103" s="163" t="str">
        <f t="shared" ca="1" si="22"/>
        <v>(Sem Código)</v>
      </c>
      <c r="F103" s="164" t="str" cm="1">
        <f t="array" aca="1" ref="F103" ca="1">IF(RegimeExecucao="Global","",ORÇAMENTO.Unidade)</f>
        <v>-</v>
      </c>
      <c r="G103" s="122" cm="1">
        <f t="array" aca="1" ref="G103" ca="1">IF(RegimeExecucao="Global","",ORÇAMENTO!T103)</f>
        <v>0</v>
      </c>
      <c r="H103" s="122" cm="1">
        <f t="array" aca="1" ref="H103" ca="1">IF(RegimeExecucao="Global","",ORÇAMENTO!W103)</f>
        <v>0</v>
      </c>
      <c r="I103" s="125">
        <f ca="1">ORÇAMENTO!X103</f>
        <v>0</v>
      </c>
      <c r="J103" s="333" cm="1">
        <f t="array" aca="1" ref="J103" ca="1">IF($A103="S",IF(CAIXA.Modo,BM.AFAnterior,BM.MEDAnterior),IF(AND(RegimeExecucao="Global",$I103&gt;0,COUNTIF($AB$13:$AM$13,BM.medicao-1)&gt;0),M103/$I103*100,0))</f>
        <v>0</v>
      </c>
      <c r="K103" s="122">
        <f t="shared" ca="1" si="23"/>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24"/>
        <v>0</v>
      </c>
      <c r="O103" s="125" cm="1">
        <f t="array" aca="1" ref="O103" ca="1">IF($A103="S",VTOTALBM,IF($A103=0,0,ROUND(SomaAgrupBM,15-13*ORÇAMENTO!$AF$11)))</f>
        <v>0</v>
      </c>
      <c r="Q103" s="337"/>
      <c r="R103" s="338"/>
      <c r="T103" s="117" t="str">
        <f t="shared" ca="1" si="25"/>
        <v/>
      </c>
      <c r="U103" s="163" t="str">
        <f t="shared" ca="1" si="26"/>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27"/>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t="str">
        <f ca="1">ORÇAMENTO!C104</f>
        <v>S</v>
      </c>
      <c r="B104">
        <f ca="1">ORÇAMENTO!D104</f>
        <v>0</v>
      </c>
      <c r="C104" s="114" t="str">
        <f t="shared" ref="C104:C161" ca="1" si="28">IF(OR($I104&gt;0,$A104=1,$A104=2,$A104=3,$A104=4),"F","")</f>
        <v/>
      </c>
      <c r="D104" s="117" t="str">
        <f ca="1">ORÇAMENTO!O104</f>
        <v>-</v>
      </c>
      <c r="E104" s="163" t="str">
        <f t="shared" ref="E104:E161" ca="1" si="29">ORÇAMENTO.Descricao</f>
        <v>(Sem Código)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0</v>
      </c>
      <c r="J104" s="333" cm="1">
        <f t="array" aca="1" ref="J104" ca="1">IF($A104="S",IF(CAIXA.Modo,BM.AFAnterior,BM.MEDAnterior),IF(AND(RegimeExecucao="Global",$I104&gt;0,COUNTIF($AB$13:$AM$13,BM.medicao-1)&gt;0),M104/$I104*100,0))</f>
        <v>0</v>
      </c>
      <c r="K104" s="122">
        <f t="shared" ref="K104:K161" ca="1" si="30">L104-J104</f>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ref="N104:N161" ca="1" si="31">O104-M104</f>
        <v>0</v>
      </c>
      <c r="O104" s="125" cm="1">
        <f t="array" aca="1" ref="O104" ca="1">IF($A104="S",VTOTALBM,IF($A104=0,0,ROUND(SomaAgrupBM,15-13*ORÇAMENTO!$AF$11)))</f>
        <v>0</v>
      </c>
      <c r="Q104" s="337"/>
      <c r="R104" s="338"/>
      <c r="T104" s="117" t="str">
        <f t="shared" ref="T104:T161" ca="1" si="32">IF($W104&gt;0,$D104,"")</f>
        <v/>
      </c>
      <c r="U104" s="163" t="str">
        <f t="shared" ref="U104:U161" ca="1" si="33">IF($W104&gt;0,$E104,"")</f>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ref="Y104:Y161" ca="1" si="34">AO104-O104</f>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t="str">
        <f ca="1">ORÇAMENTO!C105</f>
        <v>S</v>
      </c>
      <c r="B105">
        <f ca="1">ORÇAMENTO!D105</f>
        <v>0</v>
      </c>
      <c r="C105" s="114" t="str">
        <f t="shared" ca="1" si="28"/>
        <v/>
      </c>
      <c r="D105" s="117" t="str">
        <f ca="1">ORÇAMENTO!O105</f>
        <v>-</v>
      </c>
      <c r="E105" s="163" t="str">
        <f t="shared" ca="1" si="29"/>
        <v>(Sem Código)</v>
      </c>
      <c r="F105" s="164" t="str" cm="1">
        <f t="array" aca="1" ref="F105" ca="1">IF(RegimeExecucao="Global","",ORÇAMENTO.Unidade)</f>
        <v>-</v>
      </c>
      <c r="G105" s="122" cm="1">
        <f t="array" aca="1" ref="G105" ca="1">IF(RegimeExecucao="Global","",ORÇAMENTO!T105)</f>
        <v>0</v>
      </c>
      <c r="H105" s="122" cm="1">
        <f t="array" aca="1" ref="H105" ca="1">IF(RegimeExecucao="Global","",ORÇAMENTO!W105)</f>
        <v>0</v>
      </c>
      <c r="I105" s="125">
        <f ca="1">ORÇAMENTO!X105</f>
        <v>0</v>
      </c>
      <c r="J105" s="333" cm="1">
        <f t="array" aca="1" ref="J105" ca="1">IF($A105="S",IF(CAIXA.Modo,BM.AFAnterior,BM.MEDAnterior),IF(AND(RegimeExecucao="Global",$I105&gt;0,COUNTIF($AB$13:$AM$13,BM.medicao-1)&gt;0),M105/$I105*100,0))</f>
        <v>0</v>
      </c>
      <c r="K105" s="122">
        <f t="shared" ca="1" si="30"/>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31"/>
        <v>0</v>
      </c>
      <c r="O105" s="125" cm="1">
        <f t="array" aca="1" ref="O105" ca="1">IF($A105="S",VTOTALBM,IF($A105=0,0,ROUND(SomaAgrupBM,15-13*ORÇAMENTO!$AF$11)))</f>
        <v>0</v>
      </c>
      <c r="Q105" s="337"/>
      <c r="R105" s="338"/>
      <c r="T105" s="117" t="str">
        <f t="shared" ca="1" si="32"/>
        <v/>
      </c>
      <c r="U105" s="163" t="str">
        <f t="shared" ca="1" si="33"/>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34"/>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t="str">
        <f ca="1">ORÇAMENTO!C106</f>
        <v>S</v>
      </c>
      <c r="B106">
        <f ca="1">ORÇAMENTO!D106</f>
        <v>0</v>
      </c>
      <c r="C106" s="114" t="str">
        <f t="shared" ca="1" si="28"/>
        <v/>
      </c>
      <c r="D106" s="117" t="str">
        <f ca="1">ORÇAMENTO!O106</f>
        <v>-</v>
      </c>
      <c r="E106" s="163" t="str">
        <f t="shared" ca="1" si="29"/>
        <v>(Sem Código)</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0</v>
      </c>
      <c r="J106" s="333" cm="1">
        <f t="array" aca="1" ref="J106" ca="1">IF($A106="S",IF(CAIXA.Modo,BM.AFAnterior,BM.MEDAnterior),IF(AND(RegimeExecucao="Global",$I106&gt;0,COUNTIF($AB$13:$AM$13,BM.medicao-1)&gt;0),M106/$I106*100,0))</f>
        <v>0</v>
      </c>
      <c r="K106" s="122">
        <f t="shared" ca="1" si="30"/>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31"/>
        <v>0</v>
      </c>
      <c r="O106" s="125" cm="1">
        <f t="array" aca="1" ref="O106" ca="1">IF($A106="S",VTOTALBM,IF($A106=0,0,ROUND(SomaAgrupBM,15-13*ORÇAMENTO!$AF$11)))</f>
        <v>0</v>
      </c>
      <c r="Q106" s="337"/>
      <c r="R106" s="338"/>
      <c r="T106" s="117" t="str">
        <f t="shared" ca="1" si="32"/>
        <v/>
      </c>
      <c r="U106" s="163" t="str">
        <f t="shared" ca="1" si="33"/>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34"/>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x14ac:dyDescent="0.2">
      <c r="A107" t="str">
        <f ca="1">ORÇAMENTO!C107</f>
        <v>S</v>
      </c>
      <c r="B107">
        <f ca="1">ORÇAMENTO!D107</f>
        <v>0</v>
      </c>
      <c r="C107" s="114" t="str">
        <f t="shared" ca="1" si="28"/>
        <v/>
      </c>
      <c r="D107" s="117" t="str">
        <f ca="1">ORÇAMENTO!O107</f>
        <v>-</v>
      </c>
      <c r="E107" s="163" t="str">
        <f t="shared" ca="1" si="29"/>
        <v>(Sem Código)</v>
      </c>
      <c r="F107" s="164" t="str" cm="1">
        <f t="array" aca="1" ref="F107" ca="1">IF(RegimeExecucao="Global","",ORÇAMENTO.Unidade)</f>
        <v>-</v>
      </c>
      <c r="G107" s="122" cm="1">
        <f t="array" aca="1" ref="G107" ca="1">IF(RegimeExecucao="Global","",ORÇAMENTO!T107)</f>
        <v>0</v>
      </c>
      <c r="H107" s="122" cm="1">
        <f t="array" aca="1" ref="H107" ca="1">IF(RegimeExecucao="Global","",ORÇAMENTO!W107)</f>
        <v>0</v>
      </c>
      <c r="I107" s="125">
        <f ca="1">ORÇAMENTO!X107</f>
        <v>0</v>
      </c>
      <c r="J107" s="333" cm="1">
        <f t="array" aca="1" ref="J107" ca="1">IF($A107="S",IF(CAIXA.Modo,BM.AFAnterior,BM.MEDAnterior),IF(AND(RegimeExecucao="Global",$I107&gt;0,COUNTIF($AB$13:$AM$13,BM.medicao-1)&gt;0),M107/$I107*100,0))</f>
        <v>0</v>
      </c>
      <c r="K107" s="122">
        <f t="shared" ca="1" si="30"/>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31"/>
        <v>0</v>
      </c>
      <c r="O107" s="125" cm="1">
        <f t="array" aca="1" ref="O107" ca="1">IF($A107="S",VTOTALBM,IF($A107=0,0,ROUND(SomaAgrupBM,15-13*ORÇAMENTO!$AF$11)))</f>
        <v>0</v>
      </c>
      <c r="Q107" s="337"/>
      <c r="R107" s="338"/>
      <c r="T107" s="117" t="str">
        <f t="shared" ca="1" si="32"/>
        <v/>
      </c>
      <c r="U107" s="163" t="str">
        <f t="shared" ca="1" si="33"/>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34"/>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x14ac:dyDescent="0.2">
      <c r="A108" t="str">
        <f ca="1">ORÇAMENTO!C108</f>
        <v>S</v>
      </c>
      <c r="B108">
        <f ca="1">ORÇAMENTO!D108</f>
        <v>0</v>
      </c>
      <c r="C108" s="114" t="str">
        <f t="shared" ca="1" si="28"/>
        <v/>
      </c>
      <c r="D108" s="117" t="str">
        <f ca="1">ORÇAMENTO!O108</f>
        <v>-</v>
      </c>
      <c r="E108" s="163" t="str">
        <f t="shared" ca="1" si="29"/>
        <v>(Sem Código)</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0</v>
      </c>
      <c r="J108" s="333" cm="1">
        <f t="array" aca="1" ref="J108" ca="1">IF($A108="S",IF(CAIXA.Modo,BM.AFAnterior,BM.MEDAnterior),IF(AND(RegimeExecucao="Global",$I108&gt;0,COUNTIF($AB$13:$AM$13,BM.medicao-1)&gt;0),M108/$I108*100,0))</f>
        <v>0</v>
      </c>
      <c r="K108" s="122">
        <f t="shared" ca="1" si="30"/>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31"/>
        <v>0</v>
      </c>
      <c r="O108" s="125" cm="1">
        <f t="array" aca="1" ref="O108" ca="1">IF($A108="S",VTOTALBM,IF($A108=0,0,ROUND(SomaAgrupBM,15-13*ORÇAMENTO!$AF$11)))</f>
        <v>0</v>
      </c>
      <c r="Q108" s="337"/>
      <c r="R108" s="338"/>
      <c r="T108" s="117" t="str">
        <f t="shared" ca="1" si="32"/>
        <v/>
      </c>
      <c r="U108" s="163" t="str">
        <f t="shared" ca="1" si="33"/>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34"/>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x14ac:dyDescent="0.2">
      <c r="A109" t="str">
        <f ca="1">ORÇAMENTO!C109</f>
        <v>S</v>
      </c>
      <c r="B109">
        <f ca="1">ORÇAMENTO!D109</f>
        <v>0</v>
      </c>
      <c r="C109" s="114" t="str">
        <f t="shared" ca="1" si="28"/>
        <v/>
      </c>
      <c r="D109" s="117" t="str">
        <f ca="1">ORÇAMENTO!O109</f>
        <v>-</v>
      </c>
      <c r="E109" s="163" t="str">
        <f t="shared" ca="1" si="29"/>
        <v>(Sem Código)</v>
      </c>
      <c r="F109" s="164" t="str" cm="1">
        <f t="array" aca="1" ref="F109" ca="1">IF(RegimeExecucao="Global","",ORÇAMENTO.Unidade)</f>
        <v>-</v>
      </c>
      <c r="G109" s="122" cm="1">
        <f t="array" aca="1" ref="G109" ca="1">IF(RegimeExecucao="Global","",ORÇAMENTO!T109)</f>
        <v>0</v>
      </c>
      <c r="H109" s="122" cm="1">
        <f t="array" aca="1" ref="H109" ca="1">IF(RegimeExecucao="Global","",ORÇAMENTO!W109)</f>
        <v>0</v>
      </c>
      <c r="I109" s="125">
        <f ca="1">ORÇAMENTO!X109</f>
        <v>0</v>
      </c>
      <c r="J109" s="333" cm="1">
        <f t="array" aca="1" ref="J109" ca="1">IF($A109="S",IF(CAIXA.Modo,BM.AFAnterior,BM.MEDAnterior),IF(AND(RegimeExecucao="Global",$I109&gt;0,COUNTIF($AB$13:$AM$13,BM.medicao-1)&gt;0),M109/$I109*100,0))</f>
        <v>0</v>
      </c>
      <c r="K109" s="122">
        <f t="shared" ca="1" si="30"/>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31"/>
        <v>0</v>
      </c>
      <c r="O109" s="125" cm="1">
        <f t="array" aca="1" ref="O109" ca="1">IF($A109="S",VTOTALBM,IF($A109=0,0,ROUND(SomaAgrupBM,15-13*ORÇAMENTO!$AF$11)))</f>
        <v>0</v>
      </c>
      <c r="Q109" s="337"/>
      <c r="R109" s="338"/>
      <c r="T109" s="117" t="str">
        <f t="shared" ca="1" si="32"/>
        <v/>
      </c>
      <c r="U109" s="163" t="str">
        <f t="shared" ca="1" si="33"/>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34"/>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t="str">
        <f ca="1">ORÇAMENTO!C110</f>
        <v>S</v>
      </c>
      <c r="B110">
        <f ca="1">ORÇAMENTO!D110</f>
        <v>0</v>
      </c>
      <c r="C110" s="114" t="str">
        <f t="shared" ca="1" si="28"/>
        <v/>
      </c>
      <c r="D110" s="117" t="str">
        <f ca="1">ORÇAMENTO!O110</f>
        <v>-</v>
      </c>
      <c r="E110" s="163" t="str">
        <f t="shared" ca="1" si="29"/>
        <v>(Sem Código)</v>
      </c>
      <c r="F110" s="164" t="str" cm="1">
        <f t="array" aca="1" ref="F110" ca="1">IF(RegimeExecucao="Global","",ORÇAMENTO.Unidade)</f>
        <v>-</v>
      </c>
      <c r="G110" s="122" cm="1">
        <f t="array" aca="1" ref="G110" ca="1">IF(RegimeExecucao="Global","",ORÇAMENTO!T110)</f>
        <v>0</v>
      </c>
      <c r="H110" s="122" cm="1">
        <f t="array" aca="1" ref="H110" ca="1">IF(RegimeExecucao="Global","",ORÇAMENTO!W110)</f>
        <v>0</v>
      </c>
      <c r="I110" s="125">
        <f ca="1">ORÇAMENTO!X110</f>
        <v>0</v>
      </c>
      <c r="J110" s="333" cm="1">
        <f t="array" aca="1" ref="J110" ca="1">IF($A110="S",IF(CAIXA.Modo,BM.AFAnterior,BM.MEDAnterior),IF(AND(RegimeExecucao="Global",$I110&gt;0,COUNTIF($AB$13:$AM$13,BM.medicao-1)&gt;0),M110/$I110*100,0))</f>
        <v>0</v>
      </c>
      <c r="K110" s="122">
        <f t="shared" ca="1" si="30"/>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31"/>
        <v>0</v>
      </c>
      <c r="O110" s="125" cm="1">
        <f t="array" aca="1" ref="O110" ca="1">IF($A110="S",VTOTALBM,IF($A110=0,0,ROUND(SomaAgrupBM,15-13*ORÇAMENTO!$AF$11)))</f>
        <v>0</v>
      </c>
      <c r="Q110" s="337"/>
      <c r="R110" s="338"/>
      <c r="T110" s="117" t="str">
        <f t="shared" ca="1" si="32"/>
        <v/>
      </c>
      <c r="U110" s="163" t="str">
        <f t="shared" ca="1" si="33"/>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34"/>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t="str">
        <f ca="1">ORÇAMENTO!C111</f>
        <v>S</v>
      </c>
      <c r="B111">
        <f ca="1">ORÇAMENTO!D111</f>
        <v>0</v>
      </c>
      <c r="C111" s="114" t="str">
        <f t="shared" ca="1" si="28"/>
        <v/>
      </c>
      <c r="D111" s="117" t="str">
        <f ca="1">ORÇAMENTO!O111</f>
        <v>-</v>
      </c>
      <c r="E111" s="163" t="str">
        <f t="shared" ca="1" si="29"/>
        <v>(Sem Código)</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0</v>
      </c>
      <c r="J111" s="333" cm="1">
        <f t="array" aca="1" ref="J111" ca="1">IF($A111="S",IF(CAIXA.Modo,BM.AFAnterior,BM.MEDAnterior),IF(AND(RegimeExecucao="Global",$I111&gt;0,COUNTIF($AB$13:$AM$13,BM.medicao-1)&gt;0),M111/$I111*100,0))</f>
        <v>0</v>
      </c>
      <c r="K111" s="122">
        <f t="shared" ca="1" si="30"/>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31"/>
        <v>0</v>
      </c>
      <c r="O111" s="125" cm="1">
        <f t="array" aca="1" ref="O111" ca="1">IF($A111="S",VTOTALBM,IF($A111=0,0,ROUND(SomaAgrupBM,15-13*ORÇAMENTO!$AF$11)))</f>
        <v>0</v>
      </c>
      <c r="Q111" s="337"/>
      <c r="R111" s="338"/>
      <c r="T111" s="117" t="str">
        <f t="shared" ca="1" si="32"/>
        <v/>
      </c>
      <c r="U111" s="163" t="str">
        <f t="shared" ca="1" si="33"/>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34"/>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t="str">
        <f ca="1">ORÇAMENTO!C112</f>
        <v>S</v>
      </c>
      <c r="B112">
        <f ca="1">ORÇAMENTO!D112</f>
        <v>0</v>
      </c>
      <c r="C112" s="114" t="str">
        <f t="shared" ca="1" si="28"/>
        <v/>
      </c>
      <c r="D112" s="117" t="str">
        <f ca="1">ORÇAMENTO!O112</f>
        <v>-</v>
      </c>
      <c r="E112" s="163" t="str">
        <f t="shared" ca="1" si="29"/>
        <v>(Sem Código)</v>
      </c>
      <c r="F112" s="164" t="str" cm="1">
        <f t="array" aca="1" ref="F112" ca="1">IF(RegimeExecucao="Global","",ORÇAMENTO.Unidade)</f>
        <v>-</v>
      </c>
      <c r="G112" s="122" cm="1">
        <f t="array" aca="1" ref="G112" ca="1">IF(RegimeExecucao="Global","",ORÇAMENTO!T112)</f>
        <v>0</v>
      </c>
      <c r="H112" s="122" cm="1">
        <f t="array" aca="1" ref="H112" ca="1">IF(RegimeExecucao="Global","",ORÇAMENTO!W112)</f>
        <v>0</v>
      </c>
      <c r="I112" s="125">
        <f ca="1">ORÇAMENTO!X112</f>
        <v>0</v>
      </c>
      <c r="J112" s="333" cm="1">
        <f t="array" aca="1" ref="J112" ca="1">IF($A112="S",IF(CAIXA.Modo,BM.AFAnterior,BM.MEDAnterior),IF(AND(RegimeExecucao="Global",$I112&gt;0,COUNTIF($AB$13:$AM$13,BM.medicao-1)&gt;0),M112/$I112*100,0))</f>
        <v>0</v>
      </c>
      <c r="K112" s="122">
        <f t="shared" ca="1" si="30"/>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31"/>
        <v>0</v>
      </c>
      <c r="O112" s="125" cm="1">
        <f t="array" aca="1" ref="O112" ca="1">IF($A112="S",VTOTALBM,IF($A112=0,0,ROUND(SomaAgrupBM,15-13*ORÇAMENTO!$AF$11)))</f>
        <v>0</v>
      </c>
      <c r="Q112" s="337"/>
      <c r="R112" s="338"/>
      <c r="T112" s="117" t="str">
        <f t="shared" ca="1" si="32"/>
        <v/>
      </c>
      <c r="U112" s="163" t="str">
        <f t="shared" ca="1" si="33"/>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34"/>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x14ac:dyDescent="0.2">
      <c r="A113" t="str">
        <f ca="1">ORÇAMENTO!C113</f>
        <v>S</v>
      </c>
      <c r="B113">
        <f ca="1">ORÇAMENTO!D113</f>
        <v>0</v>
      </c>
      <c r="C113" s="114" t="str">
        <f t="shared" ca="1" si="28"/>
        <v/>
      </c>
      <c r="D113" s="117" t="str">
        <f ca="1">ORÇAMENTO!O113</f>
        <v>-</v>
      </c>
      <c r="E113" s="163" t="str">
        <f t="shared" ca="1" si="29"/>
        <v>(Sem Código)</v>
      </c>
      <c r="F113" s="164" t="str" cm="1">
        <f t="array" aca="1" ref="F113" ca="1">IF(RegimeExecucao="Global","",ORÇAMENTO.Unidade)</f>
        <v>-</v>
      </c>
      <c r="G113" s="122" cm="1">
        <f t="array" aca="1" ref="G113" ca="1">IF(RegimeExecucao="Global","",ORÇAMENTO!T113)</f>
        <v>0</v>
      </c>
      <c r="H113" s="122" cm="1">
        <f t="array" aca="1" ref="H113" ca="1">IF(RegimeExecucao="Global","",ORÇAMENTO!W113)</f>
        <v>0</v>
      </c>
      <c r="I113" s="125">
        <f ca="1">ORÇAMENTO!X113</f>
        <v>0</v>
      </c>
      <c r="J113" s="333" cm="1">
        <f t="array" aca="1" ref="J113" ca="1">IF($A113="S",IF(CAIXA.Modo,BM.AFAnterior,BM.MEDAnterior),IF(AND(RegimeExecucao="Global",$I113&gt;0,COUNTIF($AB$13:$AM$13,BM.medicao-1)&gt;0),M113/$I113*100,0))</f>
        <v>0</v>
      </c>
      <c r="K113" s="122">
        <f t="shared" ca="1" si="30"/>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31"/>
        <v>0</v>
      </c>
      <c r="O113" s="125" cm="1">
        <f t="array" aca="1" ref="O113" ca="1">IF($A113="S",VTOTALBM,IF($A113=0,0,ROUND(SomaAgrupBM,15-13*ORÇAMENTO!$AF$11)))</f>
        <v>0</v>
      </c>
      <c r="Q113" s="337"/>
      <c r="R113" s="338"/>
      <c r="T113" s="117" t="str">
        <f t="shared" ca="1" si="32"/>
        <v/>
      </c>
      <c r="U113" s="163" t="str">
        <f t="shared" ca="1" si="33"/>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34"/>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t="str">
        <f ca="1">ORÇAMENTO!C114</f>
        <v>S</v>
      </c>
      <c r="B114">
        <f ca="1">ORÇAMENTO!D114</f>
        <v>0</v>
      </c>
      <c r="C114" s="114" t="str">
        <f t="shared" ca="1" si="28"/>
        <v/>
      </c>
      <c r="D114" s="117" t="str">
        <f ca="1">ORÇAMENTO!O114</f>
        <v>-</v>
      </c>
      <c r="E114" s="163" t="str">
        <f t="shared" ca="1" si="29"/>
        <v>(Sem Código)</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0</v>
      </c>
      <c r="J114" s="333" cm="1">
        <f t="array" aca="1" ref="J114" ca="1">IF($A114="S",IF(CAIXA.Modo,BM.AFAnterior,BM.MEDAnterior),IF(AND(RegimeExecucao="Global",$I114&gt;0,COUNTIF($AB$13:$AM$13,BM.medicao-1)&gt;0),M114/$I114*100,0))</f>
        <v>0</v>
      </c>
      <c r="K114" s="122">
        <f t="shared" ca="1" si="30"/>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31"/>
        <v>0</v>
      </c>
      <c r="O114" s="125" cm="1">
        <f t="array" aca="1" ref="O114" ca="1">IF($A114="S",VTOTALBM,IF($A114=0,0,ROUND(SomaAgrupBM,15-13*ORÇAMENTO!$AF$11)))</f>
        <v>0</v>
      </c>
      <c r="Q114" s="337"/>
      <c r="R114" s="338"/>
      <c r="T114" s="117" t="str">
        <f t="shared" ca="1" si="32"/>
        <v/>
      </c>
      <c r="U114" s="163" t="str">
        <f t="shared" ca="1" si="33"/>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34"/>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x14ac:dyDescent="0.2">
      <c r="A115" t="str">
        <f ca="1">ORÇAMENTO!C115</f>
        <v>S</v>
      </c>
      <c r="B115">
        <f ca="1">ORÇAMENTO!D115</f>
        <v>0</v>
      </c>
      <c r="C115" s="114" t="str">
        <f t="shared" ca="1" si="28"/>
        <v/>
      </c>
      <c r="D115" s="117" t="str">
        <f ca="1">ORÇAMENTO!O115</f>
        <v>-</v>
      </c>
      <c r="E115" s="163" t="str">
        <f t="shared" ca="1" si="29"/>
        <v>(Sem Código)</v>
      </c>
      <c r="F115" s="164" t="str" cm="1">
        <f t="array" aca="1" ref="F115" ca="1">IF(RegimeExecucao="Global","",ORÇAMENTO.Unidade)</f>
        <v>-</v>
      </c>
      <c r="G115" s="122" cm="1">
        <f t="array" aca="1" ref="G115" ca="1">IF(RegimeExecucao="Global","",ORÇAMENTO!T115)</f>
        <v>0</v>
      </c>
      <c r="H115" s="122" cm="1">
        <f t="array" aca="1" ref="H115" ca="1">IF(RegimeExecucao="Global","",ORÇAMENTO!W115)</f>
        <v>0</v>
      </c>
      <c r="I115" s="125">
        <f ca="1">ORÇAMENTO!X115</f>
        <v>0</v>
      </c>
      <c r="J115" s="333" cm="1">
        <f t="array" aca="1" ref="J115" ca="1">IF($A115="S",IF(CAIXA.Modo,BM.AFAnterior,BM.MEDAnterior),IF(AND(RegimeExecucao="Global",$I115&gt;0,COUNTIF($AB$13:$AM$13,BM.medicao-1)&gt;0),M115/$I115*100,0))</f>
        <v>0</v>
      </c>
      <c r="K115" s="122">
        <f t="shared" ca="1" si="30"/>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31"/>
        <v>0</v>
      </c>
      <c r="O115" s="125" cm="1">
        <f t="array" aca="1" ref="O115" ca="1">IF($A115="S",VTOTALBM,IF($A115=0,0,ROUND(SomaAgrupBM,15-13*ORÇAMENTO!$AF$11)))</f>
        <v>0</v>
      </c>
      <c r="Q115" s="337"/>
      <c r="R115" s="338"/>
      <c r="T115" s="117" t="str">
        <f t="shared" ca="1" si="32"/>
        <v/>
      </c>
      <c r="U115" s="163" t="str">
        <f t="shared" ca="1" si="33"/>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34"/>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t="str">
        <f ca="1">ORÇAMENTO!C116</f>
        <v>S</v>
      </c>
      <c r="B116">
        <f ca="1">ORÇAMENTO!D116</f>
        <v>0</v>
      </c>
      <c r="C116" s="114" t="str">
        <f t="shared" ca="1" si="28"/>
        <v/>
      </c>
      <c r="D116" s="117" t="str">
        <f ca="1">ORÇAMENTO!O116</f>
        <v>-</v>
      </c>
      <c r="E116" s="163" t="str">
        <f t="shared" ca="1" si="29"/>
        <v>(Sem Código)</v>
      </c>
      <c r="F116" s="164" t="str" cm="1">
        <f t="array" aca="1" ref="F116" ca="1">IF(RegimeExecucao="Global","",ORÇAMENTO.Unidade)</f>
        <v>-</v>
      </c>
      <c r="G116" s="122" cm="1">
        <f t="array" aca="1" ref="G116" ca="1">IF(RegimeExecucao="Global","",ORÇAMENTO!T116)</f>
        <v>0</v>
      </c>
      <c r="H116" s="122" cm="1">
        <f t="array" aca="1" ref="H116" ca="1">IF(RegimeExecucao="Global","",ORÇAMENTO!W116)</f>
        <v>0</v>
      </c>
      <c r="I116" s="125">
        <f ca="1">ORÇAMENTO!X116</f>
        <v>0</v>
      </c>
      <c r="J116" s="333" cm="1">
        <f t="array" aca="1" ref="J116" ca="1">IF($A116="S",IF(CAIXA.Modo,BM.AFAnterior,BM.MEDAnterior),IF(AND(RegimeExecucao="Global",$I116&gt;0,COUNTIF($AB$13:$AM$13,BM.medicao-1)&gt;0),M116/$I116*100,0))</f>
        <v>0</v>
      </c>
      <c r="K116" s="122">
        <f t="shared" ca="1" si="30"/>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31"/>
        <v>0</v>
      </c>
      <c r="O116" s="125" cm="1">
        <f t="array" aca="1" ref="O116" ca="1">IF($A116="S",VTOTALBM,IF($A116=0,0,ROUND(SomaAgrupBM,15-13*ORÇAMENTO!$AF$11)))</f>
        <v>0</v>
      </c>
      <c r="Q116" s="337"/>
      <c r="R116" s="338"/>
      <c r="T116" s="117" t="str">
        <f t="shared" ca="1" si="32"/>
        <v/>
      </c>
      <c r="U116" s="163" t="str">
        <f t="shared" ca="1" si="33"/>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34"/>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t="str">
        <f ca="1">ORÇAMENTO!C117</f>
        <v>S</v>
      </c>
      <c r="B117">
        <f ca="1">ORÇAMENTO!D117</f>
        <v>0</v>
      </c>
      <c r="C117" s="114" t="str">
        <f t="shared" ca="1" si="28"/>
        <v/>
      </c>
      <c r="D117" s="117" t="str">
        <f ca="1">ORÇAMENTO!O117</f>
        <v>-</v>
      </c>
      <c r="E117" s="163" t="str">
        <f t="shared" ca="1" si="29"/>
        <v>(Sem Código)</v>
      </c>
      <c r="F117" s="164" t="str" cm="1">
        <f t="array" aca="1" ref="F117" ca="1">IF(RegimeExecucao="Global","",ORÇAMENTO.Unidade)</f>
        <v>-</v>
      </c>
      <c r="G117" s="122" cm="1">
        <f t="array" aca="1" ref="G117" ca="1">IF(RegimeExecucao="Global","",ORÇAMENTO!T117)</f>
        <v>0</v>
      </c>
      <c r="H117" s="122" cm="1">
        <f t="array" aca="1" ref="H117" ca="1">IF(RegimeExecucao="Global","",ORÇAMENTO!W117)</f>
        <v>0</v>
      </c>
      <c r="I117" s="125">
        <f ca="1">ORÇAMENTO!X117</f>
        <v>0</v>
      </c>
      <c r="J117" s="333" cm="1">
        <f t="array" aca="1" ref="J117" ca="1">IF($A117="S",IF(CAIXA.Modo,BM.AFAnterior,BM.MEDAnterior),IF(AND(RegimeExecucao="Global",$I117&gt;0,COUNTIF($AB$13:$AM$13,BM.medicao-1)&gt;0),M117/$I117*100,0))</f>
        <v>0</v>
      </c>
      <c r="K117" s="122">
        <f t="shared" ca="1" si="30"/>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31"/>
        <v>0</v>
      </c>
      <c r="O117" s="125" cm="1">
        <f t="array" aca="1" ref="O117" ca="1">IF($A117="S",VTOTALBM,IF($A117=0,0,ROUND(SomaAgrupBM,15-13*ORÇAMENTO!$AF$11)))</f>
        <v>0</v>
      </c>
      <c r="Q117" s="337"/>
      <c r="R117" s="338"/>
      <c r="T117" s="117" t="str">
        <f t="shared" ca="1" si="32"/>
        <v/>
      </c>
      <c r="U117" s="163" t="str">
        <f t="shared" ca="1" si="33"/>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34"/>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x14ac:dyDescent="0.2">
      <c r="A118" t="str">
        <f ca="1">ORÇAMENTO!C118</f>
        <v>S</v>
      </c>
      <c r="B118">
        <f ca="1">ORÇAMENTO!D118</f>
        <v>0</v>
      </c>
      <c r="C118" s="114" t="str">
        <f t="shared" ca="1" si="28"/>
        <v/>
      </c>
      <c r="D118" s="117" t="str">
        <f ca="1">ORÇAMENTO!O118</f>
        <v>-</v>
      </c>
      <c r="E118" s="163" t="str">
        <f t="shared" ca="1" si="29"/>
        <v>(Sem Código)</v>
      </c>
      <c r="F118" s="164" t="str" cm="1">
        <f t="array" aca="1" ref="F118" ca="1">IF(RegimeExecucao="Global","",ORÇAMENTO.Unidade)</f>
        <v>-</v>
      </c>
      <c r="G118" s="122" cm="1">
        <f t="array" aca="1" ref="G118" ca="1">IF(RegimeExecucao="Global","",ORÇAMENTO!T118)</f>
        <v>0</v>
      </c>
      <c r="H118" s="122" cm="1">
        <f t="array" aca="1" ref="H118" ca="1">IF(RegimeExecucao="Global","",ORÇAMENTO!W118)</f>
        <v>0</v>
      </c>
      <c r="I118" s="125">
        <f ca="1">ORÇAMENTO!X118</f>
        <v>0</v>
      </c>
      <c r="J118" s="333" cm="1">
        <f t="array" aca="1" ref="J118" ca="1">IF($A118="S",IF(CAIXA.Modo,BM.AFAnterior,BM.MEDAnterior),IF(AND(RegimeExecucao="Global",$I118&gt;0,COUNTIF($AB$13:$AM$13,BM.medicao-1)&gt;0),M118/$I118*100,0))</f>
        <v>0</v>
      </c>
      <c r="K118" s="122">
        <f t="shared" ca="1" si="30"/>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31"/>
        <v>0</v>
      </c>
      <c r="O118" s="125" cm="1">
        <f t="array" aca="1" ref="O118" ca="1">IF($A118="S",VTOTALBM,IF($A118=0,0,ROUND(SomaAgrupBM,15-13*ORÇAMENTO!$AF$11)))</f>
        <v>0</v>
      </c>
      <c r="Q118" s="337"/>
      <c r="R118" s="338"/>
      <c r="T118" s="117" t="str">
        <f t="shared" ca="1" si="32"/>
        <v/>
      </c>
      <c r="U118" s="163" t="str">
        <f t="shared" ca="1" si="33"/>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34"/>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x14ac:dyDescent="0.2">
      <c r="A119" t="str">
        <f ca="1">ORÇAMENTO!C119</f>
        <v>S</v>
      </c>
      <c r="B119">
        <f ca="1">ORÇAMENTO!D119</f>
        <v>0</v>
      </c>
      <c r="C119" s="114" t="str">
        <f t="shared" ca="1" si="28"/>
        <v/>
      </c>
      <c r="D119" s="117" t="str">
        <f ca="1">ORÇAMENTO!O119</f>
        <v>-</v>
      </c>
      <c r="E119" s="163" t="str">
        <f t="shared" ca="1" si="29"/>
        <v>(Sem Código)</v>
      </c>
      <c r="F119" s="164" t="str" cm="1">
        <f t="array" aca="1" ref="F119" ca="1">IF(RegimeExecucao="Global","",ORÇAMENTO.Unidade)</f>
        <v>-</v>
      </c>
      <c r="G119" s="122" cm="1">
        <f t="array" aca="1" ref="G119" ca="1">IF(RegimeExecucao="Global","",ORÇAMENTO!T119)</f>
        <v>0</v>
      </c>
      <c r="H119" s="122" cm="1">
        <f t="array" aca="1" ref="H119" ca="1">IF(RegimeExecucao="Global","",ORÇAMENTO!W119)</f>
        <v>0</v>
      </c>
      <c r="I119" s="125">
        <f ca="1">ORÇAMENTO!X119</f>
        <v>0</v>
      </c>
      <c r="J119" s="333" cm="1">
        <f t="array" aca="1" ref="J119" ca="1">IF($A119="S",IF(CAIXA.Modo,BM.AFAnterior,BM.MEDAnterior),IF(AND(RegimeExecucao="Global",$I119&gt;0,COUNTIF($AB$13:$AM$13,BM.medicao-1)&gt;0),M119/$I119*100,0))</f>
        <v>0</v>
      </c>
      <c r="K119" s="122">
        <f t="shared" ca="1" si="30"/>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31"/>
        <v>0</v>
      </c>
      <c r="O119" s="125" cm="1">
        <f t="array" aca="1" ref="O119" ca="1">IF($A119="S",VTOTALBM,IF($A119=0,0,ROUND(SomaAgrupBM,15-13*ORÇAMENTO!$AF$11)))</f>
        <v>0</v>
      </c>
      <c r="Q119" s="337"/>
      <c r="R119" s="338"/>
      <c r="T119" s="117" t="str">
        <f t="shared" ca="1" si="32"/>
        <v/>
      </c>
      <c r="U119" s="163" t="str">
        <f t="shared" ca="1" si="33"/>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34"/>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x14ac:dyDescent="0.2">
      <c r="A120" t="str">
        <f ca="1">ORÇAMENTO!C120</f>
        <v>S</v>
      </c>
      <c r="B120">
        <f ca="1">ORÇAMENTO!D120</f>
        <v>0</v>
      </c>
      <c r="C120" s="114" t="str">
        <f t="shared" ca="1" si="28"/>
        <v/>
      </c>
      <c r="D120" s="117" t="str">
        <f ca="1">ORÇAMENTO!O120</f>
        <v>-</v>
      </c>
      <c r="E120" s="163" t="str">
        <f t="shared" ca="1" si="29"/>
        <v>(Sem Código)</v>
      </c>
      <c r="F120" s="164" t="str" cm="1">
        <f t="array" aca="1" ref="F120" ca="1">IF(RegimeExecucao="Global","",ORÇAMENTO.Unidade)</f>
        <v>-</v>
      </c>
      <c r="G120" s="122" cm="1">
        <f t="array" aca="1" ref="G120" ca="1">IF(RegimeExecucao="Global","",ORÇAMENTO!T120)</f>
        <v>0</v>
      </c>
      <c r="H120" s="122" cm="1">
        <f t="array" aca="1" ref="H120" ca="1">IF(RegimeExecucao="Global","",ORÇAMENTO!W120)</f>
        <v>0</v>
      </c>
      <c r="I120" s="125">
        <f ca="1">ORÇAMENTO!X120</f>
        <v>0</v>
      </c>
      <c r="J120" s="333" cm="1">
        <f t="array" aca="1" ref="J120" ca="1">IF($A120="S",IF(CAIXA.Modo,BM.AFAnterior,BM.MEDAnterior),IF(AND(RegimeExecucao="Global",$I120&gt;0,COUNTIF($AB$13:$AM$13,BM.medicao-1)&gt;0),M120/$I120*100,0))</f>
        <v>0</v>
      </c>
      <c r="K120" s="122">
        <f t="shared" ca="1" si="30"/>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31"/>
        <v>0</v>
      </c>
      <c r="O120" s="125" cm="1">
        <f t="array" aca="1" ref="O120" ca="1">IF($A120="S",VTOTALBM,IF($A120=0,0,ROUND(SomaAgrupBM,15-13*ORÇAMENTO!$AF$11)))</f>
        <v>0</v>
      </c>
      <c r="Q120" s="337"/>
      <c r="R120" s="338"/>
      <c r="T120" s="117" t="str">
        <f t="shared" ca="1" si="32"/>
        <v/>
      </c>
      <c r="U120" s="163" t="str">
        <f t="shared" ca="1" si="33"/>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34"/>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x14ac:dyDescent="0.2">
      <c r="A121" t="str">
        <f ca="1">ORÇAMENTO!C121</f>
        <v>S</v>
      </c>
      <c r="B121">
        <f ca="1">ORÇAMENTO!D121</f>
        <v>0</v>
      </c>
      <c r="C121" s="114" t="str">
        <f t="shared" ca="1" si="28"/>
        <v/>
      </c>
      <c r="D121" s="117" t="str">
        <f ca="1">ORÇAMENTO!O121</f>
        <v>-</v>
      </c>
      <c r="E121" s="163" t="str">
        <f t="shared" ca="1" si="29"/>
        <v>(Sem Código)</v>
      </c>
      <c r="F121" s="164" t="str" cm="1">
        <f t="array" aca="1" ref="F121" ca="1">IF(RegimeExecucao="Global","",ORÇAMENTO.Unidade)</f>
        <v>-</v>
      </c>
      <c r="G121" s="122" cm="1">
        <f t="array" aca="1" ref="G121" ca="1">IF(RegimeExecucao="Global","",ORÇAMENTO!T121)</f>
        <v>0</v>
      </c>
      <c r="H121" s="122" cm="1">
        <f t="array" aca="1" ref="H121" ca="1">IF(RegimeExecucao="Global","",ORÇAMENTO!W121)</f>
        <v>0</v>
      </c>
      <c r="I121" s="125">
        <f ca="1">ORÇAMENTO!X121</f>
        <v>0</v>
      </c>
      <c r="J121" s="333" cm="1">
        <f t="array" aca="1" ref="J121" ca="1">IF($A121="S",IF(CAIXA.Modo,BM.AFAnterior,BM.MEDAnterior),IF(AND(RegimeExecucao="Global",$I121&gt;0,COUNTIF($AB$13:$AM$13,BM.medicao-1)&gt;0),M121/$I121*100,0))</f>
        <v>0</v>
      </c>
      <c r="K121" s="122">
        <f t="shared" ca="1" si="30"/>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31"/>
        <v>0</v>
      </c>
      <c r="O121" s="125" cm="1">
        <f t="array" aca="1" ref="O121" ca="1">IF($A121="S",VTOTALBM,IF($A121=0,0,ROUND(SomaAgrupBM,15-13*ORÇAMENTO!$AF$11)))</f>
        <v>0</v>
      </c>
      <c r="Q121" s="337"/>
      <c r="R121" s="338"/>
      <c r="T121" s="117" t="str">
        <f t="shared" ca="1" si="32"/>
        <v/>
      </c>
      <c r="U121" s="163" t="str">
        <f t="shared" ca="1" si="33"/>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34"/>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x14ac:dyDescent="0.2">
      <c r="A122" t="str">
        <f ca="1">ORÇAMENTO!C122</f>
        <v>S</v>
      </c>
      <c r="B122">
        <f ca="1">ORÇAMENTO!D122</f>
        <v>0</v>
      </c>
      <c r="C122" s="114" t="str">
        <f t="shared" ca="1" si="28"/>
        <v/>
      </c>
      <c r="D122" s="117" t="str">
        <f ca="1">ORÇAMENTO!O122</f>
        <v>-</v>
      </c>
      <c r="E122" s="163" t="str">
        <f t="shared" ca="1" si="29"/>
        <v>(Sem Código)</v>
      </c>
      <c r="F122" s="164" t="str" cm="1">
        <f t="array" aca="1" ref="F122" ca="1">IF(RegimeExecucao="Global","",ORÇAMENTO.Unidade)</f>
        <v>-</v>
      </c>
      <c r="G122" s="122" cm="1">
        <f t="array" aca="1" ref="G122" ca="1">IF(RegimeExecucao="Global","",ORÇAMENTO!T122)</f>
        <v>0</v>
      </c>
      <c r="H122" s="122" cm="1">
        <f t="array" aca="1" ref="H122" ca="1">IF(RegimeExecucao="Global","",ORÇAMENTO!W122)</f>
        <v>0</v>
      </c>
      <c r="I122" s="125">
        <f ca="1">ORÇAMENTO!X122</f>
        <v>0</v>
      </c>
      <c r="J122" s="333" cm="1">
        <f t="array" aca="1" ref="J122" ca="1">IF($A122="S",IF(CAIXA.Modo,BM.AFAnterior,BM.MEDAnterior),IF(AND(RegimeExecucao="Global",$I122&gt;0,COUNTIF($AB$13:$AM$13,BM.medicao-1)&gt;0),M122/$I122*100,0))</f>
        <v>0</v>
      </c>
      <c r="K122" s="122">
        <f t="shared" ca="1" si="30"/>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31"/>
        <v>0</v>
      </c>
      <c r="O122" s="125" cm="1">
        <f t="array" aca="1" ref="O122" ca="1">IF($A122="S",VTOTALBM,IF($A122=0,0,ROUND(SomaAgrupBM,15-13*ORÇAMENTO!$AF$11)))</f>
        <v>0</v>
      </c>
      <c r="Q122" s="337"/>
      <c r="R122" s="338"/>
      <c r="T122" s="117" t="str">
        <f t="shared" ca="1" si="32"/>
        <v/>
      </c>
      <c r="U122" s="163" t="str">
        <f t="shared" ca="1" si="33"/>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34"/>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x14ac:dyDescent="0.2">
      <c r="A123" t="str">
        <f ca="1">ORÇAMENTO!C123</f>
        <v>S</v>
      </c>
      <c r="B123">
        <f ca="1">ORÇAMENTO!D123</f>
        <v>0</v>
      </c>
      <c r="C123" s="114" t="str">
        <f t="shared" ca="1" si="28"/>
        <v/>
      </c>
      <c r="D123" s="117" t="str">
        <f ca="1">ORÇAMENTO!O123</f>
        <v>-</v>
      </c>
      <c r="E123" s="163" t="str">
        <f t="shared" ca="1" si="29"/>
        <v>(Sem Código)</v>
      </c>
      <c r="F123" s="164" t="str" cm="1">
        <f t="array" aca="1" ref="F123" ca="1">IF(RegimeExecucao="Global","",ORÇAMENTO.Unidade)</f>
        <v>-</v>
      </c>
      <c r="G123" s="122" cm="1">
        <f t="array" aca="1" ref="G123" ca="1">IF(RegimeExecucao="Global","",ORÇAMENTO!T123)</f>
        <v>0</v>
      </c>
      <c r="H123" s="122" cm="1">
        <f t="array" aca="1" ref="H123" ca="1">IF(RegimeExecucao="Global","",ORÇAMENTO!W123)</f>
        <v>0</v>
      </c>
      <c r="I123" s="125">
        <f ca="1">ORÇAMENTO!X123</f>
        <v>0</v>
      </c>
      <c r="J123" s="333" cm="1">
        <f t="array" aca="1" ref="J123" ca="1">IF($A123="S",IF(CAIXA.Modo,BM.AFAnterior,BM.MEDAnterior),IF(AND(RegimeExecucao="Global",$I123&gt;0,COUNTIF($AB$13:$AM$13,BM.medicao-1)&gt;0),M123/$I123*100,0))</f>
        <v>0</v>
      </c>
      <c r="K123" s="122">
        <f t="shared" ca="1" si="30"/>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31"/>
        <v>0</v>
      </c>
      <c r="O123" s="125" cm="1">
        <f t="array" aca="1" ref="O123" ca="1">IF($A123="S",VTOTALBM,IF($A123=0,0,ROUND(SomaAgrupBM,15-13*ORÇAMENTO!$AF$11)))</f>
        <v>0</v>
      </c>
      <c r="Q123" s="337"/>
      <c r="R123" s="338"/>
      <c r="T123" s="117" t="str">
        <f t="shared" ca="1" si="32"/>
        <v/>
      </c>
      <c r="U123" s="163" t="str">
        <f t="shared" ca="1" si="33"/>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34"/>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t="str">
        <f ca="1">ORÇAMENTO!C124</f>
        <v>S</v>
      </c>
      <c r="B124">
        <f ca="1">ORÇAMENTO!D124</f>
        <v>0</v>
      </c>
      <c r="C124" s="114" t="str">
        <f t="shared" ca="1" si="28"/>
        <v/>
      </c>
      <c r="D124" s="117" t="str">
        <f ca="1">ORÇAMENTO!O124</f>
        <v>-</v>
      </c>
      <c r="E124" s="163" t="str">
        <f t="shared" ca="1" si="29"/>
        <v>(Sem Código)</v>
      </c>
      <c r="F124" s="164" t="str" cm="1">
        <f t="array" aca="1" ref="F124" ca="1">IF(RegimeExecucao="Global","",ORÇAMENTO.Unidade)</f>
        <v>-</v>
      </c>
      <c r="G124" s="122" cm="1">
        <f t="array" aca="1" ref="G124" ca="1">IF(RegimeExecucao="Global","",ORÇAMENTO!T124)</f>
        <v>0</v>
      </c>
      <c r="H124" s="122" cm="1">
        <f t="array" aca="1" ref="H124" ca="1">IF(RegimeExecucao="Global","",ORÇAMENTO!W124)</f>
        <v>0</v>
      </c>
      <c r="I124" s="125">
        <f ca="1">ORÇAMENTO!X124</f>
        <v>0</v>
      </c>
      <c r="J124" s="333" cm="1">
        <f t="array" aca="1" ref="J124" ca="1">IF($A124="S",IF(CAIXA.Modo,BM.AFAnterior,BM.MEDAnterior),IF(AND(RegimeExecucao="Global",$I124&gt;0,COUNTIF($AB$13:$AM$13,BM.medicao-1)&gt;0),M124/$I124*100,0))</f>
        <v>0</v>
      </c>
      <c r="K124" s="122">
        <f t="shared" ca="1" si="30"/>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31"/>
        <v>0</v>
      </c>
      <c r="O124" s="125" cm="1">
        <f t="array" aca="1" ref="O124" ca="1">IF($A124="S",VTOTALBM,IF($A124=0,0,ROUND(SomaAgrupBM,15-13*ORÇAMENTO!$AF$11)))</f>
        <v>0</v>
      </c>
      <c r="Q124" s="337"/>
      <c r="R124" s="338"/>
      <c r="T124" s="117" t="str">
        <f t="shared" ca="1" si="32"/>
        <v/>
      </c>
      <c r="U124" s="163" t="str">
        <f t="shared" ca="1" si="33"/>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34"/>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t="str">
        <f ca="1">ORÇAMENTO!C125</f>
        <v>S</v>
      </c>
      <c r="B125">
        <f ca="1">ORÇAMENTO!D125</f>
        <v>0</v>
      </c>
      <c r="C125" s="114" t="str">
        <f t="shared" ca="1" si="28"/>
        <v/>
      </c>
      <c r="D125" s="117" t="str">
        <f ca="1">ORÇAMENTO!O125</f>
        <v>-</v>
      </c>
      <c r="E125" s="163" t="str">
        <f t="shared" ca="1" si="29"/>
        <v>(Sem Código)</v>
      </c>
      <c r="F125" s="164" t="str" cm="1">
        <f t="array" aca="1" ref="F125" ca="1">IF(RegimeExecucao="Global","",ORÇAMENTO.Unidade)</f>
        <v>-</v>
      </c>
      <c r="G125" s="122" cm="1">
        <f t="array" aca="1" ref="G125" ca="1">IF(RegimeExecucao="Global","",ORÇAMENTO!T125)</f>
        <v>0</v>
      </c>
      <c r="H125" s="122" cm="1">
        <f t="array" aca="1" ref="H125" ca="1">IF(RegimeExecucao="Global","",ORÇAMENTO!W125)</f>
        <v>0</v>
      </c>
      <c r="I125" s="125">
        <f ca="1">ORÇAMENTO!X125</f>
        <v>0</v>
      </c>
      <c r="J125" s="333" cm="1">
        <f t="array" aca="1" ref="J125" ca="1">IF($A125="S",IF(CAIXA.Modo,BM.AFAnterior,BM.MEDAnterior),IF(AND(RegimeExecucao="Global",$I125&gt;0,COUNTIF($AB$13:$AM$13,BM.medicao-1)&gt;0),M125/$I125*100,0))</f>
        <v>0</v>
      </c>
      <c r="K125" s="122">
        <f t="shared" ca="1" si="30"/>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31"/>
        <v>0</v>
      </c>
      <c r="O125" s="125" cm="1">
        <f t="array" aca="1" ref="O125" ca="1">IF($A125="S",VTOTALBM,IF($A125=0,0,ROUND(SomaAgrupBM,15-13*ORÇAMENTO!$AF$11)))</f>
        <v>0</v>
      </c>
      <c r="Q125" s="337"/>
      <c r="R125" s="338"/>
      <c r="T125" s="117" t="str">
        <f t="shared" ca="1" si="32"/>
        <v/>
      </c>
      <c r="U125" s="163" t="str">
        <f t="shared" ca="1" si="33"/>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34"/>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x14ac:dyDescent="0.2">
      <c r="A126" t="str">
        <f ca="1">ORÇAMENTO!C126</f>
        <v>S</v>
      </c>
      <c r="B126">
        <f ca="1">ORÇAMENTO!D126</f>
        <v>0</v>
      </c>
      <c r="C126" s="114" t="str">
        <f t="shared" ca="1" si="28"/>
        <v/>
      </c>
      <c r="D126" s="117" t="str">
        <f ca="1">ORÇAMENTO!O126</f>
        <v>-</v>
      </c>
      <c r="E126" s="163" t="str">
        <f t="shared" ca="1" si="29"/>
        <v>(Sem Código)</v>
      </c>
      <c r="F126" s="164" t="str" cm="1">
        <f t="array" aca="1" ref="F126" ca="1">IF(RegimeExecucao="Global","",ORÇAMENTO.Unidade)</f>
        <v>-</v>
      </c>
      <c r="G126" s="122" cm="1">
        <f t="array" aca="1" ref="G126" ca="1">IF(RegimeExecucao="Global","",ORÇAMENTO!T126)</f>
        <v>0</v>
      </c>
      <c r="H126" s="122" cm="1">
        <f t="array" aca="1" ref="H126" ca="1">IF(RegimeExecucao="Global","",ORÇAMENTO!W126)</f>
        <v>0</v>
      </c>
      <c r="I126" s="125">
        <f ca="1">ORÇAMENTO!X126</f>
        <v>0</v>
      </c>
      <c r="J126" s="333" cm="1">
        <f t="array" aca="1" ref="J126" ca="1">IF($A126="S",IF(CAIXA.Modo,BM.AFAnterior,BM.MEDAnterior),IF(AND(RegimeExecucao="Global",$I126&gt;0,COUNTIF($AB$13:$AM$13,BM.medicao-1)&gt;0),M126/$I126*100,0))</f>
        <v>0</v>
      </c>
      <c r="K126" s="122">
        <f t="shared" ca="1" si="30"/>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31"/>
        <v>0</v>
      </c>
      <c r="O126" s="125" cm="1">
        <f t="array" aca="1" ref="O126" ca="1">IF($A126="S",VTOTALBM,IF($A126=0,0,ROUND(SomaAgrupBM,15-13*ORÇAMENTO!$AF$11)))</f>
        <v>0</v>
      </c>
      <c r="Q126" s="337"/>
      <c r="R126" s="338"/>
      <c r="T126" s="117" t="str">
        <f t="shared" ca="1" si="32"/>
        <v/>
      </c>
      <c r="U126" s="163" t="str">
        <f t="shared" ca="1" si="33"/>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34"/>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t="str">
        <f ca="1">ORÇAMENTO!C127</f>
        <v>S</v>
      </c>
      <c r="B127">
        <f ca="1">ORÇAMENTO!D127</f>
        <v>0</v>
      </c>
      <c r="C127" s="114" t="str">
        <f t="shared" ca="1" si="28"/>
        <v/>
      </c>
      <c r="D127" s="117" t="str">
        <f ca="1">ORÇAMENTO!O127</f>
        <v>-</v>
      </c>
      <c r="E127" s="163" t="str">
        <f t="shared" ca="1" si="29"/>
        <v>(Sem Código)</v>
      </c>
      <c r="F127" s="164" t="str" cm="1">
        <f t="array" aca="1" ref="F127" ca="1">IF(RegimeExecucao="Global","",ORÇAMENTO.Unidade)</f>
        <v>-</v>
      </c>
      <c r="G127" s="122" cm="1">
        <f t="array" aca="1" ref="G127" ca="1">IF(RegimeExecucao="Global","",ORÇAMENTO!T127)</f>
        <v>0</v>
      </c>
      <c r="H127" s="122" cm="1">
        <f t="array" aca="1" ref="H127" ca="1">IF(RegimeExecucao="Global","",ORÇAMENTO!W127)</f>
        <v>0</v>
      </c>
      <c r="I127" s="125">
        <f ca="1">ORÇAMENTO!X127</f>
        <v>0</v>
      </c>
      <c r="J127" s="333" cm="1">
        <f t="array" aca="1" ref="J127" ca="1">IF($A127="S",IF(CAIXA.Modo,BM.AFAnterior,BM.MEDAnterior),IF(AND(RegimeExecucao="Global",$I127&gt;0,COUNTIF($AB$13:$AM$13,BM.medicao-1)&gt;0),M127/$I127*100,0))</f>
        <v>0</v>
      </c>
      <c r="K127" s="122">
        <f t="shared" ca="1" si="30"/>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31"/>
        <v>0</v>
      </c>
      <c r="O127" s="125" cm="1">
        <f t="array" aca="1" ref="O127" ca="1">IF($A127="S",VTOTALBM,IF($A127=0,0,ROUND(SomaAgrupBM,15-13*ORÇAMENTO!$AF$11)))</f>
        <v>0</v>
      </c>
      <c r="Q127" s="337"/>
      <c r="R127" s="338"/>
      <c r="T127" s="117" t="str">
        <f t="shared" ca="1" si="32"/>
        <v/>
      </c>
      <c r="U127" s="163" t="str">
        <f t="shared" ca="1" si="33"/>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34"/>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t="str">
        <f ca="1">ORÇAMENTO!C128</f>
        <v>S</v>
      </c>
      <c r="B128">
        <f ca="1">ORÇAMENTO!D128</f>
        <v>0</v>
      </c>
      <c r="C128" s="114" t="str">
        <f t="shared" ca="1" si="28"/>
        <v/>
      </c>
      <c r="D128" s="117" t="str">
        <f ca="1">ORÇAMENTO!O128</f>
        <v>-</v>
      </c>
      <c r="E128" s="163" t="str">
        <f t="shared" ca="1" si="29"/>
        <v>(Sem Código)</v>
      </c>
      <c r="F128" s="164" t="str" cm="1">
        <f t="array" aca="1" ref="F128" ca="1">IF(RegimeExecucao="Global","",ORÇAMENTO.Unidade)</f>
        <v>-</v>
      </c>
      <c r="G128" s="122" cm="1">
        <f t="array" aca="1" ref="G128" ca="1">IF(RegimeExecucao="Global","",ORÇAMENTO!T128)</f>
        <v>0</v>
      </c>
      <c r="H128" s="122" cm="1">
        <f t="array" aca="1" ref="H128" ca="1">IF(RegimeExecucao="Global","",ORÇAMENTO!W128)</f>
        <v>0</v>
      </c>
      <c r="I128" s="125">
        <f ca="1">ORÇAMENTO!X128</f>
        <v>0</v>
      </c>
      <c r="J128" s="333" cm="1">
        <f t="array" aca="1" ref="J128" ca="1">IF($A128="S",IF(CAIXA.Modo,BM.AFAnterior,BM.MEDAnterior),IF(AND(RegimeExecucao="Global",$I128&gt;0,COUNTIF($AB$13:$AM$13,BM.medicao-1)&gt;0),M128/$I128*100,0))</f>
        <v>0</v>
      </c>
      <c r="K128" s="122">
        <f t="shared" ca="1" si="30"/>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31"/>
        <v>0</v>
      </c>
      <c r="O128" s="125" cm="1">
        <f t="array" aca="1" ref="O128" ca="1">IF($A128="S",VTOTALBM,IF($A128=0,0,ROUND(SomaAgrupBM,15-13*ORÇAMENTO!$AF$11)))</f>
        <v>0</v>
      </c>
      <c r="Q128" s="337"/>
      <c r="R128" s="338"/>
      <c r="T128" s="117" t="str">
        <f t="shared" ca="1" si="32"/>
        <v/>
      </c>
      <c r="U128" s="163" t="str">
        <f t="shared" ca="1" si="33"/>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34"/>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x14ac:dyDescent="0.2">
      <c r="A129" t="str">
        <f ca="1">ORÇAMENTO!C129</f>
        <v>S</v>
      </c>
      <c r="B129">
        <f ca="1">ORÇAMENTO!D129</f>
        <v>0</v>
      </c>
      <c r="C129" s="114" t="str">
        <f t="shared" ca="1" si="28"/>
        <v/>
      </c>
      <c r="D129" s="117" t="str">
        <f ca="1">ORÇAMENTO!O129</f>
        <v>-</v>
      </c>
      <c r="E129" s="163" t="str">
        <f t="shared" ca="1" si="29"/>
        <v>(Sem Código)</v>
      </c>
      <c r="F129" s="164" t="str" cm="1">
        <f t="array" aca="1" ref="F129" ca="1">IF(RegimeExecucao="Global","",ORÇAMENTO.Unidade)</f>
        <v>-</v>
      </c>
      <c r="G129" s="122" cm="1">
        <f t="array" aca="1" ref="G129" ca="1">IF(RegimeExecucao="Global","",ORÇAMENTO!T129)</f>
        <v>0</v>
      </c>
      <c r="H129" s="122" cm="1">
        <f t="array" aca="1" ref="H129" ca="1">IF(RegimeExecucao="Global","",ORÇAMENTO!W129)</f>
        <v>0</v>
      </c>
      <c r="I129" s="125">
        <f ca="1">ORÇAMENTO!X129</f>
        <v>0</v>
      </c>
      <c r="J129" s="333" cm="1">
        <f t="array" aca="1" ref="J129" ca="1">IF($A129="S",IF(CAIXA.Modo,BM.AFAnterior,BM.MEDAnterior),IF(AND(RegimeExecucao="Global",$I129&gt;0,COUNTIF($AB$13:$AM$13,BM.medicao-1)&gt;0),M129/$I129*100,0))</f>
        <v>0</v>
      </c>
      <c r="K129" s="122">
        <f t="shared" ca="1" si="30"/>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31"/>
        <v>0</v>
      </c>
      <c r="O129" s="125" cm="1">
        <f t="array" aca="1" ref="O129" ca="1">IF($A129="S",VTOTALBM,IF($A129=0,0,ROUND(SomaAgrupBM,15-13*ORÇAMENTO!$AF$11)))</f>
        <v>0</v>
      </c>
      <c r="Q129" s="337"/>
      <c r="R129" s="338"/>
      <c r="T129" s="117" t="str">
        <f t="shared" ca="1" si="32"/>
        <v/>
      </c>
      <c r="U129" s="163" t="str">
        <f t="shared" ca="1" si="33"/>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34"/>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x14ac:dyDescent="0.2">
      <c r="A130" t="str">
        <f ca="1">ORÇAMENTO!C130</f>
        <v>S</v>
      </c>
      <c r="B130">
        <f ca="1">ORÇAMENTO!D130</f>
        <v>0</v>
      </c>
      <c r="C130" s="114" t="str">
        <f t="shared" ca="1" si="28"/>
        <v/>
      </c>
      <c r="D130" s="117" t="str">
        <f ca="1">ORÇAMENTO!O130</f>
        <v>-</v>
      </c>
      <c r="E130" s="163" t="str">
        <f t="shared" ca="1" si="29"/>
        <v>(Sem Código)</v>
      </c>
      <c r="F130" s="164" t="str" cm="1">
        <f t="array" aca="1" ref="F130" ca="1">IF(RegimeExecucao="Global","",ORÇAMENTO.Unidade)</f>
        <v>-</v>
      </c>
      <c r="G130" s="122" cm="1">
        <f t="array" aca="1" ref="G130" ca="1">IF(RegimeExecucao="Global","",ORÇAMENTO!T130)</f>
        <v>0</v>
      </c>
      <c r="H130" s="122" cm="1">
        <f t="array" aca="1" ref="H130" ca="1">IF(RegimeExecucao="Global","",ORÇAMENTO!W130)</f>
        <v>0</v>
      </c>
      <c r="I130" s="125">
        <f ca="1">ORÇAMENTO!X130</f>
        <v>0</v>
      </c>
      <c r="J130" s="333" cm="1">
        <f t="array" aca="1" ref="J130" ca="1">IF($A130="S",IF(CAIXA.Modo,BM.AFAnterior,BM.MEDAnterior),IF(AND(RegimeExecucao="Global",$I130&gt;0,COUNTIF($AB$13:$AM$13,BM.medicao-1)&gt;0),M130/$I130*100,0))</f>
        <v>0</v>
      </c>
      <c r="K130" s="122">
        <f t="shared" ca="1" si="30"/>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31"/>
        <v>0</v>
      </c>
      <c r="O130" s="125" cm="1">
        <f t="array" aca="1" ref="O130" ca="1">IF($A130="S",VTOTALBM,IF($A130=0,0,ROUND(SomaAgrupBM,15-13*ORÇAMENTO!$AF$11)))</f>
        <v>0</v>
      </c>
      <c r="Q130" s="337"/>
      <c r="R130" s="338"/>
      <c r="T130" s="117" t="str">
        <f t="shared" ca="1" si="32"/>
        <v/>
      </c>
      <c r="U130" s="163" t="str">
        <f t="shared" ca="1" si="33"/>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34"/>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x14ac:dyDescent="0.2">
      <c r="A131" t="str">
        <f ca="1">ORÇAMENTO!C131</f>
        <v>S</v>
      </c>
      <c r="B131">
        <f ca="1">ORÇAMENTO!D131</f>
        <v>0</v>
      </c>
      <c r="C131" s="114" t="str">
        <f t="shared" ca="1" si="28"/>
        <v/>
      </c>
      <c r="D131" s="117" t="str">
        <f ca="1">ORÇAMENTO!O131</f>
        <v>-</v>
      </c>
      <c r="E131" s="163" t="str">
        <f t="shared" ca="1" si="29"/>
        <v>(Sem Código)</v>
      </c>
      <c r="F131" s="164" t="str" cm="1">
        <f t="array" aca="1" ref="F131" ca="1">IF(RegimeExecucao="Global","",ORÇAMENTO.Unidade)</f>
        <v>-</v>
      </c>
      <c r="G131" s="122" cm="1">
        <f t="array" aca="1" ref="G131" ca="1">IF(RegimeExecucao="Global","",ORÇAMENTO!T131)</f>
        <v>0</v>
      </c>
      <c r="H131" s="122" cm="1">
        <f t="array" aca="1" ref="H131" ca="1">IF(RegimeExecucao="Global","",ORÇAMENTO!W131)</f>
        <v>0</v>
      </c>
      <c r="I131" s="125">
        <f ca="1">ORÇAMENTO!X131</f>
        <v>0</v>
      </c>
      <c r="J131" s="333" cm="1">
        <f t="array" aca="1" ref="J131" ca="1">IF($A131="S",IF(CAIXA.Modo,BM.AFAnterior,BM.MEDAnterior),IF(AND(RegimeExecucao="Global",$I131&gt;0,COUNTIF($AB$13:$AM$13,BM.medicao-1)&gt;0),M131/$I131*100,0))</f>
        <v>0</v>
      </c>
      <c r="K131" s="122">
        <f t="shared" ca="1" si="30"/>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31"/>
        <v>0</v>
      </c>
      <c r="O131" s="125" cm="1">
        <f t="array" aca="1" ref="O131" ca="1">IF($A131="S",VTOTALBM,IF($A131=0,0,ROUND(SomaAgrupBM,15-13*ORÇAMENTO!$AF$11)))</f>
        <v>0</v>
      </c>
      <c r="Q131" s="337"/>
      <c r="R131" s="338"/>
      <c r="T131" s="117" t="str">
        <f t="shared" ca="1" si="32"/>
        <v/>
      </c>
      <c r="U131" s="163" t="str">
        <f t="shared" ca="1" si="33"/>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34"/>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x14ac:dyDescent="0.2">
      <c r="A132" t="str">
        <f ca="1">ORÇAMENTO!C132</f>
        <v>S</v>
      </c>
      <c r="B132">
        <f ca="1">ORÇAMENTO!D132</f>
        <v>0</v>
      </c>
      <c r="C132" s="114" t="str">
        <f t="shared" ca="1" si="28"/>
        <v/>
      </c>
      <c r="D132" s="117" t="str">
        <f ca="1">ORÇAMENTO!O132</f>
        <v>-</v>
      </c>
      <c r="E132" s="163" t="str">
        <f t="shared" ca="1" si="29"/>
        <v>(Sem Código)</v>
      </c>
      <c r="F132" s="164" t="str" cm="1">
        <f t="array" aca="1" ref="F132" ca="1">IF(RegimeExecucao="Global","",ORÇAMENTO.Unidade)</f>
        <v>-</v>
      </c>
      <c r="G132" s="122" cm="1">
        <f t="array" aca="1" ref="G132" ca="1">IF(RegimeExecucao="Global","",ORÇAMENTO!T132)</f>
        <v>0</v>
      </c>
      <c r="H132" s="122" cm="1">
        <f t="array" aca="1" ref="H132" ca="1">IF(RegimeExecucao="Global","",ORÇAMENTO!W132)</f>
        <v>0</v>
      </c>
      <c r="I132" s="125">
        <f ca="1">ORÇAMENTO!X132</f>
        <v>0</v>
      </c>
      <c r="J132" s="333" cm="1">
        <f t="array" aca="1" ref="J132" ca="1">IF($A132="S",IF(CAIXA.Modo,BM.AFAnterior,BM.MEDAnterior),IF(AND(RegimeExecucao="Global",$I132&gt;0,COUNTIF($AB$13:$AM$13,BM.medicao-1)&gt;0),M132/$I132*100,0))</f>
        <v>0</v>
      </c>
      <c r="K132" s="122">
        <f t="shared" ca="1" si="30"/>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31"/>
        <v>0</v>
      </c>
      <c r="O132" s="125" cm="1">
        <f t="array" aca="1" ref="O132" ca="1">IF($A132="S",VTOTALBM,IF($A132=0,0,ROUND(SomaAgrupBM,15-13*ORÇAMENTO!$AF$11)))</f>
        <v>0</v>
      </c>
      <c r="Q132" s="337"/>
      <c r="R132" s="338"/>
      <c r="T132" s="117" t="str">
        <f t="shared" ca="1" si="32"/>
        <v/>
      </c>
      <c r="U132" s="163" t="str">
        <f t="shared" ca="1" si="33"/>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34"/>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t="str">
        <f ca="1">ORÇAMENTO!C133</f>
        <v>S</v>
      </c>
      <c r="B133">
        <f ca="1">ORÇAMENTO!D133</f>
        <v>0</v>
      </c>
      <c r="C133" s="114" t="str">
        <f t="shared" ca="1" si="28"/>
        <v/>
      </c>
      <c r="D133" s="117" t="str">
        <f ca="1">ORÇAMENTO!O133</f>
        <v>-</v>
      </c>
      <c r="E133" s="163" t="str">
        <f t="shared" ca="1" si="29"/>
        <v>(Sem Código)</v>
      </c>
      <c r="F133" s="164" t="str" cm="1">
        <f t="array" aca="1" ref="F133" ca="1">IF(RegimeExecucao="Global","",ORÇAMENTO.Unidade)</f>
        <v>-</v>
      </c>
      <c r="G133" s="122" cm="1">
        <f t="array" aca="1" ref="G133" ca="1">IF(RegimeExecucao="Global","",ORÇAMENTO!T133)</f>
        <v>0</v>
      </c>
      <c r="H133" s="122" cm="1">
        <f t="array" aca="1" ref="H133" ca="1">IF(RegimeExecucao="Global","",ORÇAMENTO!W133)</f>
        <v>0</v>
      </c>
      <c r="I133" s="125">
        <f ca="1">ORÇAMENTO!X133</f>
        <v>0</v>
      </c>
      <c r="J133" s="333" cm="1">
        <f t="array" aca="1" ref="J133" ca="1">IF($A133="S",IF(CAIXA.Modo,BM.AFAnterior,BM.MEDAnterior),IF(AND(RegimeExecucao="Global",$I133&gt;0,COUNTIF($AB$13:$AM$13,BM.medicao-1)&gt;0),M133/$I133*100,0))</f>
        <v>0</v>
      </c>
      <c r="K133" s="122">
        <f t="shared" ca="1" si="30"/>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31"/>
        <v>0</v>
      </c>
      <c r="O133" s="125" cm="1">
        <f t="array" aca="1" ref="O133" ca="1">IF($A133="S",VTOTALBM,IF($A133=0,0,ROUND(SomaAgrupBM,15-13*ORÇAMENTO!$AF$11)))</f>
        <v>0</v>
      </c>
      <c r="Q133" s="337"/>
      <c r="R133" s="338"/>
      <c r="T133" s="117" t="str">
        <f t="shared" ca="1" si="32"/>
        <v/>
      </c>
      <c r="U133" s="163" t="str">
        <f t="shared" ca="1" si="33"/>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34"/>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t="str">
        <f ca="1">ORÇAMENTO!C134</f>
        <v>S</v>
      </c>
      <c r="B134">
        <f ca="1">ORÇAMENTO!D134</f>
        <v>0</v>
      </c>
      <c r="C134" s="114" t="str">
        <f t="shared" ca="1" si="28"/>
        <v/>
      </c>
      <c r="D134" s="117" t="str">
        <f ca="1">ORÇAMENTO!O134</f>
        <v>-</v>
      </c>
      <c r="E134" s="163" t="str">
        <f t="shared" ca="1" si="29"/>
        <v>(Sem Código)</v>
      </c>
      <c r="F134" s="164" t="str" cm="1">
        <f t="array" aca="1" ref="F134" ca="1">IF(RegimeExecucao="Global","",ORÇAMENTO.Unidade)</f>
        <v>-</v>
      </c>
      <c r="G134" s="122" cm="1">
        <f t="array" aca="1" ref="G134" ca="1">IF(RegimeExecucao="Global","",ORÇAMENTO!T134)</f>
        <v>0</v>
      </c>
      <c r="H134" s="122" cm="1">
        <f t="array" aca="1" ref="H134" ca="1">IF(RegimeExecucao="Global","",ORÇAMENTO!W134)</f>
        <v>0</v>
      </c>
      <c r="I134" s="125">
        <f ca="1">ORÇAMENTO!X134</f>
        <v>0</v>
      </c>
      <c r="J134" s="333" cm="1">
        <f t="array" aca="1" ref="J134" ca="1">IF($A134="S",IF(CAIXA.Modo,BM.AFAnterior,BM.MEDAnterior),IF(AND(RegimeExecucao="Global",$I134&gt;0,COUNTIF($AB$13:$AM$13,BM.medicao-1)&gt;0),M134/$I134*100,0))</f>
        <v>0</v>
      </c>
      <c r="K134" s="122">
        <f t="shared" ca="1" si="30"/>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31"/>
        <v>0</v>
      </c>
      <c r="O134" s="125" cm="1">
        <f t="array" aca="1" ref="O134" ca="1">IF($A134="S",VTOTALBM,IF($A134=0,0,ROUND(SomaAgrupBM,15-13*ORÇAMENTO!$AF$11)))</f>
        <v>0</v>
      </c>
      <c r="Q134" s="337"/>
      <c r="R134" s="338"/>
      <c r="T134" s="117" t="str">
        <f t="shared" ca="1" si="32"/>
        <v/>
      </c>
      <c r="U134" s="163" t="str">
        <f t="shared" ca="1" si="33"/>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34"/>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x14ac:dyDescent="0.2">
      <c r="A135" t="str">
        <f ca="1">ORÇAMENTO!C135</f>
        <v>S</v>
      </c>
      <c r="B135">
        <f ca="1">ORÇAMENTO!D135</f>
        <v>0</v>
      </c>
      <c r="C135" s="114" t="str">
        <f t="shared" ca="1" si="28"/>
        <v/>
      </c>
      <c r="D135" s="117" t="str">
        <f ca="1">ORÇAMENTO!O135</f>
        <v>-</v>
      </c>
      <c r="E135" s="163" t="str">
        <f t="shared" ca="1" si="29"/>
        <v>(Sem Código)</v>
      </c>
      <c r="F135" s="164" t="str" cm="1">
        <f t="array" aca="1" ref="F135" ca="1">IF(RegimeExecucao="Global","",ORÇAMENTO.Unidade)</f>
        <v>-</v>
      </c>
      <c r="G135" s="122" cm="1">
        <f t="array" aca="1" ref="G135" ca="1">IF(RegimeExecucao="Global","",ORÇAMENTO!T135)</f>
        <v>0</v>
      </c>
      <c r="H135" s="122" cm="1">
        <f t="array" aca="1" ref="H135" ca="1">IF(RegimeExecucao="Global","",ORÇAMENTO!W135)</f>
        <v>0</v>
      </c>
      <c r="I135" s="125">
        <f ca="1">ORÇAMENTO!X135</f>
        <v>0</v>
      </c>
      <c r="J135" s="333" cm="1">
        <f t="array" aca="1" ref="J135" ca="1">IF($A135="S",IF(CAIXA.Modo,BM.AFAnterior,BM.MEDAnterior),IF(AND(RegimeExecucao="Global",$I135&gt;0,COUNTIF($AB$13:$AM$13,BM.medicao-1)&gt;0),M135/$I135*100,0))</f>
        <v>0</v>
      </c>
      <c r="K135" s="122">
        <f t="shared" ca="1" si="30"/>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31"/>
        <v>0</v>
      </c>
      <c r="O135" s="125" cm="1">
        <f t="array" aca="1" ref="O135" ca="1">IF($A135="S",VTOTALBM,IF($A135=0,0,ROUND(SomaAgrupBM,15-13*ORÇAMENTO!$AF$11)))</f>
        <v>0</v>
      </c>
      <c r="Q135" s="337"/>
      <c r="R135" s="338"/>
      <c r="T135" s="117" t="str">
        <f t="shared" ca="1" si="32"/>
        <v/>
      </c>
      <c r="U135" s="163" t="str">
        <f t="shared" ca="1" si="33"/>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34"/>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x14ac:dyDescent="0.2">
      <c r="A136" t="str">
        <f ca="1">ORÇAMENTO!C136</f>
        <v>S</v>
      </c>
      <c r="B136">
        <f ca="1">ORÇAMENTO!D136</f>
        <v>0</v>
      </c>
      <c r="C136" s="114" t="str">
        <f t="shared" ca="1" si="28"/>
        <v/>
      </c>
      <c r="D136" s="117" t="str">
        <f ca="1">ORÇAMENTO!O136</f>
        <v>-</v>
      </c>
      <c r="E136" s="163" t="str">
        <f t="shared" ca="1" si="29"/>
        <v>(Sem Código)</v>
      </c>
      <c r="F136" s="164" t="str" cm="1">
        <f t="array" aca="1" ref="F136" ca="1">IF(RegimeExecucao="Global","",ORÇAMENTO.Unidade)</f>
        <v>-</v>
      </c>
      <c r="G136" s="122" cm="1">
        <f t="array" aca="1" ref="G136" ca="1">IF(RegimeExecucao="Global","",ORÇAMENTO!T136)</f>
        <v>0</v>
      </c>
      <c r="H136" s="122" cm="1">
        <f t="array" aca="1" ref="H136" ca="1">IF(RegimeExecucao="Global","",ORÇAMENTO!W136)</f>
        <v>0</v>
      </c>
      <c r="I136" s="125">
        <f ca="1">ORÇAMENTO!X136</f>
        <v>0</v>
      </c>
      <c r="J136" s="333" cm="1">
        <f t="array" aca="1" ref="J136" ca="1">IF($A136="S",IF(CAIXA.Modo,BM.AFAnterior,BM.MEDAnterior),IF(AND(RegimeExecucao="Global",$I136&gt;0,COUNTIF($AB$13:$AM$13,BM.medicao-1)&gt;0),M136/$I136*100,0))</f>
        <v>0</v>
      </c>
      <c r="K136" s="122">
        <f t="shared" ca="1" si="30"/>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31"/>
        <v>0</v>
      </c>
      <c r="O136" s="125" cm="1">
        <f t="array" aca="1" ref="O136" ca="1">IF($A136="S",VTOTALBM,IF($A136=0,0,ROUND(SomaAgrupBM,15-13*ORÇAMENTO!$AF$11)))</f>
        <v>0</v>
      </c>
      <c r="Q136" s="337"/>
      <c r="R136" s="338"/>
      <c r="T136" s="117" t="str">
        <f t="shared" ca="1" si="32"/>
        <v/>
      </c>
      <c r="U136" s="163" t="str">
        <f t="shared" ca="1" si="33"/>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34"/>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x14ac:dyDescent="0.2">
      <c r="A137" t="str">
        <f ca="1">ORÇAMENTO!C137</f>
        <v>S</v>
      </c>
      <c r="B137">
        <f ca="1">ORÇAMENTO!D137</f>
        <v>0</v>
      </c>
      <c r="C137" s="114" t="str">
        <f t="shared" ca="1" si="28"/>
        <v/>
      </c>
      <c r="D137" s="117" t="str">
        <f ca="1">ORÇAMENTO!O137</f>
        <v>-</v>
      </c>
      <c r="E137" s="163" t="str">
        <f t="shared" ca="1" si="29"/>
        <v>(Sem Código)</v>
      </c>
      <c r="F137" s="164" t="str" cm="1">
        <f t="array" aca="1" ref="F137" ca="1">IF(RegimeExecucao="Global","",ORÇAMENTO.Unidade)</f>
        <v>-</v>
      </c>
      <c r="G137" s="122" cm="1">
        <f t="array" aca="1" ref="G137" ca="1">IF(RegimeExecucao="Global","",ORÇAMENTO!T137)</f>
        <v>0</v>
      </c>
      <c r="H137" s="122" cm="1">
        <f t="array" aca="1" ref="H137" ca="1">IF(RegimeExecucao="Global","",ORÇAMENTO!W137)</f>
        <v>0</v>
      </c>
      <c r="I137" s="125">
        <f ca="1">ORÇAMENTO!X137</f>
        <v>0</v>
      </c>
      <c r="J137" s="333" cm="1">
        <f t="array" aca="1" ref="J137" ca="1">IF($A137="S",IF(CAIXA.Modo,BM.AFAnterior,BM.MEDAnterior),IF(AND(RegimeExecucao="Global",$I137&gt;0,COUNTIF($AB$13:$AM$13,BM.medicao-1)&gt;0),M137/$I137*100,0))</f>
        <v>0</v>
      </c>
      <c r="K137" s="122">
        <f t="shared" ca="1" si="30"/>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31"/>
        <v>0</v>
      </c>
      <c r="O137" s="125" cm="1">
        <f t="array" aca="1" ref="O137" ca="1">IF($A137="S",VTOTALBM,IF($A137=0,0,ROUND(SomaAgrupBM,15-13*ORÇAMENTO!$AF$11)))</f>
        <v>0</v>
      </c>
      <c r="Q137" s="337"/>
      <c r="R137" s="338"/>
      <c r="T137" s="117" t="str">
        <f t="shared" ca="1" si="32"/>
        <v/>
      </c>
      <c r="U137" s="163" t="str">
        <f t="shared" ca="1" si="33"/>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34"/>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x14ac:dyDescent="0.2">
      <c r="A138" t="str">
        <f ca="1">ORÇAMENTO!C138</f>
        <v>S</v>
      </c>
      <c r="B138">
        <f ca="1">ORÇAMENTO!D138</f>
        <v>0</v>
      </c>
      <c r="C138" s="114" t="str">
        <f t="shared" ca="1" si="28"/>
        <v/>
      </c>
      <c r="D138" s="117" t="str">
        <f ca="1">ORÇAMENTO!O138</f>
        <v>-</v>
      </c>
      <c r="E138" s="163" t="str">
        <f t="shared" ca="1" si="29"/>
        <v>(Sem Código)</v>
      </c>
      <c r="F138" s="164" t="str" cm="1">
        <f t="array" aca="1" ref="F138" ca="1">IF(RegimeExecucao="Global","",ORÇAMENTO.Unidade)</f>
        <v>-</v>
      </c>
      <c r="G138" s="122" cm="1">
        <f t="array" aca="1" ref="G138" ca="1">IF(RegimeExecucao="Global","",ORÇAMENTO!T138)</f>
        <v>0</v>
      </c>
      <c r="H138" s="122" cm="1">
        <f t="array" aca="1" ref="H138" ca="1">IF(RegimeExecucao="Global","",ORÇAMENTO!W138)</f>
        <v>0</v>
      </c>
      <c r="I138" s="125">
        <f ca="1">ORÇAMENTO!X138</f>
        <v>0</v>
      </c>
      <c r="J138" s="333" cm="1">
        <f t="array" aca="1" ref="J138" ca="1">IF($A138="S",IF(CAIXA.Modo,BM.AFAnterior,BM.MEDAnterior),IF(AND(RegimeExecucao="Global",$I138&gt;0,COUNTIF($AB$13:$AM$13,BM.medicao-1)&gt;0),M138/$I138*100,0))</f>
        <v>0</v>
      </c>
      <c r="K138" s="122">
        <f t="shared" ca="1" si="30"/>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31"/>
        <v>0</v>
      </c>
      <c r="O138" s="125" cm="1">
        <f t="array" aca="1" ref="O138" ca="1">IF($A138="S",VTOTALBM,IF($A138=0,0,ROUND(SomaAgrupBM,15-13*ORÇAMENTO!$AF$11)))</f>
        <v>0</v>
      </c>
      <c r="Q138" s="337"/>
      <c r="R138" s="338"/>
      <c r="T138" s="117" t="str">
        <f t="shared" ca="1" si="32"/>
        <v/>
      </c>
      <c r="U138" s="163" t="str">
        <f t="shared" ca="1" si="33"/>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34"/>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x14ac:dyDescent="0.2">
      <c r="A139" t="str">
        <f ca="1">ORÇAMENTO!C139</f>
        <v>S</v>
      </c>
      <c r="B139">
        <f ca="1">ORÇAMENTO!D139</f>
        <v>0</v>
      </c>
      <c r="C139" s="114" t="str">
        <f t="shared" ca="1" si="28"/>
        <v/>
      </c>
      <c r="D139" s="117" t="str">
        <f ca="1">ORÇAMENTO!O139</f>
        <v>-</v>
      </c>
      <c r="E139" s="163" t="str">
        <f t="shared" ca="1" si="29"/>
        <v>(Sem Código)</v>
      </c>
      <c r="F139" s="164" t="str" cm="1">
        <f t="array" aca="1" ref="F139" ca="1">IF(RegimeExecucao="Global","",ORÇAMENTO.Unidade)</f>
        <v>-</v>
      </c>
      <c r="G139" s="122" cm="1">
        <f t="array" aca="1" ref="G139" ca="1">IF(RegimeExecucao="Global","",ORÇAMENTO!T139)</f>
        <v>0</v>
      </c>
      <c r="H139" s="122" cm="1">
        <f t="array" aca="1" ref="H139" ca="1">IF(RegimeExecucao="Global","",ORÇAMENTO!W139)</f>
        <v>0</v>
      </c>
      <c r="I139" s="125">
        <f ca="1">ORÇAMENTO!X139</f>
        <v>0</v>
      </c>
      <c r="J139" s="333" cm="1">
        <f t="array" aca="1" ref="J139" ca="1">IF($A139="S",IF(CAIXA.Modo,BM.AFAnterior,BM.MEDAnterior),IF(AND(RegimeExecucao="Global",$I139&gt;0,COUNTIF($AB$13:$AM$13,BM.medicao-1)&gt;0),M139/$I139*100,0))</f>
        <v>0</v>
      </c>
      <c r="K139" s="122">
        <f t="shared" ca="1" si="30"/>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31"/>
        <v>0</v>
      </c>
      <c r="O139" s="125" cm="1">
        <f t="array" aca="1" ref="O139" ca="1">IF($A139="S",VTOTALBM,IF($A139=0,0,ROUND(SomaAgrupBM,15-13*ORÇAMENTO!$AF$11)))</f>
        <v>0</v>
      </c>
      <c r="Q139" s="337"/>
      <c r="R139" s="338"/>
      <c r="T139" s="117" t="str">
        <f t="shared" ca="1" si="32"/>
        <v/>
      </c>
      <c r="U139" s="163" t="str">
        <f t="shared" ca="1" si="33"/>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34"/>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x14ac:dyDescent="0.2">
      <c r="A140" t="str">
        <f ca="1">ORÇAMENTO!C140</f>
        <v>S</v>
      </c>
      <c r="B140">
        <f ca="1">ORÇAMENTO!D140</f>
        <v>0</v>
      </c>
      <c r="C140" s="114" t="str">
        <f t="shared" ca="1" si="28"/>
        <v/>
      </c>
      <c r="D140" s="117" t="str">
        <f ca="1">ORÇAMENTO!O140</f>
        <v>-</v>
      </c>
      <c r="E140" s="163" t="str">
        <f t="shared" ca="1" si="29"/>
        <v>(Sem Código)</v>
      </c>
      <c r="F140" s="164" t="str" cm="1">
        <f t="array" aca="1" ref="F140" ca="1">IF(RegimeExecucao="Global","",ORÇAMENTO.Unidade)</f>
        <v>-</v>
      </c>
      <c r="G140" s="122" cm="1">
        <f t="array" aca="1" ref="G140" ca="1">IF(RegimeExecucao="Global","",ORÇAMENTO!T140)</f>
        <v>0</v>
      </c>
      <c r="H140" s="122" cm="1">
        <f t="array" aca="1" ref="H140" ca="1">IF(RegimeExecucao="Global","",ORÇAMENTO!W140)</f>
        <v>0</v>
      </c>
      <c r="I140" s="125">
        <f ca="1">ORÇAMENTO!X140</f>
        <v>0</v>
      </c>
      <c r="J140" s="333" cm="1">
        <f t="array" aca="1" ref="J140" ca="1">IF($A140="S",IF(CAIXA.Modo,BM.AFAnterior,BM.MEDAnterior),IF(AND(RegimeExecucao="Global",$I140&gt;0,COUNTIF($AB$13:$AM$13,BM.medicao-1)&gt;0),M140/$I140*100,0))</f>
        <v>0</v>
      </c>
      <c r="K140" s="122">
        <f t="shared" ca="1" si="30"/>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31"/>
        <v>0</v>
      </c>
      <c r="O140" s="125" cm="1">
        <f t="array" aca="1" ref="O140" ca="1">IF($A140="S",VTOTALBM,IF($A140=0,0,ROUND(SomaAgrupBM,15-13*ORÇAMENTO!$AF$11)))</f>
        <v>0</v>
      </c>
      <c r="Q140" s="337"/>
      <c r="R140" s="338"/>
      <c r="T140" s="117" t="str">
        <f t="shared" ca="1" si="32"/>
        <v/>
      </c>
      <c r="U140" s="163" t="str">
        <f t="shared" ca="1" si="33"/>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34"/>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x14ac:dyDescent="0.2">
      <c r="A141" t="str">
        <f ca="1">ORÇAMENTO!C141</f>
        <v>S</v>
      </c>
      <c r="B141">
        <f ca="1">ORÇAMENTO!D141</f>
        <v>0</v>
      </c>
      <c r="C141" s="114" t="str">
        <f t="shared" ca="1" si="28"/>
        <v/>
      </c>
      <c r="D141" s="117" t="str">
        <f ca="1">ORÇAMENTO!O141</f>
        <v>-</v>
      </c>
      <c r="E141" s="163" t="str">
        <f t="shared" ca="1" si="29"/>
        <v>(Sem Código)</v>
      </c>
      <c r="F141" s="164" t="str" cm="1">
        <f t="array" aca="1" ref="F141" ca="1">IF(RegimeExecucao="Global","",ORÇAMENTO.Unidade)</f>
        <v>-</v>
      </c>
      <c r="G141" s="122" cm="1">
        <f t="array" aca="1" ref="G141" ca="1">IF(RegimeExecucao="Global","",ORÇAMENTO!T141)</f>
        <v>0</v>
      </c>
      <c r="H141" s="122" cm="1">
        <f t="array" aca="1" ref="H141" ca="1">IF(RegimeExecucao="Global","",ORÇAMENTO!W141)</f>
        <v>0</v>
      </c>
      <c r="I141" s="125">
        <f ca="1">ORÇAMENTO!X141</f>
        <v>0</v>
      </c>
      <c r="J141" s="333" cm="1">
        <f t="array" aca="1" ref="J141" ca="1">IF($A141="S",IF(CAIXA.Modo,BM.AFAnterior,BM.MEDAnterior),IF(AND(RegimeExecucao="Global",$I141&gt;0,COUNTIF($AB$13:$AM$13,BM.medicao-1)&gt;0),M141/$I141*100,0))</f>
        <v>0</v>
      </c>
      <c r="K141" s="122">
        <f t="shared" ca="1" si="30"/>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31"/>
        <v>0</v>
      </c>
      <c r="O141" s="125" cm="1">
        <f t="array" aca="1" ref="O141" ca="1">IF($A141="S",VTOTALBM,IF($A141=0,0,ROUND(SomaAgrupBM,15-13*ORÇAMENTO!$AF$11)))</f>
        <v>0</v>
      </c>
      <c r="Q141" s="337"/>
      <c r="R141" s="338"/>
      <c r="T141" s="117" t="str">
        <f t="shared" ca="1" si="32"/>
        <v/>
      </c>
      <c r="U141" s="163" t="str">
        <f t="shared" ca="1" si="33"/>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34"/>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x14ac:dyDescent="0.2">
      <c r="A142" t="str">
        <f ca="1">ORÇAMENTO!C142</f>
        <v>S</v>
      </c>
      <c r="B142">
        <f ca="1">ORÇAMENTO!D142</f>
        <v>0</v>
      </c>
      <c r="C142" s="114" t="str">
        <f t="shared" ca="1" si="28"/>
        <v/>
      </c>
      <c r="D142" s="117" t="str">
        <f ca="1">ORÇAMENTO!O142</f>
        <v>-</v>
      </c>
      <c r="E142" s="163" t="str">
        <f t="shared" ca="1" si="29"/>
        <v>(Sem Código)</v>
      </c>
      <c r="F142" s="164" t="str" cm="1">
        <f t="array" aca="1" ref="F142" ca="1">IF(RegimeExecucao="Global","",ORÇAMENTO.Unidade)</f>
        <v>-</v>
      </c>
      <c r="G142" s="122" cm="1">
        <f t="array" aca="1" ref="G142" ca="1">IF(RegimeExecucao="Global","",ORÇAMENTO!T142)</f>
        <v>0</v>
      </c>
      <c r="H142" s="122" cm="1">
        <f t="array" aca="1" ref="H142" ca="1">IF(RegimeExecucao="Global","",ORÇAMENTO!W142)</f>
        <v>0</v>
      </c>
      <c r="I142" s="125">
        <f ca="1">ORÇAMENTO!X142</f>
        <v>0</v>
      </c>
      <c r="J142" s="333" cm="1">
        <f t="array" aca="1" ref="J142" ca="1">IF($A142="S",IF(CAIXA.Modo,BM.AFAnterior,BM.MEDAnterior),IF(AND(RegimeExecucao="Global",$I142&gt;0,COUNTIF($AB$13:$AM$13,BM.medicao-1)&gt;0),M142/$I142*100,0))</f>
        <v>0</v>
      </c>
      <c r="K142" s="122">
        <f t="shared" ca="1" si="30"/>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31"/>
        <v>0</v>
      </c>
      <c r="O142" s="125" cm="1">
        <f t="array" aca="1" ref="O142" ca="1">IF($A142="S",VTOTALBM,IF($A142=0,0,ROUND(SomaAgrupBM,15-13*ORÇAMENTO!$AF$11)))</f>
        <v>0</v>
      </c>
      <c r="Q142" s="337"/>
      <c r="R142" s="338"/>
      <c r="T142" s="117" t="str">
        <f t="shared" ca="1" si="32"/>
        <v/>
      </c>
      <c r="U142" s="163" t="str">
        <f t="shared" ca="1" si="33"/>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34"/>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x14ac:dyDescent="0.2">
      <c r="A143" t="str">
        <f ca="1">ORÇAMENTO!C143</f>
        <v>S</v>
      </c>
      <c r="B143">
        <f ca="1">ORÇAMENTO!D143</f>
        <v>0</v>
      </c>
      <c r="C143" s="114" t="str">
        <f t="shared" ca="1" si="28"/>
        <v/>
      </c>
      <c r="D143" s="117" t="str">
        <f ca="1">ORÇAMENTO!O143</f>
        <v>-</v>
      </c>
      <c r="E143" s="163" t="str">
        <f t="shared" ca="1" si="29"/>
        <v>(Sem Código)</v>
      </c>
      <c r="F143" s="164" t="str" cm="1">
        <f t="array" aca="1" ref="F143" ca="1">IF(RegimeExecucao="Global","",ORÇAMENTO.Unidade)</f>
        <v>-</v>
      </c>
      <c r="G143" s="122" cm="1">
        <f t="array" aca="1" ref="G143" ca="1">IF(RegimeExecucao="Global","",ORÇAMENTO!T143)</f>
        <v>0</v>
      </c>
      <c r="H143" s="122" cm="1">
        <f t="array" aca="1" ref="H143" ca="1">IF(RegimeExecucao="Global","",ORÇAMENTO!W143)</f>
        <v>0</v>
      </c>
      <c r="I143" s="125">
        <f ca="1">ORÇAMENTO!X143</f>
        <v>0</v>
      </c>
      <c r="J143" s="333" cm="1">
        <f t="array" aca="1" ref="J143" ca="1">IF($A143="S",IF(CAIXA.Modo,BM.AFAnterior,BM.MEDAnterior),IF(AND(RegimeExecucao="Global",$I143&gt;0,COUNTIF($AB$13:$AM$13,BM.medicao-1)&gt;0),M143/$I143*100,0))</f>
        <v>0</v>
      </c>
      <c r="K143" s="122">
        <f t="shared" ca="1" si="30"/>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31"/>
        <v>0</v>
      </c>
      <c r="O143" s="125" cm="1">
        <f t="array" aca="1" ref="O143" ca="1">IF($A143="S",VTOTALBM,IF($A143=0,0,ROUND(SomaAgrupBM,15-13*ORÇAMENTO!$AF$11)))</f>
        <v>0</v>
      </c>
      <c r="Q143" s="337"/>
      <c r="R143" s="338"/>
      <c r="T143" s="117" t="str">
        <f t="shared" ca="1" si="32"/>
        <v/>
      </c>
      <c r="U143" s="163" t="str">
        <f t="shared" ca="1" si="33"/>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34"/>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x14ac:dyDescent="0.2">
      <c r="A144" t="str">
        <f ca="1">ORÇAMENTO!C144</f>
        <v>S</v>
      </c>
      <c r="B144">
        <f ca="1">ORÇAMENTO!D144</f>
        <v>0</v>
      </c>
      <c r="C144" s="114" t="str">
        <f t="shared" ca="1" si="28"/>
        <v/>
      </c>
      <c r="D144" s="117" t="str">
        <f ca="1">ORÇAMENTO!O144</f>
        <v>-</v>
      </c>
      <c r="E144" s="163" t="str">
        <f t="shared" ca="1" si="29"/>
        <v>(Sem Código)</v>
      </c>
      <c r="F144" s="164" t="str" cm="1">
        <f t="array" aca="1" ref="F144" ca="1">IF(RegimeExecucao="Global","",ORÇAMENTO.Unidade)</f>
        <v>-</v>
      </c>
      <c r="G144" s="122" cm="1">
        <f t="array" aca="1" ref="G144" ca="1">IF(RegimeExecucao="Global","",ORÇAMENTO!T144)</f>
        <v>0</v>
      </c>
      <c r="H144" s="122" cm="1">
        <f t="array" aca="1" ref="H144" ca="1">IF(RegimeExecucao="Global","",ORÇAMENTO!W144)</f>
        <v>0</v>
      </c>
      <c r="I144" s="125">
        <f ca="1">ORÇAMENTO!X144</f>
        <v>0</v>
      </c>
      <c r="J144" s="333" cm="1">
        <f t="array" aca="1" ref="J144" ca="1">IF($A144="S",IF(CAIXA.Modo,BM.AFAnterior,BM.MEDAnterior),IF(AND(RegimeExecucao="Global",$I144&gt;0,COUNTIF($AB$13:$AM$13,BM.medicao-1)&gt;0),M144/$I144*100,0))</f>
        <v>0</v>
      </c>
      <c r="K144" s="122">
        <f t="shared" ca="1" si="30"/>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31"/>
        <v>0</v>
      </c>
      <c r="O144" s="125" cm="1">
        <f t="array" aca="1" ref="O144" ca="1">IF($A144="S",VTOTALBM,IF($A144=0,0,ROUND(SomaAgrupBM,15-13*ORÇAMENTO!$AF$11)))</f>
        <v>0</v>
      </c>
      <c r="Q144" s="337"/>
      <c r="R144" s="338"/>
      <c r="T144" s="117" t="str">
        <f t="shared" ca="1" si="32"/>
        <v/>
      </c>
      <c r="U144" s="163" t="str">
        <f t="shared" ca="1" si="33"/>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34"/>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x14ac:dyDescent="0.2">
      <c r="A145" t="str">
        <f ca="1">ORÇAMENTO!C145</f>
        <v>S</v>
      </c>
      <c r="B145">
        <f ca="1">ORÇAMENTO!D145</f>
        <v>0</v>
      </c>
      <c r="C145" s="114" t="str">
        <f t="shared" ca="1" si="28"/>
        <v/>
      </c>
      <c r="D145" s="117" t="str">
        <f ca="1">ORÇAMENTO!O145</f>
        <v>-</v>
      </c>
      <c r="E145" s="163" t="str">
        <f t="shared" ca="1" si="29"/>
        <v>(Sem Código)</v>
      </c>
      <c r="F145" s="164" t="str" cm="1">
        <f t="array" aca="1" ref="F145" ca="1">IF(RegimeExecucao="Global","",ORÇAMENTO.Unidade)</f>
        <v>-</v>
      </c>
      <c r="G145" s="122" cm="1">
        <f t="array" aca="1" ref="G145" ca="1">IF(RegimeExecucao="Global","",ORÇAMENTO!T145)</f>
        <v>0</v>
      </c>
      <c r="H145" s="122" cm="1">
        <f t="array" aca="1" ref="H145" ca="1">IF(RegimeExecucao="Global","",ORÇAMENTO!W145)</f>
        <v>0</v>
      </c>
      <c r="I145" s="125">
        <f ca="1">ORÇAMENTO!X145</f>
        <v>0</v>
      </c>
      <c r="J145" s="333" cm="1">
        <f t="array" aca="1" ref="J145" ca="1">IF($A145="S",IF(CAIXA.Modo,BM.AFAnterior,BM.MEDAnterior),IF(AND(RegimeExecucao="Global",$I145&gt;0,COUNTIF($AB$13:$AM$13,BM.medicao-1)&gt;0),M145/$I145*100,0))</f>
        <v>0</v>
      </c>
      <c r="K145" s="122">
        <f t="shared" ca="1" si="30"/>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31"/>
        <v>0</v>
      </c>
      <c r="O145" s="125" cm="1">
        <f t="array" aca="1" ref="O145" ca="1">IF($A145="S",VTOTALBM,IF($A145=0,0,ROUND(SomaAgrupBM,15-13*ORÇAMENTO!$AF$11)))</f>
        <v>0</v>
      </c>
      <c r="Q145" s="337"/>
      <c r="R145" s="338"/>
      <c r="T145" s="117" t="str">
        <f t="shared" ca="1" si="32"/>
        <v/>
      </c>
      <c r="U145" s="163" t="str">
        <f t="shared" ca="1" si="33"/>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34"/>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x14ac:dyDescent="0.2">
      <c r="A146" t="str">
        <f ca="1">ORÇAMENTO!C146</f>
        <v>S</v>
      </c>
      <c r="B146">
        <f ca="1">ORÇAMENTO!D146</f>
        <v>0</v>
      </c>
      <c r="C146" s="114" t="str">
        <f t="shared" ca="1" si="28"/>
        <v/>
      </c>
      <c r="D146" s="117" t="str">
        <f ca="1">ORÇAMENTO!O146</f>
        <v>-</v>
      </c>
      <c r="E146" s="163" t="str">
        <f t="shared" ca="1" si="29"/>
        <v>(Sem Código)</v>
      </c>
      <c r="F146" s="164" t="str" cm="1">
        <f t="array" aca="1" ref="F146" ca="1">IF(RegimeExecucao="Global","",ORÇAMENTO.Unidade)</f>
        <v>-</v>
      </c>
      <c r="G146" s="122" cm="1">
        <f t="array" aca="1" ref="G146" ca="1">IF(RegimeExecucao="Global","",ORÇAMENTO!T146)</f>
        <v>0</v>
      </c>
      <c r="H146" s="122" cm="1">
        <f t="array" aca="1" ref="H146" ca="1">IF(RegimeExecucao="Global","",ORÇAMENTO!W146)</f>
        <v>0</v>
      </c>
      <c r="I146" s="125">
        <f ca="1">ORÇAMENTO!X146</f>
        <v>0</v>
      </c>
      <c r="J146" s="333" cm="1">
        <f t="array" aca="1" ref="J146" ca="1">IF($A146="S",IF(CAIXA.Modo,BM.AFAnterior,BM.MEDAnterior),IF(AND(RegimeExecucao="Global",$I146&gt;0,COUNTIF($AB$13:$AM$13,BM.medicao-1)&gt;0),M146/$I146*100,0))</f>
        <v>0</v>
      </c>
      <c r="K146" s="122">
        <f t="shared" ca="1" si="30"/>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31"/>
        <v>0</v>
      </c>
      <c r="O146" s="125" cm="1">
        <f t="array" aca="1" ref="O146" ca="1">IF($A146="S",VTOTALBM,IF($A146=0,0,ROUND(SomaAgrupBM,15-13*ORÇAMENTO!$AF$11)))</f>
        <v>0</v>
      </c>
      <c r="Q146" s="337"/>
      <c r="R146" s="338"/>
      <c r="T146" s="117" t="str">
        <f t="shared" ca="1" si="32"/>
        <v/>
      </c>
      <c r="U146" s="163" t="str">
        <f t="shared" ca="1" si="33"/>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34"/>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x14ac:dyDescent="0.2">
      <c r="A147" t="str">
        <f ca="1">ORÇAMENTO!C147</f>
        <v>S</v>
      </c>
      <c r="B147">
        <f ca="1">ORÇAMENTO!D147</f>
        <v>0</v>
      </c>
      <c r="C147" s="114" t="str">
        <f t="shared" ca="1" si="28"/>
        <v/>
      </c>
      <c r="D147" s="117" t="str">
        <f ca="1">ORÇAMENTO!O147</f>
        <v>-</v>
      </c>
      <c r="E147" s="163" t="str">
        <f t="shared" ca="1" si="29"/>
        <v>(Sem Código)</v>
      </c>
      <c r="F147" s="164" t="str" cm="1">
        <f t="array" aca="1" ref="F147" ca="1">IF(RegimeExecucao="Global","",ORÇAMENTO.Unidade)</f>
        <v>-</v>
      </c>
      <c r="G147" s="122" cm="1">
        <f t="array" aca="1" ref="G147" ca="1">IF(RegimeExecucao="Global","",ORÇAMENTO!T147)</f>
        <v>0</v>
      </c>
      <c r="H147" s="122" cm="1">
        <f t="array" aca="1" ref="H147" ca="1">IF(RegimeExecucao="Global","",ORÇAMENTO!W147)</f>
        <v>0</v>
      </c>
      <c r="I147" s="125">
        <f ca="1">ORÇAMENTO!X147</f>
        <v>0</v>
      </c>
      <c r="J147" s="333" cm="1">
        <f t="array" aca="1" ref="J147" ca="1">IF($A147="S",IF(CAIXA.Modo,BM.AFAnterior,BM.MEDAnterior),IF(AND(RegimeExecucao="Global",$I147&gt;0,COUNTIF($AB$13:$AM$13,BM.medicao-1)&gt;0),M147/$I147*100,0))</f>
        <v>0</v>
      </c>
      <c r="K147" s="122">
        <f t="shared" ca="1" si="30"/>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31"/>
        <v>0</v>
      </c>
      <c r="O147" s="125" cm="1">
        <f t="array" aca="1" ref="O147" ca="1">IF($A147="S",VTOTALBM,IF($A147=0,0,ROUND(SomaAgrupBM,15-13*ORÇAMENTO!$AF$11)))</f>
        <v>0</v>
      </c>
      <c r="Q147" s="337"/>
      <c r="R147" s="338"/>
      <c r="T147" s="117" t="str">
        <f t="shared" ca="1" si="32"/>
        <v/>
      </c>
      <c r="U147" s="163" t="str">
        <f t="shared" ca="1" si="33"/>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34"/>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x14ac:dyDescent="0.2">
      <c r="A148" t="str">
        <f ca="1">ORÇAMENTO!C148</f>
        <v>S</v>
      </c>
      <c r="B148">
        <f ca="1">ORÇAMENTO!D148</f>
        <v>0</v>
      </c>
      <c r="C148" s="114" t="str">
        <f t="shared" ca="1" si="28"/>
        <v/>
      </c>
      <c r="D148" s="117" t="str">
        <f ca="1">ORÇAMENTO!O148</f>
        <v>-</v>
      </c>
      <c r="E148" s="163" t="str">
        <f t="shared" ca="1" si="29"/>
        <v>(Sem Código)</v>
      </c>
      <c r="F148" s="164" t="str" cm="1">
        <f t="array" aca="1" ref="F148" ca="1">IF(RegimeExecucao="Global","",ORÇAMENTO.Unidade)</f>
        <v>-</v>
      </c>
      <c r="G148" s="122" cm="1">
        <f t="array" aca="1" ref="G148" ca="1">IF(RegimeExecucao="Global","",ORÇAMENTO!T148)</f>
        <v>0</v>
      </c>
      <c r="H148" s="122" cm="1">
        <f t="array" aca="1" ref="H148" ca="1">IF(RegimeExecucao="Global","",ORÇAMENTO!W148)</f>
        <v>0</v>
      </c>
      <c r="I148" s="125">
        <f ca="1">ORÇAMENTO!X148</f>
        <v>0</v>
      </c>
      <c r="J148" s="333" cm="1">
        <f t="array" aca="1" ref="J148" ca="1">IF($A148="S",IF(CAIXA.Modo,BM.AFAnterior,BM.MEDAnterior),IF(AND(RegimeExecucao="Global",$I148&gt;0,COUNTIF($AB$13:$AM$13,BM.medicao-1)&gt;0),M148/$I148*100,0))</f>
        <v>0</v>
      </c>
      <c r="K148" s="122">
        <f t="shared" ca="1" si="30"/>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31"/>
        <v>0</v>
      </c>
      <c r="O148" s="125" cm="1">
        <f t="array" aca="1" ref="O148" ca="1">IF($A148="S",VTOTALBM,IF($A148=0,0,ROUND(SomaAgrupBM,15-13*ORÇAMENTO!$AF$11)))</f>
        <v>0</v>
      </c>
      <c r="Q148" s="337"/>
      <c r="R148" s="338"/>
      <c r="T148" s="117" t="str">
        <f t="shared" ca="1" si="32"/>
        <v/>
      </c>
      <c r="U148" s="163" t="str">
        <f t="shared" ca="1" si="33"/>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34"/>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x14ac:dyDescent="0.2">
      <c r="A149" t="str">
        <f ca="1">ORÇAMENTO!C149</f>
        <v>S</v>
      </c>
      <c r="B149">
        <f ca="1">ORÇAMENTO!D149</f>
        <v>0</v>
      </c>
      <c r="C149" s="114" t="str">
        <f t="shared" ca="1" si="28"/>
        <v/>
      </c>
      <c r="D149" s="117" t="str">
        <f ca="1">ORÇAMENTO!O149</f>
        <v>-</v>
      </c>
      <c r="E149" s="163" t="str">
        <f t="shared" ca="1" si="29"/>
        <v>(Sem Código)</v>
      </c>
      <c r="F149" s="164" t="str" cm="1">
        <f t="array" aca="1" ref="F149" ca="1">IF(RegimeExecucao="Global","",ORÇAMENTO.Unidade)</f>
        <v>-</v>
      </c>
      <c r="G149" s="122" cm="1">
        <f t="array" aca="1" ref="G149" ca="1">IF(RegimeExecucao="Global","",ORÇAMENTO!T149)</f>
        <v>0</v>
      </c>
      <c r="H149" s="122" cm="1">
        <f t="array" aca="1" ref="H149" ca="1">IF(RegimeExecucao="Global","",ORÇAMENTO!W149)</f>
        <v>0</v>
      </c>
      <c r="I149" s="125">
        <f ca="1">ORÇAMENTO!X149</f>
        <v>0</v>
      </c>
      <c r="J149" s="333" cm="1">
        <f t="array" aca="1" ref="J149" ca="1">IF($A149="S",IF(CAIXA.Modo,BM.AFAnterior,BM.MEDAnterior),IF(AND(RegimeExecucao="Global",$I149&gt;0,COUNTIF($AB$13:$AM$13,BM.medicao-1)&gt;0),M149/$I149*100,0))</f>
        <v>0</v>
      </c>
      <c r="K149" s="122">
        <f t="shared" ca="1" si="30"/>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31"/>
        <v>0</v>
      </c>
      <c r="O149" s="125" cm="1">
        <f t="array" aca="1" ref="O149" ca="1">IF($A149="S",VTOTALBM,IF($A149=0,0,ROUND(SomaAgrupBM,15-13*ORÇAMENTO!$AF$11)))</f>
        <v>0</v>
      </c>
      <c r="Q149" s="337"/>
      <c r="R149" s="338"/>
      <c r="T149" s="117" t="str">
        <f t="shared" ca="1" si="32"/>
        <v/>
      </c>
      <c r="U149" s="163" t="str">
        <f t="shared" ca="1" si="33"/>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34"/>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x14ac:dyDescent="0.2">
      <c r="A150" t="str">
        <f ca="1">ORÇAMENTO!C150</f>
        <v>S</v>
      </c>
      <c r="B150">
        <f ca="1">ORÇAMENTO!D150</f>
        <v>0</v>
      </c>
      <c r="C150" s="114" t="str">
        <f t="shared" ca="1" si="28"/>
        <v/>
      </c>
      <c r="D150" s="117" t="str">
        <f ca="1">ORÇAMENTO!O150</f>
        <v>-</v>
      </c>
      <c r="E150" s="163" t="str">
        <f t="shared" ca="1" si="29"/>
        <v>(Sem Código)</v>
      </c>
      <c r="F150" s="164" t="str" cm="1">
        <f t="array" aca="1" ref="F150" ca="1">IF(RegimeExecucao="Global","",ORÇAMENTO.Unidade)</f>
        <v>-</v>
      </c>
      <c r="G150" s="122" cm="1">
        <f t="array" aca="1" ref="G150" ca="1">IF(RegimeExecucao="Global","",ORÇAMENTO!T150)</f>
        <v>0</v>
      </c>
      <c r="H150" s="122" cm="1">
        <f t="array" aca="1" ref="H150" ca="1">IF(RegimeExecucao="Global","",ORÇAMENTO!W150)</f>
        <v>0</v>
      </c>
      <c r="I150" s="125">
        <f ca="1">ORÇAMENTO!X150</f>
        <v>0</v>
      </c>
      <c r="J150" s="333" cm="1">
        <f t="array" aca="1" ref="J150" ca="1">IF($A150="S",IF(CAIXA.Modo,BM.AFAnterior,BM.MEDAnterior),IF(AND(RegimeExecucao="Global",$I150&gt;0,COUNTIF($AB$13:$AM$13,BM.medicao-1)&gt;0),M150/$I150*100,0))</f>
        <v>0</v>
      </c>
      <c r="K150" s="122">
        <f t="shared" ca="1" si="30"/>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31"/>
        <v>0</v>
      </c>
      <c r="O150" s="125" cm="1">
        <f t="array" aca="1" ref="O150" ca="1">IF($A150="S",VTOTALBM,IF($A150=0,0,ROUND(SomaAgrupBM,15-13*ORÇAMENTO!$AF$11)))</f>
        <v>0</v>
      </c>
      <c r="Q150" s="337"/>
      <c r="R150" s="338"/>
      <c r="T150" s="117" t="str">
        <f t="shared" ca="1" si="32"/>
        <v/>
      </c>
      <c r="U150" s="163" t="str">
        <f t="shared" ca="1" si="33"/>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34"/>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x14ac:dyDescent="0.2">
      <c r="A151" t="str">
        <f ca="1">ORÇAMENTO!C151</f>
        <v>S</v>
      </c>
      <c r="B151">
        <f ca="1">ORÇAMENTO!D151</f>
        <v>0</v>
      </c>
      <c r="C151" s="114" t="str">
        <f t="shared" ca="1" si="28"/>
        <v/>
      </c>
      <c r="D151" s="117" t="str">
        <f ca="1">ORÇAMENTO!O151</f>
        <v>-</v>
      </c>
      <c r="E151" s="163" t="str">
        <f t="shared" ca="1" si="29"/>
        <v>(Sem Código)</v>
      </c>
      <c r="F151" s="164" t="str" cm="1">
        <f t="array" aca="1" ref="F151" ca="1">IF(RegimeExecucao="Global","",ORÇAMENTO.Unidade)</f>
        <v>-</v>
      </c>
      <c r="G151" s="122" cm="1">
        <f t="array" aca="1" ref="G151" ca="1">IF(RegimeExecucao="Global","",ORÇAMENTO!T151)</f>
        <v>0</v>
      </c>
      <c r="H151" s="122" cm="1">
        <f t="array" aca="1" ref="H151" ca="1">IF(RegimeExecucao="Global","",ORÇAMENTO!W151)</f>
        <v>0</v>
      </c>
      <c r="I151" s="125">
        <f ca="1">ORÇAMENTO!X151</f>
        <v>0</v>
      </c>
      <c r="J151" s="333" cm="1">
        <f t="array" aca="1" ref="J151" ca="1">IF($A151="S",IF(CAIXA.Modo,BM.AFAnterior,BM.MEDAnterior),IF(AND(RegimeExecucao="Global",$I151&gt;0,COUNTIF($AB$13:$AM$13,BM.medicao-1)&gt;0),M151/$I151*100,0))</f>
        <v>0</v>
      </c>
      <c r="K151" s="122">
        <f t="shared" ca="1" si="30"/>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31"/>
        <v>0</v>
      </c>
      <c r="O151" s="125" cm="1">
        <f t="array" aca="1" ref="O151" ca="1">IF($A151="S",VTOTALBM,IF($A151=0,0,ROUND(SomaAgrupBM,15-13*ORÇAMENTO!$AF$11)))</f>
        <v>0</v>
      </c>
      <c r="Q151" s="337"/>
      <c r="R151" s="338"/>
      <c r="T151" s="117" t="str">
        <f t="shared" ca="1" si="32"/>
        <v/>
      </c>
      <c r="U151" s="163" t="str">
        <f t="shared" ca="1" si="33"/>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34"/>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x14ac:dyDescent="0.2">
      <c r="A152" t="str">
        <f ca="1">ORÇAMENTO!C152</f>
        <v>S</v>
      </c>
      <c r="B152">
        <f ca="1">ORÇAMENTO!D152</f>
        <v>0</v>
      </c>
      <c r="C152" s="114" t="str">
        <f t="shared" ca="1" si="28"/>
        <v/>
      </c>
      <c r="D152" s="117" t="str">
        <f ca="1">ORÇAMENTO!O152</f>
        <v>-</v>
      </c>
      <c r="E152" s="163" t="str">
        <f t="shared" ca="1" si="29"/>
        <v>(Sem Código)</v>
      </c>
      <c r="F152" s="164" t="str" cm="1">
        <f t="array" aca="1" ref="F152" ca="1">IF(RegimeExecucao="Global","",ORÇAMENTO.Unidade)</f>
        <v>-</v>
      </c>
      <c r="G152" s="122" cm="1">
        <f t="array" aca="1" ref="G152" ca="1">IF(RegimeExecucao="Global","",ORÇAMENTO!T152)</f>
        <v>0</v>
      </c>
      <c r="H152" s="122" cm="1">
        <f t="array" aca="1" ref="H152" ca="1">IF(RegimeExecucao="Global","",ORÇAMENTO!W152)</f>
        <v>0</v>
      </c>
      <c r="I152" s="125">
        <f ca="1">ORÇAMENTO!X152</f>
        <v>0</v>
      </c>
      <c r="J152" s="333" cm="1">
        <f t="array" aca="1" ref="J152" ca="1">IF($A152="S",IF(CAIXA.Modo,BM.AFAnterior,BM.MEDAnterior),IF(AND(RegimeExecucao="Global",$I152&gt;0,COUNTIF($AB$13:$AM$13,BM.medicao-1)&gt;0),M152/$I152*100,0))</f>
        <v>0</v>
      </c>
      <c r="K152" s="122">
        <f t="shared" ca="1" si="30"/>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31"/>
        <v>0</v>
      </c>
      <c r="O152" s="125" cm="1">
        <f t="array" aca="1" ref="O152" ca="1">IF($A152="S",VTOTALBM,IF($A152=0,0,ROUND(SomaAgrupBM,15-13*ORÇAMENTO!$AF$11)))</f>
        <v>0</v>
      </c>
      <c r="Q152" s="337"/>
      <c r="R152" s="338"/>
      <c r="T152" s="117" t="str">
        <f t="shared" ca="1" si="32"/>
        <v/>
      </c>
      <c r="U152" s="163" t="str">
        <f t="shared" ca="1" si="33"/>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34"/>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x14ac:dyDescent="0.2">
      <c r="A153" t="str">
        <f ca="1">ORÇAMENTO!C153</f>
        <v>S</v>
      </c>
      <c r="B153">
        <f ca="1">ORÇAMENTO!D153</f>
        <v>0</v>
      </c>
      <c r="C153" s="114" t="str">
        <f t="shared" ca="1" si="28"/>
        <v/>
      </c>
      <c r="D153" s="117" t="str">
        <f ca="1">ORÇAMENTO!O153</f>
        <v>-</v>
      </c>
      <c r="E153" s="163" t="str">
        <f t="shared" ca="1" si="29"/>
        <v>(Sem Código)</v>
      </c>
      <c r="F153" s="164" t="str" cm="1">
        <f t="array" aca="1" ref="F153" ca="1">IF(RegimeExecucao="Global","",ORÇAMENTO.Unidade)</f>
        <v>-</v>
      </c>
      <c r="G153" s="122" cm="1">
        <f t="array" aca="1" ref="G153" ca="1">IF(RegimeExecucao="Global","",ORÇAMENTO!T153)</f>
        <v>0</v>
      </c>
      <c r="H153" s="122" cm="1">
        <f t="array" aca="1" ref="H153" ca="1">IF(RegimeExecucao="Global","",ORÇAMENTO!W153)</f>
        <v>0</v>
      </c>
      <c r="I153" s="125">
        <f ca="1">ORÇAMENTO!X153</f>
        <v>0</v>
      </c>
      <c r="J153" s="333" cm="1">
        <f t="array" aca="1" ref="J153" ca="1">IF($A153="S",IF(CAIXA.Modo,BM.AFAnterior,BM.MEDAnterior),IF(AND(RegimeExecucao="Global",$I153&gt;0,COUNTIF($AB$13:$AM$13,BM.medicao-1)&gt;0),M153/$I153*100,0))</f>
        <v>0</v>
      </c>
      <c r="K153" s="122">
        <f t="shared" ca="1" si="30"/>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31"/>
        <v>0</v>
      </c>
      <c r="O153" s="125" cm="1">
        <f t="array" aca="1" ref="O153" ca="1">IF($A153="S",VTOTALBM,IF($A153=0,0,ROUND(SomaAgrupBM,15-13*ORÇAMENTO!$AF$11)))</f>
        <v>0</v>
      </c>
      <c r="Q153" s="337"/>
      <c r="R153" s="338"/>
      <c r="T153" s="117" t="str">
        <f t="shared" ca="1" si="32"/>
        <v/>
      </c>
      <c r="U153" s="163" t="str">
        <f t="shared" ca="1" si="33"/>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34"/>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x14ac:dyDescent="0.2">
      <c r="A154" t="str">
        <f ca="1">ORÇAMENTO!C154</f>
        <v>S</v>
      </c>
      <c r="B154">
        <f ca="1">ORÇAMENTO!D154</f>
        <v>0</v>
      </c>
      <c r="C154" s="114" t="str">
        <f t="shared" ca="1" si="28"/>
        <v/>
      </c>
      <c r="D154" s="117" t="str">
        <f ca="1">ORÇAMENTO!O154</f>
        <v>-</v>
      </c>
      <c r="E154" s="163" t="str">
        <f t="shared" ca="1" si="29"/>
        <v>(Sem Código)</v>
      </c>
      <c r="F154" s="164" t="str" cm="1">
        <f t="array" aca="1" ref="F154" ca="1">IF(RegimeExecucao="Global","",ORÇAMENTO.Unidade)</f>
        <v>-</v>
      </c>
      <c r="G154" s="122" cm="1">
        <f t="array" aca="1" ref="G154" ca="1">IF(RegimeExecucao="Global","",ORÇAMENTO!T154)</f>
        <v>0</v>
      </c>
      <c r="H154" s="122" cm="1">
        <f t="array" aca="1" ref="H154" ca="1">IF(RegimeExecucao="Global","",ORÇAMENTO!W154)</f>
        <v>0</v>
      </c>
      <c r="I154" s="125">
        <f ca="1">ORÇAMENTO!X154</f>
        <v>0</v>
      </c>
      <c r="J154" s="333" cm="1">
        <f t="array" aca="1" ref="J154" ca="1">IF($A154="S",IF(CAIXA.Modo,BM.AFAnterior,BM.MEDAnterior),IF(AND(RegimeExecucao="Global",$I154&gt;0,COUNTIF($AB$13:$AM$13,BM.medicao-1)&gt;0),M154/$I154*100,0))</f>
        <v>0</v>
      </c>
      <c r="K154" s="122">
        <f t="shared" ca="1" si="30"/>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31"/>
        <v>0</v>
      </c>
      <c r="O154" s="125" cm="1">
        <f t="array" aca="1" ref="O154" ca="1">IF($A154="S",VTOTALBM,IF($A154=0,0,ROUND(SomaAgrupBM,15-13*ORÇAMENTO!$AF$11)))</f>
        <v>0</v>
      </c>
      <c r="Q154" s="337"/>
      <c r="R154" s="338"/>
      <c r="T154" s="117" t="str">
        <f t="shared" ca="1" si="32"/>
        <v/>
      </c>
      <c r="U154" s="163" t="str">
        <f t="shared" ca="1" si="33"/>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34"/>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x14ac:dyDescent="0.2">
      <c r="A155" t="str">
        <f ca="1">ORÇAMENTO!C155</f>
        <v>S</v>
      </c>
      <c r="B155">
        <f ca="1">ORÇAMENTO!D155</f>
        <v>0</v>
      </c>
      <c r="C155" s="114" t="str">
        <f t="shared" ca="1" si="28"/>
        <v/>
      </c>
      <c r="D155" s="117" t="str">
        <f ca="1">ORÇAMENTO!O155</f>
        <v>-</v>
      </c>
      <c r="E155" s="163" t="str">
        <f t="shared" ca="1" si="29"/>
        <v>(Sem Código)</v>
      </c>
      <c r="F155" s="164" t="str" cm="1">
        <f t="array" aca="1" ref="F155" ca="1">IF(RegimeExecucao="Global","",ORÇAMENTO.Unidade)</f>
        <v>-</v>
      </c>
      <c r="G155" s="122" cm="1">
        <f t="array" aca="1" ref="G155" ca="1">IF(RegimeExecucao="Global","",ORÇAMENTO!T155)</f>
        <v>0</v>
      </c>
      <c r="H155" s="122" cm="1">
        <f t="array" aca="1" ref="H155" ca="1">IF(RegimeExecucao="Global","",ORÇAMENTO!W155)</f>
        <v>0</v>
      </c>
      <c r="I155" s="125">
        <f ca="1">ORÇAMENTO!X155</f>
        <v>0</v>
      </c>
      <c r="J155" s="333" cm="1">
        <f t="array" aca="1" ref="J155" ca="1">IF($A155="S",IF(CAIXA.Modo,BM.AFAnterior,BM.MEDAnterior),IF(AND(RegimeExecucao="Global",$I155&gt;0,COUNTIF($AB$13:$AM$13,BM.medicao-1)&gt;0),M155/$I155*100,0))</f>
        <v>0</v>
      </c>
      <c r="K155" s="122">
        <f t="shared" ca="1" si="30"/>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31"/>
        <v>0</v>
      </c>
      <c r="O155" s="125" cm="1">
        <f t="array" aca="1" ref="O155" ca="1">IF($A155="S",VTOTALBM,IF($A155=0,0,ROUND(SomaAgrupBM,15-13*ORÇAMENTO!$AF$11)))</f>
        <v>0</v>
      </c>
      <c r="Q155" s="337"/>
      <c r="R155" s="338"/>
      <c r="T155" s="117" t="str">
        <f t="shared" ca="1" si="32"/>
        <v/>
      </c>
      <c r="U155" s="163" t="str">
        <f t="shared" ca="1" si="33"/>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34"/>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x14ac:dyDescent="0.2">
      <c r="A156" t="str">
        <f ca="1">ORÇAMENTO!C156</f>
        <v>S</v>
      </c>
      <c r="B156">
        <f ca="1">ORÇAMENTO!D156</f>
        <v>0</v>
      </c>
      <c r="C156" s="114" t="str">
        <f t="shared" ca="1" si="28"/>
        <v/>
      </c>
      <c r="D156" s="117" t="str">
        <f ca="1">ORÇAMENTO!O156</f>
        <v>-</v>
      </c>
      <c r="E156" s="163" t="str">
        <f t="shared" ca="1" si="29"/>
        <v>(Sem Código)</v>
      </c>
      <c r="F156" s="164" t="str" cm="1">
        <f t="array" aca="1" ref="F156" ca="1">IF(RegimeExecucao="Global","",ORÇAMENTO.Unidade)</f>
        <v>-</v>
      </c>
      <c r="G156" s="122" cm="1">
        <f t="array" aca="1" ref="G156" ca="1">IF(RegimeExecucao="Global","",ORÇAMENTO!T156)</f>
        <v>0</v>
      </c>
      <c r="H156" s="122" cm="1">
        <f t="array" aca="1" ref="H156" ca="1">IF(RegimeExecucao="Global","",ORÇAMENTO!W156)</f>
        <v>0</v>
      </c>
      <c r="I156" s="125">
        <f ca="1">ORÇAMENTO!X156</f>
        <v>0</v>
      </c>
      <c r="J156" s="333" cm="1">
        <f t="array" aca="1" ref="J156" ca="1">IF($A156="S",IF(CAIXA.Modo,BM.AFAnterior,BM.MEDAnterior),IF(AND(RegimeExecucao="Global",$I156&gt;0,COUNTIF($AB$13:$AM$13,BM.medicao-1)&gt;0),M156/$I156*100,0))</f>
        <v>0</v>
      </c>
      <c r="K156" s="122">
        <f t="shared" ca="1" si="30"/>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31"/>
        <v>0</v>
      </c>
      <c r="O156" s="125" cm="1">
        <f t="array" aca="1" ref="O156" ca="1">IF($A156="S",VTOTALBM,IF($A156=0,0,ROUND(SomaAgrupBM,15-13*ORÇAMENTO!$AF$11)))</f>
        <v>0</v>
      </c>
      <c r="Q156" s="337"/>
      <c r="R156" s="338"/>
      <c r="T156" s="117" t="str">
        <f t="shared" ca="1" si="32"/>
        <v/>
      </c>
      <c r="U156" s="163" t="str">
        <f t="shared" ca="1" si="33"/>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34"/>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x14ac:dyDescent="0.2">
      <c r="A157" t="str">
        <f ca="1">ORÇAMENTO!C157</f>
        <v>S</v>
      </c>
      <c r="B157">
        <f ca="1">ORÇAMENTO!D157</f>
        <v>0</v>
      </c>
      <c r="C157" s="114" t="str">
        <f t="shared" ca="1" si="28"/>
        <v/>
      </c>
      <c r="D157" s="117" t="str">
        <f ca="1">ORÇAMENTO!O157</f>
        <v>-</v>
      </c>
      <c r="E157" s="163" t="str">
        <f t="shared" ca="1" si="29"/>
        <v>(Sem Código)</v>
      </c>
      <c r="F157" s="164" t="str" cm="1">
        <f t="array" aca="1" ref="F157" ca="1">IF(RegimeExecucao="Global","",ORÇAMENTO.Unidade)</f>
        <v>-</v>
      </c>
      <c r="G157" s="122" cm="1">
        <f t="array" aca="1" ref="G157" ca="1">IF(RegimeExecucao="Global","",ORÇAMENTO!T157)</f>
        <v>0</v>
      </c>
      <c r="H157" s="122" cm="1">
        <f t="array" aca="1" ref="H157" ca="1">IF(RegimeExecucao="Global","",ORÇAMENTO!W157)</f>
        <v>0</v>
      </c>
      <c r="I157" s="125">
        <f ca="1">ORÇAMENTO!X157</f>
        <v>0</v>
      </c>
      <c r="J157" s="333" cm="1">
        <f t="array" aca="1" ref="J157" ca="1">IF($A157="S",IF(CAIXA.Modo,BM.AFAnterior,BM.MEDAnterior),IF(AND(RegimeExecucao="Global",$I157&gt;0,COUNTIF($AB$13:$AM$13,BM.medicao-1)&gt;0),M157/$I157*100,0))</f>
        <v>0</v>
      </c>
      <c r="K157" s="122">
        <f t="shared" ca="1" si="30"/>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31"/>
        <v>0</v>
      </c>
      <c r="O157" s="125" cm="1">
        <f t="array" aca="1" ref="O157" ca="1">IF($A157="S",VTOTALBM,IF($A157=0,0,ROUND(SomaAgrupBM,15-13*ORÇAMENTO!$AF$11)))</f>
        <v>0</v>
      </c>
      <c r="Q157" s="337"/>
      <c r="R157" s="338"/>
      <c r="T157" s="117" t="str">
        <f t="shared" ca="1" si="32"/>
        <v/>
      </c>
      <c r="U157" s="163" t="str">
        <f t="shared" ca="1" si="33"/>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34"/>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x14ac:dyDescent="0.2">
      <c r="A158" t="str">
        <f ca="1">ORÇAMENTO!C158</f>
        <v>S</v>
      </c>
      <c r="B158">
        <f ca="1">ORÇAMENTO!D158</f>
        <v>0</v>
      </c>
      <c r="C158" s="114" t="str">
        <f t="shared" ca="1" si="28"/>
        <v/>
      </c>
      <c r="D158" s="117" t="str">
        <f ca="1">ORÇAMENTO!O158</f>
        <v>-</v>
      </c>
      <c r="E158" s="163" t="str">
        <f t="shared" ca="1" si="29"/>
        <v>(Sem Código)</v>
      </c>
      <c r="F158" s="164" t="str" cm="1">
        <f t="array" aca="1" ref="F158" ca="1">IF(RegimeExecucao="Global","",ORÇAMENTO.Unidade)</f>
        <v>-</v>
      </c>
      <c r="G158" s="122" cm="1">
        <f t="array" aca="1" ref="G158" ca="1">IF(RegimeExecucao="Global","",ORÇAMENTO!T158)</f>
        <v>0</v>
      </c>
      <c r="H158" s="122" cm="1">
        <f t="array" aca="1" ref="H158" ca="1">IF(RegimeExecucao="Global","",ORÇAMENTO!W158)</f>
        <v>0</v>
      </c>
      <c r="I158" s="125">
        <f ca="1">ORÇAMENTO!X158</f>
        <v>0</v>
      </c>
      <c r="J158" s="333" cm="1">
        <f t="array" aca="1" ref="J158" ca="1">IF($A158="S",IF(CAIXA.Modo,BM.AFAnterior,BM.MEDAnterior),IF(AND(RegimeExecucao="Global",$I158&gt;0,COUNTIF($AB$13:$AM$13,BM.medicao-1)&gt;0),M158/$I158*100,0))</f>
        <v>0</v>
      </c>
      <c r="K158" s="122">
        <f t="shared" ca="1" si="30"/>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31"/>
        <v>0</v>
      </c>
      <c r="O158" s="125" cm="1">
        <f t="array" aca="1" ref="O158" ca="1">IF($A158="S",VTOTALBM,IF($A158=0,0,ROUND(SomaAgrupBM,15-13*ORÇAMENTO!$AF$11)))</f>
        <v>0</v>
      </c>
      <c r="Q158" s="337"/>
      <c r="R158" s="338"/>
      <c r="T158" s="117" t="str">
        <f t="shared" ca="1" si="32"/>
        <v/>
      </c>
      <c r="U158" s="163" t="str">
        <f t="shared" ca="1" si="33"/>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34"/>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x14ac:dyDescent="0.2">
      <c r="A159" t="str">
        <f ca="1">ORÇAMENTO!C159</f>
        <v>S</v>
      </c>
      <c r="B159">
        <f ca="1">ORÇAMENTO!D159</f>
        <v>0</v>
      </c>
      <c r="C159" s="114" t="str">
        <f t="shared" ca="1" si="28"/>
        <v/>
      </c>
      <c r="D159" s="117" t="str">
        <f ca="1">ORÇAMENTO!O159</f>
        <v>-</v>
      </c>
      <c r="E159" s="163" t="str">
        <f t="shared" ca="1" si="29"/>
        <v>(Sem Código)</v>
      </c>
      <c r="F159" s="164" t="str" cm="1">
        <f t="array" aca="1" ref="F159" ca="1">IF(RegimeExecucao="Global","",ORÇAMENTO.Unidade)</f>
        <v>-</v>
      </c>
      <c r="G159" s="122" cm="1">
        <f t="array" aca="1" ref="G159" ca="1">IF(RegimeExecucao="Global","",ORÇAMENTO!T159)</f>
        <v>0</v>
      </c>
      <c r="H159" s="122" cm="1">
        <f t="array" aca="1" ref="H159" ca="1">IF(RegimeExecucao="Global","",ORÇAMENTO!W159)</f>
        <v>0</v>
      </c>
      <c r="I159" s="125">
        <f ca="1">ORÇAMENTO!X159</f>
        <v>0</v>
      </c>
      <c r="J159" s="333" cm="1">
        <f t="array" aca="1" ref="J159" ca="1">IF($A159="S",IF(CAIXA.Modo,BM.AFAnterior,BM.MEDAnterior),IF(AND(RegimeExecucao="Global",$I159&gt;0,COUNTIF($AB$13:$AM$13,BM.medicao-1)&gt;0),M159/$I159*100,0))</f>
        <v>0</v>
      </c>
      <c r="K159" s="122">
        <f t="shared" ca="1" si="30"/>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31"/>
        <v>0</v>
      </c>
      <c r="O159" s="125" cm="1">
        <f t="array" aca="1" ref="O159" ca="1">IF($A159="S",VTOTALBM,IF($A159=0,0,ROUND(SomaAgrupBM,15-13*ORÇAMENTO!$AF$11)))</f>
        <v>0</v>
      </c>
      <c r="Q159" s="337"/>
      <c r="R159" s="338"/>
      <c r="T159" s="117" t="str">
        <f t="shared" ca="1" si="32"/>
        <v/>
      </c>
      <c r="U159" s="163" t="str">
        <f t="shared" ca="1" si="33"/>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34"/>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t="str">
        <f ca="1">ORÇAMENTO!C160</f>
        <v>S</v>
      </c>
      <c r="B160">
        <f ca="1">ORÇAMENTO!D160</f>
        <v>0</v>
      </c>
      <c r="C160" s="114" t="str">
        <f t="shared" ca="1" si="28"/>
        <v/>
      </c>
      <c r="D160" s="117" t="str">
        <f ca="1">ORÇAMENTO!O160</f>
        <v>-</v>
      </c>
      <c r="E160" s="163" t="str">
        <f t="shared" ca="1" si="29"/>
        <v>(Sem Código)</v>
      </c>
      <c r="F160" s="164" t="str" cm="1">
        <f t="array" aca="1" ref="F160" ca="1">IF(RegimeExecucao="Global","",ORÇAMENTO.Unidade)</f>
        <v>-</v>
      </c>
      <c r="G160" s="122" cm="1">
        <f t="array" aca="1" ref="G160" ca="1">IF(RegimeExecucao="Global","",ORÇAMENTO!T160)</f>
        <v>0</v>
      </c>
      <c r="H160" s="122" cm="1">
        <f t="array" aca="1" ref="H160" ca="1">IF(RegimeExecucao="Global","",ORÇAMENTO!W160)</f>
        <v>0</v>
      </c>
      <c r="I160" s="125">
        <f ca="1">ORÇAMENTO!X160</f>
        <v>0</v>
      </c>
      <c r="J160" s="333" cm="1">
        <f t="array" aca="1" ref="J160" ca="1">IF($A160="S",IF(CAIXA.Modo,BM.AFAnterior,BM.MEDAnterior),IF(AND(RegimeExecucao="Global",$I160&gt;0,COUNTIF($AB$13:$AM$13,BM.medicao-1)&gt;0),M160/$I160*100,0))</f>
        <v>0</v>
      </c>
      <c r="K160" s="122">
        <f t="shared" ca="1" si="30"/>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31"/>
        <v>0</v>
      </c>
      <c r="O160" s="125" cm="1">
        <f t="array" aca="1" ref="O160" ca="1">IF($A160="S",VTOTALBM,IF($A160=0,0,ROUND(SomaAgrupBM,15-13*ORÇAMENTO!$AF$11)))</f>
        <v>0</v>
      </c>
      <c r="Q160" s="337"/>
      <c r="R160" s="338"/>
      <c r="T160" s="117" t="str">
        <f t="shared" ca="1" si="32"/>
        <v/>
      </c>
      <c r="U160" s="163" t="str">
        <f t="shared" ca="1" si="33"/>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34"/>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t="str">
        <f ca="1">ORÇAMENTO!C161</f>
        <v>S</v>
      </c>
      <c r="B161">
        <f ca="1">ORÇAMENTO!D161</f>
        <v>0</v>
      </c>
      <c r="C161" s="114" t="str">
        <f t="shared" ca="1" si="28"/>
        <v/>
      </c>
      <c r="D161" s="117" t="str">
        <f ca="1">ORÇAMENTO!O161</f>
        <v>-</v>
      </c>
      <c r="E161" s="163" t="str">
        <f t="shared" ca="1" si="29"/>
        <v>(Sem Código)</v>
      </c>
      <c r="F161" s="164" t="str" cm="1">
        <f t="array" aca="1" ref="F161" ca="1">IF(RegimeExecucao="Global","",ORÇAMENTO.Unidade)</f>
        <v>-</v>
      </c>
      <c r="G161" s="122" cm="1">
        <f t="array" aca="1" ref="G161" ca="1">IF(RegimeExecucao="Global","",ORÇAMENTO!T161)</f>
        <v>0</v>
      </c>
      <c r="H161" s="122" cm="1">
        <f t="array" aca="1" ref="H161" ca="1">IF(RegimeExecucao="Global","",ORÇAMENTO!W161)</f>
        <v>0</v>
      </c>
      <c r="I161" s="125">
        <f ca="1">ORÇAMENTO!X161</f>
        <v>0</v>
      </c>
      <c r="J161" s="333" cm="1">
        <f t="array" aca="1" ref="J161" ca="1">IF($A161="S",IF(CAIXA.Modo,BM.AFAnterior,BM.MEDAnterior),IF(AND(RegimeExecucao="Global",$I161&gt;0,COUNTIF($AB$13:$AM$13,BM.medicao-1)&gt;0),M161/$I161*100,0))</f>
        <v>0</v>
      </c>
      <c r="K161" s="122">
        <f t="shared" ca="1" si="30"/>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31"/>
        <v>0</v>
      </c>
      <c r="O161" s="125" cm="1">
        <f t="array" aca="1" ref="O161" ca="1">IF($A161="S",VTOTALBM,IF($A161=0,0,ROUND(SomaAgrupBM,15-13*ORÇAMENTO!$AF$11)))</f>
        <v>0</v>
      </c>
      <c r="Q161" s="337"/>
      <c r="R161" s="338"/>
      <c r="T161" s="117" t="str">
        <f t="shared" ca="1" si="32"/>
        <v/>
      </c>
      <c r="U161" s="163" t="str">
        <f t="shared" ca="1" si="33"/>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34"/>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5.0999999999999996" customHeight="1" x14ac:dyDescent="0.2">
      <c r="C162" s="114" t="s">
        <v>536</v>
      </c>
      <c r="D162" s="618"/>
      <c r="E162" s="619"/>
      <c r="F162" s="619"/>
      <c r="G162" s="619"/>
      <c r="H162" s="619"/>
      <c r="I162" s="419"/>
      <c r="J162" s="618"/>
      <c r="K162" s="619"/>
      <c r="L162" s="419"/>
      <c r="M162" s="434"/>
      <c r="N162" s="435"/>
      <c r="O162" s="436"/>
      <c r="Q162" s="618"/>
      <c r="R162" s="419"/>
      <c r="T162" s="618"/>
      <c r="U162" s="619"/>
      <c r="V162" s="619"/>
      <c r="W162" s="619"/>
      <c r="X162" s="619"/>
      <c r="Y162" s="619"/>
      <c r="Z162" s="419"/>
      <c r="AB162" s="618"/>
      <c r="AC162" s="619"/>
      <c r="AD162" s="619"/>
      <c r="AE162" s="619"/>
      <c r="AF162" s="619"/>
      <c r="AG162" s="619"/>
      <c r="AH162" s="619"/>
      <c r="AI162" s="619"/>
      <c r="AJ162" s="619"/>
      <c r="AK162" s="619"/>
      <c r="AL162" s="619"/>
      <c r="AM162" s="419"/>
    </row>
    <row r="164" spans="1:41" ht="14.25" x14ac:dyDescent="0.2">
      <c r="D164" s="810" t="s">
        <v>689</v>
      </c>
      <c r="E164" s="810"/>
      <c r="F164" s="810"/>
      <c r="G164" s="810"/>
      <c r="H164" s="810"/>
      <c r="I164" s="810"/>
      <c r="J164" s="810"/>
      <c r="K164" s="810"/>
      <c r="L164" s="810"/>
      <c r="M164" s="810"/>
      <c r="N164" s="810"/>
      <c r="O164" s="810"/>
      <c r="T164" s="811" t="s">
        <v>865</v>
      </c>
      <c r="U164" s="811"/>
      <c r="V164" s="811"/>
      <c r="W164" s="811"/>
      <c r="X164" s="811"/>
      <c r="Y164" s="811"/>
      <c r="Z164" s="811"/>
    </row>
    <row r="165" spans="1:41" ht="12.75" customHeight="1" x14ac:dyDescent="0.2">
      <c r="D165" s="721"/>
      <c r="E165" s="721"/>
      <c r="F165" s="721"/>
      <c r="G165" s="721"/>
      <c r="H165" s="721"/>
      <c r="I165" s="721"/>
      <c r="J165" s="721"/>
      <c r="K165" s="721"/>
      <c r="L165" s="721"/>
      <c r="M165" s="721"/>
      <c r="N165" s="721"/>
      <c r="O165" s="721"/>
      <c r="T165" s="812"/>
      <c r="U165" s="812"/>
      <c r="V165" s="812"/>
      <c r="W165" s="812"/>
      <c r="X165" s="812"/>
      <c r="Y165" s="812"/>
      <c r="Z165" s="812"/>
    </row>
    <row r="166" spans="1:41" ht="12.75" customHeight="1" x14ac:dyDescent="0.2">
      <c r="D166" s="721"/>
      <c r="E166" s="721"/>
      <c r="F166" s="721"/>
      <c r="G166" s="721"/>
      <c r="H166" s="721"/>
      <c r="I166" s="721"/>
      <c r="J166" s="721"/>
      <c r="K166" s="721"/>
      <c r="L166" s="721"/>
      <c r="M166" s="721"/>
      <c r="N166" s="721"/>
      <c r="O166" s="721"/>
      <c r="T166" s="812"/>
      <c r="U166" s="812"/>
      <c r="V166" s="812"/>
      <c r="W166" s="812"/>
      <c r="X166" s="812"/>
      <c r="Y166" s="812"/>
      <c r="Z166" s="812"/>
    </row>
    <row r="167" spans="1:41" ht="12.75" customHeight="1" x14ac:dyDescent="0.2">
      <c r="D167" s="721"/>
      <c r="E167" s="721"/>
      <c r="F167" s="721"/>
      <c r="G167" s="721"/>
      <c r="H167" s="721"/>
      <c r="I167" s="721"/>
      <c r="J167" s="721"/>
      <c r="K167" s="721"/>
      <c r="L167" s="721"/>
      <c r="M167" s="721"/>
      <c r="N167" s="721"/>
      <c r="O167" s="721"/>
      <c r="T167" s="812"/>
      <c r="U167" s="812"/>
      <c r="V167" s="812"/>
      <c r="W167" s="812"/>
      <c r="X167" s="812"/>
      <c r="Y167" s="812"/>
      <c r="Z167" s="812"/>
    </row>
    <row r="168" spans="1:41" ht="14.25" x14ac:dyDescent="0.2">
      <c r="D168" s="443"/>
      <c r="E168" s="443"/>
      <c r="F168" s="443"/>
      <c r="G168" s="443"/>
      <c r="H168" s="443"/>
      <c r="I168" s="443"/>
      <c r="J168" s="443"/>
      <c r="K168" s="443"/>
      <c r="L168" s="443"/>
      <c r="M168" s="443"/>
      <c r="N168" s="443"/>
      <c r="O168" s="443"/>
    </row>
    <row r="169" spans="1:41" ht="15" customHeight="1" x14ac:dyDescent="0.25">
      <c r="D169" s="722" t="str" cm="1">
        <f t="array" aca="1" ref="D169"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69" s="722"/>
      <c r="F169" s="722"/>
      <c r="G169" s="722"/>
      <c r="H169" s="722"/>
      <c r="I169" s="722"/>
      <c r="J169" s="722"/>
      <c r="K169" s="722"/>
      <c r="L169" s="722"/>
    </row>
    <row r="170" spans="1:41" x14ac:dyDescent="0.2">
      <c r="D170" s="808"/>
      <c r="E170" s="808"/>
      <c r="F170" s="808"/>
      <c r="G170" s="808"/>
      <c r="H170" s="808"/>
      <c r="I170" s="808"/>
    </row>
    <row r="171" spans="1:41" x14ac:dyDescent="0.2">
      <c r="D171"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71" s="806"/>
      <c r="F171" s="806"/>
      <c r="G171" s="806"/>
      <c r="H171" s="806"/>
      <c r="I171" s="806"/>
      <c r="J171" s="806"/>
      <c r="K171" s="806"/>
      <c r="L171" s="806"/>
      <c r="M171" s="806"/>
      <c r="N171" s="806"/>
      <c r="O171" s="806"/>
    </row>
    <row r="172" spans="1:41" ht="39.950000000000003" customHeight="1" x14ac:dyDescent="0.25">
      <c r="E172" s="138" t="str">
        <f>Import.Município</f>
        <v>Passos / MG</v>
      </c>
      <c r="J172" s="585" t="str">
        <f ca="1">IF(DADOS!$D$50&lt;&gt;"","Preencher os Dados do Responsável pela Fiscalização, na aba DADOS.","")</f>
        <v/>
      </c>
      <c r="K172" s="585"/>
      <c r="L172" s="585"/>
      <c r="M172" s="585"/>
      <c r="W172" s="807"/>
      <c r="X172" s="807"/>
      <c r="Y172" s="807"/>
      <c r="Z172" s="807"/>
    </row>
    <row r="173" spans="1:41" x14ac:dyDescent="0.2">
      <c r="E173" s="9" t="s">
        <v>693</v>
      </c>
      <c r="J173" s="181" t="s">
        <v>841</v>
      </c>
      <c r="W173" s="181" t="s">
        <v>866</v>
      </c>
    </row>
    <row r="174" spans="1:41" x14ac:dyDescent="0.2">
      <c r="J174" s="77" t="s">
        <v>240</v>
      </c>
      <c r="K174" s="271">
        <f t="array" ref="K174:K177">Import.RespFiscalização</f>
        <v>0</v>
      </c>
      <c r="L174" s="78"/>
      <c r="W174" s="77" t="s">
        <v>240</v>
      </c>
      <c r="X174" s="805"/>
      <c r="Y174" s="805"/>
      <c r="Z174" s="805"/>
    </row>
    <row r="175" spans="1:41" x14ac:dyDescent="0.2">
      <c r="E175" s="459">
        <f>DADOS!$C$48</f>
        <v>0</v>
      </c>
      <c r="J175" s="77" t="s">
        <v>319</v>
      </c>
      <c r="K175" s="271">
        <v>0</v>
      </c>
      <c r="L175" s="78"/>
      <c r="W175" s="77" t="s">
        <v>867</v>
      </c>
      <c r="X175" s="805"/>
      <c r="Y175" s="805"/>
      <c r="Z175" s="805"/>
    </row>
    <row r="176" spans="1:41" x14ac:dyDescent="0.2">
      <c r="E176" s="140" t="s">
        <v>694</v>
      </c>
      <c r="J176" s="77" t="s">
        <v>243</v>
      </c>
      <c r="K176" s="271">
        <v>0</v>
      </c>
      <c r="L176" s="78"/>
      <c r="W176" s="77" t="s">
        <v>243</v>
      </c>
      <c r="X176" s="805"/>
      <c r="Y176" s="805"/>
      <c r="Z176" s="805"/>
    </row>
    <row r="177" spans="10:24" x14ac:dyDescent="0.2">
      <c r="J177" s="77" t="s">
        <v>246</v>
      </c>
      <c r="K177" s="12">
        <v>0</v>
      </c>
      <c r="W177" s="77"/>
      <c r="X177" s="12"/>
    </row>
  </sheetData>
  <sheetProtection algorithmName="SHA-512" hashValue="KUyPFVlPepRMMmRSxQeF50N1jT4uzTlIVrt5NQhxtl+0TSx/IArMN9BUIvVsmp08BTPEU2eA1nPw7FzPlckw8w==" saltValue="5UuA9XptVd47U7sClzeNnw==" spinCount="100000" sheet="1" objects="1" scenarios="1" autoFilter="0"/>
  <autoFilter ref="C15:C162"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69:L169"/>
    <mergeCell ref="D170:I170"/>
    <mergeCell ref="AB15:AM15"/>
    <mergeCell ref="D164:O164"/>
    <mergeCell ref="T164:Z164"/>
    <mergeCell ref="D165:O167"/>
    <mergeCell ref="T165:Z167"/>
    <mergeCell ref="D15:E15"/>
    <mergeCell ref="X176:Z176"/>
    <mergeCell ref="D171:O171"/>
    <mergeCell ref="W172:Z172"/>
    <mergeCell ref="X174:Z174"/>
    <mergeCell ref="X175:Z175"/>
  </mergeCells>
  <phoneticPr fontId="38" type="noConversion"/>
  <conditionalFormatting sqref="D14:O14 T14:Z14 D37:O38 T37:Z38 D16:O32 T16:Z32 D51:O82 T51:Z82">
    <cfRule type="expression" dxfId="141" priority="18662" stopIfTrue="1">
      <formula>OR(ACOMPANHAMENTO="PLE",TIPOORCAMENTO="Proposto",$L14&lt;0,AND($L14&gt;100,RegimeExecucao="Global"),$O14&gt;$I14,$O14&lt;0)</formula>
    </cfRule>
    <cfRule type="expression" dxfId="140" priority="18663" stopIfTrue="1">
      <formula>$A14=1</formula>
    </cfRule>
    <cfRule type="expression" dxfId="139" priority="18664" stopIfTrue="1">
      <formula>$A14&lt;&gt;"S"</formula>
    </cfRule>
  </conditionalFormatting>
  <conditionalFormatting sqref="Q14:R14 AB14:AM14 Q37:R38 AB37:AM38 Q16:R32 AB16:AM32 Q51:R82 AB51:AM82">
    <cfRule type="expression" dxfId="138" priority="18665" stopIfTrue="1">
      <formula>$A14=1</formula>
    </cfRule>
    <cfRule type="expression" dxfId="137" priority="18666" stopIfTrue="1">
      <formula>$A14&lt;&gt;"S"</formula>
    </cfRule>
  </conditionalFormatting>
  <conditionalFormatting sqref="E2">
    <cfRule type="expression" dxfId="136" priority="18667" stopIfTrue="1">
      <formula>Import.RegimeExecução="(SELECIONAR)"</formula>
    </cfRule>
  </conditionalFormatting>
  <conditionalFormatting sqref="F13:H13">
    <cfRule type="expression" dxfId="135" priority="18668" stopIfTrue="1">
      <formula>RegimeExecucao="Global"</formula>
    </cfRule>
  </conditionalFormatting>
  <conditionalFormatting sqref="D15:O15">
    <cfRule type="expression" dxfId="134" priority="18669" stopIfTrue="1">
      <formula>OR(ACOMPANHAMENTO="PLE",TIPOORCAMENTO="Proposto")</formula>
    </cfRule>
  </conditionalFormatting>
  <conditionalFormatting sqref="AB13">
    <cfRule type="cellIs" dxfId="133" priority="18670" stopIfTrue="1" operator="notEqual">
      <formula>1</formula>
    </cfRule>
  </conditionalFormatting>
  <conditionalFormatting sqref="O11">
    <cfRule type="expression" dxfId="132" priority="13529">
      <formula>ROUND($P$11,4)&gt;ROUND($P$10,4)</formula>
    </cfRule>
  </conditionalFormatting>
  <conditionalFormatting sqref="D33:O35 T33:Z35 T46:Z47 D46:O47 D44:O44 T44:Z44 T39:Z40 D39:O40">
    <cfRule type="expression" dxfId="131" priority="206" stopIfTrue="1">
      <formula>OR(ACOMPANHAMENTO="PLE",TIPOORCAMENTO="Proposto",$L33&lt;0,AND($L33&gt;100,RegimeExecucao="Global"),$O33&gt;$I33,$O33&lt;0)</formula>
    </cfRule>
    <cfRule type="expression" dxfId="130" priority="207" stopIfTrue="1">
      <formula>$A33=1</formula>
    </cfRule>
    <cfRule type="expression" dxfId="129" priority="208" stopIfTrue="1">
      <formula>$A33&lt;&gt;"S"</formula>
    </cfRule>
  </conditionalFormatting>
  <conditionalFormatting sqref="Q33:R35 AB33:AM35 AB46:AM47 Q46:R47 Q44:R44 AB44:AM44 AB39:AM40 Q39:R40">
    <cfRule type="expression" dxfId="128" priority="209" stopIfTrue="1">
      <formula>$A33=1</formula>
    </cfRule>
    <cfRule type="expression" dxfId="127" priority="210" stopIfTrue="1">
      <formula>$A33&lt;&gt;"S"</formula>
    </cfRule>
  </conditionalFormatting>
  <conditionalFormatting sqref="D48:O49 T48:Z49">
    <cfRule type="expression" dxfId="126" priority="201" stopIfTrue="1">
      <formula>OR(ACOMPANHAMENTO="PLE",TIPOORCAMENTO="Proposto",$L48&lt;0,AND($L48&gt;100,RegimeExecucao="Global"),$O48&gt;$I48,$O48&lt;0)</formula>
    </cfRule>
    <cfRule type="expression" dxfId="125" priority="202" stopIfTrue="1">
      <formula>$A48=1</formula>
    </cfRule>
    <cfRule type="expression" dxfId="124" priority="203" stopIfTrue="1">
      <formula>$A48&lt;&gt;"S"</formula>
    </cfRule>
  </conditionalFormatting>
  <conditionalFormatting sqref="Q48:R49 AB48:AM49">
    <cfRule type="expression" dxfId="123" priority="204" stopIfTrue="1">
      <formula>$A48=1</formula>
    </cfRule>
    <cfRule type="expression" dxfId="122" priority="205" stopIfTrue="1">
      <formula>$A48&lt;&gt;"S"</formula>
    </cfRule>
  </conditionalFormatting>
  <conditionalFormatting sqref="D83:O91 T83:Z91">
    <cfRule type="expression" dxfId="121" priority="121" stopIfTrue="1">
      <formula>OR(ACOMPANHAMENTO="PLE",TIPOORCAMENTO="Proposto",$L83&lt;0,AND($L83&gt;100,RegimeExecucao="Global"),$O83&gt;$I83,$O83&lt;0)</formula>
    </cfRule>
    <cfRule type="expression" dxfId="120" priority="122" stopIfTrue="1">
      <formula>$A83=1</formula>
    </cfRule>
    <cfRule type="expression" dxfId="119" priority="123" stopIfTrue="1">
      <formula>$A83&lt;&gt;"S"</formula>
    </cfRule>
  </conditionalFormatting>
  <conditionalFormatting sqref="Q83:R91 AB83:AM91">
    <cfRule type="expression" dxfId="118" priority="124" stopIfTrue="1">
      <formula>$A83=1</formula>
    </cfRule>
    <cfRule type="expression" dxfId="117" priority="125" stopIfTrue="1">
      <formula>$A83&lt;&gt;"S"</formula>
    </cfRule>
  </conditionalFormatting>
  <conditionalFormatting sqref="D92:O100 T92:Z100">
    <cfRule type="expression" dxfId="116" priority="116" stopIfTrue="1">
      <formula>OR(ACOMPANHAMENTO="PLE",TIPOORCAMENTO="Proposto",$L92&lt;0,AND($L92&gt;100,RegimeExecucao="Global"),$O92&gt;$I92,$O92&lt;0)</formula>
    </cfRule>
    <cfRule type="expression" dxfId="115" priority="117" stopIfTrue="1">
      <formula>$A92=1</formula>
    </cfRule>
    <cfRule type="expression" dxfId="114" priority="118" stopIfTrue="1">
      <formula>$A92&lt;&gt;"S"</formula>
    </cfRule>
  </conditionalFormatting>
  <conditionalFormatting sqref="Q92:R100 AB92:AM100">
    <cfRule type="expression" dxfId="113" priority="119" stopIfTrue="1">
      <formula>$A92=1</formula>
    </cfRule>
    <cfRule type="expression" dxfId="112" priority="120" stopIfTrue="1">
      <formula>$A92&lt;&gt;"S"</formula>
    </cfRule>
  </conditionalFormatting>
  <conditionalFormatting sqref="D101:O109 T101:Z109">
    <cfRule type="expression" dxfId="111" priority="111" stopIfTrue="1">
      <formula>OR(ACOMPANHAMENTO="PLE",TIPOORCAMENTO="Proposto",$L101&lt;0,AND($L101&gt;100,RegimeExecucao="Global"),$O101&gt;$I101,$O101&lt;0)</formula>
    </cfRule>
    <cfRule type="expression" dxfId="110" priority="112" stopIfTrue="1">
      <formula>$A101=1</formula>
    </cfRule>
    <cfRule type="expression" dxfId="109" priority="113" stopIfTrue="1">
      <formula>$A101&lt;&gt;"S"</formula>
    </cfRule>
  </conditionalFormatting>
  <conditionalFormatting sqref="Q101:R109 AB101:AM109">
    <cfRule type="expression" dxfId="108" priority="114" stopIfTrue="1">
      <formula>$A101=1</formula>
    </cfRule>
    <cfRule type="expression" dxfId="107" priority="115" stopIfTrue="1">
      <formula>$A101&lt;&gt;"S"</formula>
    </cfRule>
  </conditionalFormatting>
  <conditionalFormatting sqref="D110:O118 T110:Z118">
    <cfRule type="expression" dxfId="106" priority="106" stopIfTrue="1">
      <formula>OR(ACOMPANHAMENTO="PLE",TIPOORCAMENTO="Proposto",$L110&lt;0,AND($L110&gt;100,RegimeExecucao="Global"),$O110&gt;$I110,$O110&lt;0)</formula>
    </cfRule>
    <cfRule type="expression" dxfId="105" priority="107" stopIfTrue="1">
      <formula>$A110=1</formula>
    </cfRule>
    <cfRule type="expression" dxfId="104" priority="108" stopIfTrue="1">
      <formula>$A110&lt;&gt;"S"</formula>
    </cfRule>
  </conditionalFormatting>
  <conditionalFormatting sqref="Q110:R118 AB110:AM118">
    <cfRule type="expression" dxfId="103" priority="109" stopIfTrue="1">
      <formula>$A110=1</formula>
    </cfRule>
    <cfRule type="expression" dxfId="102" priority="110" stopIfTrue="1">
      <formula>$A110&lt;&gt;"S"</formula>
    </cfRule>
  </conditionalFormatting>
  <conditionalFormatting sqref="D119:O127 T119:Z127">
    <cfRule type="expression" dxfId="101" priority="101" stopIfTrue="1">
      <formula>OR(ACOMPANHAMENTO="PLE",TIPOORCAMENTO="Proposto",$L119&lt;0,AND($L119&gt;100,RegimeExecucao="Global"),$O119&gt;$I119,$O119&lt;0)</formula>
    </cfRule>
    <cfRule type="expression" dxfId="100" priority="102" stopIfTrue="1">
      <formula>$A119=1</formula>
    </cfRule>
    <cfRule type="expression" dxfId="99" priority="103" stopIfTrue="1">
      <formula>$A119&lt;&gt;"S"</formula>
    </cfRule>
  </conditionalFormatting>
  <conditionalFormatting sqref="Q119:R127 AB119:AM127">
    <cfRule type="expression" dxfId="98" priority="104" stopIfTrue="1">
      <formula>$A119=1</formula>
    </cfRule>
    <cfRule type="expression" dxfId="97" priority="105" stopIfTrue="1">
      <formula>$A119&lt;&gt;"S"</formula>
    </cfRule>
  </conditionalFormatting>
  <conditionalFormatting sqref="D128:O136 T128:Z136">
    <cfRule type="expression" dxfId="96" priority="96" stopIfTrue="1">
      <formula>OR(ACOMPANHAMENTO="PLE",TIPOORCAMENTO="Proposto",$L128&lt;0,AND($L128&gt;100,RegimeExecucao="Global"),$O128&gt;$I128,$O128&lt;0)</formula>
    </cfRule>
    <cfRule type="expression" dxfId="95" priority="97" stopIfTrue="1">
      <formula>$A128=1</formula>
    </cfRule>
    <cfRule type="expression" dxfId="94" priority="98" stopIfTrue="1">
      <formula>$A128&lt;&gt;"S"</formula>
    </cfRule>
  </conditionalFormatting>
  <conditionalFormatting sqref="Q128:R136 AB128:AM136">
    <cfRule type="expression" dxfId="93" priority="99" stopIfTrue="1">
      <formula>$A128=1</formula>
    </cfRule>
    <cfRule type="expression" dxfId="92" priority="100" stopIfTrue="1">
      <formula>$A128&lt;&gt;"S"</formula>
    </cfRule>
  </conditionalFormatting>
  <conditionalFormatting sqref="D137:O145 T137:Z145">
    <cfRule type="expression" dxfId="91" priority="91" stopIfTrue="1">
      <formula>OR(ACOMPANHAMENTO="PLE",TIPOORCAMENTO="Proposto",$L137&lt;0,AND($L137&gt;100,RegimeExecucao="Global"),$O137&gt;$I137,$O137&lt;0)</formula>
    </cfRule>
    <cfRule type="expression" dxfId="90" priority="92" stopIfTrue="1">
      <formula>$A137=1</formula>
    </cfRule>
    <cfRule type="expression" dxfId="89" priority="93" stopIfTrue="1">
      <formula>$A137&lt;&gt;"S"</formula>
    </cfRule>
  </conditionalFormatting>
  <conditionalFormatting sqref="Q137:R145 AB137:AM145">
    <cfRule type="expression" dxfId="88" priority="94" stopIfTrue="1">
      <formula>$A137=1</formula>
    </cfRule>
    <cfRule type="expression" dxfId="87" priority="95" stopIfTrue="1">
      <formula>$A137&lt;&gt;"S"</formula>
    </cfRule>
  </conditionalFormatting>
  <conditionalFormatting sqref="D146:O154 T146:Z154">
    <cfRule type="expression" dxfId="86" priority="86" stopIfTrue="1">
      <formula>OR(ACOMPANHAMENTO="PLE",TIPOORCAMENTO="Proposto",$L146&lt;0,AND($L146&gt;100,RegimeExecucao="Global"),$O146&gt;$I146,$O146&lt;0)</formula>
    </cfRule>
    <cfRule type="expression" dxfId="85" priority="87" stopIfTrue="1">
      <formula>$A146=1</formula>
    </cfRule>
    <cfRule type="expression" dxfId="84" priority="88" stopIfTrue="1">
      <formula>$A146&lt;&gt;"S"</formula>
    </cfRule>
  </conditionalFormatting>
  <conditionalFormatting sqref="Q146:R154 AB146:AM154">
    <cfRule type="expression" dxfId="83" priority="89" stopIfTrue="1">
      <formula>$A146=1</formula>
    </cfRule>
    <cfRule type="expression" dxfId="82" priority="90" stopIfTrue="1">
      <formula>$A146&lt;&gt;"S"</formula>
    </cfRule>
  </conditionalFormatting>
  <conditionalFormatting sqref="D155:O161 T155:Z161">
    <cfRule type="expression" dxfId="81" priority="81" stopIfTrue="1">
      <formula>OR(ACOMPANHAMENTO="PLE",TIPOORCAMENTO="Proposto",$L155&lt;0,AND($L155&gt;100,RegimeExecucao="Global"),$O155&gt;$I155,$O155&lt;0)</formula>
    </cfRule>
    <cfRule type="expression" dxfId="80" priority="82" stopIfTrue="1">
      <formula>$A155=1</formula>
    </cfRule>
    <cfRule type="expression" dxfId="79" priority="83" stopIfTrue="1">
      <formula>$A155&lt;&gt;"S"</formula>
    </cfRule>
  </conditionalFormatting>
  <conditionalFormatting sqref="Q155:R161 AB155:AM161">
    <cfRule type="expression" dxfId="78" priority="84" stopIfTrue="1">
      <formula>$A155=1</formula>
    </cfRule>
    <cfRule type="expression" dxfId="77" priority="85" stopIfTrue="1">
      <formula>$A155&lt;&gt;"S"</formula>
    </cfRule>
  </conditionalFormatting>
  <conditionalFormatting sqref="D50:O50 T50:Z50">
    <cfRule type="expression" dxfId="76" priority="66" stopIfTrue="1">
      <formula>OR(ACOMPANHAMENTO="PLE",TIPOORCAMENTO="Proposto",$L50&lt;0,AND($L50&gt;100,RegimeExecucao="Global"),$O50&gt;$I50,$O50&lt;0)</formula>
    </cfRule>
    <cfRule type="expression" dxfId="75" priority="67" stopIfTrue="1">
      <formula>$A50=1</formula>
    </cfRule>
    <cfRule type="expression" dxfId="74" priority="68" stopIfTrue="1">
      <formula>$A50&lt;&gt;"S"</formula>
    </cfRule>
  </conditionalFormatting>
  <conditionalFormatting sqref="Q50:R50 AB50:AM50">
    <cfRule type="expression" dxfId="73" priority="69" stopIfTrue="1">
      <formula>$A50=1</formula>
    </cfRule>
    <cfRule type="expression" dxfId="72" priority="70" stopIfTrue="1">
      <formula>$A50&lt;&gt;"S"</formula>
    </cfRule>
  </conditionalFormatting>
  <conditionalFormatting sqref="D45:O45 T45:Z45">
    <cfRule type="expression" dxfId="71" priority="31" stopIfTrue="1">
      <formula>OR(ACOMPANHAMENTO="PLE",TIPOORCAMENTO="Proposto",$L45&lt;0,AND($L45&gt;100,RegimeExecucao="Global"),$O45&gt;$I45,$O45&lt;0)</formula>
    </cfRule>
    <cfRule type="expression" dxfId="70" priority="32" stopIfTrue="1">
      <formula>$A45=1</formula>
    </cfRule>
    <cfRule type="expression" dxfId="69" priority="33" stopIfTrue="1">
      <formula>$A45&lt;&gt;"S"</formula>
    </cfRule>
  </conditionalFormatting>
  <conditionalFormatting sqref="Q45:R45 AB45:AM45">
    <cfRule type="expression" dxfId="68" priority="34" stopIfTrue="1">
      <formula>$A45=1</formula>
    </cfRule>
    <cfRule type="expression" dxfId="67" priority="35" stopIfTrue="1">
      <formula>$A45&lt;&gt;"S"</formula>
    </cfRule>
  </conditionalFormatting>
  <conditionalFormatting sqref="D41:O41 T41:Z41">
    <cfRule type="expression" dxfId="66" priority="26" stopIfTrue="1">
      <formula>OR(ACOMPANHAMENTO="PLE",TIPOORCAMENTO="Proposto",$L41&lt;0,AND($L41&gt;100,RegimeExecucao="Global"),$O41&gt;$I41,$O41&lt;0)</formula>
    </cfRule>
    <cfRule type="expression" dxfId="65" priority="27" stopIfTrue="1">
      <formula>$A41=1</formula>
    </cfRule>
    <cfRule type="expression" dxfId="64" priority="28" stopIfTrue="1">
      <formula>$A41&lt;&gt;"S"</formula>
    </cfRule>
  </conditionalFormatting>
  <conditionalFormatting sqref="Q41:R41 AB41:AM41">
    <cfRule type="expression" dxfId="63" priority="29" stopIfTrue="1">
      <formula>$A41=1</formula>
    </cfRule>
    <cfRule type="expression" dxfId="62" priority="30" stopIfTrue="1">
      <formula>$A41&lt;&gt;"S"</formula>
    </cfRule>
  </conditionalFormatting>
  <conditionalFormatting sqref="D36:O36 T36:Z36">
    <cfRule type="expression" dxfId="61" priority="16" stopIfTrue="1">
      <formula>OR(ACOMPANHAMENTO="PLE",TIPOORCAMENTO="Proposto",$L36&lt;0,AND($L36&gt;100,RegimeExecucao="Global"),$O36&gt;$I36,$O36&lt;0)</formula>
    </cfRule>
    <cfRule type="expression" dxfId="60" priority="17" stopIfTrue="1">
      <formula>$A36=1</formula>
    </cfRule>
    <cfRule type="expression" dxfId="59" priority="18" stopIfTrue="1">
      <formula>$A36&lt;&gt;"S"</formula>
    </cfRule>
  </conditionalFormatting>
  <conditionalFormatting sqref="Q36:R36 AB36:AM36">
    <cfRule type="expression" dxfId="58" priority="19" stopIfTrue="1">
      <formula>$A36=1</formula>
    </cfRule>
    <cfRule type="expression" dxfId="57" priority="20" stopIfTrue="1">
      <formula>$A36&lt;&gt;"S"</formula>
    </cfRule>
  </conditionalFormatting>
  <conditionalFormatting sqref="D42:O42 T42:Z42">
    <cfRule type="expression" dxfId="56" priority="6" stopIfTrue="1">
      <formula>OR(ACOMPANHAMENTO="PLE",TIPOORCAMENTO="Proposto",$L42&lt;0,AND($L42&gt;100,RegimeExecucao="Global"),$O42&gt;$I42,$O42&lt;0)</formula>
    </cfRule>
    <cfRule type="expression" dxfId="55" priority="7" stopIfTrue="1">
      <formula>$A42=1</formula>
    </cfRule>
    <cfRule type="expression" dxfId="54" priority="8" stopIfTrue="1">
      <formula>$A42&lt;&gt;"S"</formula>
    </cfRule>
  </conditionalFormatting>
  <conditionalFormatting sqref="Q42:R42 AB42:AM42">
    <cfRule type="expression" dxfId="53" priority="9" stopIfTrue="1">
      <formula>$A42=1</formula>
    </cfRule>
    <cfRule type="expression" dxfId="52" priority="10" stopIfTrue="1">
      <formula>$A42&lt;&gt;"S"</formula>
    </cfRule>
  </conditionalFormatting>
  <conditionalFormatting sqref="D43:O43 T43:Z43">
    <cfRule type="expression" dxfId="51" priority="1" stopIfTrue="1">
      <formula>OR(ACOMPANHAMENTO="PLE",TIPOORCAMENTO="Proposto",$L43&lt;0,AND($L43&gt;100,RegimeExecucao="Global"),$O43&gt;$I43,$O43&lt;0)</formula>
    </cfRule>
    <cfRule type="expression" dxfId="50" priority="2" stopIfTrue="1">
      <formula>$A43=1</formula>
    </cfRule>
    <cfRule type="expression" dxfId="49" priority="3" stopIfTrue="1">
      <formula>$A43&lt;&gt;"S"</formula>
    </cfRule>
  </conditionalFormatting>
  <conditionalFormatting sqref="Q43:R43 AB43:AM43">
    <cfRule type="expression" dxfId="48" priority="4" stopIfTrue="1">
      <formula>$A43=1</formula>
    </cfRule>
    <cfRule type="expression" dxfId="47" priority="5" stopIfTrue="1">
      <formula>$A43&lt;&gt;"S"</formula>
    </cfRule>
  </conditionalFormatting>
  <dataValidations count="4">
    <dataValidation type="list" allowBlank="1" showErrorMessage="1" sqref="Z14 Z16:Z161"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61"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61"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f>Import.Proponente</f>
        <v>0</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 xml:space="preserve">TRAVESSIA EM ADUELAS ESTRADA PRINCIPAL DO VIRA </v>
      </c>
      <c r="F7" s="703"/>
      <c r="G7" s="703"/>
      <c r="H7" s="703"/>
      <c r="I7" s="841" t="str">
        <f>Import.Município</f>
        <v>Passos / MG</v>
      </c>
      <c r="J7" s="841"/>
      <c r="K7" s="841"/>
      <c r="L7" s="841"/>
      <c r="M7" s="353">
        <f>Import.Repasse</f>
        <v>0</v>
      </c>
      <c r="N7" s="354">
        <f>Import.Contrapartida</f>
        <v>0</v>
      </c>
      <c r="O7" s="353">
        <f>M7+N7</f>
        <v>0</v>
      </c>
      <c r="P7" s="423">
        <f ca="1">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Normal</v>
      </c>
      <c r="H10" s="705"/>
      <c r="I10" s="358">
        <f>DATE(YEAR($L$35),MONTH($L$35),1)</f>
        <v>1</v>
      </c>
      <c r="J10" s="359">
        <f ca="1">IF($I$10&lt;DATE(YEAR(CRONO!$U$13),MONTH(CRONO!$U$13),1),0,IF($I$10&gt;OFFSET(CRONO!$AG$13,0,-1),1,INDEX(CRONO!$T$77:$AH$77,MATCH(RRE!$I$10,CRONO!$T$13:$AG$13,0))))</f>
        <v>0</v>
      </c>
      <c r="K10" s="355"/>
      <c r="L10" s="843"/>
      <c r="M10" s="360">
        <f ca="1">QCI!L10</f>
        <v>0</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MATCH(E12,ORÇAMENTO!$E$15:$E$162,0)-1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MATCH(E14,ORÇAMENTO!$E$15:$E$162,0)-1</f>
        <v>1</v>
      </c>
      <c r="B14">
        <f ca="1">IF(ISERROR($A14),NA(),OFFSET(ORÇAMENTO!$D$15,$A14,0))</f>
        <v>11</v>
      </c>
      <c r="C14" t="str">
        <f ca="1">QCI!B14</f>
        <v>Automático</v>
      </c>
      <c r="D14" t="str">
        <f t="shared" ref="D14:D22" ca="1" si="0">IF(L14&gt;0,"F","")</f>
        <v/>
      </c>
      <c r="E14" s="281">
        <f>QCI!D14</f>
        <v>1</v>
      </c>
      <c r="F14" s="362" t="str">
        <f ca="1">QCI!G14</f>
        <v>CANTEIRO DE OBRA</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f ca="1">MATCH(E15,ORÇAMENTO!$E$15:$E$162,0)-1</f>
        <v>12</v>
      </c>
      <c r="B15">
        <f ca="1">IF(ISERROR($A15),NA(),OFFSET(ORÇAMENTO!$D$15,$A15,0))</f>
        <v>8</v>
      </c>
      <c r="C15" t="str">
        <f ca="1">QCI!B15</f>
        <v>Automático</v>
      </c>
      <c r="D15" t="str">
        <f t="shared" ca="1" si="0"/>
        <v/>
      </c>
      <c r="E15" s="281">
        <f>QCI!D15</f>
        <v>2</v>
      </c>
      <c r="F15" s="362" t="str">
        <f ca="1">QCI!G15</f>
        <v>DEMOLIÇÕES E REMOÇÕES</v>
      </c>
      <c r="G15" s="363">
        <f>QCI!H15</f>
        <v>0</v>
      </c>
      <c r="H15" s="282">
        <f>QCI!I15</f>
        <v>0</v>
      </c>
      <c r="I15" s="282" t="str">
        <f ca="1">QCI!J15</f>
        <v/>
      </c>
      <c r="J15" s="364" t="str">
        <f ca="1">QCI!K15</f>
        <v>LOTE 1</v>
      </c>
      <c r="K15" s="365" cm="1">
        <f t="array" aca="1" ref="K15" ca="1">IF($C15="Automático",IF(ACOMPANHAMENTO="BM",BM.medicao,PLE.Medicao),IF(ISBLANK($X15),"",$X15))</f>
        <v>1</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f ca="1">MATCH(E16,ORÇAMENTO!$E$15:$E$162,0)-1</f>
        <v>20</v>
      </c>
      <c r="B16">
        <f ca="1">IF(ISERROR($A16),NA(),OFFSET(ORÇAMENTO!$D$15,$A16,0))</f>
        <v>11</v>
      </c>
      <c r="C16" t="str">
        <f ca="1">QCI!B16</f>
        <v>Automático</v>
      </c>
      <c r="D16" t="str">
        <f t="shared" ca="1" si="0"/>
        <v/>
      </c>
      <c r="E16" s="281">
        <f>QCI!D16</f>
        <v>3</v>
      </c>
      <c r="F16" s="362" t="str">
        <f ca="1">QCI!G16</f>
        <v>MOVIMENTAÇÃO DE TERRA</v>
      </c>
      <c r="G16" s="363">
        <f>QCI!H16</f>
        <v>0</v>
      </c>
      <c r="H16" s="282">
        <f>QCI!I16</f>
        <v>0</v>
      </c>
      <c r="I16" s="282" t="str">
        <f ca="1">QCI!J16</f>
        <v/>
      </c>
      <c r="J16" s="364" t="str">
        <f ca="1">QCI!K16</f>
        <v>LOTE 1</v>
      </c>
      <c r="K16" s="365" cm="1">
        <f t="array" aca="1" ref="K16" ca="1">IF($C16="Automático",IF(ACOMPANHAMENTO="BM",BM.medicao,PLE.Medicao),IF(ISBLANK($X16),"",$X16))</f>
        <v>1</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f ca="1">MATCH(E17,ORÇAMENTO!$E$15:$E$162,0)-1</f>
        <v>31</v>
      </c>
      <c r="B17">
        <f ca="1">IF(ISERROR($A17),NA(),OFFSET(ORÇAMENTO!$D$15,$A17,0))</f>
        <v>5</v>
      </c>
      <c r="C17" t="str">
        <f ca="1">QCI!B17</f>
        <v>Automático</v>
      </c>
      <c r="D17" t="str">
        <f t="shared" ca="1" si="0"/>
        <v/>
      </c>
      <c r="E17" s="281">
        <f>QCI!D17</f>
        <v>4</v>
      </c>
      <c r="F17" s="362" t="str">
        <f ca="1">QCI!G17</f>
        <v>FUNDAÇÕES</v>
      </c>
      <c r="G17" s="363">
        <f>QCI!H17</f>
        <v>0</v>
      </c>
      <c r="H17" s="282">
        <f>QCI!I17</f>
        <v>0</v>
      </c>
      <c r="I17" s="282" t="str">
        <f ca="1">QCI!J17</f>
        <v/>
      </c>
      <c r="J17" s="364" t="str">
        <f ca="1">QCI!K17</f>
        <v>LOTE 1</v>
      </c>
      <c r="K17" s="365" cm="1">
        <f t="array" aca="1" ref="K17" ca="1">IF($C17="Automático",IF(ACOMPANHAMENTO="BM",BM.medicao,PLE.Medicao),IF(ISBLANK($X17),"",$X17))</f>
        <v>1</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f ca="1">MATCH(E18,ORÇAMENTO!$E$15:$E$162,0)-1</f>
        <v>36</v>
      </c>
      <c r="B18">
        <f ca="1">IF(ISERROR($A18),NA(),OFFSET(ORÇAMENTO!$D$15,$A18,0))</f>
        <v>13</v>
      </c>
      <c r="C18" t="str">
        <f ca="1">QCI!B18</f>
        <v>Automático</v>
      </c>
      <c r="D18" t="str">
        <f t="shared" ca="1" si="0"/>
        <v/>
      </c>
      <c r="E18" s="281">
        <f>QCI!D18</f>
        <v>5</v>
      </c>
      <c r="F18" s="362" t="str">
        <f ca="1">QCI!G18</f>
        <v>DRENAGEM PROFUNDA E SUPERFICIAL</v>
      </c>
      <c r="G18" s="363">
        <f>QCI!H18</f>
        <v>0</v>
      </c>
      <c r="H18" s="282">
        <f>QCI!I18</f>
        <v>0</v>
      </c>
      <c r="I18" s="282" t="str">
        <f ca="1">QCI!J18</f>
        <v/>
      </c>
      <c r="J18" s="364" t="str">
        <f ca="1">QCI!K18</f>
        <v>LOTE 1</v>
      </c>
      <c r="K18" s="365" cm="1">
        <f t="array" aca="1" ref="K18" ca="1">IF($C18="Automático",IF(ACOMPANHAMENTO="BM",BM.medicao,PLE.Medicao),IF(ISBLANK($X18),"",$X18))</f>
        <v>1</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f ca="1">MATCH(E19,ORÇAMENTO!$E$15:$E$162,0)-1</f>
        <v>49</v>
      </c>
      <c r="B19">
        <f ca="1">IF(ISERROR($A19),NA(),OFFSET(ORÇAMENTO!$D$15,$A19,0))</f>
        <v>9</v>
      </c>
      <c r="C19" t="str">
        <f ca="1">QCI!B19</f>
        <v>Automático</v>
      </c>
      <c r="D19" t="str">
        <f t="shared" ca="1" si="0"/>
        <v/>
      </c>
      <c r="E19" s="281">
        <f>QCI!D19</f>
        <v>6</v>
      </c>
      <c r="F19" s="362" t="str">
        <f ca="1">QCI!G19</f>
        <v>SINALIZAÇÃO VIÁRIA</v>
      </c>
      <c r="G19" s="363">
        <f>QCI!H19</f>
        <v>0</v>
      </c>
      <c r="H19" s="282">
        <f>QCI!I19</f>
        <v>0</v>
      </c>
      <c r="I19" s="282" t="str">
        <f ca="1">QCI!J19</f>
        <v/>
      </c>
      <c r="J19" s="364" t="str">
        <f ca="1">QCI!K19</f>
        <v>LOTE 1</v>
      </c>
      <c r="K19" s="365" cm="1">
        <f t="array" aca="1" ref="K19" ca="1">IF($C19="Automático",IF(ACOMPANHAMENTO="BM",BM.medicao,PLE.Medicao),IF(ISBLANK($X19),"",$X19))</f>
        <v>1</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f ca="1">MATCH(E20,ORÇAMENTO!$E$15:$E$162,0)-1</f>
        <v>58</v>
      </c>
      <c r="B20">
        <f ca="1">IF(ISERROR($A20),NA(),OFFSET(ORÇAMENTO!$D$15,$A20,0))</f>
        <v>89</v>
      </c>
      <c r="C20" t="str">
        <f ca="1">QCI!B20</f>
        <v>Automático</v>
      </c>
      <c r="D20" t="str">
        <f t="shared" ca="1" si="0"/>
        <v/>
      </c>
      <c r="E20" s="281">
        <f>QCI!D20</f>
        <v>7</v>
      </c>
      <c r="F20" s="362" t="str">
        <f ca="1">QCI!G20</f>
        <v xml:space="preserve">ADMINISTRAÇÃO LOCAL </v>
      </c>
      <c r="G20" s="363">
        <f>QCI!H20</f>
        <v>0</v>
      </c>
      <c r="H20" s="282">
        <f>QCI!I20</f>
        <v>0</v>
      </c>
      <c r="I20" s="282" t="str">
        <f ca="1">QCI!J20</f>
        <v/>
      </c>
      <c r="J20" s="364" t="str">
        <f ca="1">QCI!K20</f>
        <v>LOTE 1</v>
      </c>
      <c r="K20" s="365" cm="1">
        <f t="array" aca="1" ref="K20" ca="1">IF($C20="Automático",IF(ACOMPANHAMENTO="BM",BM.medicao,PLE.Medicao),IF(ISBLANK($X20),"",$X20))</f>
        <v>1</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MATCH(E21,ORÇAMENTO!$E$15:$E$162,0)-1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MATCH(E22,ORÇAMENTO!$E$15:$E$162,0)-1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MATCH(E23,ORÇAMENTO!$E$15:$E$162,0)-1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26" t="s">
        <v>889</v>
      </c>
      <c r="K24" s="827"/>
      <c r="L24" s="369">
        <f ca="1">IF(ISERROR(L28/$L28),0,ROUND(L28/$L28,4))</f>
        <v>0</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0</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0</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3" t="str">
        <f>Import.Município</f>
        <v>Passos / MG</v>
      </c>
      <c r="F35" s="723"/>
      <c r="G35" s="723"/>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 xml:space="preserve">Diego Rodrigo de Oliveira </v>
      </c>
      <c r="L40" s="77" t="s">
        <v>240</v>
      </c>
      <c r="M40" s="806">
        <f>IF(CAIXA.Modo,BM!X174,DADOS!C51)</f>
        <v>0</v>
      </c>
      <c r="N40" s="806"/>
      <c r="O40" s="806"/>
    </row>
    <row r="41" spans="5:16" x14ac:dyDescent="0.2">
      <c r="E41" s="77" t="str">
        <f>IF(CAIXA.Modo,"Função:","Cargo:")</f>
        <v>Cargo:</v>
      </c>
      <c r="F41" s="271" t="str">
        <f>IF(CAIXA.Modo,DADOS!C61,DADOS!C29)</f>
        <v>Prefeito Municipal</v>
      </c>
      <c r="L41" s="77" t="str">
        <f>IF(CAIXA.Modo,"Matrícula:","Profissão:")</f>
        <v>Profissão:</v>
      </c>
      <c r="M41" s="806">
        <f>IF(CAIXA.Modo,BM!X175,DADOS!C52)</f>
        <v>0</v>
      </c>
      <c r="N41" s="806"/>
      <c r="O41" s="806"/>
    </row>
    <row r="42" spans="5:16" x14ac:dyDescent="0.2">
      <c r="L42" s="77" t="s">
        <v>243</v>
      </c>
      <c r="M42" s="806">
        <f>IF(CAIXA.Modo,BM!X176,DADOS!C53)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ZF8vrBqsd9c6UJrtEu/hDz32lgxThChrq6OwJBRzWqcKr7U6UsUbWzePSOCGiEcZ7baZgWY5xPYIzlbyAgP2Ug==" saltValue="W1jiid+L746zimp2bhEF2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Passos / MG,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REGIÃO DO ZÉ PRETO</v>
      </c>
      <c r="D18" s="857"/>
      <c r="E18" s="857"/>
      <c r="F18" s="857"/>
      <c r="G18" s="857"/>
    </row>
    <row r="19" spans="2:7" ht="12.75" customHeight="1" x14ac:dyDescent="0.2">
      <c r="B19" s="853" t="s">
        <v>903</v>
      </c>
      <c r="C19" s="854">
        <f>Import.Proponente</f>
        <v>0</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0</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0</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 xml:space="preserve">Diego Rodrigo de Oliveira </v>
      </c>
      <c r="C54" s="845"/>
      <c r="D54" s="845"/>
      <c r="E54" s="845"/>
      <c r="F54" s="845"/>
      <c r="G54" s="845"/>
    </row>
    <row r="55" spans="2:7" x14ac:dyDescent="0.2">
      <c r="B55" s="845" t="str">
        <f>DADOS!$C$29</f>
        <v>Prefeito Municipal</v>
      </c>
      <c r="C55" s="845"/>
      <c r="D55" s="845"/>
      <c r="E55" s="845"/>
      <c r="F55" s="845"/>
      <c r="G55" s="845"/>
    </row>
    <row r="56" spans="2:7" x14ac:dyDescent="0.2">
      <c r="B56" s="846"/>
      <c r="C56" s="846"/>
      <c r="D56" s="846"/>
      <c r="E56" s="846"/>
      <c r="F56" s="846"/>
      <c r="G56" s="846"/>
    </row>
  </sheetData>
  <sheetProtection algorithmName="SHA-512" hashValue="Fh+NSt31NHmeYVyZg+6RqsvOko8WzmPQVGaZi8KULlEVTS0wmXS04lxzPQVnS35G91J392WfsABEQ13YHqRrcQ==" saltValue="ndAgxRk3iUSrZ5zEHM4th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app</cp:lastModifiedBy>
  <cp:revision>5</cp:revision>
  <cp:lastPrinted>2026-05-19T19:34:34Z</cp:lastPrinted>
  <dcterms:created xsi:type="dcterms:W3CDTF">1997-01-10T22:22:50Z</dcterms:created>
  <dcterms:modified xsi:type="dcterms:W3CDTF">2026-08-17T23:43:58Z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