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comments11.xml" ContentType="application/vnd.openxmlformats-officedocument.spreadsheetml.comments+xml"/>
  <Override PartName="/xl/comments5.xml" ContentType="application/vnd.openxmlformats-officedocument.spreadsheetml.comments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drawings/drawing5.xml" ContentType="application/vnd.openxmlformats-officedocument.drawing+xml"/>
  <Override PartName="/xl/drawings/vmlDrawing4.vml" ContentType="application/vnd.openxmlformats-officedocument.vmlDrawing"/>
  <Override PartName="/xl/drawings/drawing13.xml" ContentType="application/vnd.openxmlformats-officedocument.drawing+xml"/>
  <Override PartName="/xl/drawings/drawing4.xml" ContentType="application/vnd.openxmlformats-officedocument.drawing+xml"/>
  <Override PartName="/xl/drawings/vmlDrawing3.vml" ContentType="application/vnd.openxmlformats-officedocument.vmlDrawing"/>
  <Override PartName="/xl/drawings/drawing20.xml" ContentType="application/vnd.openxmlformats-officedocument.drawing+xml"/>
  <Override PartName="/xl/drawings/drawing19.xml" ContentType="application/vnd.openxmlformats-officedocument.drawing+xml"/>
  <Override PartName="/xl/drawings/vmlDrawing7.vml" ContentType="application/vnd.openxmlformats-officedocument.vmlDrawing"/>
  <Override PartName="/xl/drawings/drawing17.xml" ContentType="application/vnd.openxmlformats-officedocument.drawing+xml"/>
  <Override PartName="/xl/drawings/vmlDrawing6.vml" ContentType="application/vnd.openxmlformats-officedocument.vmlDrawing"/>
  <Override PartName="/xl/drawings/drawing16.xml" ContentType="application/vnd.openxmlformats-officedocument.drawing+xml"/>
  <Override PartName="/xl/drawings/_rels/drawing5.xml.rels" ContentType="application/vnd.openxmlformats-package.relationships+xml"/>
  <Override PartName="/xl/drawings/_rels/drawing14.xml.rels" ContentType="application/vnd.openxmlformats-package.relationships+xml"/>
  <Override PartName="/xl/drawings/_rels/drawing20.xml.rels" ContentType="application/vnd.openxmlformats-package.relationships+xml"/>
  <Override PartName="/xl/drawings/_rels/drawing3.xml.rels" ContentType="application/vnd.openxmlformats-package.relationships+xml"/>
  <Override PartName="/xl/drawings/_rels/drawing19.xml.rels" ContentType="application/vnd.openxmlformats-package.relationships+xml"/>
  <Override PartName="/xl/drawings/_rels/drawing1.xml.rels" ContentType="application/vnd.openxmlformats-package.relationships+xml"/>
  <Override PartName="/xl/drawings/_rels/drawing17.xml.rels" ContentType="application/vnd.openxmlformats-package.relationships+xml"/>
  <Override PartName="/xl/drawings/_rels/drawing16.xml.rels" ContentType="application/vnd.openxmlformats-package.relationships+xml"/>
  <Override PartName="/xl/drawings/_rels/drawing15.xml.rels" ContentType="application/vnd.openxmlformats-package.relationships+xml"/>
  <Override PartName="/xl/drawings/_rels/drawing2.xml.rels" ContentType="application/vnd.openxmlformats-package.relationships+xml"/>
  <Override PartName="/xl/drawings/_rels/drawing11.xml.rels" ContentType="application/vnd.openxmlformats-package.relationships+xml"/>
  <Override PartName="/xl/drawings/_rels/drawing12.xml.rels" ContentType="application/vnd.openxmlformats-package.relationships+xml"/>
  <Override PartName="/xl/drawings/_rels/drawing4.xml.rels" ContentType="application/vnd.openxmlformats-package.relationships+xml"/>
  <Override PartName="/xl/drawings/_rels/drawing13.xml.rels" ContentType="application/vnd.openxmlformats-package.relationships+xml"/>
  <Override PartName="/xl/drawings/drawing12.xml" ContentType="application/vnd.openxmlformats-officedocument.drawing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drawings/vmlDrawing5.vml" ContentType="application/vnd.openxmlformats-officedocument.vmlDrawing"/>
  <Override PartName="/xl/drawings/drawing15.xml" ContentType="application/vnd.openxmlformats-officedocument.drawing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vmlDrawing1.vml" ContentType="application/vnd.openxmlformats-officedocument.vmlDrawing"/>
  <Override PartName="/xl/drawings/drawing11.xml" ContentType="application/vnd.openxmlformats-officedocument.drawing+xml"/>
  <Override PartName="/xl/workbook.xml" ContentType="application/vnd.openxmlformats-officedocument.spreadsheetml.sheet.main+xml"/>
  <Override PartName="/xl/comments7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5.xml.rels" ContentType="application/vnd.openxmlformats-package.relationships+xml"/>
  <Override PartName="/xl/worksheets/_rels/sheet11.xml.rels" ContentType="application/vnd.openxmlformats-package.relationships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10.xml.rels" ContentType="application/vnd.openxmlformats-package.relationships+xml"/>
  <Override PartName="/xl/worksheets/_rels/sheet12.xml.rels" ContentType="application/vnd.openxmlformats-package.relationships+xml"/>
  <Override PartName="/xl/worksheets/_rels/sheet6.xml.rels" ContentType="application/vnd.openxmlformats-package.relationships+xml"/>
  <Override PartName="/xl/worksheets/_rels/sheet7.xml.rels" ContentType="application/vnd.openxmlformats-package.relationships+xml"/>
  <Override PartName="/xl/worksheets/_rels/sheet13.xml.rels" ContentType="application/vnd.openxmlformats-package.relationships+xml"/>
  <Override PartName="/xl/worksheets/_rels/sheet8.xml.rels" ContentType="application/vnd.openxmlformats-package.relationships+xml"/>
  <Override PartName="/xl/worksheets/_rels/sheet14.xml.rels" ContentType="application/vnd.openxmlformats-package.relationships+xml"/>
  <Override PartName="/xl/worksheets/_rels/sheet9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12.xml" ContentType="application/vnd.openxmlformats-officedocument.spreadsheetml.worksheet+xml"/>
  <Override PartName="/xl/worksheets/sheet7.xml" ContentType="application/vnd.openxmlformats-officedocument.spreadsheetml.worksheet+xml"/>
  <Override PartName="/xl/worksheets/sheet13.xml" ContentType="application/vnd.openxmlformats-officedocument.spreadsheetml.worksheet+xml"/>
  <Override PartName="/xl/worksheets/sheet8.xml" ContentType="application/vnd.openxmlformats-officedocument.spreadsheetml.worksheet+xml"/>
  <Override PartName="/xl/worksheets/sheet14.xml" ContentType="application/vnd.openxmlformats-officedocument.spreadsheetml.worksheet+xml"/>
  <Override PartName="/xl/worksheets/sheet9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ctrlProps/ctrlProps6.xml" ContentType="application/vnd.ms-excel.controlproperties+xml"/>
  <Override PartName="/xl/ctrlProps/ctrlProps7.xml" ContentType="application/vnd.ms-excel.controlproperties+xml"/>
  <Override PartName="/xl/ctrlProps/ctrlProps8.xml" ContentType="application/vnd.ms-excel.controlproperties+xml"/>
  <Override PartName="/xl/ctrlProps/ctrlProps9.xml" ContentType="application/vnd.ms-excel.controlproperties+xml"/>
  <Override PartName="/xl/ctrlProps/ctrlProps18.xml" ContentType="application/vnd.ms-excel.controlproperties+xml"/>
  <Override PartName="/xl/ctrlProps/ctrlProps10.xml" ContentType="application/vnd.ms-excel.controlproperties+xml"/>
  <Override PartName="/xl/media/image1.wmf" ContentType="image/x-wmf"/>
  <Override PartName="/xl/media/image2.wmf" ContentType="image/x-wmf"/>
  <Override PartName="/xl/comments4.xml" ContentType="application/vnd.openxmlformats-officedocument.spreadsheetml.comments+xml"/>
  <Override PartName="/xl/comments12.xml" ContentType="application/vnd.openxmlformats-officedocument.spreadsheetml.comments+xml"/>
  <Override PartName="/xl/comments2.xml" ContentType="application/vnd.openxmlformats-officedocument.spreadsheetml.comment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801" firstSheet="0" activeTab="4"/>
  </bookViews>
  <sheets>
    <sheet name="MENU" sheetId="1" state="visible" r:id="rId3"/>
    <sheet name="DADOS" sheetId="2" state="visible" r:id="rId4"/>
    <sheet name="NOVO" sheetId="3" state="visible" r:id="rId5"/>
    <sheet name="BDI" sheetId="4" state="visible" r:id="rId6"/>
    <sheet name="ORÇAMENTO" sheetId="5" state="visible" r:id="rId7"/>
    <sheet name="CÁLCULO" sheetId="6" state="visible" r:id="rId8"/>
    <sheet name="EVENTOS" sheetId="7" state="visible" r:id="rId9"/>
    <sheet name="CRONO" sheetId="8" state="visible" r:id="rId10"/>
    <sheet name="CRONOPLE" sheetId="9" state="visible" r:id="rId11"/>
    <sheet name="PLE" sheetId="10" state="visible" r:id="rId12"/>
    <sheet name="QCI" sheetId="11" state="visible" r:id="rId13"/>
    <sheet name="BM" sheetId="12" state="visible" r:id="rId14"/>
    <sheet name="RRE" sheetId="13" state="visible" r:id="rId15"/>
    <sheet name="OFÍCIO" sheetId="14" state="visible" r:id="rId16"/>
  </sheets>
  <definedNames>
    <definedName function="false" hidden="false" localSheetId="3" name="_xlnm.Print_Area" vbProcedure="false">BDI!$J$1:$S$132</definedName>
    <definedName function="false" hidden="false" localSheetId="3" name="_xlnm.Print_Titles" vbProcedure="false">BDI!$1:$13</definedName>
    <definedName function="false" hidden="true" localSheetId="3" name="_xlnm._FilterDatabase" vbProcedure="false">BDI!$I$11:$I$132</definedName>
    <definedName function="false" hidden="false" localSheetId="11" name="_xlnm.Print_Area" vbProcedure="false">BM!$D$1:$O$74</definedName>
    <definedName function="false" hidden="false" localSheetId="11" name="_xlnm.Print_Titles" vbProcedure="false">BM!$1:$15</definedName>
    <definedName function="false" hidden="true" localSheetId="11" name="_xlnm._FilterDatabase" vbProcedure="false">BM!$C$15:$C$59</definedName>
    <definedName function="false" hidden="false" localSheetId="5" name="_xlnm.Print_Area" vbProcedure="false">CÁLCULO!$E$1:$AA$67</definedName>
    <definedName function="false" hidden="false" localSheetId="5" name="_xlnm.Print_Titles" vbProcedure="false">CÁLCULO!$E:$H,CÁLCULO!$1:$15</definedName>
    <definedName function="false" hidden="true" localSheetId="5" name="_xlnm._FilterDatabase" vbProcedure="false">CÁLCULO!$C$15:$C$59</definedName>
    <definedName function="false" hidden="false" localSheetId="7" name="_xlnm.Print_Area" vbProcedure="false">CRONO!$H$1:$AF$63</definedName>
    <definedName function="false" hidden="false" localSheetId="7" name="_xlnm.Print_Titles" vbProcedure="false">CRONO!$H:$S,CRONO!$1:$13</definedName>
    <definedName function="false" hidden="true" localSheetId="7" name="_xlnm._FilterDatabase" vbProcedure="false">CRONO!$F$13:$F$63</definedName>
    <definedName function="false" hidden="false" localSheetId="0" name="_xlnm.Print_Area" vbProcedure="false">MENU!$A$1:$I$25</definedName>
    <definedName function="false" hidden="false" localSheetId="13" name="_xlnm.Print_Area" vbProcedure="false">OFÍCIO!$A$1:$G$56</definedName>
    <definedName function="false" hidden="false" localSheetId="4" name="_xlnm.Print_Area" vbProcedure="false">ORÇAMENTO!$O$1:$Y$76</definedName>
    <definedName function="false" hidden="false" localSheetId="4" name="_xlnm.Print_Titles" vbProcedure="false">ORÇAMENTO!$1:$15</definedName>
    <definedName function="false" hidden="true" localSheetId="4" name="_xlnm._FilterDatabase" vbProcedure="false">ORÇAMENTO!$L$15:$L$59</definedName>
    <definedName function="false" hidden="false" localSheetId="9" name="_xlnm.Print_Area" vbProcedure="false">PLE!$B$3:$AG$80</definedName>
    <definedName function="false" hidden="false" localSheetId="9" name="_xlnm.Print_Titles" vbProcedure="false">PLE!$B:$E,PLE!$1:$13</definedName>
    <definedName function="false" hidden="true" localSheetId="9" name="_xlnm._FilterDatabase" vbProcedure="false">PLE!$A$13:$A$79</definedName>
    <definedName function="false" hidden="false" localSheetId="10" name="_xlnm.Print_Area" vbProcedure="false">QCI!$D$1:$O$37</definedName>
    <definedName function="false" hidden="false" localSheetId="10" name="_xlnm.Print_Titles" vbProcedure="false">QCI!$1:$13</definedName>
    <definedName function="false" hidden="true" localSheetId="10" name="_xlnm._FilterDatabase" vbProcedure="false">QCI!$C$13:$C$25</definedName>
    <definedName function="false" hidden="false" localSheetId="12" name="_xlnm.Print_Area" vbProcedure="false">RRE!$E$1:$P$49</definedName>
    <definedName function="false" hidden="false" localSheetId="12" name="_xlnm.Print_Titles" vbProcedure="false">RRE!$1:$13</definedName>
    <definedName function="false" hidden="true" localSheetId="12" name="_xlnm._FilterDatabase" vbProcedure="false">RRE!$D$13:$D$30</definedName>
    <definedName function="false" hidden="true" name="ACOMPANHAMENTO" vbProcedure="false">IF(VALUE(MENU!$O$4)=2,"BM","PLE")</definedName>
    <definedName function="false" hidden="true" name="AUTOEVENTO" vbProcedure="false">CÁLCULO!$A$12</definedName>
    <definedName function="false" hidden="true" name="BDI.Filtro" vbProcedure="false">BDI!$I$11:$I$132</definedName>
    <definedName function="false" hidden="true" name="BDI.Opcao" vbProcedure="false">DADOS!$F$18</definedName>
    <definedName function="false" hidden="true" name="BDI.TipoObra" vbProcedure="false">BDI!$A$138:$A$146</definedName>
    <definedName function="false" hidden="true" name="BM.AFAcumulado" vbProcedure="false">BM!$R1</definedName>
    <definedName function="false" hidden="true" name="BM.AFAnterior" vbProcedure="false">BM!$Q1</definedName>
    <definedName function="false" hidden="true" name="BM.CaixaColunas" vbProcedure="false">BM!$Q:$Z</definedName>
    <definedName function="false" hidden="true" name="BM.Filtro" vbProcedure="false">BM!$C$15:$C$59</definedName>
    <definedName function="false" hidden="true" name="BM.firstrow" vbProcedure="false">BM!$15:$15</definedName>
    <definedName function="false" hidden="true" name="BM.FormulaMed" vbProcedure="false">BM!$AO$7</definedName>
    <definedName function="false" hidden="true" name="BM.lastrow" vbProcedure="false">BM!$59:$59</definedName>
    <definedName function="false" hidden="true" name="BM.LinhaPadrão" vbProcedure="false">BM!$14:$14</definedName>
    <definedName function="false" hidden="true" name="BM.MaxMed" vbProcedure="false">IF(RegimeExecucao="Global",1,BM!$G1)</definedName>
    <definedName function="false" hidden="true" name="RegimeExecucao" vbProcedure="false">IF(OR(Import.RegimeExecução="",Import.RegimeExecução="Empreitada por Preço Global",Import.RegimeExecução="Empreitada Integral"),"Global","Unitário")</definedName>
    <definedName function="false" hidden="true" name="Import.RegimeExecução" vbProcedure="false">OFFSET(DADOS!$G$40,0,-1)</definedName>
    <definedName function="false" hidden="true" name="BM.MCAIXA.Filter" vbProcedure="false">BM!$C$15:$Z$59</definedName>
    <definedName function="false" hidden="true" name="BM.MEDAcumulado" vbProcedure="false">IF(COUNTIF(BM!$AB$13:$AM$13,BM.medicao)&gt;0,SUM(OFFSET(BM!$AB1,0,0,1,MATCH(BM.medicao,BM!$AB$13:$AM$13,0))),0)</definedName>
    <definedName function="false" hidden="true" name="BM.medicao" vbProcedure="false">OFFSET(BM!$O$7,1,0)</definedName>
    <definedName function="false" hidden="true" name="BM.MEDAnterior" vbProcedure="false">IF(COUNTIF(BM!$AB$13:$AM$13,BM.medicao-1)&gt;0,SUM(OFFSET(BM!$AB1,0,0,1,MATCH(BM.medicao-1,BM!$AB$13:$AM$13,0))),0)</definedName>
    <definedName function="false" hidden="true" name="BM.MinMed" vbProcedure="false">IF(RegimeExecucao="Global",-1,-BM!$G1)</definedName>
    <definedName function="false" hidden="true" name="BM.TomadorColunas" vbProcedure="false">BM!$AB:$AN</definedName>
    <definedName function="false" hidden="true" name="Brasao" vbProcedure="false">OFÍCIO!$B$1</definedName>
    <definedName function="false" hidden="true" name="CAIXA.Modo" vbProcedure="false">BM!$A$3</definedName>
    <definedName function="false" hidden="true" name="CRONO.ColunaPadrão" vbProcedure="false">CRONO!$D:$D</definedName>
    <definedName function="false" hidden="true" name="CRONO.Filtro" vbProcedure="false">CRONO!$F$13:$F$63</definedName>
    <definedName function="false" hidden="true" name="CRONO.FirstCol" vbProcedure="false">CRONO!$S:$S</definedName>
    <definedName function="false" hidden="true" name="CRONO.firstrow" vbProcedure="false">CRONO!$13:$13</definedName>
    <definedName function="false" hidden="true" name="CRONO.Frenterow" vbProcedure="false">CRONO!$12:$12</definedName>
    <definedName function="false" hidden="true" name="CRONO.LastCol" vbProcedure="false">CRONO!$AF:$AF</definedName>
    <definedName function="false" hidden="true" name="CRONO.lastrow" vbProcedure="false">CRONO!$58:$58</definedName>
    <definedName function="false" hidden="true" name="CRONO.LinhaPadrão" vbProcedure="false">CRONO!$1:$3</definedName>
    <definedName function="false" hidden="true" name="CRONO.LinhasNecessarias" vbProcedure="false">COUNTIF(QCI!$B$13:$B$24,"Manual")+COUNTIF(QCI!$B$13:$B$24,"SemiAuto")+COUNT(ORÇAMENTO.ListaCrono)</definedName>
    <definedName function="false" hidden="true" name="ORÇAMENTO.ListaCrono" vbProcedure="false">OFFSET(ORÇAMENTO!$AD$15,1,0):OFFSET(ORÇAMENTO!$AD$59,-1,0)</definedName>
    <definedName function="false" hidden="true" name="CRONO.margemrow" vbProcedure="false">CRONO!$63:$63</definedName>
    <definedName function="false" hidden="true" name="CRONO.MaxParc" vbProcedure="false">CRONO!$G1048576+CRONO!A1</definedName>
    <definedName function="false" hidden="true" name="CRONO.NivelExibicao" vbProcedure="false">CRONO!$G$10</definedName>
    <definedName function="false" hidden="true" name="CRONO.Parcela1" vbProcedure="false">CRONO!$T$12:$T$13</definedName>
    <definedName function="false" hidden="true" name="CRONOPLE.ColunaPadrão" vbProcedure="false">CRONOPLE!$E:$E</definedName>
    <definedName function="false" hidden="true" name="CRONOPLE.FirstCol" vbProcedure="false">CRONOPLE!$F:$F</definedName>
    <definedName function="false" hidden="true" name="CRONOPLE.firstrow" vbProcedure="false">CRONOPLE!$15:$15</definedName>
    <definedName function="false" hidden="true" name="CRONOPLE.Frenterow" vbProcedure="false">CRONOPLE!$11:$11</definedName>
    <definedName function="false" hidden="true" name="CRONOPLE.LastCol" vbProcedure="false">CRONOPLE!$AF:$AF</definedName>
    <definedName function="false" hidden="true" name="CRONOPLE.lastrow" vbProcedure="false">CRONOPLE!$65:$65</definedName>
    <definedName function="false" hidden="true" name="CRONOPLE.LinhaPadrão" vbProcedure="false">CRONOPLE!$1:$1</definedName>
    <definedName function="false" hidden="true" name="CRONOPLE.margemrow" vbProcedure="false">CRONOPLE!$66:$66</definedName>
    <definedName function="false" hidden="true" name="CRONOPLE.ValorDoEvento" vbProcedure="false">SUMIF(CÁLCULO!$M$15:$M$59,CRONOPLE!$B1,OFFSET(CÁLCULO!$AA$15:$AA$59,0,CRONOPLE!A$12))</definedName>
    <definedName function="false" hidden="true" name="CÁLCULO.AgrupEventos" vbProcedure="false">CÁLCULO!$K1</definedName>
    <definedName function="false" hidden="true" name="CÁLCULO.ColunaPadrão" vbProcedure="false">CÁLCULO!$O:$O</definedName>
    <definedName function="false" hidden="true" name="CÁLCULO.Filtro" vbProcedure="false">CÁLCULO!$C$15:$C$59</definedName>
    <definedName function="false" hidden="true" name="CÁLCULO.firstcol" vbProcedure="false">CÁLCULO!$P:$P</definedName>
    <definedName function="false" hidden="true" name="CÁLCULO.firstrow" vbProcedure="false">CÁLCULO!$15:$15</definedName>
    <definedName function="false" hidden="true" name="CÁLCULO.Frenterow" vbProcedure="false">CÁLCULO!$12:$12</definedName>
    <definedName function="false" hidden="true" name="CÁLCULO.lastcol" vbProcedure="false">CÁLCULO!$AA:$AA</definedName>
    <definedName function="false" hidden="true" name="CÁLCULO.lastrow" vbProcedure="false">CÁLCULO!$59:$59</definedName>
    <definedName function="false" hidden="true" name="CÁLCULO.LinhaPadrão" vbProcedure="false">CÁLCULO!$14:$14</definedName>
    <definedName function="false" hidden="true" name="CÁLCULO.margemrow" vbProcedure="false">CÁLCULO!$67:$67</definedName>
    <definedName function="false" hidden="true" name="CÁLCULO.MATRIZ1.ColunaPadrão" vbProcedure="false">CÁLCULO!$AC:$AC</definedName>
    <definedName function="false" hidden="true" name="CÁLCULO.MATRIZ1.firstcol" vbProcedure="false">CÁLCULO!$AA:$AA</definedName>
    <definedName function="false" hidden="true" name="CÁLCULO.MATRIZ1.lastcol" vbProcedure="false">CÁLCULO!$AL:$AL</definedName>
    <definedName function="false" hidden="true" name="CÁLCULO.MATRIZ1.lastrow" vbProcedure="false">CÁLCULO!$59:$59</definedName>
    <definedName function="false" hidden="true" name="CÁLCULO.MATRIZ2.ColunaPadrão" vbProcedure="false">CÁLCULO!$AN:$AN</definedName>
    <definedName function="false" hidden="true" name="CÁLCULO.MATRIZ2.firstcol" vbProcedure="false">CÁLCULO!$AL:$AL</definedName>
    <definedName function="false" hidden="true" name="CÁLCULO.MATRIZ2.lastcol" vbProcedure="false">CÁLCULO!$AW:$AW</definedName>
    <definedName function="false" hidden="true" name="CÁLCULO.MATRIZ2.lastrow" vbProcedure="false">CÁLCULO!$59:$59</definedName>
    <definedName function="false" hidden="true" name="CÁLCULO.MATRIZ3.ColunaPadrão" vbProcedure="false">CÁLCULO!$AY:$AY</definedName>
    <definedName function="false" hidden="true" name="CÁLCULO.MATRIZ3.firstcol" vbProcedure="false">CÁLCULO!$AW:$AW</definedName>
    <definedName function="false" hidden="true" name="CÁLCULO.MATRIZ3.lastcol" vbProcedure="false">CÁLCULO!$BH:$BH</definedName>
    <definedName function="false" hidden="true" name="CÁLCULO.MATRIZ3.lastrow" vbProcedure="false">CÁLCULO!$59:$59</definedName>
    <definedName function="false" hidden="true" name="CÁLCULO.NúmeroDeEventos" vbProcedure="false">IF(AUTOEVENTO&lt;&gt;"manual",MAX(CÁLCULO!$M$15:$M$59),MAX(OFFSET(EVENTOS!$C$14:$C$65,1,0)))</definedName>
    <definedName function="false" hidden="true" name="CÁLCULO.NúmeroDeFrentes" vbProcedure="false">COLUMN(CÁLCULO!$AA$15)-COLUMN(CÁLCULO!$Q$15)</definedName>
    <definedName function="false" hidden="true" name="CÁLCULO.TotalAdmLocal" vbProcedure="false">IF(AUTOEVENTO="manual",SUMIF(CÁLCULO!$M$15:$M$59,1,ORÇAMENTO!$X$15:$X$59),0)</definedName>
    <definedName function="false" hidden="true" name="DESONERACAO" vbProcedure="false">IF(OR(Import.Desoneracao="DESONERADO",Import.Desoneracao="SIM"),"SIM","NÃO")</definedName>
    <definedName function="false" hidden="true" name="Import.Desoneracao" vbProcedure="false">OFFSET(DADOS!$G$18,0,-1)</definedName>
    <definedName function="false" hidden="true" name="EVENTOS.firstrow" vbProcedure="false">EVENTOS!$15:$15</definedName>
    <definedName function="false" hidden="true" name="EVENTOS.lastrow" vbProcedure="false">EVENTOS!$65:$65</definedName>
    <definedName function="false" hidden="true" name="EVENTOS.LinhaPadrão" vbProcedure="false">EVENTOS!$14:$14</definedName>
    <definedName function="false" hidden="true" name="EVENTOS.Lista" vbProcedure="false">EVENTOS!$C$15:OFFSET(EVENTOS!$C$65,-1,0)</definedName>
    <definedName function="false" hidden="true" name="EVENTOS.ListaValidacao" vbProcedure="false">EVENTOS!$B$15:OFFSET(EVENTOS!$B$65,-1,0)</definedName>
    <definedName function="false" hidden="true" name="Excel_BuiltIn_Database" vbProcedure="false">TEXT(Import.DataBase,"mm-aaaa")</definedName>
    <definedName function="false" hidden="true" name="Import.DataBase" vbProcedure="false">OFFSET(DADOS!$G$19,0,-1)</definedName>
    <definedName function="false" hidden="true" name="Import.Apelido" vbProcedure="false">DADOS!$F$16</definedName>
    <definedName function="false" hidden="true" name="Import.BDI.Det1" vbProcedure="false">BDI!$S$21:$S$26</definedName>
    <definedName function="false" hidden="true" name="Import.BDI.Det2" vbProcedure="false">BDI!$S$61:$S$66</definedName>
    <definedName function="false" hidden="true" name="Import.BDI.Det3" vbProcedure="false">BDI!$S$101:$S$106</definedName>
    <definedName function="false" hidden="true" name="Import.BDI.ISS" vbProcedure="false">BDI!$R$10:$S$11</definedName>
    <definedName function="false" hidden="true" name="Import.BDI.Obs1" vbProcedure="false">BDI!$J$43</definedName>
    <definedName function="false" hidden="true" name="Import.BDI.Obs2" vbProcedure="false">BDI!$J$83</definedName>
    <definedName function="false" hidden="true" name="Import.BDI.Obs3" vbProcedure="false">BDI!$J$123</definedName>
    <definedName function="false" hidden="true" name="Import.BDI.Tipo1" vbProcedure="false">BDI!$J$17</definedName>
    <definedName function="false" hidden="true" name="Import.BDI.Tipo2" vbProcedure="false">BDI!$J$57</definedName>
    <definedName function="false" hidden="true" name="Import.BDI.Tipo3" vbProcedure="false">BDI!$J$97</definedName>
    <definedName function="false" hidden="true" name="Import.BM.Datas" vbProcedure="false">BM!$AB$12:$AM$12</definedName>
    <definedName function="false" hidden="true" name="Import.BM.Obs" vbProcedure="false">BM!$D$62</definedName>
    <definedName function="false" hidden="true" name="Import.BMAFAcumulado" vbProcedure="false">OFFSET(BM!$R$15,1,0):OFFSET(BM!$R$59,-1,0)</definedName>
    <definedName function="false" hidden="true" name="Import.BMArred" vbProcedure="false">BM!$A$9</definedName>
    <definedName function="false" hidden="true" name="Import.CNPJ" vbProcedure="false">DADOS!$F$39</definedName>
    <definedName function="false" hidden="true" name="Import.Contrapartida" vbProcedure="false">DADOS!$F$10</definedName>
    <definedName function="false" hidden="true" name="Import.CPMaxPerc" vbProcedure="false">DADOS!$F$13</definedName>
    <definedName function="false" hidden="true" name="Import.CPMinAbsoluta" vbProcedure="false">DADOS!$F$12</definedName>
    <definedName function="false" hidden="true" name="Import.CPMinPerc" vbProcedure="false">DADOS!$F$11</definedName>
    <definedName function="false" hidden="true" name="Import.CR" vbProcedure="false">DADOS!$F$7</definedName>
    <definedName function="false" hidden="true" name="Import.CRONOPLE" vbProcedure="false">OFFSET(CRONOPLE!$F$15,1,1):OFFSET(CRONOPLE!$AF$65,-1,-1)</definedName>
    <definedName function="false" hidden="true" name="Import.CTEF" vbProcedure="false">DADOS!$F$37</definedName>
    <definedName function="false" hidden="true" name="Import.CustoUnitário" vbProcedure="false">OFFSET(ORÇAMENTO!$U$15,1,0):OFFSET(ORÇAMENTO!$U$59,-1,0)</definedName>
    <definedName function="false" hidden="true" name="Import.Código" vbProcedure="false">OFFSET(ORÇAMENTO!$Q$15,1,0):OFFSET(ORÇAMENTO!$Q$59,-1,0)</definedName>
    <definedName function="false" hidden="true" name="Import.DataBaseLicit" vbProcedure="false">OFFSET(DADOS!$G$41,0,-1)</definedName>
    <definedName function="false" hidden="true" name="Import.DataEmissaoLicit" vbProcedure="false">DADOS!$F$36</definedName>
    <definedName function="false" hidden="true" name="Import.DataInicioObra" vbProcedure="false">DADOS!$F$47</definedName>
    <definedName function="false" hidden="true" name="Import.DescLote" vbProcedure="false">DADOS!$F$17</definedName>
    <definedName function="false" hidden="true" name="Import.Descrição" vbProcedure="false">OFFSET(ORÇAMENTO!$R$15,1,0):OFFSET(ORÇAMENTO!$R$59,-1,0)</definedName>
    <definedName function="false" hidden="true" name="Import.empresa" vbProcedure="false">DADOS!$F$38</definedName>
    <definedName function="false" hidden="true" name="Import.Eventos.Nomes" vbProcedure="false">OFFSET(EVENTOS!$D$15,1,0):OFFSET(EVENTOS!$D$65,-1,0)</definedName>
    <definedName function="false" hidden="true" name="Import.Eventos.Nível" vbProcedure="false">EVENTOS!$C$6</definedName>
    <definedName function="false" hidden="true" name="Import.Fonte" vbProcedure="false">OFFSET(ORÇAMENTO!$P$15,1,0):OFFSET(ORÇAMENTO!$P$59,-1,0)</definedName>
    <definedName function="false" hidden="true" name="Import.FrenteDeObra" vbProcedure="false">CÁLCULO!$Q$12:OFFSET(CÁLCULO!$AA$12,0,-1)</definedName>
    <definedName function="false" hidden="true" name="Import.Município" vbProcedure="false">DADOS!$F$6</definedName>
    <definedName function="false" hidden="true" name="Import.Nível" vbProcedure="false">OFFSET(ORÇAMENTO!$M$15,1,0):OFFSET(ORÇAMENTO!$M$59,-1,0)</definedName>
    <definedName function="false" hidden="true" name="Import.Ofício.Dest" vbProcedure="false">OFÍCIO!$B$11</definedName>
    <definedName function="false" hidden="true" name="Import.Ofício.GIGOV" vbProcedure="false">OFÍCIO!$C$11</definedName>
    <definedName function="false" hidden="true" name="Import.Ofício.Num" vbProcedure="false">OFÍCIO!$C$6</definedName>
    <definedName function="false" hidden="true" name="Import.OpcaoBDI" vbProcedure="false">OFFSET(ORÇAMENTO!$V$15,1,0):OFFSET(ORÇAMENTO!$V$59,-1,0)</definedName>
    <definedName function="false" hidden="true" name="Import.ORÇAMENTO.DivRecurso" vbProcedure="false">OFFSET(ORÇAMENTO!$Y$15,1,0):OFFSET(ORÇAMENTO!$Y$59,-1,0)</definedName>
    <definedName function="false" hidden="true" name="Import.ORÇAMENTO.Obs" vbProcedure="false">ORÇAMENTO!$O$65</definedName>
    <definedName function="false" hidden="true" name="Import.PLE" vbProcedure="false">OFFSET(PLE!$G$15,1,1):OFFSET(PLE!$AG$65,-1,-1)</definedName>
    <definedName function="false" hidden="true" name="Import.PLE.Datas" vbProcedure="false">PLE!$I$68:$AF$68</definedName>
    <definedName function="false" hidden="true" name="Import.PLQ" vbProcedure="false">OFFSET(CÁLCULO!$P$15,1,1):OFFSET(CÁLCULO!$AA$59,-1,-1)</definedName>
    <definedName function="false" hidden="true" name="Import.PLQ.MemCalc" vbProcedure="false">OFFSET(CÁLCULO!$I$15,1,0):OFFSET(CÁLCULO!$I$59,-1,0)</definedName>
    <definedName function="false" hidden="true" name="Import.POArred" vbProcedure="false">ORÇAMENTO!$AF$7:$AF$11</definedName>
    <definedName function="false" hidden="true" name="IMport.Prefeito" vbProcedure="false">DADOS!$F$28:$F$29</definedName>
    <definedName function="false" hidden="true" name="Import.Proponente" vbProcedure="false">DADOS!$F$5</definedName>
    <definedName function="false" hidden="true" name="Import.QCI.Divisao" vbProcedure="false">OFFSET(QCI!$V$13,1,0):OFFSET(QCI!$V$24,-1,0)</definedName>
    <definedName function="false" hidden="true" name="Import.QCI.ItemInv" vbProcedure="false">OFFSET(QCI!$E$13,1,0):OFFSET(QCI!$E$24,-1,0)</definedName>
    <definedName function="false" hidden="true" name="Import.QCI.Obs" vbProcedure="false">QCI!$D$28</definedName>
    <definedName function="false" hidden="true" name="Import.QCI.Qtde" vbProcedure="false">OFFSET(QCI!$I$13,1,0):OFFSET(QCI!$I$24,-1,0)</definedName>
    <definedName function="false" hidden="true" name="Import.QCI.Situacao" vbProcedure="false">OFFSET(QCI!$H$13,1,0):OFFSET(QCI!$H$24,-1,0)</definedName>
    <definedName function="false" hidden="true" name="Import.QCI.SubItemInv" vbProcedure="false">OFFSET(QCI!$F$13,1,0):OFFSET(QCI!$F$24,-1,0)</definedName>
    <definedName function="false" hidden="true" name="Import.QCICP" vbProcedure="false">OFFSET(QCI!$W$13,1,0):OFFSET(QCI!$W$24,-1,0)</definedName>
    <definedName function="false" hidden="true" name="Import.QCIDesc" vbProcedure="false">OFFSET(QCI!$R$13,1,0):OFFSET(QCI!$R$24,-1,0)</definedName>
    <definedName function="false" hidden="true" name="Import.QCIInv" vbProcedure="false">OFFSET(QCI!$U$13,1,0):OFFSET(QCI!$U$24,-1,0)</definedName>
    <definedName function="false" hidden="true" name="Import.QCILote" vbProcedure="false">OFFSET(QCI!$T$13,1,0):OFFSET(QCI!$T$24,-1,0)</definedName>
    <definedName function="false" hidden="true" name="Import.QCIOutros" vbProcedure="false">OFFSET(QCI!$X$13,1,0):OFFSET(QCI!$X$24,-1,0)</definedName>
    <definedName function="false" hidden="true" name="Import.Quantidade" vbProcedure="false">OFFSET(ORÇAMENTO!$AJ$15,1,0):OFFSET(ORÇAMENTO!$AJ$59,-1,0)</definedName>
    <definedName function="false" hidden="true" name="import.recurso" vbProcedure="false">DADOS!$F$4</definedName>
    <definedName function="false" hidden="true" name="Import.Repasse" vbProcedure="false">DADOS!$F$9</definedName>
    <definedName function="false" hidden="true" name="Import.RespFiscalização" vbProcedure="false">DADOS!$F$51:$F$54</definedName>
    <definedName function="false" hidden="true" name="Import.RespOrçamento" vbProcedure="false">DADOS!$F$22:$F$24</definedName>
    <definedName function="false" hidden="true" name="Import.RRE.Financeiro" vbProcedure="false">RRE!$M$47:$O$49</definedName>
    <definedName function="false" hidden="true" name="Import.RRE.Obs" vbProcedure="false">RRE!$E$31</definedName>
    <definedName function="false" hidden="true" name="Import.RRE.Social" vbProcedure="false">RRE!$F$47:$G$49</definedName>
    <definedName function="false" hidden="true" name="Import.SICONV" vbProcedure="false">DADOS!$F$8</definedName>
    <definedName function="false" hidden="true" name="Import.TipoArredondamento" vbProcedure="false">DADOS!$F$31</definedName>
    <definedName function="false" hidden="true" name="Import.TransfereGOV" vbProcedure="false">DADOS!$F$8</definedName>
    <definedName function="false" hidden="true" name="Import.Unidade" vbProcedure="false">OFFSET(ORÇAMENTO!$S$15,1,0):OFFSET(ORÇAMENTO!$S$59,-1,0)</definedName>
    <definedName function="false" hidden="true" name="Import.UnitarioLicitado" vbProcedure="false">OFFSET(ORÇAMENTO!$AL$15,1,0):OFFSET(ORÇAMENTO!$AL$59,-1,0)</definedName>
    <definedName function="false" hidden="true" name="MENU.Acompanhamento" vbProcedure="false">MENU!$O$4</definedName>
    <definedName function="false" hidden="true" name="Menu.b.bdi" vbProcedure="false">MENU!$C$10</definedName>
    <definedName function="false" hidden="true" name="Menu.b.bm" vbProcedure="false">MENU!$G$22</definedName>
    <definedName function="false" hidden="true" name="Menu.b.branco" vbProcedure="false">MENU!$G$12</definedName>
    <definedName function="false" hidden="true" name="Menu.b.cronolicit" vbProcedure="false">MENU!$G$18</definedName>
    <definedName function="false" hidden="true" name="Menu.b.cronoprop" vbProcedure="false">MENU!$E$12</definedName>
    <definedName function="false" hidden="true" name="Menu.b.dados" vbProcedure="false">MENU!$E$6</definedName>
    <definedName function="false" hidden="true" name="Menu.b.novo" vbProcedure="false">MENU!$G$6</definedName>
    <definedName function="false" hidden="true" name="Menu.b.oficio" vbProcedure="false">MENU!$E$24</definedName>
    <definedName function="false" hidden="true" name="Menu.b.orçlicit" vbProcedure="false">MENU!$C$18</definedName>
    <definedName function="false" hidden="true" name="Menu.b.orçprop" vbProcedure="false">MENU!$E$10</definedName>
    <definedName function="false" hidden="true" name="Menu.b.PLE" vbProcedure="false">MENU!$C$22</definedName>
    <definedName function="false" hidden="true" name="Menu.b.PLQ" vbProcedure="false">MENU!$G$10</definedName>
    <definedName function="false" hidden="true" name="Menu.b.QCIlicit" vbProcedure="false">MENU!$E$18</definedName>
    <definedName function="false" hidden="true" name="Menu.b.qciprop" vbProcedure="false">MENU!$C$12</definedName>
    <definedName function="false" hidden="true" name="Menu.b.RRE" vbProcedure="false">MENU!$E$22</definedName>
    <definedName function="false" hidden="true" name="MENU.CRONO" vbProcedure="false">OFFSET(CRONO!$T$11,1,0)</definedName>
    <definedName function="false" hidden="true" name="MENU.CRONOPLE" vbProcedure="false">CRONOPLE!$B$5</definedName>
    <definedName function="false" hidden="true" name="MENU.TipoOrçamento" vbProcedure="false">MENU!$O$3</definedName>
    <definedName function="false" hidden="true" name="Menu.tit.acompanhamento" vbProcedure="false">MENU!$B$20</definedName>
    <definedName function="false" hidden="true" name="Menu.tit.licitacao" vbProcedure="false">MENU!$B$16</definedName>
    <definedName function="false" hidden="true" name="Menu.tit.proposta" vbProcedure="false">MENU!$B$8</definedName>
    <definedName function="false" hidden="true" name="Objeto" vbProcedure="false">MENU!$J$1</definedName>
    <definedName function="false" hidden="true" name="ORÇAMENTO.BancoRef" vbProcedure="false">ORÇAMENTO!$F$8</definedName>
    <definedName function="false" hidden="true" name="ORÇAMENTO.CodBarra" vbProcedure="false">IF(ORÇAMENTO.Fonte="Sinapi",SUBSTITUTE(SUBSTITUTE(ORÇAMENTO.Codigo,"/00","/"),"/0","/"),ORÇAMENTO.Codigo)</definedName>
    <definedName function="false" hidden="true" name="ORÇAMENTO.Fonte" vbProcedure="false">ORÇAMENTO!$P1</definedName>
    <definedName function="false" hidden="true" name="ORÇAMENTO.Codigo" vbProcedure="false">ORÇAMENTO!$Q1</definedName>
    <definedName function="false" hidden="true" name="ORÇAMENTO.ColunaLicit" vbProcedure="false">ORÇAMENTO!$AL$15</definedName>
    <definedName function="false" hidden="true" name="ORÇAMENTO.CopyFormat1" vbProcedure="false">ORÇAMENTO!$P$14:$S$14</definedName>
    <definedName function="false" hidden="true" name="ORÇAMENTO.CopyFormat2" vbProcedure="false">ORÇAMENTO!$U$14:$V$14</definedName>
    <definedName function="false" hidden="true" name="ORÇAMENTO.CustoUnitario" vbProcedure="false">ROUND(ORÇAMENTO!$U1,15-13*ORÇAMENTO!$AF$8)</definedName>
    <definedName function="false" hidden="true" name="ORÇAMENTO.Descricao" vbProcedure="false">ORÇAMENTO!$R1</definedName>
    <definedName function="false" hidden="true" name="ORÇAMENTO.Filtro" vbProcedure="false">ORÇAMENTO!$L$15:$L$59</definedName>
    <definedName function="false" hidden="true" name="ORÇAMENTO.firstrow" vbProcedure="false">ORÇAMENTO!$15:$15</definedName>
    <definedName function="false" hidden="true" name="ORÇAMENTO.lastrow" vbProcedure="false">ORÇAMENTO!$59:$59</definedName>
    <definedName function="false" hidden="true" name="ORÇAMENTO.LinhaPadrão" vbProcedure="false">ORÇAMENTO!$14:$14</definedName>
    <definedName function="false" hidden="true" name="ORÇAMENTO.MáximoListaCrono" vbProcedure="false">MAX(ORÇAMENTO.ListaCrono)</definedName>
    <definedName function="false" hidden="true" name="ORÇAMENTO.Nivel" vbProcedure="false">ORÇAMENTO!$M1</definedName>
    <definedName function="false" hidden="true" name="ORÇAMENTO.OpcaoBDI" vbProcedure="false">ORÇAMENTO!$V1</definedName>
    <definedName function="false" hidden="true" name="ORÇAMENTO.PasteFormat1" vbProcedure="false">OFFSET(ORÇAMENTO!$P$15,1,0):OFFSET(ORÇAMENTO!$S$59,-1,0)</definedName>
    <definedName function="false" hidden="true" name="ORÇAMENTO.PasteFormat2" vbProcedure="false">OFFSET(ORÇAMENTO!$U$15,1,0):OFFSET(ORÇAMENTO!$V$59,-1,0)</definedName>
    <definedName function="false" hidden="true" name="ORÇAMENTO.PrecoUnitarioLicitado" vbProcedure="false">ORÇAMENTO!$AL1</definedName>
    <definedName function="false" hidden="true" name="ORÇAMENTO.QuantBM" vbProcedure="false">ORÇAMENTO!$AJ1</definedName>
    <definedName function="false" hidden="true" name="ORÇAMENTO.RangeQuant" vbProcedure="false">OFFSET(ORÇAMENTO!$T$15,1,0):OFFSET(ORÇAMENTO!$T$59,-1,0)</definedName>
    <definedName function="false" hidden="true" name="ORÇAMENTO.SumCPMANUAL" vbProcedure="false">SUMIF(ORÇAMENTO!$Z$15:$Z$59,"CP",ORÇAMENTO!$AA$15:$AA$59)</definedName>
    <definedName function="false" hidden="true" name="ORÇAMENTO.SumINVMANUAL" vbProcedure="false">SUMIF(ORÇAMENTO!$Z$15:$Z$59,"RP",ORÇAMENTO!$X$15:$X$59)+SUMIF(ORÇAMENTO!$Z$15:$Z$59,"CP",ORÇAMENTO!$X$15:$X$59)+SUMIF(ORÇAMENTO!$Z$15:$Z$59,"OU",ORÇAMENTO!$X$15:$X$59)</definedName>
    <definedName function="false" hidden="true" name="ORÇAMENTO.SumOUTROSMANUAL" vbProcedure="false">SUMIF(ORÇAMENTO!$Z$15:$Z$59,"OU",ORÇAMENTO!$AB$15:$AB$59)</definedName>
    <definedName function="false" hidden="true" name="ORÇAMENTO.SumREPASSEMANUAL" vbProcedure="false">ORÇAMENTO.SumINVMANUAL-ORÇAMENTO.SumCPMANUAL-ORÇAMENTO.SumOUTROSMANUAL</definedName>
    <definedName function="false" hidden="true" name="ORÇAMENTO.Unidade" vbProcedure="false">ORÇAMENTO!$S1</definedName>
    <definedName function="false" hidden="true" name="PLE.ColunaPadrão" vbProcedure="false">PLE!$F:$F</definedName>
    <definedName function="false" hidden="true" name="PLE.Filtro" vbProcedure="false">PLE!$A$13:$A$79</definedName>
    <definedName function="false" hidden="true" name="PLE.FirstCol" vbProcedure="false">PLE!$G:$G</definedName>
    <definedName function="false" hidden="true" name="PLE.firstrow" vbProcedure="false">PLE!$15:$15</definedName>
    <definedName function="false" hidden="true" name="PLE.FrenteRow" vbProcedure="false">PLE!$11:$11</definedName>
    <definedName function="false" hidden="true" name="PLE.LastCol" vbProcedure="false">PLE!$AG:$AG</definedName>
    <definedName function="false" hidden="true" name="PLE.lastrow" vbProcedure="false">PLE!$65:$65</definedName>
    <definedName function="false" hidden="true" name="PLE.LinhaPadrão" vbProcedure="false">PLE!$1:$1</definedName>
    <definedName function="false" hidden="true" name="PLE.margemrow" vbProcedure="false">PLE!$80:$80</definedName>
    <definedName function="false" hidden="true" name="PLE.Medicao" vbProcedure="false">PLE!$J$9</definedName>
    <definedName function="false" hidden="true" name="PLE.MEDIÇÕES.firstrow" vbProcedure="false">PLE!$66:$66</definedName>
    <definedName function="false" hidden="true" name="PLE.MEDIÇÕES.lastrow" vbProcedure="false">PLE!$74:$74</definedName>
    <definedName function="false" hidden="true" name="PLE.MEDIÇÕES.LinhaPadrão" vbProcedure="false">PLE!$66:$73</definedName>
    <definedName function="false" hidden="true" name="PLE.ValorDoEvento" vbProcedure="false">SUMIF(CÁLCULO!$M$15:$M$59,PLE!$B1,OFFSET(CÁLCULO!$AA$15:$AA$59,0,PLE!A$12))</definedName>
    <definedName function="false" hidden="true" name="PO.ValoresBDI" vbProcedure="false">OFFSET(ORÇAMENTO!$AH$15,1,0):OFFSET(ORÇAMENTO!$AH$59,-1,0)</definedName>
    <definedName function="false" hidden="true" name="QCI.CPManual" vbProcedure="false">ROUND(QCI!$W1,2)</definedName>
    <definedName function="false" hidden="true" name="QCI.DescManual" vbProcedure="false">QCI!$R1</definedName>
    <definedName function="false" hidden="true" name="QCI.Divisao" vbProcedure="false">QCI!$V1</definedName>
    <definedName function="false" hidden="true" name="QCI.ExisteManual" vbProcedure="false">(COUNTIF(QCI!$B$13:$B$24,"Manual")+COUNTIF(QCI!$B$13:$B$24,"SemiAuto"))&gt;0</definedName>
    <definedName function="false" hidden="true" name="QCI.Filtro" vbProcedure="false">QCI!$C$13:$C$25</definedName>
    <definedName function="false" hidden="true" name="QCI.firstrow" vbProcedure="false">QCI!$13:$13</definedName>
    <definedName function="false" hidden="true" name="QCI.InvManual" vbProcedure="false">ROUND(QCI!$U1,2)</definedName>
    <definedName function="false" hidden="true" name="QCI.ItemInvestimento" vbProcedure="false">OFFSET(DADOS!$J$2,1,0,COUNTA(DADOS!$J:$J)-1,1)</definedName>
    <definedName function="false" hidden="true" name="QCI.lastrow" vbProcedure="false">QCI!$24:$24</definedName>
    <definedName function="false" hidden="true" name="QCI.LinhaPadrão" vbProcedure="false">QCI!$12:$12</definedName>
    <definedName function="false" hidden="true" name="QCI.LoteManual" vbProcedure="false">QCI!$T1</definedName>
    <definedName function="false" hidden="true" name="QCI.MaxCPManual" vbProcedure="false">QCI!$O1-QCI!$X1</definedName>
    <definedName function="false" hidden="true" name="QCI.MaxOUManual" vbProcedure="false">QCI!$O1-QCI!$W1</definedName>
    <definedName function="false" hidden="true" name="QCI.OutrosManual" vbProcedure="false">ROUND(QCI!$X1,2)</definedName>
    <definedName function="false" hidden="true" name="QCI.RepasseManual" vbProcedure="false">QCI!$U1</definedName>
    <definedName function="false" hidden="true" name="QCI.SubItemInvestimento" vbProcedure="false">OFFSET(DADOS!$A$2,1,MATCH(QCI!$E1,DADOS!$2:$2,0)-1,INDEX(DADOS!$2:$2,MATCH(QCI!$E1,DADOS!$2:$2,0)+1))</definedName>
    <definedName function="false" hidden="true" name="QCI.SumCPMANUAL" vbProcedure="false">SUMIF(QCI!$B$13:$B$24,"Manual",QCI!$AA$13:$AA$24)</definedName>
    <definedName function="false" hidden="true" name="QCI.SumINVMANUAL" vbProcedure="false">SUMIF(QCI!$B$13:$B$24,"Manual",QCI!$O$13:$O$24)</definedName>
    <definedName function="false" hidden="true" name="QCI.SumOUTROSMANUAL" vbProcedure="false">SUMIF(QCI!$B$13:$B$24,"Manual",QCI!$AB$13:$AB$24)</definedName>
    <definedName function="false" hidden="true" name="QCI.SumREPASSEMANUAL" vbProcedure="false">QCI.SumINVMANUAL-QCI.CPManual-QCI.OutrosManual</definedName>
    <definedName function="false" hidden="true" name="QCI.TotalCP" vbProcedure="false">QCI!$M$24</definedName>
    <definedName function="false" hidden="true" name="REFERENCIA.Descricao" vbProcedure="false">IF(ISNUMBER(ORÇAMENTO!$AF1),OFFSET(INDIRECT(ORÇAMENTO.BancoRef),ORÇAMENTO!$AF1-1,3,1),ORÇAMENTO!$AF1)</definedName>
    <definedName function="false" hidden="true" name="REFERENCIA.Desonerado" vbProcedure="false">IF(ISNUMBER(ORÇAMENTO!$AF1),VALUE(OFFSET(INDIRECT(ORÇAMENTO.BancoRef),ORÇAMENTO!$AF1-1,5,1)),0)</definedName>
    <definedName function="false" hidden="true" name="REFERENCIA.NaoDesonerado" vbProcedure="false">IF(ISNUMBER(ORÇAMENTO!$AF1),VALUE(OFFSET(INDIRECT(ORÇAMENTO.BancoRef),ORÇAMENTO!$AF1-1,6,1)),0)</definedName>
    <definedName function="false" hidden="true" name="REFERENCIA.Unidade" vbProcedure="false">IF(ISNUMBER(ORÇAMENTO!$AF1),OFFSET(INDIRECT(ORÇAMENTO.BancoRef),ORÇAMENTO!$AF1-1,4,1),"-")</definedName>
    <definedName function="false" hidden="true" name="RRE.CPDiferente" vbProcedure="false">RRE!$Y$26:$Z$27</definedName>
    <definedName function="false" hidden="true" name="RRE.Filtro" vbProcedure="false">RRE!$D$13:$D$28</definedName>
    <definedName function="false" hidden="true" name="RRE.firstrow" vbProcedure="false">RRE!$13:$13</definedName>
    <definedName function="false" hidden="true" name="RRE.lastrow" vbProcedure="false">RRE!$24:$24</definedName>
    <definedName function="false" hidden="true" name="RRE.LinhaPadrão" vbProcedure="false">RRE!$12:$12</definedName>
    <definedName function="false" hidden="true" name="RRE.MaxCPAcum" vbProcedure="false">RRE!$AD$26</definedName>
    <definedName function="false" hidden="true" name="RRE.MaxCPAnt" vbProcedure="false">RRE!$AC$26</definedName>
    <definedName function="false" hidden="true" name="RRE.MaxOUAcum" vbProcedure="false">RRE!$AD$27</definedName>
    <definedName function="false" hidden="true" name="RRE.MaxOUAnt" vbProcedure="false">RRE!$AC$27</definedName>
    <definedName function="false" hidden="true" name="RRE.Numero" vbProcedure="false">OFFSET(RRE!$O$7,0,1)</definedName>
    <definedName function="false" hidden="true" name="RRE.VIMeta" vbProcedure="false">RRE!$L1</definedName>
    <definedName function="false" hidden="true" name="SENHAGT" vbProcedure="false">"PM3CAIXA"</definedName>
    <definedName function="false" hidden="true" name="SomaAgrup" vbProcedure="false">SUMIF(OFFSET(ORÇAMENTO!$C1,1,0,ORÇAMENTO!$D1),"S",OFFSET(ORÇAMENTO!A1,1,0,ORÇAMENTO!$D1))</definedName>
    <definedName function="false" hidden="true" name="SomaAgrupBM" vbProcedure="false">SUMIF(OFFSET(BM!$A1,1,0,BM!$B1),"S",OFFSET(BM!A1,1,0,BM!$B1))</definedName>
    <definedName function="false" hidden="true" name="TIPOORCAMENTO" vbProcedure="false">IF(VALUE(MENU!$O$3)=2,"Licitado","Proposto")</definedName>
    <definedName function="false" hidden="true" name="Versao" vbProcedure="false">MENU!$J$2</definedName>
    <definedName function="false" hidden="true" name="VTOTAL1" vbProcedure="false">ROUND(ORÇAMENTO!$T1*ORÇAMENTO!$W1,15-13*ORÇAMENTO!$AF$11)</definedName>
    <definedName function="false" hidden="true" name="VTOTALBM" vbProcedure="false">IF(BM!$I1=0,0,CHOOSE(MATCH(RegimeExecucao,{"Global","Unitário"},0),ROUND(ROUND(BM!XFB1,15-13*BM!$A$9)/100*BM!$I1,15-13*ORÇAMENTO!$AF$11),ROUND(ROUND(BM!XFB1,15-13*BM!$A$9)*ROUND(BM!$H1,15-13*ORÇAMENTO!$AF$10),15-13*ORÇAMENTO!$AF$11)))</definedName>
    <definedName function="false" hidden="true" name="VTOTALMED" vbProcedure="false">BM!$P$14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2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Unknown Author</author>
  </authors>
  <commentList>
    <comment ref="F41" authorId="0">
      <text>
        <r>
          <rPr>
            <sz val="10"/>
            <rFont val="Arial"/>
            <family val="2"/>
          </rPr>
          <t xml:space="preserve">Informar a data-base do CTEF no formato mm-aaaa.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6</xdr:col>
                <xdr:colOff>12</xdr:colOff>
                <xdr:row>35</xdr:row>
                <xdr:rowOff>0</xdr:rowOff>
              </xdr:from>
              <xdr:to>
                <xdr:col>44</xdr:col>
                <xdr:colOff>28</xdr:colOff>
                <xdr:row>37</xdr:row>
                <xdr:rowOff>12</xdr:rowOff>
              </xdr:to>
            </anchor>
          </commentPr>
        </mc:Choice>
        <mc:Fallback/>
      </mc:AlternateContent>
    </comment>
  </commentList>
</comments>
</file>

<file path=xl/comments4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Unknown Author</author>
  </authors>
  <commentList>
    <comment ref="I6" authorId="0">
      <text>
        <r>
          <rPr>
            <sz val="10"/>
            <rFont val="Arial"/>
            <family val="2"/>
          </rPr>
          <t xml:space="preserve">FILTRO:
</t>
        </r>
        <r>
          <rPr>
            <sz val="9"/>
            <color rgb="FF000000"/>
            <rFont val="Tahoma"/>
            <family val="2"/>
            <charset val="1"/>
          </rPr>
          <t xml:space="preserve">Após a conclusão do Orçamento, utilize o filtro nessa coluna com o valor "F" para ocultar linhas não utilizadas.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9</xdr:col>
                <xdr:colOff>16</xdr:colOff>
                <xdr:row>4</xdr:row>
                <xdr:rowOff>4</xdr:rowOff>
              </xdr:from>
              <xdr:to>
                <xdr:col>11</xdr:col>
                <xdr:colOff>52</xdr:colOff>
                <xdr:row>9</xdr:row>
                <xdr:rowOff>14</xdr:rowOff>
              </xdr:to>
            </anchor>
          </commentPr>
        </mc:Choice>
        <mc:Fallback/>
      </mc:AlternateContent>
    </comment>
  </commentList>
</comments>
</file>

<file path=xl/comments5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Unknown Author</author>
  </authors>
  <commentList>
    <comment ref="L8" authorId="0">
      <text>
        <r>
          <rPr>
            <sz val="10"/>
            <rFont val="Arial"/>
            <family val="2"/>
          </rPr>
          <t xml:space="preserve">FILTRO:
</t>
        </r>
        <r>
          <rPr>
            <sz val="9"/>
            <color rgb="FF000000"/>
            <rFont val="Tahoma"/>
            <family val="2"/>
            <charset val="1"/>
          </rPr>
          <t xml:space="preserve">Após a conclusão do Orçamento, utilize o filtro nessa coluna com o valor "F" para ocultar linhas não utilizadas.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17</xdr:col>
                <xdr:colOff>68</xdr:colOff>
                <xdr:row>6</xdr:row>
                <xdr:rowOff>4</xdr:rowOff>
              </xdr:from>
              <xdr:to>
                <xdr:col>18</xdr:col>
                <xdr:colOff>-226</xdr:colOff>
                <xdr:row>11</xdr:row>
                <xdr:rowOff>12</xdr:rowOff>
              </xdr:to>
            </anchor>
          </commentPr>
        </mc:Choice>
        <mc:Fallback/>
      </mc:AlternateContent>
    </comment>
    <comment ref="Y8" authorId="0">
      <text>
        <r>
          <rPr>
            <sz val="10"/>
            <rFont val="Arial"/>
            <family val="2"/>
          </rPr>
          <t xml:space="preserve">RECURSO:
</t>
        </r>
        <r>
          <rPr>
            <sz val="9"/>
            <color rgb="FF000000"/>
            <rFont val="Tahoma"/>
            <family val="2"/>
            <charset val="1"/>
          </rPr>
          <t xml:space="preserve">Selecione a composição do item do Orçamento no Investimento.
RA: Rateio proporcional entre Repasse e Contrapartida.
RP: 100% valor de Repasse.
CP: 100%  valor de Contrapartida.
OU: 100% valor "Outros".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37</xdr:col>
                <xdr:colOff>88</xdr:colOff>
                <xdr:row>3</xdr:row>
                <xdr:rowOff>4</xdr:rowOff>
              </xdr:from>
              <xdr:to>
                <xdr:col>40</xdr:col>
                <xdr:colOff>40</xdr:colOff>
                <xdr:row>11</xdr:row>
                <xdr:rowOff>12</xdr:rowOff>
              </xdr:to>
            </anchor>
          </commentPr>
        </mc:Choice>
        <mc:Fallback/>
      </mc:AlternateContent>
    </comment>
    <comment ref="AJ7" authorId="0">
      <text>
        <r>
          <rPr>
            <sz val="10"/>
            <rFont val="Arial"/>
            <family val="2"/>
          </rPr>
          <t xml:space="preserve">QUANTIDADES:
</t>
        </r>
        <r>
          <rPr>
            <sz val="9"/>
            <color rgb="FF000000"/>
            <rFont val="Tahoma"/>
            <family val="2"/>
            <charset val="1"/>
          </rPr>
          <t xml:space="preserve">PREENCHA AS QUANTIDADES AQUI PARA ACOMPANHAMENTOS POR BM.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38</xdr:col>
                <xdr:colOff>28</xdr:colOff>
                <xdr:row>4</xdr:row>
                <xdr:rowOff>12</xdr:rowOff>
              </xdr:from>
              <xdr:to>
                <xdr:col>43</xdr:col>
                <xdr:colOff>48</xdr:colOff>
                <xdr:row>8</xdr:row>
                <xdr:rowOff>16</xdr:rowOff>
              </xdr:to>
            </anchor>
          </commentPr>
        </mc:Choice>
        <mc:Fallback/>
      </mc:AlternateContent>
    </comment>
    <comment ref="AL7" authorId="0">
      <text>
        <r>
          <rPr>
            <sz val="10"/>
            <rFont val="Arial"/>
            <family val="2"/>
          </rPr>
          <t xml:space="preserve">PREÇO UNITÁRIO LICITADO:
</t>
        </r>
        <r>
          <rPr>
            <sz val="9"/>
            <color rgb="FF000000"/>
            <rFont val="Tahoma"/>
            <family val="2"/>
            <charset val="1"/>
          </rPr>
          <t xml:space="preserve">PREENCHA AQUI O PREÇO UNITÁRIO DA LICITAÇÃO.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45</xdr:col>
                <xdr:colOff>48</xdr:colOff>
                <xdr:row>4</xdr:row>
                <xdr:rowOff>12</xdr:rowOff>
              </xdr:from>
              <xdr:to>
                <xdr:col>50</xdr:col>
                <xdr:colOff>28</xdr:colOff>
                <xdr:row>8</xdr:row>
                <xdr:rowOff>16</xdr:rowOff>
              </xdr:to>
            </anchor>
          </commentPr>
        </mc:Choice>
        <mc:Fallback/>
      </mc:AlternateContent>
    </comment>
  </commentList>
</comments>
</file>

<file path=xl/comments7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Unknown Author</author>
  </authors>
  <commentList>
    <comment ref="D15" authorId="0">
      <text>
        <r>
          <rPr>
            <sz val="10"/>
            <rFont val="Arial"/>
            <family val="2"/>
          </rPr>
          <t xml:space="preserve">O evento de administração local é fixo, de uso opcional.
Os serviços agrupados neste evento serão medidos proporcionalmente à execução dos demais eventos.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184</xdr:colOff>
                <xdr:row>12</xdr:row>
                <xdr:rowOff>2</xdr:rowOff>
              </xdr:from>
              <xdr:to>
                <xdr:col>5</xdr:col>
                <xdr:colOff>124</xdr:colOff>
                <xdr:row>21</xdr:row>
                <xdr:rowOff>17</xdr:rowOff>
              </xdr:to>
            </anchor>
          </commentPr>
        </mc:Choice>
        <mc:Fallback/>
      </mc:AlternateContent>
    </comment>
  </commentList>
</comments>
</file>

<file path=xl/comments11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Unknown Author</author>
  </authors>
  <commentList>
    <comment ref="C7" authorId="0">
      <text>
        <r>
          <rPr>
            <sz val="10"/>
            <rFont val="Arial"/>
            <family val="2"/>
          </rPr>
          <t xml:space="preserve">FILTRO:
</t>
        </r>
        <r>
          <rPr>
            <sz val="9"/>
            <color rgb="FF000000"/>
            <rFont val="Tahoma"/>
            <family val="2"/>
            <charset val="1"/>
          </rPr>
          <t xml:space="preserve">Após a conclusão do Orçamento, utilize o filtro nessa coluna com o valor "F" para ocultar linhas não utilizadas.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96</xdr:colOff>
                <xdr:row>5</xdr:row>
                <xdr:rowOff>4</xdr:rowOff>
              </xdr:from>
              <xdr:to>
                <xdr:col>5</xdr:col>
                <xdr:colOff>156</xdr:colOff>
                <xdr:row>10</xdr:row>
                <xdr:rowOff>12</xdr:rowOff>
              </xdr:to>
            </anchor>
          </commentPr>
        </mc:Choice>
        <mc:Fallback/>
      </mc:AlternateContent>
    </comment>
  </commentList>
</comments>
</file>

<file path=xl/comments12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Unknown Author</author>
  </authors>
  <commentList>
    <comment ref="C8" authorId="0">
      <text>
        <r>
          <rPr>
            <sz val="10"/>
            <rFont val="Arial"/>
            <family val="2"/>
          </rPr>
          <t xml:space="preserve">FILTRO:
</t>
        </r>
        <r>
          <rPr>
            <sz val="9"/>
            <color rgb="FF000000"/>
            <rFont val="Tahoma"/>
            <family val="2"/>
            <charset val="1"/>
          </rPr>
          <t xml:space="preserve">Após a conclusão do Orçamento, utilize o filtro nessa coluna com o valor "F" para ocultar linhas não utilizadas.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23</xdr:colOff>
                <xdr:row>3</xdr:row>
                <xdr:rowOff>0</xdr:rowOff>
              </xdr:from>
              <xdr:to>
                <xdr:col>4</xdr:col>
                <xdr:colOff>53</xdr:colOff>
                <xdr:row>10</xdr:row>
                <xdr:rowOff>2</xdr:rowOff>
              </xdr:to>
            </anchor>
          </commentPr>
        </mc:Choice>
        <mc:Fallback/>
      </mc:AlternateContent>
    </comment>
    <comment ref="AB12" authorId="0">
      <text>
        <r>
          <rPr>
            <sz val="10"/>
            <rFont val="Arial"/>
            <family val="2"/>
          </rPr>
          <t xml:space="preserve">Digite nestes campos as datas das medições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41</xdr:col>
                <xdr:colOff>12</xdr:colOff>
                <xdr:row>10</xdr:row>
                <xdr:rowOff>4</xdr:rowOff>
              </xdr:from>
              <xdr:to>
                <xdr:col>43</xdr:col>
                <xdr:colOff>12</xdr:colOff>
                <xdr:row>12</xdr:row>
                <xdr:rowOff>24</xdr:rowOff>
              </xdr:to>
            </anchor>
          </commentPr>
        </mc:Choice>
        <mc:Fallback/>
      </mc:AlternateContent>
    </comment>
    <comment ref="AB13" authorId="0">
      <text>
        <r>
          <rPr>
            <sz val="10"/>
            <rFont val="Arial"/>
            <family val="2"/>
          </rPr>
          <t xml:space="preserve">Para medições além da 12ª, preencha esta coluna com as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quantidades acumuladas.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28</xdr:col>
                <xdr:colOff>32</xdr:colOff>
                <xdr:row>3</xdr:row>
                <xdr:rowOff>12</xdr:rowOff>
              </xdr:from>
              <xdr:to>
                <xdr:col>31</xdr:col>
                <xdr:colOff>12</xdr:colOff>
                <xdr:row>7</xdr:row>
                <xdr:rowOff>8</xdr:rowOff>
              </xdr:to>
            </anchor>
          </commentPr>
        </mc:Choice>
        <mc:Fallback/>
      </mc:AlternateContent>
    </comment>
  </commentList>
</comments>
</file>

<file path=xl/comments13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Unknown Author</author>
  </authors>
  <commentList>
    <comment ref="D7" authorId="0">
      <text>
        <r>
          <rPr>
            <sz val="10"/>
            <rFont val="Arial"/>
            <family val="2"/>
          </rPr>
          <t xml:space="preserve">FILTRO:
</t>
        </r>
        <r>
          <rPr>
            <sz val="9"/>
            <color rgb="FF000000"/>
            <rFont val="Tahoma"/>
            <family val="2"/>
            <charset val="1"/>
          </rPr>
          <t xml:space="preserve">Após a conclusão do Orçamento, utilize o filtro nessa coluna com o valor "F" para ocultar linhas não utilizadas.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5</xdr:col>
                <xdr:colOff>140</xdr:colOff>
                <xdr:row>5</xdr:row>
                <xdr:rowOff>12</xdr:rowOff>
              </xdr:from>
              <xdr:to>
                <xdr:col>6</xdr:col>
                <xdr:colOff>-96</xdr:colOff>
                <xdr:row>12</xdr:row>
                <xdr:rowOff>4</xdr:rowOff>
              </xdr:to>
            </anchor>
          </commentPr>
        </mc:Choice>
        <mc:Fallback/>
      </mc:AlternateContent>
    </comment>
    <comment ref="Z25" authorId="0">
      <text>
        <r>
          <rPr>
            <sz val="10"/>
            <rFont val="Arial"/>
            <family val="2"/>
          </rPr>
          <t xml:space="preserve">Valores de Contrapartida e Outros:
</t>
        </r>
        <r>
          <rPr>
            <sz val="9"/>
            <color rgb="FF000000"/>
            <rFont val="Segoe UI"/>
            <family val="2"/>
            <charset val="1"/>
          </rPr>
          <t xml:space="preserve">Digite somente para desbloquear valores diferentes do previsto no RRE.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43</xdr:col>
                <xdr:colOff>44</xdr:colOff>
                <xdr:row>12</xdr:row>
                <xdr:rowOff>0</xdr:rowOff>
              </xdr:from>
              <xdr:to>
                <xdr:col>46</xdr:col>
                <xdr:colOff>60</xdr:colOff>
                <xdr:row>16</xdr:row>
                <xdr:rowOff>8</xdr:rowOff>
              </xdr:to>
            </anchor>
          </commentPr>
        </mc:Choice>
        <mc:Fallback/>
      </mc:AlternateContent>
    </comment>
  </commentList>
</comments>
</file>

<file path=xl/sharedStrings.xml><?xml version="1.0" encoding="utf-8"?>
<sst xmlns="http://schemas.openxmlformats.org/spreadsheetml/2006/main" count="1377" uniqueCount="531">
  <si>
    <t xml:space="preserve">PM</t>
  </si>
  <si>
    <t xml:space="preserve">v3.0.6</t>
  </si>
  <si>
    <t xml:space="preserve">Proposto</t>
  </si>
  <si>
    <t xml:space="preserve">DADOS DO CONTRATO</t>
  </si>
  <si>
    <t xml:space="preserve">NOVIDADES DA VERSÃO</t>
  </si>
  <si>
    <t xml:space="preserve">Licitado</t>
  </si>
  <si>
    <t xml:space="preserve">PLE</t>
  </si>
  <si>
    <t xml:space="preserve">BM</t>
  </si>
  <si>
    <t xml:space="preserve">LEGENDA:</t>
  </si>
  <si>
    <r>
      <rPr>
        <sz val="10"/>
        <rFont val="Arial"/>
        <family val="2"/>
        <charset val="1"/>
      </rPr>
      <t xml:space="preserve">Cores das </t>
    </r>
    <r>
      <rPr>
        <b val="true"/>
        <sz val="10"/>
        <rFont val="Arial"/>
        <family val="2"/>
        <charset val="1"/>
      </rPr>
      <t xml:space="preserve">células</t>
    </r>
    <r>
      <rPr>
        <sz val="10"/>
        <rFont val="Arial"/>
        <family val="2"/>
        <charset val="1"/>
      </rPr>
      <t xml:space="preserve">:</t>
    </r>
  </si>
  <si>
    <t xml:space="preserve">Fundo amarelo: células para preencher</t>
  </si>
  <si>
    <t xml:space="preserve">Fundo azul: células para seleção de opções</t>
  </si>
  <si>
    <r>
      <rPr>
        <sz val="10"/>
        <rFont val="Arial"/>
        <family val="2"/>
        <charset val="1"/>
      </rPr>
      <t xml:space="preserve">Cores dos </t>
    </r>
    <r>
      <rPr>
        <b val="true"/>
        <sz val="10"/>
        <rFont val="Arial"/>
        <family val="2"/>
        <charset val="1"/>
      </rPr>
      <t xml:space="preserve">botões</t>
    </r>
    <r>
      <rPr>
        <sz val="10"/>
        <rFont val="Arial"/>
        <family val="2"/>
        <charset val="1"/>
      </rPr>
      <t xml:space="preserve">:</t>
    </r>
  </si>
  <si>
    <t xml:space="preserve">Fundo azul: navegação entre abas</t>
  </si>
  <si>
    <t xml:space="preserve">Fundo laranja: execução de macro</t>
  </si>
  <si>
    <t xml:space="preserve">A. DOCUMENTAÇÃO DA PROPOSTA</t>
  </si>
  <si>
    <t xml:space="preserve">Sub-Itens de Investimento</t>
  </si>
  <si>
    <t xml:space="preserve">Itens de Investimento</t>
  </si>
  <si>
    <t xml:space="preserve">Unidades habitacionais</t>
  </si>
  <si>
    <t xml:space="preserve">Equipamentos comunitários</t>
  </si>
  <si>
    <t xml:space="preserve">Pavimentação</t>
  </si>
  <si>
    <t xml:space="preserve">Drenagem </t>
  </si>
  <si>
    <t xml:space="preserve">Abastecimento de água</t>
  </si>
  <si>
    <t xml:space="preserve">Esgotamento sanitário</t>
  </si>
  <si>
    <t xml:space="preserve">Energia elétrica e iluminação pública</t>
  </si>
  <si>
    <t xml:space="preserve">Coleta e tratamento de resíduos sólidos</t>
  </si>
  <si>
    <t xml:space="preserve">Contenção e estabilização de encostas </t>
  </si>
  <si>
    <t xml:space="preserve">Regularização fundiária</t>
  </si>
  <si>
    <t xml:space="preserve">Aquisição de terreno</t>
  </si>
  <si>
    <t xml:space="preserve">Aquisição de equipamentos e insumos</t>
  </si>
  <si>
    <t xml:space="preserve">Elaboração de estudos e projetos</t>
  </si>
  <si>
    <t xml:space="preserve">Instrumentos e ações em planejamento e gestão pública</t>
  </si>
  <si>
    <t xml:space="preserve">Ações complementares às obras</t>
  </si>
  <si>
    <t xml:space="preserve">Gerenciamento</t>
  </si>
  <si>
    <t xml:space="preserve">Trabalho social</t>
  </si>
  <si>
    <t xml:space="preserve">Dados do Contrato (Inicial)</t>
  </si>
  <si>
    <t xml:space="preserve">Aquisição</t>
  </si>
  <si>
    <t xml:space="preserve">un</t>
  </si>
  <si>
    <t xml:space="preserve">Convivência comunitária, assistência social e/ou comunitária</t>
  </si>
  <si>
    <t xml:space="preserve">m²</t>
  </si>
  <si>
    <t xml:space="preserve">Capeamento de vias</t>
  </si>
  <si>
    <t xml:space="preserve">Obras de microdrenagem </t>
  </si>
  <si>
    <t xml:space="preserve">m</t>
  </si>
  <si>
    <t xml:space="preserve">Captação subterrânea</t>
  </si>
  <si>
    <t xml:space="preserve">m³/s</t>
  </si>
  <si>
    <t xml:space="preserve">Ligações domiciliares e/ou intradomiciliares</t>
  </si>
  <si>
    <t xml:space="preserve">Iluminação pública - luminárias</t>
  </si>
  <si>
    <t xml:space="preserve">Acondicionamento </t>
  </si>
  <si>
    <t xml:space="preserve">Estabilização de taludes</t>
  </si>
  <si>
    <t xml:space="preserve">Desapropriacões/Indenizações</t>
  </si>
  <si>
    <t xml:space="preserve">Avaliação pós intervenção</t>
  </si>
  <si>
    <t xml:space="preserve">%CT</t>
  </si>
  <si>
    <t xml:space="preserve">Projeto de Trabalho Social Preliminar</t>
  </si>
  <si>
    <t xml:space="preserve">nº fam</t>
  </si>
  <si>
    <t xml:space="preserve">Fonte de recursos:</t>
  </si>
  <si>
    <t xml:space="preserve">OGU</t>
  </si>
  <si>
    <t xml:space="preserve">Construção</t>
  </si>
  <si>
    <t xml:space="preserve">Educação e cultura</t>
  </si>
  <si>
    <t xml:space="preserve">Recapeamento de vias</t>
  </si>
  <si>
    <t xml:space="preserve">Desassoreamento de cursos de água</t>
  </si>
  <si>
    <t xml:space="preserve">Captação superficial</t>
  </si>
  <si>
    <t xml:space="preserve">Rede coletora e/ou condominial</t>
  </si>
  <si>
    <t xml:space="preserve">Ligações domiciliares</t>
  </si>
  <si>
    <t xml:space="preserve">Aterro sanitário e/ou disposição final</t>
  </si>
  <si>
    <t xml:space="preserve">m³</t>
  </si>
  <si>
    <t xml:space="preserve">Obras complementares a ações de redução de risco e/ou contenções</t>
  </si>
  <si>
    <t xml:space="preserve">Projeto de Regularização Fundiária</t>
  </si>
  <si>
    <t xml:space="preserve">Benfeitorias</t>
  </si>
  <si>
    <t xml:space="preserve">Demolições</t>
  </si>
  <si>
    <t xml:space="preserve">Projeto de Trabalho Social</t>
  </si>
  <si>
    <t xml:space="preserve">Proponente/Tomador:</t>
  </si>
  <si>
    <t xml:space="preserve">Reforma e/ou melhoria</t>
  </si>
  <si>
    <t xml:space="preserve">Esportes</t>
  </si>
  <si>
    <t xml:space="preserve">Obras de artes especiais</t>
  </si>
  <si>
    <t xml:space="preserve">Canalização de cursos de água</t>
  </si>
  <si>
    <t xml:space="preserve">Estação de bombeamento de água bruta</t>
  </si>
  <si>
    <t xml:space="preserve">Coletor tronco e/ou interceptores</t>
  </si>
  <si>
    <t xml:space="preserve">Linhas de distribuição - baixa tensão </t>
  </si>
  <si>
    <t xml:space="preserve">Erradicação de lixões</t>
  </si>
  <si>
    <t xml:space="preserve">Plano de Reassentamento e medidas compensatórias</t>
  </si>
  <si>
    <t xml:space="preserve">Plano de Desenvolvimento Socioterritorial</t>
  </si>
  <si>
    <t xml:space="preserve">Município/UF:</t>
  </si>
  <si>
    <t xml:space="preserve">Alpinópolis</t>
  </si>
  <si>
    <t xml:space="preserve">Lazer e turismo</t>
  </si>
  <si>
    <t xml:space="preserve">Pavimentação de calçadas</t>
  </si>
  <si>
    <t xml:space="preserve">Recomposição de vegetação ciliar, renaturalização de cursos de água ou restauração de margens</t>
  </si>
  <si>
    <t xml:space="preserve">Adução</t>
  </si>
  <si>
    <t xml:space="preserve">Emissário</t>
  </si>
  <si>
    <t xml:space="preserve">Linhas de transmissão - alta tensão </t>
  </si>
  <si>
    <t xml:space="preserve">Sistema de coleta seletiva tradicional, transporte e/ou equipamentos</t>
  </si>
  <si>
    <t xml:space="preserve">Plano de Gestão Condominial</t>
  </si>
  <si>
    <t xml:space="preserve">Nº da Operação (0000000-00):</t>
  </si>
  <si>
    <t xml:space="preserve">Saúde</t>
  </si>
  <si>
    <t xml:space="preserve">Pavimentação de vias</t>
  </si>
  <si>
    <t xml:space="preserve">Reservatório de amortecimento de cheias</t>
  </si>
  <si>
    <t xml:space="preserve">Estação de Tratamento de Água (ETA)</t>
  </si>
  <si>
    <t xml:space="preserve">Estação Elevatória</t>
  </si>
  <si>
    <t xml:space="preserve">Tratamento local </t>
  </si>
  <si>
    <t xml:space="preserve">Nº do TransfereGOV (000000):</t>
  </si>
  <si>
    <t xml:space="preserve">Segurança pública</t>
  </si>
  <si>
    <t xml:space="preserve">Sinalização</t>
  </si>
  <si>
    <t xml:space="preserve">Estação de Bombeamento</t>
  </si>
  <si>
    <t xml:space="preserve">Estação de bombeamento de água tratada</t>
  </si>
  <si>
    <t xml:space="preserve">Estação de Tratamento de Esgoto (ETE)</t>
  </si>
  <si>
    <t xml:space="preserve">Usinas de reciclagem </t>
  </si>
  <si>
    <t xml:space="preserve">Linha de recalque</t>
  </si>
  <si>
    <t xml:space="preserve">Sistema simplificado de tratamento</t>
  </si>
  <si>
    <t xml:space="preserve">Valor de Contrapartida Contratada (R$):</t>
  </si>
  <si>
    <t xml:space="preserve">Reservação</t>
  </si>
  <si>
    <t xml:space="preserve">Unidades sanitárias</t>
  </si>
  <si>
    <t xml:space="preserve">% mínimo de Contrapartida:</t>
  </si>
  <si>
    <t xml:space="preserve">Rede de distribuição</t>
  </si>
  <si>
    <t xml:space="preserve">R$ mínimo de Contrapartida (se houver):</t>
  </si>
  <si>
    <t xml:space="preserve">% máximo de Contrapartida:</t>
  </si>
  <si>
    <t xml:space="preserve">Sistema simplificado de abastecimento</t>
  </si>
  <si>
    <t xml:space="preserve">Dados do Empreendimento e Orçamento</t>
  </si>
  <si>
    <t xml:space="preserve">Nome/apelido:</t>
  </si>
  <si>
    <t xml:space="preserve">Pavimentação MG-446</t>
  </si>
  <si>
    <t xml:space="preserve">Descrição do Objeto do Lote / CTEF:</t>
  </si>
  <si>
    <t xml:space="preserve">Regime previdenciário previsto para a obra:</t>
  </si>
  <si>
    <t xml:space="preserve">NÃO DESONERADO</t>
  </si>
  <si>
    <t xml:space="preserve">Data base do Orçamento:</t>
  </si>
  <si>
    <t xml:space="preserve">Responsável pelo Orçamento</t>
  </si>
  <si>
    <t xml:space="preserve">Nome:</t>
  </si>
  <si>
    <t xml:space="preserve">Fabiano Martins Cunha</t>
  </si>
  <si>
    <t xml:space="preserve">CREA/CAU:</t>
  </si>
  <si>
    <t xml:space="preserve">125417/D</t>
  </si>
  <si>
    <t xml:space="preserve">ART/RRT:</t>
  </si>
  <si>
    <t xml:space="preserve">Data do preenchimento:</t>
  </si>
  <si>
    <t xml:space="preserve">Responsável pelo Tomador (Prefeito, no caso de Municípios)</t>
  </si>
  <si>
    <t xml:space="preserve">Cargo:</t>
  </si>
  <si>
    <t xml:space="preserve">Arredondamento das frentes:</t>
  </si>
  <si>
    <t xml:space="preserve">Tradicional</t>
  </si>
  <si>
    <t xml:space="preserve">B. RESULTADO DO PROCESSO LICITATÓRIO</t>
  </si>
  <si>
    <t xml:space="preserve">Licitação</t>
  </si>
  <si>
    <t xml:space="preserve">Data de emissão dos documentos de licitação:</t>
  </si>
  <si>
    <t xml:space="preserve">Nº do CTEF (contrato com empresa):</t>
  </si>
  <si>
    <t xml:space="preserve">Nome da empresa:</t>
  </si>
  <si>
    <t xml:space="preserve">CNPJ da empresa:</t>
  </si>
  <si>
    <t xml:space="preserve">Regime de execução do CTEF:</t>
  </si>
  <si>
    <t xml:space="preserve">(SELECIONAR)</t>
  </si>
  <si>
    <t xml:space="preserve">Data base do CTEF:</t>
  </si>
  <si>
    <t xml:space="preserve">C. ACOMPANHAMENTO DO EMPREENDIMENTO</t>
  </si>
  <si>
    <t xml:space="preserve">Dados da obra</t>
  </si>
  <si>
    <t xml:space="preserve">Data do Início da Obra:</t>
  </si>
  <si>
    <t xml:space="preserve">Data de fechamento do RRE:</t>
  </si>
  <si>
    <t xml:space="preserve">Responsável pela Fiscalização</t>
  </si>
  <si>
    <t xml:space="preserve">Profissão:</t>
  </si>
  <si>
    <t xml:space="preserve">CREA/CAU (para obras/projetos):</t>
  </si>
  <si>
    <t xml:space="preserve">ART/RRT (para obras/projetos):</t>
  </si>
  <si>
    <t xml:space="preserve">D. ACOMPANHAMENTO CAIXA</t>
  </si>
  <si>
    <t xml:space="preserve">Responsável Gerencial</t>
  </si>
  <si>
    <t xml:space="preserve">Função:</t>
  </si>
  <si>
    <t xml:space="preserve">Novidades da Versão</t>
  </si>
  <si>
    <t xml:space="preserve">V3.0.0</t>
  </si>
  <si>
    <t xml:space="preserve">GERAL</t>
  </si>
  <si>
    <t xml:space="preserve">Lançamento: Adequação à Portaria 424/2016. Acompanhamento por Eventos.</t>
  </si>
  <si>
    <t xml:space="preserve">V3.0.1</t>
  </si>
  <si>
    <t xml:space="preserve">Ajustes de formatações.</t>
  </si>
  <si>
    <t xml:space="preserve">PO</t>
  </si>
  <si>
    <t xml:space="preserve">Correção da aplicação do BDI não desonerado.</t>
  </si>
  <si>
    <t xml:space="preserve">Inclusão de coluna exclusiva "Preço Unitário Edital", para o Modo 'Orçamento Licitado'.</t>
  </si>
  <si>
    <t xml:space="preserve">V3.0.2</t>
  </si>
  <si>
    <t xml:space="preserve">Correção do Problema de Guias ocultas no BROFFICE.</t>
  </si>
  <si>
    <t xml:space="preserve">ORÇAMENTO</t>
  </si>
  <si>
    <t xml:space="preserve">Ampliada obtenção de dados da Planilha Referência de 20.000 para 65.536 linhas.</t>
  </si>
  <si>
    <t xml:space="preserve">CRONOGRAMA</t>
  </si>
  <si>
    <t xml:space="preserve">Correção na formulação do total acumulado por Repasse, CP e Outros</t>
  </si>
  <si>
    <t xml:space="preserve">QCI</t>
  </si>
  <si>
    <t xml:space="preserve">Correção na formulação do arredondamento no rateio dos valores do QCI.</t>
  </si>
  <si>
    <t xml:space="preserve">RRE</t>
  </si>
  <si>
    <t xml:space="preserve">Correção na formulação do total por Repasse, CP e Outros.</t>
  </si>
  <si>
    <t xml:space="preserve">V3.0.3</t>
  </si>
  <si>
    <t xml:space="preserve">CÁLCULO</t>
  </si>
  <si>
    <t xml:space="preserve">Corrigida lentidão e travamento ao incluir e excluir frentes.</t>
  </si>
  <si>
    <t xml:space="preserve">V3.0.4</t>
  </si>
  <si>
    <t xml:space="preserve">BDI</t>
  </si>
  <si>
    <t xml:space="preserve">Correção da CPRB que exibia 4,5% mesmo quando não desonerado.</t>
  </si>
  <si>
    <t xml:space="preserve">Correção da distribuição de Repasse, CP e Outros para as metas manuais.</t>
  </si>
  <si>
    <t xml:space="preserve">Adicionado botão para adotar a CP do QCI como CP do contrato (zera saldo a reprogramar de CP).</t>
  </si>
  <si>
    <t xml:space="preserve">V3.0.5</t>
  </si>
  <si>
    <t xml:space="preserve">Corrigido modo de Cálculo da Planilha para Automático.</t>
  </si>
  <si>
    <t xml:space="preserve">V3.0.6</t>
  </si>
  <si>
    <t xml:space="preserve">Adicionado modo de arredondamento para compatibilidade com o TransfereGOV, altera na aba DADOS</t>
  </si>
  <si>
    <t xml:space="preserve">A planilha passará a ser disponibilizada com o formato .xlsm. Deve ser usado arquivo referência 1.9 ou superior, também no formato .xlsm</t>
  </si>
  <si>
    <t xml:space="preserve">MIN</t>
  </si>
  <si>
    <t xml:space="preserve">MED</t>
  </si>
  <si>
    <t xml:space="preserve">MAX</t>
  </si>
  <si>
    <t xml:space="preserve">Grau de Sigilo</t>
  </si>
  <si>
    <t xml:space="preserve">Construção e Reforma de Edifícios</t>
  </si>
  <si>
    <t xml:space="preserve">AC</t>
  </si>
  <si>
    <t xml:space="preserve">#PUBLICO</t>
  </si>
  <si>
    <t xml:space="preserve">SG</t>
  </si>
  <si>
    <t xml:space="preserve">R</t>
  </si>
  <si>
    <t xml:space="preserve">Nº OPERAÇÃO</t>
  </si>
  <si>
    <t xml:space="preserve">Nº TRANSFEREGOV</t>
  </si>
  <si>
    <t xml:space="preserve">PROPONENTE / TOMADOR</t>
  </si>
  <si>
    <t xml:space="preserve">DF</t>
  </si>
  <si>
    <t xml:space="preserve">L</t>
  </si>
  <si>
    <t xml:space="preserve">FILTRO</t>
  </si>
  <si>
    <t xml:space="preserve">BDI PAD</t>
  </si>
  <si>
    <t xml:space="preserve">APELIDO DO EMPREENDIMENTO / DESCRIÇÃO DO LOTE</t>
  </si>
  <si>
    <t xml:space="preserve">Construção de Praças Urbanas, Rodovias, Ferrovias e recapeamento e pavimentação de vias urbanas</t>
  </si>
  <si>
    <t xml:space="preserve">Conforme legislação tributária municipal, definir estimativa de percentual da base de cálculo para o ISS:</t>
  </si>
  <si>
    <t xml:space="preserve">↓</t>
  </si>
  <si>
    <t xml:space="preserve">Sobre a base de cálculo, definir a respectiva alíquota do ISS (entre 2% e 5%):</t>
  </si>
  <si>
    <t xml:space="preserve">F</t>
  </si>
  <si>
    <t xml:space="preserve">Construção de Redes de Abastecimento de Água, Coleta de Esgoto</t>
  </si>
  <si>
    <t xml:space="preserve">BDI 1</t>
  </si>
  <si>
    <t xml:space="preserve">TIPO DE OBRA</t>
  </si>
  <si>
    <t xml:space="preserve">Itens</t>
  </si>
  <si>
    <t xml:space="preserve">Siglas</t>
  </si>
  <si>
    <t xml:space="preserve">% Adotado</t>
  </si>
  <si>
    <t xml:space="preserve">Situação</t>
  </si>
  <si>
    <t xml:space="preserve">1º Quartil</t>
  </si>
  <si>
    <t xml:space="preserve">Médio</t>
  </si>
  <si>
    <t xml:space="preserve">3º Quartil</t>
  </si>
  <si>
    <t xml:space="preserve">Construção e Manutenção de Estações e Redes de Distribuição de Energia Elétrica</t>
  </si>
  <si>
    <t xml:space="preserve">-</t>
  </si>
  <si>
    <t xml:space="preserve">Obras Portuárias, Marítimas e Fluviais</t>
  </si>
  <si>
    <t xml:space="preserve">Tributos (impostos COFINS 3%, e  PIS 0,65%)</t>
  </si>
  <si>
    <t xml:space="preserve">CP</t>
  </si>
  <si>
    <t xml:space="preserve">Tributos (ISS, variável de acordo com o município)</t>
  </si>
  <si>
    <t xml:space="preserve">ISS</t>
  </si>
  <si>
    <t xml:space="preserve">Tributos (Contribuição Previdenciária sobre a Receita Bruta - 0% ou 4,5% - Desoneração)</t>
  </si>
  <si>
    <t xml:space="preserve">CPRB</t>
  </si>
  <si>
    <t xml:space="preserve">BDI SEM desoneração (Fórmula Acórdão TCU)</t>
  </si>
  <si>
    <t xml:space="preserve">BDI COM desoneração</t>
  </si>
  <si>
    <t xml:space="preserve">BDI DES</t>
  </si>
  <si>
    <t xml:space="preserve">Fornecimento de Materiais e Equipamentos (aquisição indireta - em conjunto com licitação de obras)</t>
  </si>
  <si>
    <t xml:space="preserve">Os valores de BDI foram calculados com o emprego da fórmula:</t>
  </si>
  <si>
    <t xml:space="preserve">BDI =</t>
  </si>
  <si>
    <t xml:space="preserve"> - 1</t>
  </si>
  <si>
    <t xml:space="preserve">(1-CP-ISS-CRPB)</t>
  </si>
  <si>
    <t xml:space="preserve">Fornecimento de Materiais e Equipamentos (aquisição direta)</t>
  </si>
  <si>
    <t xml:space="preserve">Observações:</t>
  </si>
  <si>
    <t xml:space="preserve">Estudos e Projetos, Planos e Gerenciamento e outros correlatos</t>
  </si>
  <si>
    <t xml:space="preserve">K1</t>
  </si>
  <si>
    <t xml:space="preserve">K2</t>
  </si>
  <si>
    <t xml:space="preserve">Local</t>
  </si>
  <si>
    <t xml:space="preserve">Data</t>
  </si>
  <si>
    <t xml:space="preserve">K3</t>
  </si>
  <si>
    <t xml:space="preserve">Responsável Técnico</t>
  </si>
  <si>
    <t xml:space="preserve">BDI 2</t>
  </si>
  <si>
    <t xml:space="preserve">BDI 3</t>
  </si>
  <si>
    <t xml:space="preserve">PO - PLANILHA ORÇAMENTÁRIA</t>
  </si>
  <si>
    <t xml:space="preserve">LOTE</t>
  </si>
  <si>
    <t xml:space="preserve">Meta</t>
  </si>
  <si>
    <t xml:space="preserve">Nível 2</t>
  </si>
  <si>
    <t xml:space="preserve">Nível 3</t>
  </si>
  <si>
    <t xml:space="preserve">Nível 4</t>
  </si>
  <si>
    <t xml:space="preserve">Serviço</t>
  </si>
  <si>
    <t xml:space="preserve">Nmax</t>
  </si>
  <si>
    <t xml:space="preserve">Nº TransfereGOV</t>
  </si>
  <si>
    <t xml:space="preserve">APELIDO DO EMPREENDIMENTO</t>
  </si>
  <si>
    <t xml:space="preserve">Arredondamento</t>
  </si>
  <si>
    <t xml:space="preserve">LOCALIDADE SINAPI</t>
  </si>
  <si>
    <t xml:space="preserve">DATA BASE</t>
  </si>
  <si>
    <t xml:space="preserve">Quantidade</t>
  </si>
  <si>
    <t xml:space="preserve">QUANTIDADES: ACOMP. POR BM</t>
  </si>
  <si>
    <t xml:space="preserve">PREÇO UNITÁRIO LICITADO</t>
  </si>
  <si>
    <t xml:space="preserve">RECURSO</t>
  </si>
  <si>
    <t xml:space="preserve">SGL RECURSO</t>
  </si>
  <si>
    <t xml:space="preserve">Custo Unitáro</t>
  </si>
  <si>
    <t xml:space="preserve">ERRO GERAL</t>
  </si>
  <si>
    <t xml:space="preserve">Preço Unitário</t>
  </si>
  <si>
    <t xml:space="preserve">Preço Total</t>
  </si>
  <si>
    <t xml:space="preserve">Valores não Arredondados</t>
  </si>
  <si>
    <t xml:space="preserve">Nível E</t>
  </si>
  <si>
    <t xml:space="preserve">Save Nivel</t>
  </si>
  <si>
    <t xml:space="preserve">Nível C</t>
  </si>
  <si>
    <t xml:space="preserve">Altura</t>
  </si>
  <si>
    <t xml:space="preserve">n1</t>
  </si>
  <si>
    <t xml:space="preserve">n2</t>
  </si>
  <si>
    <t xml:space="preserve">n3</t>
  </si>
  <si>
    <t xml:space="preserve">n4</t>
  </si>
  <si>
    <t xml:space="preserve">n5</t>
  </si>
  <si>
    <t xml:space="preserve">Czero</t>
  </si>
  <si>
    <t xml:space="preserve">Cnível</t>
  </si>
  <si>
    <t xml:space="preserve">Nível</t>
  </si>
  <si>
    <t xml:space="preserve">Nível Corrigido</t>
  </si>
  <si>
    <t xml:space="preserve">Item</t>
  </si>
  <si>
    <t xml:space="preserve">Fonte</t>
  </si>
  <si>
    <t xml:space="preserve">Código</t>
  </si>
  <si>
    <t xml:space="preserve">Descrição</t>
  </si>
  <si>
    <t xml:space="preserve">Unidade</t>
  </si>
  <si>
    <t xml:space="preserve">Preço Unitário (com BDI) (R$)</t>
  </si>
  <si>
    <t xml:space="preserve">Preço Total
(R$)</t>
  </si>
  <si>
    <t xml:space="preserve">Contrapartida (R$)</t>
  </si>
  <si>
    <t xml:space="preserve">Outros (R$)</t>
  </si>
  <si>
    <t xml:space="preserve">Erro de Dados</t>
  </si>
  <si>
    <t xml:space="preserve">Lista Crono</t>
  </si>
  <si>
    <t xml:space="preserve">Concatenação Fonte-Código</t>
  </si>
  <si>
    <t xml:space="preserve">BancoDesloc</t>
  </si>
  <si>
    <t xml:space="preserve">Custo Unitário Referência (R$)</t>
  </si>
  <si>
    <t xml:space="preserve">Preço Total
Licit. (R$)</t>
  </si>
  <si>
    <t xml:space="preserve">Preço Unitário Edital (R$)</t>
  </si>
  <si>
    <t xml:space="preserve">SINAPI</t>
  </si>
  <si>
    <t xml:space="preserve">RA</t>
  </si>
  <si>
    <t xml:space="preserve">Pavimentação MG-446 - Trecho 2 (Est.70 a Est. 95)</t>
  </si>
  <si>
    <t xml:space="preserve">Serviços Iniciais</t>
  </si>
  <si>
    <t xml:space="preserve">SICOR-MG</t>
  </si>
  <si>
    <t xml:space="preserve">ED-28427</t>
  </si>
  <si>
    <t xml:space="preserve">Acompanhamento de Obra</t>
  </si>
  <si>
    <t xml:space="preserve">Composição</t>
  </si>
  <si>
    <t xml:space="preserve">CPU-029</t>
  </si>
  <si>
    <t xml:space="preserve">Canteiro</t>
  </si>
  <si>
    <t xml:space="preserve">ED-16348</t>
  </si>
  <si>
    <t xml:space="preserve">ED-16356</t>
  </si>
  <si>
    <t xml:space="preserve">ED-16350</t>
  </si>
  <si>
    <t xml:space="preserve">ED-16358</t>
  </si>
  <si>
    <t xml:space="preserve">ED-16352</t>
  </si>
  <si>
    <t xml:space="preserve">ED-16360</t>
  </si>
  <si>
    <t xml:space="preserve">ED-50137</t>
  </si>
  <si>
    <t xml:space="preserve">MOBILIZAÇÃO E DESMOBILIZAÇÃO</t>
  </si>
  <si>
    <t xml:space="preserve">CPU-028</t>
  </si>
  <si>
    <t xml:space="preserve">Terraplanagem</t>
  </si>
  <si>
    <t xml:space="preserve">SICRO</t>
  </si>
  <si>
    <t xml:space="preserve">5502110</t>
  </si>
  <si>
    <t xml:space="preserve">5503041</t>
  </si>
  <si>
    <t xml:space="preserve">4011210</t>
  </si>
  <si>
    <t xml:space="preserve">Subbase</t>
  </si>
  <si>
    <t xml:space="preserve">4011276B</t>
  </si>
  <si>
    <t xml:space="preserve">5915321</t>
  </si>
  <si>
    <t xml:space="preserve">Base  </t>
  </si>
  <si>
    <t xml:space="preserve">CPU-025</t>
  </si>
  <si>
    <t xml:space="preserve">102332</t>
  </si>
  <si>
    <t xml:space="preserve">102333</t>
  </si>
  <si>
    <t xml:space="preserve">CPU-026</t>
  </si>
  <si>
    <t xml:space="preserve">Concreto Asfáltico</t>
  </si>
  <si>
    <t xml:space="preserve">95995</t>
  </si>
  <si>
    <t xml:space="preserve">95875</t>
  </si>
  <si>
    <t xml:space="preserve">93590</t>
  </si>
  <si>
    <t xml:space="preserve">Drenagem</t>
  </si>
  <si>
    <t xml:space="preserve">2003285</t>
  </si>
  <si>
    <t xml:space="preserve">2003103</t>
  </si>
  <si>
    <t xml:space="preserve">5214001</t>
  </si>
  <si>
    <t xml:space="preserve">5213442</t>
  </si>
  <si>
    <t xml:space="preserve">5213466</t>
  </si>
  <si>
    <t xml:space="preserve">5213360</t>
  </si>
  <si>
    <t xml:space="preserve">Encargos sociais:</t>
  </si>
  <si>
    <t xml:space="preserve">Para elaboração deste orçamento, foram utilizados os encargos sociais do SINAPI para a Unidade da Federação indicada.</t>
  </si>
  <si>
    <t xml:space="preserve">Siglas da Composição do Investimento: RA - Rateio proporcional entre Repasse e Contrapartida; RP - 100% Repasse; CP - 100% Contrapartida; OU - 100% Outros.</t>
  </si>
  <si>
    <t xml:space="preserve">Preços dos serviços por frente</t>
  </si>
  <si>
    <t xml:space="preserve">Mês do cronograma</t>
  </si>
  <si>
    <t xml:space="preserve">Número da Medição</t>
  </si>
  <si>
    <t xml:space="preserve">Empty</t>
  </si>
  <si>
    <t xml:space="preserve">.</t>
  </si>
  <si>
    <t xml:space="preserve">Nº AGRUPADOR DE EVENTOS</t>
  </si>
  <si>
    <t xml:space="preserve">FRENTES DE OBRA:</t>
  </si>
  <si>
    <t xml:space="preserve">Estaca 70 -95</t>
  </si>
  <si>
    <t xml:space="preserve">AUTOEVENTO</t>
  </si>
  <si>
    <t xml:space="preserve">Memória de Cálculo</t>
  </si>
  <si>
    <t xml:space="preserve">Nº</t>
  </si>
  <si>
    <t xml:space="preserve"># Evento</t>
  </si>
  <si>
    <t xml:space="preserve">Agrupador de Eventos</t>
  </si>
  <si>
    <t xml:space="preserve">TOTAL FINANC. POR FRENTE (R$):</t>
  </si>
  <si>
    <t xml:space="preserve">Placa de obra</t>
  </si>
  <si>
    <t xml:space="preserve">2.Serviços Iniciais</t>
  </si>
  <si>
    <t xml:space="preserve">Acompanhamento de Obras</t>
  </si>
  <si>
    <t xml:space="preserve">1.Administração Local</t>
  </si>
  <si>
    <t xml:space="preserve">Locação de container para canteiro</t>
  </si>
  <si>
    <t xml:space="preserve">3.Canteiro</t>
  </si>
  <si>
    <t xml:space="preserve">Ligações Provisórias</t>
  </si>
  <si>
    <t xml:space="preserve">Mobilização de Container para canteiro</t>
  </si>
  <si>
    <t xml:space="preserve">Mobilização e desmobilização conforme composição</t>
  </si>
  <si>
    <t xml:space="preserve">4.Mobilização e Desmobilização</t>
  </si>
  <si>
    <t xml:space="preserve">Escavação conforme tabelas de quantitativo</t>
  </si>
  <si>
    <t xml:space="preserve">5.Terraplanagem</t>
  </si>
  <si>
    <t xml:space="preserve">Volume de aterro conforme tabelas de quantitativo</t>
  </si>
  <si>
    <t xml:space="preserve">Área total de regularização conforme projeto geométrico</t>
  </si>
  <si>
    <t xml:space="preserve">Volume = Extensão(500m)*Largura(9m)*Espessura(0,15m)=675m³</t>
  </si>
  <si>
    <t xml:space="preserve">6.Subbase</t>
  </si>
  <si>
    <t xml:space="preserve">Transporte de brita graduada com peso específico adotado de 2,1 t/m³ multiplicado pela distância de 86,05 km conforme Croqui de localização (675m³*2,1t/m³*86,05km=121.975,88t*km)</t>
  </si>
  <si>
    <t xml:space="preserve">7.Base</t>
  </si>
  <si>
    <t xml:space="preserve">Área de imprimação obtida através de cálculo(volume de base/espessura da camada)</t>
  </si>
  <si>
    <t xml:space="preserve">Massa de EAI obtida pelo fator de utilização da composição (0,0012t/m²) multiplicado pela área de imprimação multiplicado por 30 km</t>
  </si>
  <si>
    <t xml:space="preserve">Momento de transporte excedente totalizando a distância total conforme croqui</t>
  </si>
  <si>
    <t xml:space="preserve">Área de pintura de ligação igual a áres de imprimação</t>
  </si>
  <si>
    <t xml:space="preserve">Massa de RR-1C obtida pelo fator de utilização da composição (0,0005t/m²) multiplicado pela área de pintura de ligação multiplicado por 30 km</t>
  </si>
  <si>
    <t xml:space="preserve">Volume = Extensão(500m)*Largura(9m)*Espessura(0,05m)=225m³</t>
  </si>
  <si>
    <t xml:space="preserve">8.Concreto Asfáltico</t>
  </si>
  <si>
    <t xml:space="preserve">Trnasporte do CBUQ pelos primeiros 30 km</t>
  </si>
  <si>
    <t xml:space="preserve">Transporte do CBUQ por 42,55 km totalizando 72,55 conforme croqui</t>
  </si>
  <si>
    <t xml:space="preserve">Quantitativos conforme projeto de drenagem</t>
  </si>
  <si>
    <t xml:space="preserve">9.Drenagem</t>
  </si>
  <si>
    <t xml:space="preserve">Área=Extensão(500m)*Largura(0,15m)*Número de faixas(4)</t>
  </si>
  <si>
    <t xml:space="preserve">10.Sinalização</t>
  </si>
  <si>
    <t xml:space="preserve">Quantitativos conforme projeto de sinalização</t>
  </si>
  <si>
    <t xml:space="preserve">AGRUPADORES DE EVENTOS</t>
  </si>
  <si>
    <t xml:space="preserve">1. Selecione abaixo a forma de definição dos agrupadores de eventos:</t>
  </si>
  <si>
    <t xml:space="preserve">Definir Manualmente</t>
  </si>
  <si>
    <t xml:space="preserve">Nº do Evento</t>
  </si>
  <si>
    <t xml:space="preserve">Título do Evento</t>
  </si>
  <si>
    <t xml:space="preserve">Valor Total dos Eventos (R$)</t>
  </si>
  <si>
    <t xml:space="preserve">Administração Local</t>
  </si>
  <si>
    <t xml:space="preserve">Mobilização e Desmobilização</t>
  </si>
  <si>
    <t xml:space="preserve">Base</t>
  </si>
  <si>
    <t xml:space="preserve">% Período:</t>
  </si>
  <si>
    <t xml:space="preserve">Níveis a Exibir no Cronograma:</t>
  </si>
  <si>
    <t xml:space="preserve">Nº TGOV</t>
  </si>
  <si>
    <t xml:space="preserve">PROPONENTE TOMADOR</t>
  </si>
  <si>
    <t xml:space="preserve">APELIDO EMPREENDIMENTO</t>
  </si>
  <si>
    <t xml:space="preserve">Falta distribuir:</t>
  </si>
  <si>
    <t xml:space="preserve">Valor (R$)</t>
  </si>
  <si>
    <t xml:space="preserve">Parcelas:</t>
  </si>
  <si>
    <t xml:space="preserve">Item CRONO</t>
  </si>
  <si>
    <t xml:space="preserve">OU</t>
  </si>
  <si>
    <t xml:space="preserve">Linha PO
Linha QCI
Total Adm Local</t>
  </si>
  <si>
    <t xml:space="preserve">Linhas a somar</t>
  </si>
  <si>
    <t xml:space="preserve">#</t>
  </si>
  <si>
    <t xml:space="preserve">%:</t>
  </si>
  <si>
    <t xml:space="preserve">Período:</t>
  </si>
  <si>
    <t xml:space="preserve">Contrapartida:</t>
  </si>
  <si>
    <t xml:space="preserve">Outros:</t>
  </si>
  <si>
    <t xml:space="preserve">Investimento:</t>
  </si>
  <si>
    <t xml:space="preserve">Acumulado:</t>
  </si>
  <si>
    <t xml:space="preserve">CRONOGRAMA PREVISTO PLE</t>
  </si>
  <si>
    <t xml:space="preserve">1. Digite nas células em amarelo o número do período em que os eventos serão concluídos:</t>
  </si>
  <si>
    <t xml:space="preserve">Título dos Eventos</t>
  </si>
  <si>
    <t xml:space="preserve">Informe abaixo o NÚMERO DO PERÍODO em que os eventos serão concluídos</t>
  </si>
  <si>
    <t xml:space="preserve">PLE - PLANILHA DE LEVANTAMENTO DE EVENTOS</t>
  </si>
  <si>
    <t xml:space="preserve">Medição:</t>
  </si>
  <si>
    <t xml:space="preserve">% Realizado Período.:</t>
  </si>
  <si>
    <t xml:space="preserve">% Realizado Acum.:</t>
  </si>
  <si>
    <t xml:space="preserve">Filtro</t>
  </si>
  <si>
    <t xml:space="preserve">Informe abaixo o NÚMERO DA MEDIÇÃO em que os eventos foram concluídos</t>
  </si>
  <si>
    <t xml:space="preserve">Data das Medições</t>
  </si>
  <si>
    <t xml:space="preserve">Medições</t>
  </si>
  <si>
    <t xml:space="preserve">%</t>
  </si>
  <si>
    <t xml:space="preserve">R$</t>
  </si>
  <si>
    <t xml:space="preserve">Responsável Técnico pela Fiscalização</t>
  </si>
  <si>
    <t xml:space="preserve">QCI - Quadro de Composição do Investimento</t>
  </si>
  <si>
    <t xml:space="preserve">% Maior:</t>
  </si>
  <si>
    <t xml:space="preserve">% Rateio CP Fin:</t>
  </si>
  <si>
    <t xml:space="preserve">MUNICÍPIO / UF</t>
  </si>
  <si>
    <t xml:space="preserve">VALORES CONTRATADOS (R$):</t>
  </si>
  <si>
    <t xml:space="preserve">CONTRAPARTIDA</t>
  </si>
  <si>
    <t xml:space="preserve">INVESTIMENTO</t>
  </si>
  <si>
    <t xml:space="preserve">% CP Min Prog:</t>
  </si>
  <si>
    <t xml:space="preserve">% CP Absoluta:</t>
  </si>
  <si>
    <t xml:space="preserve">% CP Max Rep:</t>
  </si>
  <si>
    <t xml:space="preserve">Saldo a Reprogramar</t>
  </si>
  <si>
    <t xml:space="preserve">Ordem Meta</t>
  </si>
  <si>
    <t xml:space="preserve">Arred</t>
  </si>
  <si>
    <t xml:space="preserve">Repasse (R$)</t>
  </si>
  <si>
    <t xml:space="preserve">Proporcional</t>
  </si>
  <si>
    <t xml:space="preserve">Busca</t>
  </si>
  <si>
    <t xml:space="preserve">Item de Investimento</t>
  </si>
  <si>
    <t xml:space="preserve">Subitem de Investimento</t>
  </si>
  <si>
    <t xml:space="preserve">Descrição da Meta</t>
  </si>
  <si>
    <t xml:space="preserve">Unid.</t>
  </si>
  <si>
    <t xml:space="preserve">Lote de Licitação / nº do CTEF</t>
  </si>
  <si>
    <t xml:space="preserve">Contrapartida Financeira (R$)</t>
  </si>
  <si>
    <t xml:space="preserve">Investimento (R$)</t>
  </si>
  <si>
    <t xml:space="preserve">Divisão do Investimento</t>
  </si>
  <si>
    <t xml:space="preserve">Em Análise</t>
  </si>
  <si>
    <t xml:space="preserve">TR$</t>
  </si>
  <si>
    <t xml:space="preserve">TOTAL</t>
  </si>
  <si>
    <t xml:space="preserve">T%</t>
  </si>
  <si>
    <t xml:space="preserve">Representante Tomador</t>
  </si>
  <si>
    <t xml:space="preserve">Modo CAIXA</t>
  </si>
  <si>
    <t xml:space="preserve">INÍCIO DE OBRA</t>
  </si>
  <si>
    <t xml:space="preserve">Regime </t>
  </si>
  <si>
    <t xml:space="preserve">Fórmula CopMed</t>
  </si>
  <si>
    <t xml:space="preserve">Nº CTEF</t>
  </si>
  <si>
    <t xml:space="preserve">EMPRESA EXECUTORA</t>
  </si>
  <si>
    <t xml:space="preserve">CNPJ</t>
  </si>
  <si>
    <t xml:space="preserve">PERÍODO DA MEDIÇÃO</t>
  </si>
  <si>
    <t xml:space="preserve">Nº MEDIÇÃO</t>
  </si>
  <si>
    <t xml:space="preserve">ARREDMED</t>
  </si>
  <si>
    <t xml:space="preserve">Anexo</t>
  </si>
  <si>
    <t xml:space="preserve">Datas das Medições</t>
  </si>
  <si>
    <t xml:space="preserve">Orçamento Contratado</t>
  </si>
  <si>
    <t xml:space="preserve">Evolução Financeira (R$)</t>
  </si>
  <si>
    <t xml:space="preserve">Quadro de Glosas</t>
  </si>
  <si>
    <t xml:space="preserve">Acum. Anterior</t>
  </si>
  <si>
    <t xml:space="preserve">Período</t>
  </si>
  <si>
    <t xml:space="preserve">Acum. Incluindo o Período</t>
  </si>
  <si>
    <t xml:space="preserve">Valor Total Glosado (R$)</t>
  </si>
  <si>
    <t xml:space="preserve">Motivo da Glosa</t>
  </si>
  <si>
    <t xml:space="preserve">Valor Total Medido (R$)</t>
  </si>
  <si>
    <t xml:space="preserve">TOTAL:</t>
  </si>
  <si>
    <t xml:space="preserve">Observações</t>
  </si>
  <si>
    <t xml:space="preserve">Profissional CAIXA:</t>
  </si>
  <si>
    <t xml:space="preserve">Matrícula</t>
  </si>
  <si>
    <t xml:space="preserve">Acum. Previsto</t>
  </si>
  <si>
    <t xml:space="preserve">Acum. Chegada</t>
  </si>
  <si>
    <t xml:space="preserve">Outros</t>
  </si>
  <si>
    <t xml:space="preserve">Nº RRE</t>
  </si>
  <si>
    <t xml:space="preserve">Investimento</t>
  </si>
  <si>
    <t xml:space="preserve">Situação do TC/CR:</t>
  </si>
  <si>
    <t xml:space="preserve">Percentual previsto em:</t>
  </si>
  <si>
    <t xml:space="preserve">Lista CTEF</t>
  </si>
  <si>
    <t xml:space="preserve">Lista CTEFs</t>
  </si>
  <si>
    <t xml:space="preserve">Acumulado Período Anterior</t>
  </si>
  <si>
    <t xml:space="preserve">Acumulado incluindo o Período</t>
  </si>
  <si>
    <t xml:space="preserve">Linha
PO</t>
  </si>
  <si>
    <t xml:space="preserve">BM / PLE nº</t>
  </si>
  <si>
    <t xml:space="preserve">Valor Total (R$)</t>
  </si>
  <si>
    <t xml:space="preserve">No Período</t>
  </si>
  <si>
    <t xml:space="preserve">Execução Física Acum.</t>
  </si>
  <si>
    <t xml:space="preserve">Acum. Período Anterior - CP</t>
  </si>
  <si>
    <t xml:space="preserve">Acum. Período Anterior - Outros</t>
  </si>
  <si>
    <t xml:space="preserve">Acum. Incluindo Período - CP</t>
  </si>
  <si>
    <t xml:space="preserve">Acum. Incluindo Período - Outros</t>
  </si>
  <si>
    <t xml:space="preserve">(%)</t>
  </si>
  <si>
    <t xml:space="preserve">Anterior (R$)</t>
  </si>
  <si>
    <t xml:space="preserve">Acumulado (R$)</t>
  </si>
  <si>
    <t xml:space="preserve">Max CP/OU Ant.</t>
  </si>
  <si>
    <t xml:space="preserve">Max CP/OU Acum.</t>
  </si>
  <si>
    <t xml:space="preserve">Contrapartida</t>
  </si>
  <si>
    <t xml:space="preserve"># PÚBLICO</t>
  </si>
  <si>
    <t xml:space="preserve">Resumo de Valores por CTEF:</t>
  </si>
  <si>
    <t xml:space="preserve">CTEF:</t>
  </si>
  <si>
    <t xml:space="preserve">Valor Vigente (R$)</t>
  </si>
  <si>
    <t xml:space="preserve">Valor desta Medição (R$)</t>
  </si>
  <si>
    <t xml:space="preserve">Valor Acumulado (R$)</t>
  </si>
  <si>
    <t xml:space="preserve">Ofício n°:</t>
  </si>
  <si>
    <t xml:space="preserve">À</t>
  </si>
  <si>
    <t xml:space="preserve">CAIXA ECONÔMICA FEDERAL</t>
  </si>
  <si>
    <t xml:space="preserve">GIGOV</t>
  </si>
  <si>
    <t xml:space="preserve">Assunto:</t>
  </si>
  <si>
    <t xml:space="preserve">REF:</t>
  </si>
  <si>
    <t xml:space="preserve">Objeto:</t>
  </si>
  <si>
    <t xml:space="preserve">Proponente / Tomador:</t>
  </si>
  <si>
    <t xml:space="preserve">Valores Vigentes do TC/CR</t>
  </si>
  <si>
    <t xml:space="preserve">Valores Medidos Acumulados</t>
  </si>
  <si>
    <t xml:space="preserve">Contrapartida Financeira:</t>
  </si>
  <si>
    <t xml:space="preserve">Execução Física:</t>
  </si>
  <si>
    <t xml:space="preserve">Atenciosamente,</t>
  </si>
</sst>
</file>

<file path=xl/styles.xml><?xml version="1.0" encoding="utf-8"?>
<styleSheet xmlns="http://schemas.openxmlformats.org/spreadsheetml/2006/main">
  <numFmts count="31">
    <numFmt numFmtId="164" formatCode="General"/>
    <numFmt numFmtId="165" formatCode="_(&quot;R$ &quot;* #,##0.00_);_(&quot;R$ &quot;* \(#,##0.00\);_(&quot;R$ &quot;* \-??_);_(@_)"/>
    <numFmt numFmtId="166" formatCode="0%"/>
    <numFmt numFmtId="167" formatCode="_-* #,##0.00_-;\-* #,##0.00_-;_-* \-??_-;_-@_-"/>
    <numFmt numFmtId="168" formatCode="@"/>
    <numFmt numFmtId="169" formatCode="#,##0.00"/>
    <numFmt numFmtId="170" formatCode="0.00%"/>
    <numFmt numFmtId="171" formatCode="mm\-yyyy"/>
    <numFmt numFmtId="172" formatCode="m/d/yyyy"/>
    <numFmt numFmtId="173" formatCode="0"/>
    <numFmt numFmtId="174" formatCode="General;General"/>
    <numFmt numFmtId="175" formatCode="[$-F800]dddd&quot;, &quot;mmmm\ dd&quot;, &quot;yyyy"/>
    <numFmt numFmtId="176" formatCode="dd&quot; de &quot;mmmm&quot; de &quot;yyyy"/>
    <numFmt numFmtId="177" formatCode="mmm\-yy;@"/>
    <numFmt numFmtId="178" formatCode="_(* #,##0.00_);_(* \(#,##0.00\);_(* \-??_);_(@_)"/>
    <numFmt numFmtId="179" formatCode="_-* #,##0.00_-;\-* #,##0.00_-;_-* \-??_-;_-@_-"/>
    <numFmt numFmtId="180" formatCode="0\."/>
    <numFmt numFmtId="181" formatCode="_(\ #,##0.00_);_(&quot; (&quot;#,##0.00\);_(&quot; -&quot;??_);_(@_)"/>
    <numFmt numFmtId="182" formatCode="mm/yy"/>
    <numFmt numFmtId="183" formatCode="General;;;"/>
    <numFmt numFmtId="184" formatCode="&quot;Medição &quot;0"/>
    <numFmt numFmtId="185" formatCode="_(#,##0.00_);_(* \(#,##0.00\);_(* \-??_);_(@_)"/>
    <numFmt numFmtId="186" formatCode="_-#,##0.00_-;\-#,##0.00_-;_-&quot; -&quot;??_-;_-@_-"/>
    <numFmt numFmtId="187" formatCode="##\."/>
    <numFmt numFmtId="188" formatCode="#,##0.00_ ;\-#,##0.00\ "/>
    <numFmt numFmtId="189" formatCode="_-&quot;R$ &quot;* #,##0.00_-;&quot;-R$ &quot;* #,##0.00_-;_-&quot;R$ &quot;* \-??_-;_-@_-"/>
    <numFmt numFmtId="190" formatCode="&quot;( &quot;0.00%&quot; )&quot;"/>
    <numFmt numFmtId="191" formatCode="dd/mm/yy;@"/>
    <numFmt numFmtId="192" formatCode="&quot;Medição &quot;##"/>
    <numFmt numFmtId="193" formatCode="_(* #,##0.00_);_(* \(#,##0.00\);;_(@_)"/>
    <numFmt numFmtId="194" formatCode="dddd&quot;, &quot;mmmm\ dd&quot;, &quot;yyyy"/>
  </numFmts>
  <fonts count="5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9"/>
      <name val="Arial"/>
      <family val="2"/>
      <charset val="1"/>
    </font>
    <font>
      <sz val="18"/>
      <color rgb="FF666699"/>
      <name val="Calibri Light"/>
      <family val="2"/>
      <charset val="1"/>
    </font>
    <font>
      <b val="true"/>
      <sz val="13"/>
      <name val="Arial"/>
      <family val="2"/>
      <charset val="1"/>
    </font>
    <font>
      <b val="true"/>
      <sz val="18"/>
      <name val="Arial"/>
      <family val="2"/>
      <charset val="1"/>
    </font>
    <font>
      <sz val="10"/>
      <color rgb="FFFFFFFF"/>
      <name val="Arial"/>
      <family val="2"/>
      <charset val="1"/>
    </font>
    <font>
      <sz val="14"/>
      <color rgb="FF0000FF"/>
      <name val="Arial"/>
      <family val="2"/>
      <charset val="1"/>
    </font>
    <font>
      <u val="single"/>
      <sz val="10"/>
      <color theme="1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1"/>
      <color rgb="FF000000"/>
      <name val="Calibri"/>
      <family val="0"/>
    </font>
    <font>
      <sz val="8"/>
      <color rgb="FF000000"/>
      <name val="Segoe UI"/>
      <family val="0"/>
      <charset val="1"/>
    </font>
    <font>
      <b val="true"/>
      <sz val="11"/>
      <color rgb="FF000000"/>
      <name val="Calibri"/>
      <family val="2"/>
      <charset val="1"/>
    </font>
    <font>
      <sz val="10"/>
      <name val="Arial"/>
      <family val="2"/>
    </font>
    <font>
      <b val="true"/>
      <sz val="18"/>
      <color rgb="FF00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u val="single"/>
      <sz val="11"/>
      <color rgb="FF000000"/>
      <name val="Calibri"/>
      <family val="2"/>
      <charset val="1"/>
    </font>
    <font>
      <b val="true"/>
      <sz val="10"/>
      <color rgb="FF0000FF"/>
      <name val="Arial"/>
      <family val="2"/>
      <charset val="1"/>
    </font>
    <font>
      <sz val="10"/>
      <name val="Calibri"/>
      <family val="2"/>
      <charset val="1"/>
    </font>
    <font>
      <sz val="8"/>
      <name val="Calibri"/>
      <family val="2"/>
      <charset val="1"/>
    </font>
    <font>
      <sz val="11"/>
      <name val="Arial"/>
      <family val="2"/>
      <charset val="1"/>
    </font>
    <font>
      <b val="true"/>
      <sz val="12"/>
      <color rgb="FFFF0000"/>
      <name val="Arial"/>
      <family val="2"/>
      <charset val="1"/>
    </font>
    <font>
      <sz val="10"/>
      <color rgb="FFFF0000"/>
      <name val="Arial"/>
      <family val="2"/>
      <charset val="1"/>
    </font>
    <font>
      <i val="true"/>
      <sz val="12"/>
      <name val="Calibri"/>
      <family val="2"/>
      <charset val="1"/>
    </font>
    <font>
      <i val="true"/>
      <u val="single"/>
      <sz val="12"/>
      <name val="Calibri"/>
      <family val="2"/>
      <charset val="1"/>
    </font>
    <font>
      <u val="single"/>
      <sz val="10"/>
      <name val="Arial"/>
      <family val="2"/>
      <charset val="1"/>
    </font>
    <font>
      <sz val="9"/>
      <color rgb="FF000000"/>
      <name val="Tahoma"/>
      <family val="2"/>
      <charset val="1"/>
    </font>
    <font>
      <b val="true"/>
      <sz val="11"/>
      <color rgb="FF000000"/>
      <name val="Calibri"/>
      <family val="2"/>
    </font>
    <font>
      <sz val="14"/>
      <color rgb="FFFFFFFF"/>
      <name val="Arial"/>
      <family val="2"/>
      <charset val="1"/>
    </font>
    <font>
      <sz val="12"/>
      <name val="Arial"/>
      <family val="2"/>
      <charset val="1"/>
    </font>
    <font>
      <sz val="8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9"/>
      <name val="Arial"/>
      <family val="2"/>
      <charset val="1"/>
    </font>
    <font>
      <b val="true"/>
      <sz val="8"/>
      <name val="Arial"/>
      <family val="2"/>
      <charset val="1"/>
    </font>
    <font>
      <b val="true"/>
      <sz val="8"/>
      <color rgb="FFFF0000"/>
      <name val="Calibri"/>
      <family val="2"/>
      <charset val="1"/>
    </font>
    <font>
      <b val="true"/>
      <sz val="7"/>
      <name val="Arial"/>
      <family val="2"/>
      <charset val="1"/>
    </font>
    <font>
      <i val="true"/>
      <sz val="10"/>
      <name val="Arial"/>
      <family val="2"/>
      <charset val="1"/>
    </font>
    <font>
      <sz val="10"/>
      <color rgb="FF000000"/>
      <name val="Arial"/>
      <family val="0"/>
    </font>
    <font>
      <sz val="10"/>
      <color rgb="FF000000"/>
      <name val="Arial"/>
      <family val="2"/>
      <charset val="1"/>
    </font>
    <font>
      <sz val="10"/>
      <color rgb="FFBFBFBF"/>
      <name val="Arial"/>
      <family val="2"/>
      <charset val="1"/>
    </font>
    <font>
      <sz val="10"/>
      <color rgb="FFC0C0C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1"/>
      <color rgb="FFFF0000"/>
      <name val="Arial"/>
      <family val="2"/>
      <charset val="1"/>
    </font>
    <font>
      <sz val="10"/>
      <name val="Arial Narrow"/>
      <family val="2"/>
      <charset val="1"/>
    </font>
    <font>
      <sz val="11"/>
      <color rgb="FFFF0000"/>
      <name val="Arial"/>
      <family val="2"/>
      <charset val="1"/>
    </font>
    <font>
      <b val="true"/>
      <i val="true"/>
      <sz val="10"/>
      <name val="Arial"/>
      <family val="2"/>
      <charset val="1"/>
    </font>
    <font>
      <b val="true"/>
      <sz val="10"/>
      <color rgb="FF000000"/>
      <name val="Arial"/>
      <family val="0"/>
    </font>
    <font>
      <b val="true"/>
      <sz val="9"/>
      <color rgb="FF000000"/>
      <name val="Tahoma"/>
      <family val="2"/>
      <charset val="1"/>
    </font>
    <font>
      <i val="true"/>
      <sz val="8"/>
      <name val="Arial"/>
      <family val="2"/>
      <charset val="1"/>
    </font>
    <font>
      <sz val="9"/>
      <color rgb="FF000000"/>
      <name val="Segoe UI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C0C0C0"/>
        <bgColor rgb="FFBFBFBF"/>
      </patternFill>
    </fill>
    <fill>
      <patternFill patternType="solid">
        <fgColor rgb="FFFFFFFF"/>
        <bgColor rgb="FFF3F3FF"/>
      </patternFill>
    </fill>
    <fill>
      <patternFill patternType="solid">
        <fgColor rgb="FF3366FF"/>
        <bgColor rgb="FF0563C1"/>
      </patternFill>
    </fill>
    <fill>
      <patternFill patternType="solid">
        <fgColor rgb="FFFFFF99"/>
        <bgColor rgb="FFF0F0F0"/>
      </patternFill>
    </fill>
    <fill>
      <patternFill patternType="solid">
        <fgColor rgb="FFCCCCFF"/>
        <bgColor rgb="FFDFDFDF"/>
      </patternFill>
    </fill>
    <fill>
      <patternFill patternType="solid">
        <fgColor rgb="FF9999FF"/>
        <bgColor rgb="FFA8A8A8"/>
      </patternFill>
    </fill>
    <fill>
      <patternFill patternType="solid">
        <fgColor rgb="FF0000FF"/>
        <bgColor rgb="FF0000FF"/>
      </patternFill>
    </fill>
    <fill>
      <patternFill patternType="solid">
        <fgColor rgb="FFFFCC99"/>
        <bgColor rgb="FFDFDFDF"/>
      </patternFill>
    </fill>
    <fill>
      <patternFill patternType="solid">
        <fgColor rgb="FF0066CC"/>
        <bgColor rgb="FF0563C1"/>
      </patternFill>
    </fill>
    <fill>
      <patternFill patternType="solid">
        <fgColor rgb="FFFFCC00"/>
        <bgColor rgb="FFFFC000"/>
      </patternFill>
    </fill>
    <fill>
      <patternFill patternType="solid">
        <fgColor rgb="FF808080"/>
        <bgColor rgb="FF969696"/>
      </patternFill>
    </fill>
    <fill>
      <patternFill patternType="solid">
        <fgColor rgb="FFF0F0F0"/>
        <bgColor rgb="FFF2F2FF"/>
      </patternFill>
    </fill>
    <fill>
      <patternFill patternType="solid">
        <fgColor rgb="FFA8A8A8"/>
        <bgColor rgb="FF969696"/>
      </patternFill>
    </fill>
    <fill>
      <patternFill patternType="solid">
        <fgColor rgb="FFDFDFDF"/>
        <bgColor rgb="FFF0F0F0"/>
      </patternFill>
    </fill>
    <fill>
      <patternFill patternType="solid">
        <fgColor rgb="FFBFBFBF"/>
        <bgColor rgb="FFC0C0C0"/>
      </patternFill>
    </fill>
    <fill>
      <patternFill patternType="solid">
        <fgColor rgb="FFF3F3FF"/>
        <bgColor rgb="FFF2F2FF"/>
      </patternFill>
    </fill>
    <fill>
      <patternFill patternType="solid">
        <fgColor rgb="FFF2F2FF"/>
        <bgColor rgb="FFF3F3FF"/>
      </patternFill>
    </fill>
  </fills>
  <borders count="95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hair"/>
      <top style="medium"/>
      <bottom style="hair"/>
      <diagonal/>
    </border>
    <border diagonalUp="false" diagonalDown="false">
      <left/>
      <right style="medium"/>
      <top style="medium"/>
      <bottom style="hair"/>
      <diagonal/>
    </border>
    <border diagonalUp="false" diagonalDown="false">
      <left style="medium"/>
      <right style="hair"/>
      <top/>
      <bottom style="hair"/>
      <diagonal/>
    </border>
    <border diagonalUp="false" diagonalDown="false">
      <left/>
      <right style="medium"/>
      <top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/>
      <right style="medium"/>
      <top style="hair"/>
      <bottom style="hair"/>
      <diagonal/>
    </border>
    <border diagonalUp="false" diagonalDown="false">
      <left style="medium"/>
      <right style="hair"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hair"/>
      <top style="medium"/>
      <bottom/>
      <diagonal/>
    </border>
    <border diagonalUp="false" diagonalDown="false">
      <left style="hair"/>
      <right style="medium"/>
      <top style="medium"/>
      <bottom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 style="medium"/>
      <right style="hair"/>
      <top style="hair"/>
      <bottom style="medium"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 style="hair"/>
      <right style="medium"/>
      <top style="medium"/>
      <bottom style="medium"/>
      <diagonal/>
    </border>
    <border diagonalUp="false" diagonalDown="false">
      <left style="hair"/>
      <right style="medium"/>
      <top style="hair"/>
      <bottom style="medium"/>
      <diagonal/>
    </border>
    <border diagonalUp="false" diagonalDown="false">
      <left/>
      <right style="medium"/>
      <top style="hair"/>
      <bottom style="medium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hair"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 style="thin"/>
      <right style="hair"/>
      <top style="thin"/>
      <bottom/>
      <diagonal/>
    </border>
    <border diagonalUp="false" diagonalDown="false">
      <left style="hair"/>
      <right style="thin"/>
      <top style="thin"/>
      <bottom/>
      <diagonal/>
    </border>
    <border diagonalUp="false" diagonalDown="false">
      <left style="thin"/>
      <right/>
      <top style="hair"/>
      <bottom style="hair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thin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 style="hair"/>
      <right style="thin"/>
      <top style="hair"/>
      <bottom style="thin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 style="hair"/>
      <right style="hair"/>
      <top style="thin"/>
      <bottom style="thin"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 style="hair"/>
      <right style="thin"/>
      <top style="thin"/>
      <bottom style="thin"/>
      <diagonal/>
    </border>
    <border diagonalUp="false" diagonalDown="false">
      <left style="hair"/>
      <right style="hair"/>
      <top style="thin"/>
      <bottom/>
      <diagonal/>
    </border>
    <border diagonalUp="false" diagonalDown="false">
      <left style="thin"/>
      <right style="hair"/>
      <top style="thin"/>
      <bottom style="hair"/>
      <diagonal/>
    </border>
    <border diagonalUp="false" diagonalDown="false">
      <left style="hair"/>
      <right style="hair"/>
      <top style="thin"/>
      <bottom style="hair"/>
      <diagonal/>
    </border>
    <border diagonalUp="false" diagonalDown="false">
      <left style="hair"/>
      <right style="hair"/>
      <top/>
      <bottom style="thin"/>
      <diagonal/>
    </border>
    <border diagonalUp="false" diagonalDown="false">
      <left style="thin"/>
      <right style="hair"/>
      <top/>
      <bottom style="thin"/>
      <diagonal/>
    </border>
    <border diagonalUp="false" diagonalDown="false">
      <left style="hair"/>
      <right style="thin"/>
      <top/>
      <bottom style="thin"/>
      <diagonal/>
    </border>
    <border diagonalUp="false" diagonalDown="false">
      <left style="hair"/>
      <right style="hair"/>
      <top style="thin"/>
      <bottom style="hair">
        <color rgb="FF969696"/>
      </bottom>
      <diagonal/>
    </border>
    <border diagonalUp="false" diagonalDown="false">
      <left style="thin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 style="thin"/>
      <top style="hair"/>
      <bottom/>
      <diagonal/>
    </border>
    <border diagonalUp="false" diagonalDown="false">
      <left style="thin"/>
      <right style="hair"/>
      <top style="thin"/>
      <bottom style="hair">
        <color rgb="FF969696"/>
      </bottom>
      <diagonal/>
    </border>
    <border diagonalUp="false" diagonalDown="false">
      <left style="hair"/>
      <right style="thin"/>
      <top style="thin"/>
      <bottom style="hair">
        <color rgb="FF969696"/>
      </bottom>
      <diagonal/>
    </border>
    <border diagonalUp="false" diagonalDown="false">
      <left style="hair"/>
      <right style="hair"/>
      <top style="hair">
        <color rgb="FF969696"/>
      </top>
      <bottom/>
      <diagonal/>
    </border>
    <border diagonalUp="false" diagonalDown="false">
      <left/>
      <right/>
      <top/>
      <bottom style="hair"/>
      <diagonal/>
    </border>
    <border diagonalUp="false" diagonalDown="false">
      <left style="thin"/>
      <right style="hair"/>
      <top style="hair">
        <color rgb="FF969696"/>
      </top>
      <bottom/>
      <diagonal/>
    </border>
    <border diagonalUp="false" diagonalDown="false">
      <left style="hair"/>
      <right style="thin"/>
      <top style="hair">
        <color rgb="FF969696"/>
      </top>
      <bottom/>
      <diagonal/>
    </border>
    <border diagonalUp="false" diagonalDown="false">
      <left/>
      <right style="hair"/>
      <top style="hair">
        <color rgb="FF969696"/>
      </top>
      <bottom/>
      <diagonal/>
    </border>
    <border diagonalUp="false" diagonalDown="false">
      <left/>
      <right style="hair"/>
      <top/>
      <bottom style="thin"/>
      <diagonal/>
    </border>
    <border diagonalUp="false" diagonalDown="false">
      <left style="thin"/>
      <right/>
      <top style="thin"/>
      <bottom style="hair"/>
      <diagonal/>
    </border>
    <border diagonalUp="false" diagonalDown="false">
      <left/>
      <right style="thin"/>
      <top style="thin"/>
      <bottom style="hair"/>
      <diagonal/>
    </border>
    <border diagonalUp="false" diagonalDown="false">
      <left style="hair"/>
      <right style="thin"/>
      <top style="thin"/>
      <bottom style="hair"/>
      <diagonal/>
    </border>
    <border diagonalUp="false" diagonalDown="false">
      <left/>
      <right style="thin"/>
      <top style="hair"/>
      <bottom style="hair"/>
      <diagonal/>
    </border>
    <border diagonalUp="false" diagonalDown="false">
      <left style="thin"/>
      <right style="hair"/>
      <top style="hair"/>
      <bottom/>
      <diagonal/>
    </border>
    <border diagonalUp="false" diagonalDown="false">
      <left style="thin"/>
      <right/>
      <top style="hair"/>
      <bottom style="thin"/>
      <diagonal/>
    </border>
    <border diagonalUp="false" diagonalDown="false">
      <left/>
      <right style="thin"/>
      <top style="hair"/>
      <bottom style="thin"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808080"/>
      </left>
      <right/>
      <top style="thin">
        <color rgb="FF808080"/>
      </top>
      <bottom style="thin">
        <color rgb="FF808080"/>
      </bottom>
      <diagonal/>
    </border>
    <border diagonalUp="false" diagonalDown="false">
      <left/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/>
      <right/>
      <top/>
      <bottom style="thin">
        <color rgb="FF808080"/>
      </bottom>
      <diagonal/>
    </border>
    <border diagonalUp="false" diagonalDown="false">
      <left style="thin"/>
      <right style="thin"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/>
      <right style="thin"/>
      <top/>
      <bottom style="hair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/>
      <right/>
      <top style="thin"/>
      <bottom style="hair"/>
      <diagonal/>
    </border>
    <border diagonalUp="false" diagonalDown="false">
      <left style="thin"/>
      <right style="thin"/>
      <top style="hair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 style="medium"/>
      <top/>
      <bottom style="hair"/>
      <diagonal/>
    </border>
    <border diagonalUp="false" diagonalDown="false">
      <left style="hair"/>
      <right style="hair"/>
      <top style="hair"/>
      <bottom style="medium"/>
      <diagonal/>
    </border>
  </borders>
  <cellStyleXfs count="2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89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70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8" fillId="2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4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4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4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6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7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8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8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9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10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10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10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1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6" borderId="1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0" fillId="5" borderId="17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0" fillId="5" borderId="19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9" fontId="0" fillId="5" borderId="19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70" fontId="0" fillId="5" borderId="19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0" fillId="5" borderId="21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70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0" fillId="5" borderId="23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8" fontId="0" fillId="5" borderId="24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0" fillId="6" borderId="2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2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0" fillId="5" borderId="21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69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1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2" fontId="0" fillId="5" borderId="21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5" borderId="15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5" borderId="21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2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6" borderId="2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2" fontId="0" fillId="5" borderId="15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71" fontId="0" fillId="5" borderId="28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72" fontId="0" fillId="5" borderId="29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68" fontId="0" fillId="5" borderId="15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8" fontId="0" fillId="5" borderId="29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8" fontId="0" fillId="5" borderId="21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20" fillId="0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1" fillId="0" borderId="9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0" fillId="0" borderId="9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left" vertical="bottom" textRotation="0" wrapText="false" indent="1" shrinkToFit="false"/>
      <protection locked="true" hidden="false"/>
    </xf>
    <xf numFmtId="164" fontId="18" fillId="0" borderId="0" xfId="0" applyFont="true" applyBorder="false" applyAlignment="true" applyProtection="false">
      <alignment horizontal="left" vertical="bottom" textRotation="0" wrapText="false" indent="1" shrinkToFit="false"/>
      <protection locked="true" hidden="false"/>
    </xf>
    <xf numFmtId="164" fontId="18" fillId="0" borderId="0" xfId="0" applyFont="true" applyBorder="false" applyAlignment="true" applyProtection="false">
      <alignment horizontal="left" vertical="top" textRotation="0" wrapText="false" indent="1" shrinkToFit="false"/>
      <protection locked="true" hidden="false"/>
    </xf>
    <xf numFmtId="164" fontId="22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3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22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22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22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5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23" fillId="0" borderId="5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30" xfId="24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3" xfId="22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4" fillId="0" borderId="0" xfId="0" applyFont="true" applyBorder="true" applyAlignment="true" applyProtection="false">
      <alignment horizontal="center" vertical="bottom" textRotation="90" wrapText="false" indent="0" shrinkToFit="false"/>
      <protection locked="true" hidden="false"/>
    </xf>
    <xf numFmtId="164" fontId="12" fillId="0" borderId="0" xfId="22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5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3" xfId="2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5" xfId="22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0" fontId="5" fillId="5" borderId="5" xfId="22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3" fontId="2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2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22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5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6" borderId="13" xfId="21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15" fillId="0" borderId="5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5" fillId="0" borderId="5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5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5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26" fillId="5" borderId="5" xfId="22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9" fontId="15" fillId="0" borderId="5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26" fillId="0" borderId="5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26" fillId="0" borderId="5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5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2" borderId="5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5" fillId="2" borderId="5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0" xfId="22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22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0" fillId="0" borderId="0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22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2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31" fillId="0" borderId="0" xfId="22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5" xfId="22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0" fillId="5" borderId="5" xfId="22" applyFont="true" applyBorder="true" applyAlignment="true" applyProtection="true">
      <alignment horizontal="left" vertical="top" textRotation="0" wrapText="true" indent="0" shrinkToFit="false"/>
      <protection locked="false" hidden="false"/>
    </xf>
    <xf numFmtId="174" fontId="0" fillId="0" borderId="9" xfId="2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5" fontId="0" fillId="0" borderId="9" xfId="2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0" xfId="22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6" fontId="0" fillId="0" borderId="0" xfId="22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3" xfId="2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3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22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6" fillId="0" borderId="0" xfId="22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22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0" xfId="24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0" xfId="22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74" fontId="0" fillId="0" borderId="0" xfId="22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0" fillId="0" borderId="0" xfId="22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30" xfId="24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13" xfId="22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10" xfId="22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22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22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3" xfId="22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3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6" xfId="24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2" fillId="0" borderId="0" xfId="24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12" fillId="0" borderId="30" xfId="24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4" fillId="0" borderId="0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38" fillId="0" borderId="0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0" fillId="11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77" fontId="0" fillId="0" borderId="13" xfId="22" applyFont="true" applyBorder="true" applyAlignment="true" applyProtection="false">
      <alignment horizontal="general" vertical="top" textRotation="0" wrapText="false" indent="0" shrinkToFit="true"/>
      <protection locked="true" hidden="false"/>
    </xf>
    <xf numFmtId="164" fontId="0" fillId="0" borderId="8" xfId="22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9" xfId="22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13" xfId="22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0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39" fillId="0" borderId="3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7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4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2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3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3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3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9" fillId="0" borderId="3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3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3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6" borderId="3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0" borderId="3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7" xfId="0" applyFont="false" applyBorder="true" applyAlignment="true" applyProtection="false">
      <alignment horizontal="general" vertical="center" textRotation="0" wrapText="true" indent="0" shrinkToFit="true"/>
      <protection locked="true" hidden="false"/>
    </xf>
    <xf numFmtId="168" fontId="0" fillId="6" borderId="38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0" fillId="5" borderId="38" xfId="0" applyFont="fals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5" borderId="38" xfId="0" applyFont="false" applyBorder="true" applyAlignment="true" applyProtection="true">
      <alignment horizontal="left" vertical="center" textRotation="0" wrapText="true" indent="0" shrinkToFit="false"/>
      <protection locked="false" hidden="false"/>
    </xf>
    <xf numFmtId="164" fontId="0" fillId="5" borderId="38" xfId="0" applyFont="false" applyBorder="true" applyAlignment="true" applyProtection="true">
      <alignment horizontal="center" vertical="center" textRotation="0" wrapText="true" indent="0" shrinkToFit="false"/>
      <protection locked="false" hidden="false"/>
    </xf>
    <xf numFmtId="178" fontId="0" fillId="0" borderId="38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8" fontId="0" fillId="5" borderId="38" xfId="15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70" fontId="0" fillId="6" borderId="38" xfId="19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8" fontId="0" fillId="0" borderId="39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0" fontId="24" fillId="6" borderId="40" xfId="19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4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78" fontId="0" fillId="0" borderId="37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0" fontId="0" fillId="0" borderId="39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8" fontId="0" fillId="5" borderId="40" xfId="15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78" fontId="0" fillId="5" borderId="37" xfId="15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78" fontId="0" fillId="0" borderId="38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0" fillId="0" borderId="39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64" fontId="12" fillId="1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12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12" borderId="4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12" fillId="12" borderId="4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2" fillId="12" borderId="43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2" fillId="12" borderId="12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43" fillId="12" borderId="5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43" fillId="12" borderId="12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12" fillId="12" borderId="4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2" fillId="12" borderId="4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2" fillId="12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2" fillId="12" borderId="4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2" fillId="12" borderId="46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12" fillId="12" borderId="4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5" borderId="38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8" fontId="0" fillId="5" borderId="38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13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4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4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26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6" fillId="5" borderId="13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26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26" fillId="0" borderId="0" xfId="0" applyFont="true" applyBorder="false" applyAlignment="true" applyProtection="true">
      <alignment horizontal="left" vertical="bottom" textRotation="0" wrapText="true" indent="0" shrinkToFit="false"/>
      <protection locked="false" hidden="false"/>
    </xf>
    <xf numFmtId="164" fontId="15" fillId="0" borderId="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4" fontId="0" fillId="0" borderId="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0" borderId="9" xfId="22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22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5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false" indent="1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1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0" xfId="0" applyFont="true" applyBorder="true" applyAlignment="true" applyProtection="false">
      <alignment horizontal="left" vertical="center" textRotation="0" wrapText="false" indent="1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10" shrinkToFit="false"/>
      <protection locked="true" hidden="false"/>
    </xf>
    <xf numFmtId="164" fontId="3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6" xfId="24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12" fillId="0" borderId="0" xfId="24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2" fillId="0" borderId="7" xfId="24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8" xfId="22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9" xfId="22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7" fillId="0" borderId="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7" fillId="0" borderId="9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3" fontId="25" fillId="0" borderId="0" xfId="0" applyFont="true" applyBorder="false" applyAlignment="true" applyProtection="false">
      <alignment horizontal="left" vertical="bottom" textRotation="90" wrapText="true" indent="0" shrinkToFit="false"/>
      <protection locked="true" hidden="false"/>
    </xf>
    <xf numFmtId="164" fontId="37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47" xfId="0" applyFont="false" applyBorder="true" applyAlignment="true" applyProtection="true">
      <alignment horizontal="center" vertical="bottom" textRotation="90" wrapText="true" indent="0" shrinkToFit="false"/>
      <protection locked="false" hidden="false"/>
    </xf>
    <xf numFmtId="164" fontId="0" fillId="5" borderId="48" xfId="0" applyFont="true" applyBorder="true" applyAlignment="true" applyProtection="true">
      <alignment horizontal="center" vertical="bottom" textRotation="90" wrapText="true" indent="0" shrinkToFit="false"/>
      <protection locked="false" hidden="false"/>
    </xf>
    <xf numFmtId="164" fontId="0" fillId="5" borderId="49" xfId="0" applyFont="false" applyBorder="true" applyAlignment="true" applyProtection="true">
      <alignment horizontal="center" vertical="bottom" textRotation="90" wrapText="true" indent="0" shrinkToFit="false"/>
      <protection locked="false" hidden="false"/>
    </xf>
    <xf numFmtId="164" fontId="0" fillId="0" borderId="48" xfId="0" applyFont="fals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0" fillId="0" borderId="47" xfId="0" applyFont="fals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0" fillId="0" borderId="49" xfId="0" applyFont="fals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2" fillId="0" borderId="5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4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4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4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8" xfId="0" applyFont="fals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38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0" fillId="5" borderId="39" xfId="15" applyFont="true" applyBorder="true" applyAlignment="true" applyProtection="true">
      <alignment horizontal="left" vertical="center" textRotation="0" wrapText="true" indent="0" shrinkToFit="true"/>
      <protection locked="false" hidden="false"/>
    </xf>
    <xf numFmtId="164" fontId="0" fillId="6" borderId="40" xfId="15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3" fillId="0" borderId="33" xfId="15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43" fillId="0" borderId="40" xfId="15" applyFont="true" applyBorder="true" applyAlignment="true" applyProtection="true">
      <alignment horizontal="general" vertical="center" textRotation="0" wrapText="true" indent="0" shrinkToFit="true"/>
      <protection locked="true" hidden="false"/>
    </xf>
    <xf numFmtId="178" fontId="0" fillId="5" borderId="37" xfId="15" applyFont="true" applyBorder="true" applyAlignment="true" applyProtection="true">
      <alignment horizontal="general" vertical="center" textRotation="0" wrapText="false" indent="0" shrinkToFit="true"/>
      <protection locked="false" hidden="false"/>
    </xf>
    <xf numFmtId="178" fontId="0" fillId="5" borderId="38" xfId="15" applyFont="true" applyBorder="true" applyAlignment="true" applyProtection="true">
      <alignment horizontal="general" vertical="center" textRotation="0" wrapText="false" indent="0" shrinkToFit="true"/>
      <protection locked="false" hidden="false"/>
    </xf>
    <xf numFmtId="178" fontId="0" fillId="5" borderId="39" xfId="15" applyFont="true" applyBorder="true" applyAlignment="true" applyProtection="true">
      <alignment horizontal="general" vertical="center" textRotation="0" wrapText="false" indent="0" shrinkToFit="true"/>
      <protection locked="false" hidden="false"/>
    </xf>
    <xf numFmtId="178" fontId="0" fillId="0" borderId="48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8" fontId="0" fillId="0" borderId="47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8" fontId="0" fillId="0" borderId="49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3" fontId="0" fillId="0" borderId="51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3" fontId="0" fillId="0" borderId="52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2" fillId="12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12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12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11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12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12" fillId="12" borderId="53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9" fontId="12" fillId="12" borderId="54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9" fontId="12" fillId="12" borderId="55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9" fontId="12" fillId="12" borderId="48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4" fontId="12" fillId="12" borderId="48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4" fontId="9" fillId="2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5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5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5" borderId="4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5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22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75" fontId="0" fillId="0" borderId="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6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2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8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5" fillId="5" borderId="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78" fontId="0" fillId="0" borderId="5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5" fillId="16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5" fillId="16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8" fontId="0" fillId="16" borderId="5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6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4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5" fillId="0" borderId="0" xfId="23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5" fillId="0" borderId="0" xfId="23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56" xf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45" fillId="0" borderId="31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80" fontId="45" fillId="0" borderId="57" xfId="23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0" fontId="45" fillId="0" borderId="58" xfId="23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3" fontId="45" fillId="0" borderId="58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0" borderId="58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81" fontId="0" fillId="0" borderId="59" xfId="15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81" fontId="0" fillId="0" borderId="3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9" fillId="0" borderId="60" xf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61" xf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46" fillId="0" borderId="62" xfId="25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5" fillId="0" borderId="30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0" borderId="63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63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5" fillId="0" borderId="63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63" xfId="2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81" fontId="0" fillId="0" borderId="3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46" fillId="0" borderId="64" xfId="25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46" fillId="0" borderId="65" xfId="25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9" fillId="0" borderId="66" xfId="25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47" fillId="0" borderId="67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5" fillId="0" borderId="13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47" fillId="0" borderId="0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13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7" fillId="0" borderId="54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7" fillId="0" borderId="55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4" fillId="0" borderId="0" xfId="2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center" vertical="bottom" textRotation="90" wrapText="false" indent="0" shrinkToFit="false"/>
      <protection locked="true" hidden="false"/>
    </xf>
    <xf numFmtId="164" fontId="45" fillId="0" borderId="0" xfId="23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8" fillId="0" borderId="6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5" fillId="0" borderId="7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6" xfId="2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12" fillId="0" borderId="6" xfId="2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0" fillId="0" borderId="7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8" fillId="0" borderId="30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0" borderId="13" xfId="23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5" fillId="0" borderId="8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13" xfId="2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5" fillId="0" borderId="8" xfId="23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5" fillId="6" borderId="5" xfId="23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37" fillId="0" borderId="9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5" fillId="0" borderId="9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8" fillId="0" borderId="50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0" borderId="5" xfId="23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8" fillId="0" borderId="1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8" fillId="0" borderId="43" xfId="23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8" fillId="0" borderId="3" xfId="23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5" fillId="0" borderId="3" xfId="2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12" xfId="2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81" fontId="12" fillId="0" borderId="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8" fillId="0" borderId="34" xfId="23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8" fillId="0" borderId="35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0" borderId="0" xfId="23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82" fontId="48" fillId="0" borderId="53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8" fillId="0" borderId="9" xfId="23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5" fillId="0" borderId="9" xfId="2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5" fillId="0" borderId="9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2" fontId="48" fillId="0" borderId="54" xfId="23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82" fontId="48" fillId="0" borderId="55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14" borderId="43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5" fillId="13" borderId="5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13" borderId="1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5" fillId="13" borderId="43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5" fillId="17" borderId="43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13" borderId="43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5" fillId="13" borderId="12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5" fillId="2" borderId="0" xfId="23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52" xf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9" fillId="0" borderId="4" xfId="23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45" fillId="2" borderId="3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2" fillId="0" borderId="0" xfId="27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7" fontId="0" fillId="2" borderId="68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2" borderId="69" xfId="2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0" fontId="0" fillId="2" borderId="51" xf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2" borderId="52" xf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2" borderId="70" xf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0" fillId="0" borderId="38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4" fontId="45" fillId="2" borderId="30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36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71" xfId="2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8" fontId="0" fillId="0" borderId="37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78" fontId="0" fillId="0" borderId="39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4" fontId="48" fillId="0" borderId="0" xfId="23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5" fillId="2" borderId="30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36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2" borderId="71" xfId="2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8" fontId="0" fillId="2" borderId="37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78" fontId="0" fillId="2" borderId="38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78" fontId="0" fillId="2" borderId="39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78" fontId="0" fillId="0" borderId="41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7" fontId="0" fillId="0" borderId="57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59" xfId="2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8" fontId="0" fillId="0" borderId="72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78" fontId="0" fillId="0" borderId="42" xfId="15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7" fontId="12" fillId="0" borderId="46" xfId="27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4" fontId="45" fillId="2" borderId="13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2" fillId="2" borderId="73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2" fillId="2" borderId="74" xfId="2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12" fillId="2" borderId="44" xfId="27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7" fontId="12" fillId="2" borderId="46" xfId="27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7" fontId="12" fillId="2" borderId="45" xfId="27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4" fontId="45" fillId="0" borderId="9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9" xf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8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73" fontId="0" fillId="5" borderId="38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5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9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83" fontId="51" fillId="2" borderId="75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12" fillId="2" borderId="7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2" borderId="7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2" borderId="7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7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7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3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6" borderId="3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8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8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5" fillId="2" borderId="11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2" borderId="12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18" borderId="5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5" fillId="2" borderId="43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0" fillId="5" borderId="0" xfId="0" applyFont="fals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48" fillId="0" borderId="7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5" fillId="0" borderId="7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4" fillId="5" borderId="1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4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14" fillId="0" borderId="13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7" fillId="0" borderId="8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2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0" fillId="5" borderId="48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72" fontId="0" fillId="5" borderId="4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72" fontId="0" fillId="5" borderId="4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84" fontId="12" fillId="2" borderId="5" xfId="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64" fontId="12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2" fillId="0" borderId="3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0" fillId="0" borderId="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0" fillId="0" borderId="31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0" fillId="0" borderId="3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85" fontId="0" fillId="0" borderId="13" xfId="15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85" fontId="0" fillId="0" borderId="9" xfId="15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70" fontId="0" fillId="0" borderId="6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0" fillId="0" borderId="30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0" fillId="0" borderId="0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85" fontId="0" fillId="0" borderId="8" xfId="15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0" fillId="0" borderId="0" xfId="22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2" shrinkToFit="false"/>
      <protection locked="true" hidden="false"/>
    </xf>
    <xf numFmtId="169" fontId="12" fillId="0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30" xfId="24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0" fillId="0" borderId="5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0" fillId="0" borderId="8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3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13" xfId="22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22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37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3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0" borderId="3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86" fontId="0" fillId="0" borderId="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0" borderId="1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87" fontId="12" fillId="0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6" borderId="38" xfId="0" applyFont="fals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5" borderId="38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3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9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86" fontId="0" fillId="0" borderId="3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0" borderId="7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0" borderId="7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0" borderId="4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83" xfId="0" applyFont="false" applyBorder="true" applyAlignment="true" applyProtection="true">
      <alignment horizontal="left" vertical="center" textRotation="0" wrapText="true" indent="0" shrinkToFit="false"/>
      <protection locked="false" hidden="false"/>
    </xf>
    <xf numFmtId="168" fontId="0" fillId="5" borderId="72" xfId="0" applyFont="false" applyBorder="true" applyAlignment="true" applyProtection="true">
      <alignment horizontal="center" vertical="center" textRotation="0" wrapText="true" indent="0" shrinkToFit="false"/>
      <protection locked="false" hidden="false"/>
    </xf>
    <xf numFmtId="186" fontId="0" fillId="5" borderId="72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0" fillId="6" borderId="8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86" fontId="0" fillId="5" borderId="4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86" fontId="0" fillId="5" borderId="42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9" fontId="0" fillId="0" borderId="0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2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4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15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15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15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15" fillId="2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6" borderId="3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3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6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6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90" fontId="5" fillId="2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90" fontId="5" fillId="2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90" fontId="5" fillId="2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90" fontId="5" fillId="2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6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6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6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12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top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12" shrinkToFit="false"/>
      <protection locked="true" hidden="false"/>
    </xf>
    <xf numFmtId="164" fontId="0" fillId="0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8" xfId="22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91" fontId="0" fillId="0" borderId="10" xfId="22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13" xfId="22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5" borderId="1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7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14" fillId="0" borderId="0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12" fillId="5" borderId="48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2" fontId="12" fillId="5" borderId="47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2" fontId="12" fillId="5" borderId="49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2" fillId="0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92" fontId="12" fillId="2" borderId="3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0" fillId="0" borderId="36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8" fontId="0" fillId="0" borderId="71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78" fontId="0" fillId="0" borderId="37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0" fillId="5" borderId="37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78" fontId="0" fillId="5" borderId="39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93" fontId="0" fillId="0" borderId="38" xfId="15" applyFont="true" applyBorder="true" applyAlignment="true" applyProtection="true">
      <alignment horizontal="general" vertical="center" textRotation="0" wrapText="false" indent="0" shrinkToFit="true"/>
      <protection locked="true" hidden="false"/>
    </xf>
    <xf numFmtId="167" fontId="0" fillId="0" borderId="3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39" xfId="0" applyFont="false" applyBorder="true" applyAlignment="true" applyProtection="true">
      <alignment horizontal="general" vertical="bottom" textRotation="0" wrapText="false" indent="0" shrinkToFit="true"/>
      <protection locked="false" hidden="false"/>
    </xf>
    <xf numFmtId="178" fontId="0" fillId="5" borderId="38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12" fillId="12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12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12" fillId="12" borderId="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2" fillId="12" borderId="10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8" fontId="12" fillId="12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2" fillId="12" borderId="13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0" fillId="12" borderId="4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3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6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8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8" fontId="12" fillId="2" borderId="13" xfId="15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0" fillId="2" borderId="4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3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3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5" borderId="13" xfId="0" applyFont="false" applyBorder="true" applyAlignment="true" applyProtection="true">
      <alignment horizontal="left" vertical="top" textRotation="0" wrapText="false" indent="0" shrinkToFit="false"/>
      <protection locked="false" hidden="false"/>
    </xf>
    <xf numFmtId="164" fontId="0" fillId="0" borderId="0" xfId="0" applyFont="fals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0" borderId="9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0" xfId="22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14" fillId="0" borderId="0" xfId="0" applyFont="true" applyBorder="false" applyAlignment="true" applyProtection="false">
      <alignment horizontal="left" vertical="center" textRotation="0" wrapText="false" indent="15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5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88" fontId="12" fillId="0" borderId="5" xfId="17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12" fillId="0" borderId="7" xfId="24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general" vertical="bottom" textRotation="0" wrapText="false" indent="0" shrinkToFit="true"/>
      <protection locked="true" hidden="false"/>
    </xf>
    <xf numFmtId="164" fontId="0" fillId="0" borderId="30" xfId="22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9" fontId="12" fillId="0" borderId="3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0" fillId="0" borderId="1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9" fontId="0" fillId="0" borderId="13" xfId="22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9" fontId="0" fillId="0" borderId="8" xfId="22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5" borderId="1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3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3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3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7" fontId="12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12" fillId="0" borderId="10" xfId="0" applyFont="true" applyBorder="true" applyAlignment="true" applyProtection="false">
      <alignment horizontal="center" vertical="bottom" textRotation="0" wrapText="false" indent="0" shrinkToFit="true"/>
      <protection locked="true" hidden="false"/>
    </xf>
    <xf numFmtId="186" fontId="0" fillId="0" borderId="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6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3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6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8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8" fontId="0" fillId="0" borderId="38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0" borderId="7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0" fillId="5" borderId="7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8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90" fontId="5" fillId="2" borderId="8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90" fontId="5" fillId="2" borderId="6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90" fontId="5" fillId="2" borderId="8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90" fontId="5" fillId="2" borderId="6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12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6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16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2" borderId="4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2" borderId="3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2" borderId="7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2" borderId="7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6" borderId="8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0" fillId="5" borderId="5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5" borderId="7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86" fontId="56" fillId="0" borderId="3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0" borderId="8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0" borderId="5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0" borderId="5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0" fillId="0" borderId="5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6" borderId="8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0" fillId="5" borderId="4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5" borderId="4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5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15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15" fillId="2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15" fillId="2" borderId="4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6" fontId="15" fillId="2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8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22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22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78" fontId="43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12" fillId="2" borderId="8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2" borderId="9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9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94" fontId="0" fillId="0" borderId="0" xfId="22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8" fontId="0" fillId="5" borderId="0" xfId="22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2" borderId="9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2" borderId="9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2" borderId="3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2" borderId="2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94" fontId="0" fillId="0" borderId="0" xfId="22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8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22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2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5" borderId="0" xfId="22" applyFont="true" applyBorder="false" applyAlignment="true" applyProtection="true">
      <alignment horizontal="general" vertical="top" textRotation="0" wrapText="false" indent="0" shrinkToFit="false"/>
      <protection locked="false" hidden="false"/>
    </xf>
    <xf numFmtId="164" fontId="0" fillId="0" borderId="0" xfId="22" applyFont="true" applyBorder="true" applyAlignment="true" applyProtection="false">
      <alignment horizontal="left" vertical="top" textRotation="0" wrapText="true" indent="0" shrinkToFit="true"/>
      <protection locked="true" hidden="false"/>
    </xf>
    <xf numFmtId="164" fontId="0" fillId="0" borderId="0" xfId="22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22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0" xfId="22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51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2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70" xfId="2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7" xfId="22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89" fontId="12" fillId="0" borderId="38" xfId="15" applyFont="true" applyBorder="true" applyAlignment="true" applyProtection="true">
      <alignment horizontal="general" vertical="top" textRotation="0" wrapText="false" indent="0" shrinkToFit="true"/>
      <protection locked="true" hidden="false"/>
    </xf>
    <xf numFmtId="189" fontId="12" fillId="0" borderId="39" xfId="15" applyFont="true" applyBorder="true" applyAlignment="true" applyProtection="true">
      <alignment horizontal="general" vertical="top" textRotation="0" wrapText="false" indent="0" shrinkToFit="true"/>
      <protection locked="true" hidden="false"/>
    </xf>
    <xf numFmtId="164" fontId="0" fillId="0" borderId="44" xfId="22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89" fontId="12" fillId="0" borderId="46" xfId="15" applyFont="true" applyBorder="true" applyAlignment="true" applyProtection="true">
      <alignment horizontal="right" vertical="top" textRotation="0" wrapText="false" indent="0" shrinkToFit="true"/>
      <protection locked="true" hidden="false"/>
    </xf>
    <xf numFmtId="170" fontId="12" fillId="0" borderId="46" xfId="19" applyFont="true" applyBorder="true" applyAlignment="true" applyProtection="true">
      <alignment horizontal="right" vertical="top" textRotation="0" wrapText="false" indent="0" shrinkToFit="true"/>
      <protection locked="true" hidden="false"/>
    </xf>
    <xf numFmtId="170" fontId="12" fillId="0" borderId="45" xfId="19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0" fillId="5" borderId="0" xfId="22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0" fillId="5" borderId="0" xfId="22" applyFont="true" applyBorder="false" applyAlignment="true" applyProtection="true">
      <alignment horizontal="general" vertical="top" textRotation="0" wrapText="true" indent="0" shrinkToFit="false"/>
      <protection locked="false" hidden="false"/>
    </xf>
    <xf numFmtId="164" fontId="0" fillId="2" borderId="2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2" borderId="9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2" borderId="2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22" applyFont="true" applyBorder="true" applyAlignment="true" applyProtection="false">
      <alignment horizontal="left" vertical="top" textRotation="0" wrapText="false" indent="0" shrinkToFit="false"/>
      <protection locked="true" hidden="false"/>
    </xf>
  </cellXfs>
  <cellStyles count="1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_Composicao BDI v2.1" xfId="21"/>
    <cellStyle name="Normal 2" xfId="22"/>
    <cellStyle name="Normal 3" xfId="23"/>
    <cellStyle name="Normal_FICHA DE VERIFICAÇÃO PRELIMINAR - Plano R" xfId="24"/>
    <cellStyle name="Porcentagem 2" xfId="25"/>
    <cellStyle name="Título 5" xfId="26"/>
    <cellStyle name="Vírgula 2" xfId="27"/>
    <cellStyle name="*unknown*" xfId="20" builtinId="8"/>
  </cellStyles>
  <dxfs count="455">
    <dxf>
      <font>
        <color rgb="FFC0C0C0"/>
      </font>
      <fill>
        <patternFill>
          <bgColor rgb="FFC0C0C0"/>
        </patternFill>
      </fill>
      <border diagonalUp="false" diagonalDown="false">
        <left/>
        <right/>
        <top/>
        <bottom/>
        <diagonal/>
      </border>
    </dxf>
    <dxf>
      <font>
        <color rgb="FFC0C0C0"/>
      </font>
      <fill>
        <patternFill>
          <bgColor rgb="FFC0C0C0"/>
        </patternFill>
      </fill>
      <border diagonalUp="false" diagonalDown="false">
        <left/>
        <right/>
        <top/>
        <bottom/>
        <diagonal/>
      </border>
    </dxf>
    <dxf>
      <font>
        <color rgb="FFC0C0C0"/>
      </font>
      <fill>
        <patternFill>
          <bgColor rgb="FFC0C0C0"/>
        </patternFill>
      </fill>
      <border diagonalUp="false" diagonalDown="false">
        <left/>
        <right/>
        <top/>
        <bottom/>
        <diagonal/>
      </border>
    </dxf>
    <dxf>
      <font>
        <color rgb="FFC0C0C0"/>
      </font>
      <fill>
        <patternFill>
          <bgColor rgb="FFC0C0C0"/>
        </patternFill>
      </fill>
      <border diagonalUp="false" diagonalDown="false">
        <left/>
        <right/>
        <top/>
        <bottom/>
        <diagonal/>
      </border>
    </dxf>
    <dxf>
      <font>
        <b val="0"/>
        <color rgb="FFFF0000"/>
      </font>
    </dxf>
    <dxf>
      <font>
        <b val="0"/>
        <color rgb="FFFF0000"/>
      </font>
    </dxf>
    <dxf>
      <font>
        <b val="0"/>
        <color rgb="FFFFFFFF"/>
      </font>
      <fill>
        <patternFill/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ill>
        <patternFill patternType="solid">
          <bgColor rgb="FF000000"/>
        </patternFill>
      </fill>
    </dxf>
    <dxf>
      <font>
        <b val="1"/>
        <i val="0"/>
        <color rgb="FFFFFFFF"/>
      </font>
      <fill>
        <patternFill/>
      </fill>
      <border diagonalUp="false" diagonalDown="false">
        <left/>
        <right/>
        <top style="thin"/>
        <bottom/>
        <diagonal/>
      </border>
    </dxf>
    <dxf>
      <font>
        <b val="0"/>
        <color rgb="FFFF0000"/>
      </font>
      <border diagonalUp="false" diagonalDown="false">
        <left style="thin"/>
        <right style="thin"/>
        <top style="thin"/>
        <bottom style="thin"/>
        <diagonal/>
      </border>
    </dxf>
    <dxf>
      <font>
        <b val="0"/>
        <color rgb="FF008000"/>
      </font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</font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border diagonalUp="false" diagonalDown="false">
        <left/>
        <right/>
        <top style="thin"/>
        <bottom/>
        <diagonal/>
      </border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FF0000"/>
      </font>
    </dxf>
    <dxf>
      <border diagonalUp="false" diagonalDown="false">
        <left style="thin"/>
        <right style="thin"/>
        <top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ill>
        <patternFill patternType="solid">
          <fgColor rgb="FF000000"/>
          <bgColor rgb="FF000000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000000"/>
      </font>
      <fill>
        <patternFill>
          <bgColor rgb="FF9999FF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000000"/>
      </font>
      <fill>
        <patternFill>
          <bgColor rgb="FF9999FF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000000"/>
      </font>
      <fill>
        <patternFill>
          <bgColor rgb="FF9999FF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000000"/>
      </font>
      <fill>
        <patternFill>
          <bgColor rgb="FF9999FF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000000"/>
      </font>
      <fill>
        <patternFill>
          <bgColor rgb="FF9999FF"/>
        </patternFill>
      </fill>
    </dxf>
    <dxf>
      <font>
        <color rgb="FFFFFFFF"/>
      </font>
      <border diagonalUp="false" diagonalDown="false">
        <left/>
        <right/>
        <top/>
        <bottom/>
        <diagonal/>
      </border>
    </dxf>
    <dxf>
      <fill>
        <patternFill>
          <bgColor rgb="FFFFFF99"/>
        </patternFill>
      </fill>
    </dxf>
    <dxf>
      <font>
        <b val="0"/>
        <color rgb="FF000000"/>
      </font>
      <fill>
        <patternFill>
          <bgColor rgb="FFFFFF99"/>
        </patternFill>
      </fill>
    </dxf>
    <dxf>
      <fill>
        <patternFill>
          <bgColor rgb="FFC0C0C0"/>
        </patternFill>
      </fill>
    </dxf>
    <dxf>
      <fill>
        <patternFill>
          <bgColor rgb="FF969696"/>
        </patternFill>
      </fill>
    </dxf>
    <dxf>
      <fill>
        <patternFill>
          <bgColor rgb="FFC0C0C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FFFFFF"/>
      </font>
    </dxf>
    <dxf>
      <font>
        <b val="0"/>
        <color rgb="FFFFFFFF"/>
      </font>
    </dxf>
    <dxf>
      <font>
        <b val="0"/>
        <color rgb="FFBFBFBF"/>
      </font>
    </dxf>
    <dxf>
      <font>
        <b val="0"/>
        <color rgb="FFFFFFFF"/>
      </font>
    </dxf>
    <dxf>
      <font>
        <b val="0"/>
        <color rgb="FFBFBFBF"/>
      </font>
    </dxf>
    <dxf>
      <font>
        <b val="0"/>
        <color rgb="FFFFFFFF"/>
      </font>
      <border diagonalUp="false" diagonalDown="false">
        <left/>
        <right/>
        <top/>
        <bottom/>
        <diagonal/>
      </border>
    </dxf>
    <dxf>
      <font>
        <b val="0"/>
        <color rgb="FF000000"/>
      </font>
      <fill>
        <patternFill>
          <bgColor rgb="FF9999FF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ill>
        <patternFill>
          <bgColor rgb="FFFFC000"/>
        </patternFill>
      </fill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FFFFFF"/>
      </font>
      <border diagonalUp="false" diagonalDown="false">
        <left/>
        <right style="thin"/>
        <top/>
        <bottom/>
        <diagonal/>
      </border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FF0000"/>
      </font>
    </dxf>
    <dxf>
      <font>
        <b val="0"/>
        <color rgb="FFFFFFFF"/>
      </font>
      <fill>
        <patternFill/>
      </fill>
      <border diagonalUp="false" diagonalDown="false">
        <left/>
        <right/>
        <top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339966"/>
        </patternFill>
      </fill>
    </dxf>
    <dxf>
      <font>
        <b val="0"/>
        <color rgb="FFBFBFBF"/>
      </font>
      <fill>
        <patternFill>
          <bgColor rgb="FFBFBFB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0"/>
        <color rgb="FFBFBFBF"/>
      </font>
      <fill>
        <patternFill>
          <bgColor rgb="FFBFBFBF"/>
        </patternFill>
      </fill>
    </dxf>
    <dxf>
      <font>
        <b val="0"/>
        <color rgb="FFFFFFFF"/>
      </font>
    </dxf>
    <dxf>
      <font>
        <b val="0"/>
        <color rgb="FFBFBFBF"/>
      </font>
      <fill>
        <patternFill>
          <bgColor rgb="FFBFBFB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0"/>
        <color rgb="FFBFBFBF"/>
      </font>
      <fill>
        <patternFill>
          <bgColor rgb="FFBFBFBF"/>
        </patternFill>
      </fill>
    </dxf>
    <dxf>
      <font>
        <b val="0"/>
        <color rgb="FFFFFFFF"/>
      </font>
    </dxf>
    <dxf>
      <font>
        <b val="0"/>
        <color rgb="FFBFBFBF"/>
      </font>
      <fill>
        <patternFill>
          <bgColor rgb="FFBFBFB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0"/>
        <color rgb="FFBFBFBF"/>
      </font>
      <fill>
        <patternFill>
          <bgColor rgb="FFBFBFB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0"/>
        <color rgb="FFFFFFFF"/>
      </font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</font>
      <fill>
        <patternFill>
          <bgColor rgb="FFFFCC00"/>
        </patternFill>
      </fill>
    </dxf>
    <dxf>
      <font>
        <b val="1"/>
        <i val="0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1"/>
        <i val="0"/>
      </font>
      <fill>
        <patternFill>
          <bgColor rgb="FFC0C0C0"/>
        </patternFill>
      </fill>
    </dxf>
    <dxf>
      <font>
        <b val="1"/>
        <i val="0"/>
        <color rgb="FF969696"/>
      </font>
      <fill>
        <patternFill>
          <bgColor rgb="FF969696"/>
        </patternFill>
      </fill>
      <border diagonalUp="false" diagonalDown="false">
        <left/>
        <right/>
        <top style="thin"/>
        <bottom/>
        <diagonal/>
      </border>
    </dxf>
    <dxf>
      <font>
        <b val="0"/>
        <color rgb="FFC0C0C0"/>
      </font>
      <fill>
        <patternFill>
          <bgColor rgb="FFC0C0C0"/>
        </patternFill>
      </fill>
    </dxf>
    <dxf>
      <font>
        <b val="1"/>
        <i val="0"/>
        <color rgb="FFFF0000"/>
      </font>
    </dxf>
    <dxf>
      <font>
        <b val="0"/>
        <color rgb="FFFFFFFF"/>
      </font>
    </dxf>
    <dxf>
      <font>
        <b val="1"/>
        <i val="0"/>
        <color rgb="FFFFFFFF"/>
      </font>
      <fill>
        <patternFill>
          <bgColor rgb="FFFF0000"/>
        </patternFill>
      </fill>
    </dxf>
    <dxf>
      <fill>
        <patternFill>
          <bgColor rgb="FFFFCC00"/>
        </patternFill>
      </fill>
    </dxf>
    <dxf>
      <font>
        <b val="0"/>
        <color rgb="FFBFBFBF"/>
      </font>
      <fill>
        <patternFill>
          <bgColor rgb="FFBFBFB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0"/>
        <color rgb="FFBFBFBF"/>
      </font>
      <fill>
        <patternFill>
          <bgColor rgb="FFBFBFBF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0"/>
        <color rgb="FFBFBFBF"/>
      </font>
      <fill>
        <patternFill>
          <bgColor rgb="FFBFBFBF"/>
        </patternFill>
      </fill>
    </dxf>
    <dxf>
      <font>
        <b val="0"/>
        <color rgb="FFFFFFFF"/>
      </font>
      <fill>
        <patternFill/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  <dxf>
      <font>
        <b val="1"/>
        <i val="0"/>
        <color rgb="FFFFFFFF"/>
      </font>
      <fill>
        <patternFill>
          <bgColor rgb="FFFF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563C1"/>
      <rgbColor rgb="FFC0C0C0"/>
      <rgbColor rgb="FF808080"/>
      <rgbColor rgb="FF9999FF"/>
      <rgbColor rgb="FF993366"/>
      <rgbColor rgb="FFF0F0F0"/>
      <rgbColor rgb="FFF2F2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3F3FF"/>
      <rgbColor rgb="FFDFDFDF"/>
      <rgbColor rgb="FFFFFF99"/>
      <rgbColor rgb="FFBFBFBF"/>
      <rgbColor rgb="FFFF99CC"/>
      <rgbColor rgb="FFA8A8A8"/>
      <rgbColor rgb="FFFFCC99"/>
      <rgbColor rgb="FF3366FF"/>
      <rgbColor rgb="FF33CCCC"/>
      <rgbColor rgb="FF99CC00"/>
      <rgbColor rgb="FFFFCC00"/>
      <rgbColor rgb="FFFFC0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sharedStrings" Target="sharedStrings.xml"/>
</Relationships>
</file>

<file path=xl/ctrlProps/ctrlProps6.xml><?xml version="1.0" encoding="utf-8"?>
<formControlPr xmlns="http://schemas.microsoft.com/office/spreadsheetml/2009/9/main" objectType="CheckBox" autoLine="false" print="false" fmlaLink="MENU!$AF$7" lockText="1" noThreeD="1"/>
</file>

<file path=xl/ctrlProps/ctrlProps7.xml><?xml version="1.0" encoding="utf-8"?>
<formControlPr xmlns="http://schemas.microsoft.com/office/spreadsheetml/2009/9/main" objectType="CheckBox" checked="Checked" autoLine="false" print="false" fmlaLink="ORÇAMENTO!$AF$8" lockText="1" noThreeD="1"/>
</file>

<file path=xl/ctrlProps/ctrlProps8.xml><?xml version="1.0" encoding="utf-8"?>
<formControlPr xmlns="http://schemas.microsoft.com/office/spreadsheetml/2009/9/main" objectType="CheckBox" checked="Checked" autoLine="false" print="false" fmlaLink="ORÇAMENTO!$AF$9" lockText="1" noThreeD="1"/>
</file>

<file path=xl/ctrlProps/ctrlProps9.xml><?xml version="1.0" encoding="utf-8"?>
<formControlPr xmlns="http://schemas.microsoft.com/office/spreadsheetml/2009/9/main" objectType="CheckBox" checked="Checked" autoLine="false" print="false" fmlaLink="ORÇAMENTO!$AF$10" lockText="1" noThreeD="1"/>
</file>

<file path=xl/ctrlProps/ctrlProps10.xml><?xml version="1.0" encoding="utf-8"?>
<formControlPr xmlns="http://schemas.microsoft.com/office/spreadsheetml/2009/9/main" objectType="CheckBox" checked="Checked" autoLine="false" print="false" fmlaLink="ORÇAMENTO!$AF$11" lockText="1" noThreeD="1"/>
</file>

<file path=xl/ctrlProps/ctrlProps18.xml><?xml version="1.0" encoding="utf-8"?>
<formControlPr xmlns="http://schemas.microsoft.com/office/spreadsheetml/2009/9/main" objectType="CheckBox" autoLine="false" print="false" fmlaLink="MENU!$A$9" lockText="1" noThreeD="1"/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#MENU!E6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hyperlink" Target="#MENU!E6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2.wmf"/><Relationship Id="rId2" Type="http://schemas.openxmlformats.org/officeDocument/2006/relationships/hyperlink" Target="#MENU!E6"/><Relationship Id="rId3" Type="http://schemas.openxmlformats.org/officeDocument/2006/relationships/hyperlink" Target="#OR&#199;AMENTO!M13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2.wmf"/><Relationship Id="rId2" Type="http://schemas.openxmlformats.org/officeDocument/2006/relationships/hyperlink" Target="#MENU!E6"/><Relationship Id="rId3" Type="http://schemas.openxmlformats.org/officeDocument/2006/relationships/hyperlink" Target="#BDI!Q11"/><Relationship Id="rId4" Type="http://schemas.openxmlformats.org/officeDocument/2006/relationships/hyperlink" Target="#C&#193;LCULO!D13"/>
</Relationships>
</file>

<file path=xl/drawings/_rels/drawing11.xml.rels><?xml version="1.0" encoding="UTF-8"?>
<Relationships xmlns="http://schemas.openxmlformats.org/package/2006/relationships"><Relationship Id="rId1" Type="http://schemas.openxmlformats.org/officeDocument/2006/relationships/image" Target="../media/image2.wmf"/><Relationship Id="rId2" Type="http://schemas.openxmlformats.org/officeDocument/2006/relationships/hyperlink" Target="#MENU!E6"/><Relationship Id="rId3" Type="http://schemas.openxmlformats.org/officeDocument/2006/relationships/hyperlink" Target="#EVENTOS!A1"/><Relationship Id="rId4" Type="http://schemas.openxmlformats.org/officeDocument/2006/relationships/hyperlink" Target="#OR&#199;AMENTO!M13"/>
</Relationships>
</file>

<file path=xl/drawings/_rels/drawing12.xml.rels><?xml version="1.0" encoding="UTF-8"?>
<Relationships xmlns="http://schemas.openxmlformats.org/package/2006/relationships"><Relationship Id="rId1" Type="http://schemas.openxmlformats.org/officeDocument/2006/relationships/hyperlink" Target="#C&#193;LCULO!A1"/>
</Relationships>
</file>

<file path=xl/drawings/_rels/drawing13.xml.rels><?xml version="1.0" encoding="UTF-8"?>
<Relationships xmlns="http://schemas.openxmlformats.org/package/2006/relationships"><Relationship Id="rId1" Type="http://schemas.openxmlformats.org/officeDocument/2006/relationships/image" Target="../media/image2.wmf"/><Relationship Id="rId2" Type="http://schemas.openxmlformats.org/officeDocument/2006/relationships/hyperlink" Target="#MENU!E6"/><Relationship Id="rId3" Type="http://schemas.openxmlformats.org/officeDocument/2006/relationships/hyperlink" Target="#CRONOPLE!B2"/>
</Relationships>
</file>

<file path=xl/drawings/_rels/drawing14.xml.rels><?xml version="1.0" encoding="UTF-8"?>
<Relationships xmlns="http://schemas.openxmlformats.org/package/2006/relationships"><Relationship Id="rId1" Type="http://schemas.openxmlformats.org/officeDocument/2006/relationships/hyperlink" Target="#CRONO!E7"/>
</Relationships>
</file>

<file path=xl/drawings/_rels/drawing15.xml.rels><?xml version="1.0" encoding="UTF-8"?>
<Relationships xmlns="http://schemas.openxmlformats.org/package/2006/relationships"><Relationship Id="rId1" Type="http://schemas.openxmlformats.org/officeDocument/2006/relationships/image" Target="../media/image2.wmf"/><Relationship Id="rId2" Type="http://schemas.openxmlformats.org/officeDocument/2006/relationships/hyperlink" Target="#MENU!E6"/><Relationship Id="rId3" Type="http://schemas.openxmlformats.org/officeDocument/2006/relationships/hyperlink" Target="#C&#193;LCULO!D13"/><Relationship Id="rId4" Type="http://schemas.openxmlformats.org/officeDocument/2006/relationships/hyperlink" Target="#RRE!E13"/>
</Relationships>
</file>

<file path=xl/drawings/_rels/drawing16.xml.rels><?xml version="1.0" encoding="UTF-8"?>
<Relationships xmlns="http://schemas.openxmlformats.org/package/2006/relationships"><Relationship Id="rId1" Type="http://schemas.openxmlformats.org/officeDocument/2006/relationships/image" Target="../media/image2.wmf"/><Relationship Id="rId2" Type="http://schemas.openxmlformats.org/officeDocument/2006/relationships/hyperlink" Target="#MENU!E6"/>
</Relationships>
</file>

<file path=xl/drawings/_rels/drawing17.xml.rels><?xml version="1.0" encoding="UTF-8"?>
<Relationships xmlns="http://schemas.openxmlformats.org/package/2006/relationships"><Relationship Id="rId1" Type="http://schemas.openxmlformats.org/officeDocument/2006/relationships/hyperlink" Target="#MENU!E6"/><Relationship Id="rId2" Type="http://schemas.openxmlformats.org/officeDocument/2006/relationships/image" Target="../media/image2.wmf"/><Relationship Id="rId3" Type="http://schemas.openxmlformats.org/officeDocument/2006/relationships/hyperlink" Target="#RRE!E13"/>
</Relationships>
</file>

<file path=xl/drawings/_rels/drawing19.xml.rels><?xml version="1.0" encoding="UTF-8"?>
<Relationships xmlns="http://schemas.openxmlformats.org/package/2006/relationships"><Relationship Id="rId1" Type="http://schemas.openxmlformats.org/officeDocument/2006/relationships/image" Target="../media/image2.wmf"/><Relationship Id="rId2" Type="http://schemas.openxmlformats.org/officeDocument/2006/relationships/hyperlink" Target="#MENU!E6"/><Relationship Id="rId3" Type="http://schemas.openxmlformats.org/officeDocument/2006/relationships/hyperlink" Target="#OF&#205;CIO:OF&#205;CIO!$F:$F"/>
</Relationships>
</file>

<file path=xl/drawings/_rels/drawing20.xml.rels><?xml version="1.0" encoding="UTF-8"?>
<Relationships xmlns="http://schemas.openxmlformats.org/package/2006/relationships"><Relationship Id="rId1" Type="http://schemas.openxmlformats.org/officeDocument/2006/relationships/hyperlink" Target="#MENU!E6"/><Relationship Id="rId2" Type="http://schemas.openxmlformats.org/officeDocument/2006/relationships/hyperlink" Target="#RRE!E13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1</xdr:row>
      <xdr:rowOff>0</xdr:rowOff>
    </xdr:from>
    <xdr:to>
      <xdr:col>2</xdr:col>
      <xdr:colOff>2087640</xdr:colOff>
      <xdr:row>2</xdr:row>
      <xdr:rowOff>258840</xdr:rowOff>
    </xdr:to>
    <xdr:pic>
      <xdr:nvPicPr>
        <xdr:cNvPr id="0" name="Imagem 23" descr=""/>
        <xdr:cNvPicPr/>
      </xdr:nvPicPr>
      <xdr:blipFill>
        <a:blip r:embed="rId1"/>
        <a:stretch/>
      </xdr:blipFill>
      <xdr:spPr>
        <a:xfrm>
          <a:off x="201240" y="190440"/>
          <a:ext cx="2490120" cy="5446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9</xdr:col>
      <xdr:colOff>9360</xdr:colOff>
      <xdr:row>6</xdr:row>
      <xdr:rowOff>159840</xdr:rowOff>
    </xdr:from>
    <xdr:to>
      <xdr:col>9</xdr:col>
      <xdr:colOff>1144440</xdr:colOff>
      <xdr:row>9</xdr:row>
      <xdr:rowOff>47160</xdr:rowOff>
    </xdr:to>
    <xdr:sp fLocksText="0" macro="[0]!imprimirPROPOSTA">
      <xdr:nvSpPr>
        <xdr:cNvPr id="1" name="Bot.ImprimirProposta"/>
        <xdr:cNvSpPr/>
      </xdr:nvSpPr>
      <xdr:spPr>
        <a:xfrm>
          <a:off x="10177560" y="1607760"/>
          <a:ext cx="1135080" cy="47772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IMPRIMIR DOCUMENTOS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9</xdr:col>
      <xdr:colOff>9360</xdr:colOff>
      <xdr:row>15</xdr:row>
      <xdr:rowOff>17280</xdr:rowOff>
    </xdr:from>
    <xdr:to>
      <xdr:col>9</xdr:col>
      <xdr:colOff>1144440</xdr:colOff>
      <xdr:row>17</xdr:row>
      <xdr:rowOff>66240</xdr:rowOff>
    </xdr:to>
    <xdr:sp fLocksText="0" macro="[0]!imprimirLICITADO">
      <xdr:nvSpPr>
        <xdr:cNvPr id="2" name="Bot.ImprimirLicitacao"/>
        <xdr:cNvSpPr/>
      </xdr:nvSpPr>
      <xdr:spPr>
        <a:xfrm>
          <a:off x="10177560" y="3236760"/>
          <a:ext cx="1135080" cy="47772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IMPRIMIR DOCUMENTOS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9</xdr:col>
      <xdr:colOff>0</xdr:colOff>
      <xdr:row>19</xdr:row>
      <xdr:rowOff>9720</xdr:rowOff>
    </xdr:from>
    <xdr:to>
      <xdr:col>9</xdr:col>
      <xdr:colOff>1135080</xdr:colOff>
      <xdr:row>21</xdr:row>
      <xdr:rowOff>66600</xdr:rowOff>
    </xdr:to>
    <xdr:sp fLocksText="0" macro="[0]!imprimirMedicao">
      <xdr:nvSpPr>
        <xdr:cNvPr id="3" name="Bot.ImprimirAcompanhamento"/>
        <xdr:cNvSpPr/>
      </xdr:nvSpPr>
      <xdr:spPr>
        <a:xfrm>
          <a:off x="10168200" y="4086360"/>
          <a:ext cx="1135080" cy="48564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IMPRIMIR DOCUMENTOS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9</xdr:col>
      <xdr:colOff>9360</xdr:colOff>
      <xdr:row>2</xdr:row>
      <xdr:rowOff>0</xdr:rowOff>
    </xdr:from>
    <xdr:to>
      <xdr:col>11</xdr:col>
      <xdr:colOff>47160</xdr:colOff>
      <xdr:row>5</xdr:row>
      <xdr:rowOff>66240</xdr:rowOff>
    </xdr:to>
    <xdr:sp fLocksText="0" macro="[0]!Importar">
      <xdr:nvSpPr>
        <xdr:cNvPr id="4" name="Bot.Importar"/>
        <xdr:cNvSpPr/>
      </xdr:nvSpPr>
      <xdr:spPr>
        <a:xfrm>
          <a:off x="10177560" y="476280"/>
          <a:ext cx="1588680" cy="77112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IMPORTAR DE OUTRA PLANILHA MÚLTIPLA (A PARTIR DA VERSÃO 3)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>
          <xdr:nvSpPr>
            <xdr:cNvPr id="0" name="Group Box 24" descr="Acompanhamento     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>Acompanhamento     </a:t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1485720</xdr:colOff>
          <xdr:row>4</xdr:row>
          <xdr:rowOff>162000</xdr:rowOff>
        </xdr:from>
        <xdr:to>
          <xdr:col>3</xdr:col>
          <xdr:colOff>-299520</xdr:colOff>
          <xdr:row>5</xdr:row>
          <xdr:rowOff>171360</xdr:rowOff>
        </xdr:to>
        <xdr:sp>
          <xdr:nvSpPr>
            <xdr:cNvPr id="0" name="Drop Down 94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>
          <xdr:nvSpPr>
            <xdr:cNvPr id="0" name="Group Box 17" descr="Tipo de Orçamento          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>Tipo de Orçamento          </a:t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133200</xdr:colOff>
          <xdr:row>4</xdr:row>
          <xdr:rowOff>162000</xdr:rowOff>
        </xdr:from>
        <xdr:to>
          <xdr:col>3</xdr:col>
          <xdr:colOff>-1604520</xdr:colOff>
          <xdr:row>5</xdr:row>
          <xdr:rowOff>171360</xdr:rowOff>
        </xdr:to>
        <xdr:sp>
          <xdr:nvSpPr>
            <xdr:cNvPr id="0" name="Drop Down 93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200160</xdr:colOff>
      <xdr:row>0</xdr:row>
      <xdr:rowOff>47520</xdr:rowOff>
    </xdr:from>
    <xdr:to>
      <xdr:col>3</xdr:col>
      <xdr:colOff>161640</xdr:colOff>
      <xdr:row>1</xdr:row>
      <xdr:rowOff>151920</xdr:rowOff>
    </xdr:to>
    <xdr:sp fLocksText="0">
      <xdr:nvSpPr>
        <xdr:cNvPr id="5" name="AutoShape 67">
          <a:hlinkClick r:id="rId1"/>
        </xdr:cNvPr>
        <xdr:cNvSpPr/>
      </xdr:nvSpPr>
      <xdr:spPr>
        <a:xfrm>
          <a:off x="200160" y="47520"/>
          <a:ext cx="1796040" cy="3045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104760</xdr:colOff>
      <xdr:row>0</xdr:row>
      <xdr:rowOff>76320</xdr:rowOff>
    </xdr:from>
    <xdr:to>
      <xdr:col>1</xdr:col>
      <xdr:colOff>102600</xdr:colOff>
      <xdr:row>2</xdr:row>
      <xdr:rowOff>49320</xdr:rowOff>
    </xdr:to>
    <xdr:sp fLocksText="0">
      <xdr:nvSpPr>
        <xdr:cNvPr id="6" name="AutoShape 67">
          <a:hlinkClick r:id="rId1"/>
        </xdr:cNvPr>
        <xdr:cNvSpPr/>
      </xdr:nvSpPr>
      <xdr:spPr>
        <a:xfrm>
          <a:off x="104760" y="76320"/>
          <a:ext cx="612000" cy="2970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9</xdr:col>
      <xdr:colOff>30600</xdr:colOff>
      <xdr:row>0</xdr:row>
      <xdr:rowOff>15120</xdr:rowOff>
    </xdr:from>
    <xdr:to>
      <xdr:col>11</xdr:col>
      <xdr:colOff>403560</xdr:colOff>
      <xdr:row>2</xdr:row>
      <xdr:rowOff>47160</xdr:rowOff>
    </xdr:to>
    <xdr:pic>
      <xdr:nvPicPr>
        <xdr:cNvPr id="7" name="Logo1" descr=""/>
        <xdr:cNvPicPr/>
      </xdr:nvPicPr>
      <xdr:blipFill>
        <a:blip r:embed="rId1"/>
        <a:stretch/>
      </xdr:blipFill>
      <xdr:spPr>
        <a:xfrm>
          <a:off x="1047240" y="15120"/>
          <a:ext cx="1883160" cy="3844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7</xdr:col>
      <xdr:colOff>286920</xdr:colOff>
      <xdr:row>1</xdr:row>
      <xdr:rowOff>40680</xdr:rowOff>
    </xdr:from>
    <xdr:to>
      <xdr:col>8</xdr:col>
      <xdr:colOff>138240</xdr:colOff>
      <xdr:row>3</xdr:row>
      <xdr:rowOff>17640</xdr:rowOff>
    </xdr:to>
    <xdr:sp fLocksText="0">
      <xdr:nvSpPr>
        <xdr:cNvPr id="8" name="AutoShape 67">
          <a:hlinkClick r:id="rId2"/>
        </xdr:cNvPr>
        <xdr:cNvSpPr/>
      </xdr:nvSpPr>
      <xdr:spPr>
        <a:xfrm>
          <a:off x="286920" y="231120"/>
          <a:ext cx="606240" cy="3009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7</xdr:col>
      <xdr:colOff>286920</xdr:colOff>
      <xdr:row>3</xdr:row>
      <xdr:rowOff>66600</xdr:rowOff>
    </xdr:from>
    <xdr:to>
      <xdr:col>8</xdr:col>
      <xdr:colOff>138240</xdr:colOff>
      <xdr:row>5</xdr:row>
      <xdr:rowOff>51840</xdr:rowOff>
    </xdr:to>
    <xdr:sp fLocksText="0">
      <xdr:nvSpPr>
        <xdr:cNvPr id="9" name="AutoShape 67">
          <a:hlinkClick r:id="rId3"/>
        </xdr:cNvPr>
        <xdr:cNvSpPr/>
      </xdr:nvSpPr>
      <xdr:spPr>
        <a:xfrm>
          <a:off x="286920" y="581040"/>
          <a:ext cx="606240" cy="30888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→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14</xdr:col>
      <xdr:colOff>60840</xdr:colOff>
      <xdr:row>0</xdr:row>
      <xdr:rowOff>15120</xdr:rowOff>
    </xdr:from>
    <xdr:to>
      <xdr:col>15</xdr:col>
      <xdr:colOff>1035720</xdr:colOff>
      <xdr:row>1</xdr:row>
      <xdr:rowOff>175320</xdr:rowOff>
    </xdr:to>
    <xdr:pic>
      <xdr:nvPicPr>
        <xdr:cNvPr id="10" name="Picture 2" descr=""/>
        <xdr:cNvPicPr/>
      </xdr:nvPicPr>
      <xdr:blipFill>
        <a:blip r:embed="rId1"/>
        <a:stretch/>
      </xdr:blipFill>
      <xdr:spPr>
        <a:xfrm>
          <a:off x="1550520" y="15120"/>
          <a:ext cx="1870920" cy="3805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19</xdr:col>
      <xdr:colOff>9000</xdr:colOff>
      <xdr:row>8</xdr:row>
      <xdr:rowOff>160560</xdr:rowOff>
    </xdr:from>
    <xdr:to>
      <xdr:col>23</xdr:col>
      <xdr:colOff>1051200</xdr:colOff>
      <xdr:row>11</xdr:row>
      <xdr:rowOff>43920</xdr:rowOff>
    </xdr:to>
    <xdr:sp fLocksText="0">
      <xdr:nvSpPr>
        <xdr:cNvPr id="11" name="TextBoxArred"/>
        <xdr:cNvSpPr/>
      </xdr:nvSpPr>
      <xdr:spPr>
        <a:xfrm flipH="1">
          <a:off x="9996120" y="1438200"/>
          <a:ext cx="4908240" cy="369000"/>
        </a:xfrm>
        <a:prstGeom prst="rect">
          <a:avLst/>
        </a:prstGeom>
        <a:noFill/>
        <a:ln w="648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2680" bIns="0" anchor="t">
          <a:noAutofit/>
        </a:bodyPr>
        <a:p>
          <a:pPr algn="ctr">
            <a:lnSpc>
              <a:spcPct val="100000"/>
            </a:lnSpc>
          </a:pPr>
          <a:r>
            <a:rPr b="0" lang="pt-BR" sz="1000" strike="noStrike" u="none">
              <a:solidFill>
                <a:srgbClr val="000000"/>
              </a:solidFill>
              <a:effectLst/>
              <a:uFillTx/>
              <a:latin typeface="Arial"/>
            </a:rPr>
            <a:t>Considerar valores arredondados com (0,00)</a:t>
          </a:r>
          <a:endParaRPr b="0" lang="en-US" sz="10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12</xdr:col>
      <xdr:colOff>302760</xdr:colOff>
      <xdr:row>0</xdr:row>
      <xdr:rowOff>144720</xdr:rowOff>
    </xdr:from>
    <xdr:to>
      <xdr:col>13</xdr:col>
      <xdr:colOff>285480</xdr:colOff>
      <xdr:row>2</xdr:row>
      <xdr:rowOff>46080</xdr:rowOff>
    </xdr:to>
    <xdr:sp fLocksText="0">
      <xdr:nvSpPr>
        <xdr:cNvPr id="12" name="AutoShape 67">
          <a:hlinkClick r:id="rId2"/>
        </xdr:cNvPr>
        <xdr:cNvSpPr/>
      </xdr:nvSpPr>
      <xdr:spPr>
        <a:xfrm>
          <a:off x="564480" y="144720"/>
          <a:ext cx="596520" cy="31212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14</xdr:col>
      <xdr:colOff>28440</xdr:colOff>
      <xdr:row>9</xdr:row>
      <xdr:rowOff>8280</xdr:rowOff>
    </xdr:from>
    <xdr:to>
      <xdr:col>15</xdr:col>
      <xdr:colOff>624240</xdr:colOff>
      <xdr:row>11</xdr:row>
      <xdr:rowOff>6120</xdr:rowOff>
    </xdr:to>
    <xdr:sp fLocksText="0" macro="[0]!Linhas.AddLinha">
      <xdr:nvSpPr>
        <xdr:cNvPr id="13" name="AutoShape 67"/>
        <xdr:cNvSpPr/>
      </xdr:nvSpPr>
      <xdr:spPr>
        <a:xfrm>
          <a:off x="1518120" y="1447920"/>
          <a:ext cx="1491840" cy="32148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ADICIONAR LINHAS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17</xdr:col>
      <xdr:colOff>93240</xdr:colOff>
      <xdr:row>9</xdr:row>
      <xdr:rowOff>8280</xdr:rowOff>
    </xdr:from>
    <xdr:to>
      <xdr:col>17</xdr:col>
      <xdr:colOff>1559880</xdr:colOff>
      <xdr:row>11</xdr:row>
      <xdr:rowOff>6120</xdr:rowOff>
    </xdr:to>
    <xdr:sp fLocksText="0" macro="[0]!Descrição.fixar">
      <xdr:nvSpPr>
        <xdr:cNvPr id="14" name="AutoShape 67"/>
        <xdr:cNvSpPr/>
      </xdr:nvSpPr>
      <xdr:spPr>
        <a:xfrm>
          <a:off x="4693680" y="1447920"/>
          <a:ext cx="1466640" cy="32148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FIXAR DESCRIÇÕES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15</xdr:col>
      <xdr:colOff>691560</xdr:colOff>
      <xdr:row>9</xdr:row>
      <xdr:rowOff>8280</xdr:rowOff>
    </xdr:from>
    <xdr:to>
      <xdr:col>17</xdr:col>
      <xdr:colOff>9360</xdr:colOff>
      <xdr:row>11</xdr:row>
      <xdr:rowOff>6120</xdr:rowOff>
    </xdr:to>
    <xdr:sp fLocksText="0" macro="[0]!Linhas.ExcLinhas">
      <xdr:nvSpPr>
        <xdr:cNvPr id="15" name="AutoShape 67"/>
        <xdr:cNvSpPr/>
      </xdr:nvSpPr>
      <xdr:spPr>
        <a:xfrm>
          <a:off x="3077280" y="1447920"/>
          <a:ext cx="1532520" cy="32148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EXCLUIR LINHAS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17</xdr:col>
      <xdr:colOff>1644120</xdr:colOff>
      <xdr:row>9</xdr:row>
      <xdr:rowOff>8280</xdr:rowOff>
    </xdr:from>
    <xdr:to>
      <xdr:col>17</xdr:col>
      <xdr:colOff>3339000</xdr:colOff>
      <xdr:row>11</xdr:row>
      <xdr:rowOff>6120</xdr:rowOff>
    </xdr:to>
    <xdr:sp fLocksText="0" macro="[0]!Descrição.recuperar">
      <xdr:nvSpPr>
        <xdr:cNvPr id="16" name="AutoShape 67"/>
        <xdr:cNvSpPr/>
      </xdr:nvSpPr>
      <xdr:spPr>
        <a:xfrm>
          <a:off x="6244560" y="1447920"/>
          <a:ext cx="1694880" cy="32148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RECUPERAR FÓRMULAS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17</xdr:col>
      <xdr:colOff>3404160</xdr:colOff>
      <xdr:row>9</xdr:row>
      <xdr:rowOff>8280</xdr:rowOff>
    </xdr:from>
    <xdr:to>
      <xdr:col>18</xdr:col>
      <xdr:colOff>271800</xdr:colOff>
      <xdr:row>11</xdr:row>
      <xdr:rowOff>6120</xdr:rowOff>
    </xdr:to>
    <xdr:sp fLocksText="0" macro="[0]!buscarcodigo">
      <xdr:nvSpPr>
        <xdr:cNvPr id="17" name="AutoShape 67"/>
        <xdr:cNvSpPr/>
      </xdr:nvSpPr>
      <xdr:spPr>
        <a:xfrm>
          <a:off x="8004600" y="1447920"/>
          <a:ext cx="1499400" cy="32148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BUSCAR CÓDIGO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12</xdr:col>
      <xdr:colOff>303840</xdr:colOff>
      <xdr:row>2</xdr:row>
      <xdr:rowOff>92880</xdr:rowOff>
    </xdr:from>
    <xdr:to>
      <xdr:col>13</xdr:col>
      <xdr:colOff>285480</xdr:colOff>
      <xdr:row>4</xdr:row>
      <xdr:rowOff>77760</xdr:rowOff>
    </xdr:to>
    <xdr:sp fLocksText="0">
      <xdr:nvSpPr>
        <xdr:cNvPr id="18" name="AutoShape 67">
          <a:hlinkClick r:id="rId3"/>
        </xdr:cNvPr>
        <xdr:cNvSpPr/>
      </xdr:nvSpPr>
      <xdr:spPr>
        <a:xfrm>
          <a:off x="565560" y="503640"/>
          <a:ext cx="595440" cy="30888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←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12</xdr:col>
      <xdr:colOff>308160</xdr:colOff>
      <xdr:row>4</xdr:row>
      <xdr:rowOff>128880</xdr:rowOff>
    </xdr:from>
    <xdr:to>
      <xdr:col>13</xdr:col>
      <xdr:colOff>289440</xdr:colOff>
      <xdr:row>7</xdr:row>
      <xdr:rowOff>60840</xdr:rowOff>
    </xdr:to>
    <xdr:sp fLocksText="0">
      <xdr:nvSpPr>
        <xdr:cNvPr id="19" name="AutoShape 67">
          <a:hlinkClick r:id="rId4"/>
        </xdr:cNvPr>
        <xdr:cNvSpPr/>
      </xdr:nvSpPr>
      <xdr:spPr>
        <a:xfrm>
          <a:off x="569880" y="863640"/>
          <a:ext cx="595080" cy="3128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→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276120</xdr:colOff>
          <xdr:row>6</xdr:row>
          <xdr:rowOff>123840</xdr:rowOff>
        </xdr:from>
        <xdr:to>
          <xdr:col>10</xdr:col>
          <xdr:colOff>-624960</xdr:colOff>
          <xdr:row>7</xdr:row>
          <xdr:rowOff>200160</xdr:rowOff>
        </xdr:to>
        <xdr:sp>
          <xdr:nvSpPr>
            <xdr:cNvPr id="1001" name="CaixaArredQuant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447480</xdr:colOff>
          <xdr:row>9</xdr:row>
          <xdr:rowOff>132120</xdr:rowOff>
        </xdr:from>
        <xdr:to>
          <xdr:col>21</xdr:col>
          <xdr:colOff>-160920</xdr:colOff>
          <xdr:row>11</xdr:row>
          <xdr:rowOff>46440</xdr:rowOff>
        </xdr:to>
        <xdr:sp>
          <xdr:nvSpPr>
            <xdr:cNvPr id="1002" name="CaixaArredCustoUnit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285840</xdr:colOff>
          <xdr:row>9</xdr:row>
          <xdr:rowOff>132120</xdr:rowOff>
        </xdr:from>
        <xdr:to>
          <xdr:col>22</xdr:col>
          <xdr:colOff>-50400</xdr:colOff>
          <xdr:row>11</xdr:row>
          <xdr:rowOff>46440</xdr:rowOff>
        </xdr:to>
        <xdr:sp>
          <xdr:nvSpPr>
            <xdr:cNvPr id="1003" name="CaixaArredBDI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361800</xdr:colOff>
          <xdr:row>9</xdr:row>
          <xdr:rowOff>132120</xdr:rowOff>
        </xdr:from>
        <xdr:to>
          <xdr:col>23</xdr:col>
          <xdr:colOff>-246600</xdr:colOff>
          <xdr:row>11</xdr:row>
          <xdr:rowOff>46440</xdr:rowOff>
        </xdr:to>
        <xdr:sp>
          <xdr:nvSpPr>
            <xdr:cNvPr id="1004" name="CaixaArredPrecoUnit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447480</xdr:colOff>
          <xdr:row>9</xdr:row>
          <xdr:rowOff>113040</xdr:rowOff>
        </xdr:from>
        <xdr:to>
          <xdr:col>24</xdr:col>
          <xdr:colOff>-231480</xdr:colOff>
          <xdr:row>11</xdr:row>
          <xdr:rowOff>36720</xdr:rowOff>
        </xdr:to>
        <xdr:sp>
          <xdr:nvSpPr>
            <xdr:cNvPr id="1005" name="CaixaArredPrecoTotal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38160</xdr:colOff>
      <xdr:row>0</xdr:row>
      <xdr:rowOff>15120</xdr:rowOff>
    </xdr:from>
    <xdr:to>
      <xdr:col>5</xdr:col>
      <xdr:colOff>1036080</xdr:colOff>
      <xdr:row>2</xdr:row>
      <xdr:rowOff>7200</xdr:rowOff>
    </xdr:to>
    <xdr:pic>
      <xdr:nvPicPr>
        <xdr:cNvPr id="20" name="Picture 2" descr=""/>
        <xdr:cNvPicPr/>
      </xdr:nvPicPr>
      <xdr:blipFill>
        <a:blip r:embed="rId1"/>
        <a:stretch/>
      </xdr:blipFill>
      <xdr:spPr>
        <a:xfrm>
          <a:off x="913680" y="15120"/>
          <a:ext cx="1893960" cy="3826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2</xdr:col>
      <xdr:colOff>152280</xdr:colOff>
      <xdr:row>1</xdr:row>
      <xdr:rowOff>9360</xdr:rowOff>
    </xdr:from>
    <xdr:to>
      <xdr:col>3</xdr:col>
      <xdr:colOff>473760</xdr:colOff>
      <xdr:row>2</xdr:row>
      <xdr:rowOff>123480</xdr:rowOff>
    </xdr:to>
    <xdr:sp fLocksText="0">
      <xdr:nvSpPr>
        <xdr:cNvPr id="21" name="AutoShape 67">
          <a:hlinkClick r:id="rId2"/>
        </xdr:cNvPr>
        <xdr:cNvSpPr/>
      </xdr:nvSpPr>
      <xdr:spPr>
        <a:xfrm>
          <a:off x="152280" y="209520"/>
          <a:ext cx="583200" cy="3045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5</xdr:col>
      <xdr:colOff>178920</xdr:colOff>
      <xdr:row>11</xdr:row>
      <xdr:rowOff>266760</xdr:rowOff>
    </xdr:from>
    <xdr:to>
      <xdr:col>5</xdr:col>
      <xdr:colOff>2904480</xdr:colOff>
      <xdr:row>11</xdr:row>
      <xdr:rowOff>571320</xdr:rowOff>
    </xdr:to>
    <xdr:sp fLocksText="0">
      <xdr:nvSpPr>
        <xdr:cNvPr id="22" name="AutoShape 67">
          <a:hlinkClick r:id="rId3"/>
        </xdr:cNvPr>
        <xdr:cNvSpPr/>
      </xdr:nvSpPr>
      <xdr:spPr>
        <a:xfrm>
          <a:off x="1950480" y="1305000"/>
          <a:ext cx="2725560" cy="3045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REDEFINIR AGRUPADORES DE EVENTOS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5</xdr:col>
      <xdr:colOff>2977560</xdr:colOff>
      <xdr:row>11</xdr:row>
      <xdr:rowOff>266760</xdr:rowOff>
    </xdr:from>
    <xdr:to>
      <xdr:col>6</xdr:col>
      <xdr:colOff>26280</xdr:colOff>
      <xdr:row>11</xdr:row>
      <xdr:rowOff>571320</xdr:rowOff>
    </xdr:to>
    <xdr:sp fLocksText="0" macro="[0]!Colunas.incluirpag">
      <xdr:nvSpPr>
        <xdr:cNvPr id="23" name="AutoShape 67"/>
        <xdr:cNvSpPr/>
      </xdr:nvSpPr>
      <xdr:spPr>
        <a:xfrm>
          <a:off x="4749120" y="1305000"/>
          <a:ext cx="1680480" cy="30456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ADICIONAR 8 FRENTES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6</xdr:col>
      <xdr:colOff>93240</xdr:colOff>
      <xdr:row>11</xdr:row>
      <xdr:rowOff>266760</xdr:rowOff>
    </xdr:from>
    <xdr:to>
      <xdr:col>7</xdr:col>
      <xdr:colOff>908280</xdr:colOff>
      <xdr:row>11</xdr:row>
      <xdr:rowOff>580680</xdr:rowOff>
    </xdr:to>
    <xdr:sp fLocksText="0" macro="[0]!Colunas.excluirpag">
      <xdr:nvSpPr>
        <xdr:cNvPr id="24" name="AutoShape 67"/>
        <xdr:cNvSpPr/>
      </xdr:nvSpPr>
      <xdr:spPr>
        <a:xfrm>
          <a:off x="6496560" y="1305000"/>
          <a:ext cx="1569960" cy="31392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EXCLUIR 8 FRENTES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</xdr:col>
      <xdr:colOff>137520</xdr:colOff>
      <xdr:row>3</xdr:row>
      <xdr:rowOff>13680</xdr:rowOff>
    </xdr:from>
    <xdr:to>
      <xdr:col>3</xdr:col>
      <xdr:colOff>472680</xdr:colOff>
      <xdr:row>4</xdr:row>
      <xdr:rowOff>159480</xdr:rowOff>
    </xdr:to>
    <xdr:sp fLocksText="0">
      <xdr:nvSpPr>
        <xdr:cNvPr id="25" name="AutoShape 67">
          <a:hlinkClick r:id="rId4"/>
        </xdr:cNvPr>
        <xdr:cNvSpPr/>
      </xdr:nvSpPr>
      <xdr:spPr>
        <a:xfrm>
          <a:off x="137520" y="566280"/>
          <a:ext cx="596880" cy="3074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←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2</xdr:col>
      <xdr:colOff>0</xdr:colOff>
      <xdr:row>7</xdr:row>
      <xdr:rowOff>9360</xdr:rowOff>
    </xdr:from>
    <xdr:to>
      <xdr:col>2</xdr:col>
      <xdr:colOff>717840</xdr:colOff>
      <xdr:row>7</xdr:row>
      <xdr:rowOff>313920</xdr:rowOff>
    </xdr:to>
    <xdr:sp fLocksText="0">
      <xdr:nvSpPr>
        <xdr:cNvPr id="26" name="AutoShape 67">
          <a:hlinkClick r:id="rId1"/>
        </xdr:cNvPr>
        <xdr:cNvSpPr/>
      </xdr:nvSpPr>
      <xdr:spPr>
        <a:xfrm>
          <a:off x="611640" y="1171440"/>
          <a:ext cx="717840" cy="3045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VOLTAR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548640</xdr:colOff>
      <xdr:row>7</xdr:row>
      <xdr:rowOff>9360</xdr:rowOff>
    </xdr:from>
    <xdr:to>
      <xdr:col>3</xdr:col>
      <xdr:colOff>2007360</xdr:colOff>
      <xdr:row>7</xdr:row>
      <xdr:rowOff>313920</xdr:rowOff>
    </xdr:to>
    <xdr:sp fLocksText="0" macro="[0]!Linhas.AddLinha">
      <xdr:nvSpPr>
        <xdr:cNvPr id="27" name="AutoShape 67"/>
        <xdr:cNvSpPr/>
      </xdr:nvSpPr>
      <xdr:spPr>
        <a:xfrm>
          <a:off x="2055960" y="1171440"/>
          <a:ext cx="1458720" cy="30456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ADICIONAR LINHAS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2074680</xdr:colOff>
      <xdr:row>7</xdr:row>
      <xdr:rowOff>9360</xdr:rowOff>
    </xdr:from>
    <xdr:to>
      <xdr:col>5</xdr:col>
      <xdr:colOff>822600</xdr:colOff>
      <xdr:row>7</xdr:row>
      <xdr:rowOff>313920</xdr:rowOff>
    </xdr:to>
    <xdr:sp fLocksText="0" macro="[0]!Linhas.ExcLinhas">
      <xdr:nvSpPr>
        <xdr:cNvPr id="28" name="AutoShape 67"/>
        <xdr:cNvSpPr/>
      </xdr:nvSpPr>
      <xdr:spPr>
        <a:xfrm>
          <a:off x="3582000" y="1171440"/>
          <a:ext cx="1524240" cy="30456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EXCLUIR LINHAS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7</xdr:col>
      <xdr:colOff>0</xdr:colOff>
      <xdr:row>3</xdr:row>
      <xdr:rowOff>0</xdr:rowOff>
    </xdr:from>
    <xdr:to>
      <xdr:col>9</xdr:col>
      <xdr:colOff>365400</xdr:colOff>
      <xdr:row>4</xdr:row>
      <xdr:rowOff>167400</xdr:rowOff>
    </xdr:to>
    <xdr:pic>
      <xdr:nvPicPr>
        <xdr:cNvPr id="29" name="Picture 2" descr=""/>
        <xdr:cNvPicPr/>
      </xdr:nvPicPr>
      <xdr:blipFill>
        <a:blip r:embed="rId1"/>
        <a:stretch/>
      </xdr:blipFill>
      <xdr:spPr>
        <a:xfrm>
          <a:off x="1157760" y="0"/>
          <a:ext cx="1895760" cy="35784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6</xdr:col>
      <xdr:colOff>142920</xdr:colOff>
      <xdr:row>3</xdr:row>
      <xdr:rowOff>85680</xdr:rowOff>
    </xdr:from>
    <xdr:to>
      <xdr:col>6</xdr:col>
      <xdr:colOff>729360</xdr:colOff>
      <xdr:row>4</xdr:row>
      <xdr:rowOff>190080</xdr:rowOff>
    </xdr:to>
    <xdr:sp fLocksText="0">
      <xdr:nvSpPr>
        <xdr:cNvPr id="30" name="AutoShape 67">
          <a:hlinkClick r:id="rId2"/>
        </xdr:cNvPr>
        <xdr:cNvSpPr/>
      </xdr:nvSpPr>
      <xdr:spPr>
        <a:xfrm>
          <a:off x="404640" y="85680"/>
          <a:ext cx="586440" cy="2948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20</xdr:col>
      <xdr:colOff>104760</xdr:colOff>
      <xdr:row>8</xdr:row>
      <xdr:rowOff>93240</xdr:rowOff>
    </xdr:from>
    <xdr:to>
      <xdr:col>23</xdr:col>
      <xdr:colOff>2520</xdr:colOff>
      <xdr:row>10</xdr:row>
      <xdr:rowOff>75600</xdr:rowOff>
    </xdr:to>
    <xdr:sp fLocksText="0">
      <xdr:nvSpPr>
        <xdr:cNvPr id="31" name="CRONO.b.preenchEventos">
          <a:hlinkClick r:id="rId3"/>
        </xdr:cNvPr>
        <xdr:cNvSpPr/>
      </xdr:nvSpPr>
      <xdr:spPr>
        <a:xfrm>
          <a:off x="6749280" y="960120"/>
          <a:ext cx="2223720" cy="3060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PREENCHIMENTO POR EVENTOS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7</xdr:col>
      <xdr:colOff>102960</xdr:colOff>
      <xdr:row>8</xdr:row>
      <xdr:rowOff>93240</xdr:rowOff>
    </xdr:from>
    <xdr:to>
      <xdr:col>9</xdr:col>
      <xdr:colOff>75960</xdr:colOff>
      <xdr:row>10</xdr:row>
      <xdr:rowOff>75600</xdr:rowOff>
    </xdr:to>
    <xdr:sp fLocksText="0" macro="[0]!CRONO.AtualizarLinhas">
      <xdr:nvSpPr>
        <xdr:cNvPr id="32" name="AutoShape 67"/>
        <xdr:cNvSpPr/>
      </xdr:nvSpPr>
      <xdr:spPr>
        <a:xfrm>
          <a:off x="1260720" y="960120"/>
          <a:ext cx="1503360" cy="3060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ATUALIZAR LINHAS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23</xdr:col>
      <xdr:colOff>109080</xdr:colOff>
      <xdr:row>8</xdr:row>
      <xdr:rowOff>93240</xdr:rowOff>
    </xdr:from>
    <xdr:to>
      <xdr:col>25</xdr:col>
      <xdr:colOff>80280</xdr:colOff>
      <xdr:row>10</xdr:row>
      <xdr:rowOff>75600</xdr:rowOff>
    </xdr:to>
    <xdr:sp fLocksText="0" macro="[0]!incluirpag">
      <xdr:nvSpPr>
        <xdr:cNvPr id="33" name="AutoShape 67"/>
        <xdr:cNvSpPr/>
      </xdr:nvSpPr>
      <xdr:spPr>
        <a:xfrm>
          <a:off x="9079560" y="960120"/>
          <a:ext cx="1522080" cy="3060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ADIC. 12 PARCELAS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25</xdr:col>
      <xdr:colOff>137520</xdr:colOff>
      <xdr:row>8</xdr:row>
      <xdr:rowOff>93240</xdr:rowOff>
    </xdr:from>
    <xdr:to>
      <xdr:col>27</xdr:col>
      <xdr:colOff>99000</xdr:colOff>
      <xdr:row>10</xdr:row>
      <xdr:rowOff>75600</xdr:rowOff>
    </xdr:to>
    <xdr:sp fLocksText="0" macro="[0]!excluirpag">
      <xdr:nvSpPr>
        <xdr:cNvPr id="34" name="AutoShape 67"/>
        <xdr:cNvSpPr/>
      </xdr:nvSpPr>
      <xdr:spPr>
        <a:xfrm>
          <a:off x="10658880" y="960120"/>
          <a:ext cx="1512000" cy="3060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EXC. 12 PARCELAS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272520</xdr:colOff>
      <xdr:row>10</xdr:row>
      <xdr:rowOff>253440</xdr:rowOff>
    </xdr:from>
    <xdr:to>
      <xdr:col>2</xdr:col>
      <xdr:colOff>416880</xdr:colOff>
      <xdr:row>10</xdr:row>
      <xdr:rowOff>567360</xdr:rowOff>
    </xdr:to>
    <xdr:sp fLocksText="0">
      <xdr:nvSpPr>
        <xdr:cNvPr id="35" name="AutoShape 67">
          <a:hlinkClick r:id="rId1"/>
        </xdr:cNvPr>
        <xdr:cNvSpPr/>
      </xdr:nvSpPr>
      <xdr:spPr>
        <a:xfrm>
          <a:off x="544320" y="1266840"/>
          <a:ext cx="718560" cy="31392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VOLTAR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</xdr:col>
      <xdr:colOff>613440</xdr:colOff>
      <xdr:row>10</xdr:row>
      <xdr:rowOff>262800</xdr:rowOff>
    </xdr:from>
    <xdr:to>
      <xdr:col>2</xdr:col>
      <xdr:colOff>2079720</xdr:colOff>
      <xdr:row>10</xdr:row>
      <xdr:rowOff>567360</xdr:rowOff>
    </xdr:to>
    <xdr:sp fLocksText="0" macro="[0]!CRONO.AtualizarLinhas">
      <xdr:nvSpPr>
        <xdr:cNvPr id="36" name="AutoShape 67"/>
        <xdr:cNvSpPr/>
      </xdr:nvSpPr>
      <xdr:spPr>
        <a:xfrm>
          <a:off x="1459440" y="1276200"/>
          <a:ext cx="1466280" cy="30456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ATUALIZAR LINHAS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2</xdr:row>
      <xdr:rowOff>0</xdr:rowOff>
    </xdr:from>
    <xdr:to>
      <xdr:col>3</xdr:col>
      <xdr:colOff>136800</xdr:colOff>
      <xdr:row>4</xdr:row>
      <xdr:rowOff>1800</xdr:rowOff>
    </xdr:to>
    <xdr:pic>
      <xdr:nvPicPr>
        <xdr:cNvPr id="37" name="Picture 2" descr=""/>
        <xdr:cNvPicPr/>
      </xdr:nvPicPr>
      <xdr:blipFill>
        <a:blip r:embed="rId1"/>
        <a:stretch/>
      </xdr:blipFill>
      <xdr:spPr>
        <a:xfrm>
          <a:off x="271800" y="0"/>
          <a:ext cx="1909080" cy="3826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1</xdr:col>
      <xdr:colOff>0</xdr:colOff>
      <xdr:row>8</xdr:row>
      <xdr:rowOff>4320</xdr:rowOff>
    </xdr:from>
    <xdr:to>
      <xdr:col>2</xdr:col>
      <xdr:colOff>28080</xdr:colOff>
      <xdr:row>9</xdr:row>
      <xdr:rowOff>137520</xdr:rowOff>
    </xdr:to>
    <xdr:sp fLocksText="0">
      <xdr:nvSpPr>
        <xdr:cNvPr id="38" name="AutoShape 67">
          <a:hlinkClick r:id="rId2"/>
        </xdr:cNvPr>
        <xdr:cNvSpPr/>
      </xdr:nvSpPr>
      <xdr:spPr>
        <a:xfrm>
          <a:off x="271800" y="1033200"/>
          <a:ext cx="602280" cy="3236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</xdr:col>
      <xdr:colOff>0</xdr:colOff>
      <xdr:row>10</xdr:row>
      <xdr:rowOff>28800</xdr:rowOff>
    </xdr:from>
    <xdr:to>
      <xdr:col>2</xdr:col>
      <xdr:colOff>31320</xdr:colOff>
      <xdr:row>10</xdr:row>
      <xdr:rowOff>331200</xdr:rowOff>
    </xdr:to>
    <xdr:sp fLocksText="0">
      <xdr:nvSpPr>
        <xdr:cNvPr id="39" name="AutoShape 67">
          <a:hlinkClick r:id="rId3"/>
        </xdr:cNvPr>
        <xdr:cNvSpPr/>
      </xdr:nvSpPr>
      <xdr:spPr>
        <a:xfrm>
          <a:off x="271800" y="1409760"/>
          <a:ext cx="605520" cy="3024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←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</xdr:col>
      <xdr:colOff>0</xdr:colOff>
      <xdr:row>10</xdr:row>
      <xdr:rowOff>396360</xdr:rowOff>
    </xdr:from>
    <xdr:to>
      <xdr:col>2</xdr:col>
      <xdr:colOff>31320</xdr:colOff>
      <xdr:row>10</xdr:row>
      <xdr:rowOff>698760</xdr:rowOff>
    </xdr:to>
    <xdr:sp fLocksText="0">
      <xdr:nvSpPr>
        <xdr:cNvPr id="40" name="AutoShape 67">
          <a:hlinkClick r:id="rId4"/>
        </xdr:cNvPr>
        <xdr:cNvSpPr/>
      </xdr:nvSpPr>
      <xdr:spPr>
        <a:xfrm>
          <a:off x="271800" y="1777320"/>
          <a:ext cx="605520" cy="3024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→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1429200</xdr:colOff>
          <xdr:row>4</xdr:row>
          <xdr:rowOff>85320</xdr:rowOff>
        </xdr:from>
        <xdr:to>
          <xdr:col>5</xdr:col>
          <xdr:colOff>-1079640</xdr:colOff>
          <xdr:row>5</xdr:row>
          <xdr:rowOff>66600</xdr:rowOff>
        </xdr:to>
        <xdr:sp>
          <xdr:nvSpPr>
            <xdr:cNvPr id="0" name="Botão de rotação 275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3</xdr:col>
      <xdr:colOff>7560</xdr:colOff>
      <xdr:row>0</xdr:row>
      <xdr:rowOff>0</xdr:rowOff>
    </xdr:from>
    <xdr:to>
      <xdr:col>5</xdr:col>
      <xdr:colOff>113760</xdr:colOff>
      <xdr:row>0</xdr:row>
      <xdr:rowOff>380520</xdr:rowOff>
    </xdr:to>
    <xdr:pic>
      <xdr:nvPicPr>
        <xdr:cNvPr id="41" name="Picture 2" descr=""/>
        <xdr:cNvPicPr/>
      </xdr:nvPicPr>
      <xdr:blipFill>
        <a:blip r:embed="rId1"/>
        <a:stretch/>
      </xdr:blipFill>
      <xdr:spPr>
        <a:xfrm>
          <a:off x="269280" y="0"/>
          <a:ext cx="1897920" cy="3805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13</xdr:col>
      <xdr:colOff>116280</xdr:colOff>
      <xdr:row>7</xdr:row>
      <xdr:rowOff>141120</xdr:rowOff>
    </xdr:from>
    <xdr:to>
      <xdr:col>15</xdr:col>
      <xdr:colOff>2520</xdr:colOff>
      <xdr:row>10</xdr:row>
      <xdr:rowOff>147960</xdr:rowOff>
    </xdr:to>
    <xdr:sp fLocksText="0">
      <xdr:nvSpPr>
        <xdr:cNvPr id="42" name="AutoShape 317"/>
        <xdr:cNvSpPr/>
      </xdr:nvSpPr>
      <xdr:spPr>
        <a:xfrm>
          <a:off x="12791520" y="1388880"/>
          <a:ext cx="2242080" cy="492480"/>
        </a:xfrm>
        <a:prstGeom prst="wedgeRectCallout">
          <a:avLst>
            <a:gd name="adj1" fmla="val 121111"/>
            <a:gd name="adj2" fmla="val 52440"/>
          </a:avLst>
        </a:prstGeom>
        <a:solidFill>
          <a:srgbClr val="ffff99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0" tIns="22680" bIns="0" anchor="t">
          <a:noAutofit/>
        </a:bodyPr>
        <a:p>
          <a:pPr>
            <a:lnSpc>
              <a:spcPct val="100000"/>
            </a:lnSpc>
          </a:pPr>
          <a:r>
            <a:rPr b="1" lang="pt-BR" sz="1000" strike="noStrike" u="none">
              <a:solidFill>
                <a:srgbClr val="000000"/>
              </a:solidFill>
              <a:effectLst/>
              <a:uFillTx/>
              <a:latin typeface="Arial"/>
            </a:rPr>
            <a:t>Para inclusão de metas de outras Plan. Mult., digite a descrição e valores manualmente ao lado.</a:t>
          </a:r>
          <a:endParaRPr b="0" lang="en-US" sz="10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66600</xdr:colOff>
      <xdr:row>8</xdr:row>
      <xdr:rowOff>9360</xdr:rowOff>
    </xdr:from>
    <xdr:to>
      <xdr:col>4</xdr:col>
      <xdr:colOff>197640</xdr:colOff>
      <xdr:row>9</xdr:row>
      <xdr:rowOff>162000</xdr:rowOff>
    </xdr:to>
    <xdr:sp fLocksText="0">
      <xdr:nvSpPr>
        <xdr:cNvPr id="43" name="AutoShape 67">
          <a:hlinkClick r:id="rId2"/>
        </xdr:cNvPr>
        <xdr:cNvSpPr/>
      </xdr:nvSpPr>
      <xdr:spPr>
        <a:xfrm>
          <a:off x="328320" y="1419120"/>
          <a:ext cx="604080" cy="3146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4</xdr:col>
      <xdr:colOff>369720</xdr:colOff>
      <xdr:row>8</xdr:row>
      <xdr:rowOff>11520</xdr:rowOff>
    </xdr:from>
    <xdr:to>
      <xdr:col>5</xdr:col>
      <xdr:colOff>558000</xdr:colOff>
      <xdr:row>10</xdr:row>
      <xdr:rowOff>9360</xdr:rowOff>
    </xdr:to>
    <xdr:sp fLocksText="0" macro="[0]!Linhas.AddLinha">
      <xdr:nvSpPr>
        <xdr:cNvPr id="44" name="AutoShape 67"/>
        <xdr:cNvSpPr/>
      </xdr:nvSpPr>
      <xdr:spPr>
        <a:xfrm>
          <a:off x="1104480" y="1421280"/>
          <a:ext cx="1506960" cy="32148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ADICIONAR LINHAS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5</xdr:col>
      <xdr:colOff>691560</xdr:colOff>
      <xdr:row>8</xdr:row>
      <xdr:rowOff>9360</xdr:rowOff>
    </xdr:from>
    <xdr:to>
      <xdr:col>6</xdr:col>
      <xdr:colOff>197640</xdr:colOff>
      <xdr:row>9</xdr:row>
      <xdr:rowOff>162000</xdr:rowOff>
    </xdr:to>
    <xdr:sp fLocksText="0" macro="[0]!Linhas.ExcLinhas">
      <xdr:nvSpPr>
        <xdr:cNvPr id="45" name="AutoShape 67"/>
        <xdr:cNvSpPr/>
      </xdr:nvSpPr>
      <xdr:spPr>
        <a:xfrm>
          <a:off x="2745000" y="1419120"/>
          <a:ext cx="1530000" cy="31464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EXCLUIR LINHAS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7</xdr:col>
      <xdr:colOff>766800</xdr:colOff>
      <xdr:row>8</xdr:row>
      <xdr:rowOff>10440</xdr:rowOff>
    </xdr:from>
    <xdr:to>
      <xdr:col>9</xdr:col>
      <xdr:colOff>463680</xdr:colOff>
      <xdr:row>10</xdr:row>
      <xdr:rowOff>3600</xdr:rowOff>
    </xdr:to>
    <xdr:sp fLocksText="0" macro="[0]!cpQCItoCR">
      <xdr:nvSpPr>
        <xdr:cNvPr id="46" name="AutoShape 67"/>
        <xdr:cNvSpPr/>
      </xdr:nvSpPr>
      <xdr:spPr>
        <a:xfrm>
          <a:off x="7361280" y="1420200"/>
          <a:ext cx="1700280" cy="316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CP QCI = CP CONTRATO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8</xdr:col>
      <xdr:colOff>1275480</xdr:colOff>
      <xdr:row>8</xdr:row>
      <xdr:rowOff>66960</xdr:rowOff>
    </xdr:from>
    <xdr:to>
      <xdr:col>12</xdr:col>
      <xdr:colOff>444600</xdr:colOff>
      <xdr:row>10</xdr:row>
      <xdr:rowOff>94680</xdr:rowOff>
    </xdr:to>
    <xdr:sp fLocksText="0">
      <xdr:nvSpPr>
        <xdr:cNvPr id="47" name="TextBoxArred"/>
        <xdr:cNvSpPr/>
      </xdr:nvSpPr>
      <xdr:spPr>
        <a:xfrm flipH="1">
          <a:off x="9329760" y="1314720"/>
          <a:ext cx="2964600" cy="351720"/>
        </a:xfrm>
        <a:prstGeom prst="rect">
          <a:avLst/>
        </a:prstGeom>
        <a:noFill/>
        <a:ln w="648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2680" bIns="0" anchor="t">
          <a:noAutofit/>
        </a:bodyPr>
        <a:p>
          <a:pPr algn="ctr">
            <a:lnSpc>
              <a:spcPct val="100000"/>
            </a:lnSpc>
          </a:pPr>
          <a:r>
            <a:rPr b="0" lang="pt-BR" sz="1000" strike="noStrike" u="none">
              <a:solidFill>
                <a:srgbClr val="000000"/>
              </a:solidFill>
              <a:effectLst/>
              <a:uFillTx/>
              <a:latin typeface="Arial"/>
            </a:rPr>
            <a:t>Considerar valores arredondados com (0,00)</a:t>
          </a:r>
          <a:endParaRPr b="0" lang="en-US" sz="10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95400</xdr:colOff>
      <xdr:row>8</xdr:row>
      <xdr:rowOff>124200</xdr:rowOff>
    </xdr:from>
    <xdr:to>
      <xdr:col>3</xdr:col>
      <xdr:colOff>681840</xdr:colOff>
      <xdr:row>10</xdr:row>
      <xdr:rowOff>114120</xdr:rowOff>
    </xdr:to>
    <xdr:sp fLocksText="0">
      <xdr:nvSpPr>
        <xdr:cNvPr id="48" name="AutoShape 67">
          <a:hlinkClick r:id="rId1"/>
        </xdr:cNvPr>
        <xdr:cNvSpPr/>
      </xdr:nvSpPr>
      <xdr:spPr>
        <a:xfrm>
          <a:off x="357120" y="1371960"/>
          <a:ext cx="586440" cy="31392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23040</xdr:colOff>
      <xdr:row>0</xdr:row>
      <xdr:rowOff>15120</xdr:rowOff>
    </xdr:from>
    <xdr:to>
      <xdr:col>4</xdr:col>
      <xdr:colOff>1135080</xdr:colOff>
      <xdr:row>2</xdr:row>
      <xdr:rowOff>32040</xdr:rowOff>
    </xdr:to>
    <xdr:pic>
      <xdr:nvPicPr>
        <xdr:cNvPr id="49" name="Picture 2" descr=""/>
        <xdr:cNvPicPr/>
      </xdr:nvPicPr>
      <xdr:blipFill>
        <a:blip r:embed="rId2"/>
        <a:stretch/>
      </xdr:blipFill>
      <xdr:spPr>
        <a:xfrm>
          <a:off x="284760" y="15120"/>
          <a:ext cx="1866960" cy="3978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4</xdr:col>
      <xdr:colOff>794520</xdr:colOff>
      <xdr:row>8</xdr:row>
      <xdr:rowOff>122040</xdr:rowOff>
    </xdr:from>
    <xdr:to>
      <xdr:col>4</xdr:col>
      <xdr:colOff>2676240</xdr:colOff>
      <xdr:row>10</xdr:row>
      <xdr:rowOff>104400</xdr:rowOff>
    </xdr:to>
    <xdr:sp fLocksText="0" macro="[0]!BM.alternaModo">
      <xdr:nvSpPr>
        <xdr:cNvPr id="50" name="ShapeModoBM"/>
        <xdr:cNvSpPr/>
      </xdr:nvSpPr>
      <xdr:spPr>
        <a:xfrm>
          <a:off x="1811160" y="1369800"/>
          <a:ext cx="1881720" cy="30636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Habilitar Modo CAIXA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27</xdr:col>
      <xdr:colOff>0</xdr:colOff>
      <xdr:row>6</xdr:row>
      <xdr:rowOff>52200</xdr:rowOff>
    </xdr:from>
    <xdr:to>
      <xdr:col>27</xdr:col>
      <xdr:colOff>360</xdr:colOff>
      <xdr:row>9</xdr:row>
      <xdr:rowOff>111960</xdr:rowOff>
    </xdr:to>
    <xdr:sp fLocksText="0" macro="[0]!CopiarMedição">
      <xdr:nvSpPr>
        <xdr:cNvPr id="51" name="ShapeCopiarMed"/>
        <xdr:cNvSpPr/>
      </xdr:nvSpPr>
      <xdr:spPr>
        <a:xfrm>
          <a:off x="16417800" y="975960"/>
          <a:ext cx="360" cy="54576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Copiar da Medição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4</xdr:col>
      <xdr:colOff>63360</xdr:colOff>
      <xdr:row>8</xdr:row>
      <xdr:rowOff>126000</xdr:rowOff>
    </xdr:from>
    <xdr:to>
      <xdr:col>4</xdr:col>
      <xdr:colOff>649800</xdr:colOff>
      <xdr:row>10</xdr:row>
      <xdr:rowOff>110520</xdr:rowOff>
    </xdr:to>
    <xdr:sp fLocksText="0">
      <xdr:nvSpPr>
        <xdr:cNvPr id="52" name="AutoShape 67">
          <a:hlinkClick r:id="rId3"/>
        </xdr:cNvPr>
        <xdr:cNvSpPr/>
      </xdr:nvSpPr>
      <xdr:spPr>
        <a:xfrm>
          <a:off x="1080000" y="1373760"/>
          <a:ext cx="586440" cy="30852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→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249480</xdr:colOff>
          <xdr:row>6</xdr:row>
          <xdr:rowOff>18720</xdr:rowOff>
        </xdr:from>
        <xdr:to>
          <xdr:col>10</xdr:col>
          <xdr:colOff>-784800</xdr:colOff>
          <xdr:row>7</xdr:row>
          <xdr:rowOff>85680</xdr:rowOff>
        </xdr:to>
        <xdr:sp>
          <xdr:nvSpPr>
            <xdr:cNvPr id="1001" name="CaixaArredMed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28440</xdr:colOff>
          <xdr:row>6</xdr:row>
          <xdr:rowOff>133560</xdr:rowOff>
        </xdr:from>
        <xdr:to>
          <xdr:col>16</xdr:col>
          <xdr:colOff>-344880</xdr:colOff>
          <xdr:row>8</xdr:row>
          <xdr:rowOff>9720</xdr:rowOff>
        </xdr:to>
        <xdr:sp>
          <xdr:nvSpPr>
            <xdr:cNvPr id="0" name="Botão de rotação 23" descr="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/>
              </a:r>
            </a:p>
          </xdr:txBody>
        </xdr:sp>
        <xdr:clientData/>
      </xdr:twoCellAnchor>
    </mc:Choice>
  </mc:AlternateContent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0</xdr:row>
      <xdr:rowOff>0</xdr:rowOff>
    </xdr:from>
    <xdr:to>
      <xdr:col>5</xdr:col>
      <xdr:colOff>1386360</xdr:colOff>
      <xdr:row>0</xdr:row>
      <xdr:rowOff>380520</xdr:rowOff>
    </xdr:to>
    <xdr:pic>
      <xdr:nvPicPr>
        <xdr:cNvPr id="53" name="Picture 2" descr=""/>
        <xdr:cNvPicPr/>
      </xdr:nvPicPr>
      <xdr:blipFill>
        <a:blip r:embed="rId1"/>
        <a:stretch/>
      </xdr:blipFill>
      <xdr:spPr>
        <a:xfrm>
          <a:off x="261720" y="0"/>
          <a:ext cx="1929960" cy="3805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14</xdr:col>
      <xdr:colOff>102960</xdr:colOff>
      <xdr:row>7</xdr:row>
      <xdr:rowOff>160200</xdr:rowOff>
    </xdr:from>
    <xdr:to>
      <xdr:col>24</xdr:col>
      <xdr:colOff>169200</xdr:colOff>
      <xdr:row>10</xdr:row>
      <xdr:rowOff>49320</xdr:rowOff>
    </xdr:to>
    <xdr:sp fLocksText="0">
      <xdr:nvSpPr>
        <xdr:cNvPr id="54" name="AutoShape 317"/>
        <xdr:cNvSpPr/>
      </xdr:nvSpPr>
      <xdr:spPr>
        <a:xfrm>
          <a:off x="11086560" y="1407960"/>
          <a:ext cx="2874960" cy="374760"/>
        </a:xfrm>
        <a:prstGeom prst="wedgeRectCallout">
          <a:avLst>
            <a:gd name="adj1" fmla="val 72181"/>
            <a:gd name="adj2" fmla="val 58333"/>
          </a:avLst>
        </a:prstGeom>
        <a:solidFill>
          <a:srgbClr val="ffff99"/>
        </a:solidFill>
        <a:ln w="9360">
          <a:solidFill>
            <a:srgbClr val="00000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0" tIns="22680" bIns="0" anchor="t">
          <a:noAutofit/>
        </a:bodyPr>
        <a:p>
          <a:pPr>
            <a:lnSpc>
              <a:spcPct val="100000"/>
            </a:lnSpc>
          </a:pPr>
          <a:r>
            <a:rPr b="1" lang="pt-BR" sz="1000" strike="noStrike" u="none">
              <a:solidFill>
                <a:srgbClr val="000000"/>
              </a:solidFill>
              <a:effectLst/>
              <a:uFillTx/>
              <a:latin typeface="Arial"/>
            </a:rPr>
            <a:t>Para Metas preenchidas manualmente, digite o valor medido nas colunas à direita.</a:t>
          </a:r>
          <a:endParaRPr b="0" lang="en-US" sz="10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4</xdr:col>
      <xdr:colOff>85680</xdr:colOff>
      <xdr:row>8</xdr:row>
      <xdr:rowOff>28440</xdr:rowOff>
    </xdr:from>
    <xdr:to>
      <xdr:col>5</xdr:col>
      <xdr:colOff>142560</xdr:colOff>
      <xdr:row>10</xdr:row>
      <xdr:rowOff>10800</xdr:rowOff>
    </xdr:to>
    <xdr:sp fLocksText="0">
      <xdr:nvSpPr>
        <xdr:cNvPr id="55" name="AutoShape 67">
          <a:hlinkClick r:id="rId2"/>
        </xdr:cNvPr>
        <xdr:cNvSpPr/>
      </xdr:nvSpPr>
      <xdr:spPr>
        <a:xfrm>
          <a:off x="347400" y="1438200"/>
          <a:ext cx="600480" cy="3060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5</xdr:col>
      <xdr:colOff>240480</xdr:colOff>
      <xdr:row>8</xdr:row>
      <xdr:rowOff>31680</xdr:rowOff>
    </xdr:from>
    <xdr:to>
      <xdr:col>5</xdr:col>
      <xdr:colOff>826920</xdr:colOff>
      <xdr:row>10</xdr:row>
      <xdr:rowOff>9000</xdr:rowOff>
    </xdr:to>
    <xdr:sp fLocksText="0">
      <xdr:nvSpPr>
        <xdr:cNvPr id="56" name="AutoShape 67">
          <a:hlinkClick r:id="rId3"/>
        </xdr:cNvPr>
        <xdr:cNvSpPr/>
      </xdr:nvSpPr>
      <xdr:spPr>
        <a:xfrm>
          <a:off x="1045800" y="1441440"/>
          <a:ext cx="586440" cy="3009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→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459360</xdr:colOff>
      <xdr:row>1</xdr:row>
      <xdr:rowOff>64440</xdr:rowOff>
    </xdr:from>
    <xdr:to>
      <xdr:col>5</xdr:col>
      <xdr:colOff>485640</xdr:colOff>
      <xdr:row>2</xdr:row>
      <xdr:rowOff>207720</xdr:rowOff>
    </xdr:to>
    <xdr:sp fLocksText="0" macro="[0]!Plan12.InsereFigura">
      <xdr:nvSpPr>
        <xdr:cNvPr id="57" name="ShapeBrasao"/>
        <xdr:cNvSpPr/>
      </xdr:nvSpPr>
      <xdr:spPr>
        <a:xfrm>
          <a:off x="3640680" y="226440"/>
          <a:ext cx="1486080" cy="30528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INSERIR BRASÃO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596160</xdr:colOff>
      <xdr:row>1</xdr:row>
      <xdr:rowOff>66600</xdr:rowOff>
    </xdr:from>
    <xdr:to>
      <xdr:col>3</xdr:col>
      <xdr:colOff>1182600</xdr:colOff>
      <xdr:row>2</xdr:row>
      <xdr:rowOff>209880</xdr:rowOff>
    </xdr:to>
    <xdr:sp fLocksText="0">
      <xdr:nvSpPr>
        <xdr:cNvPr id="58" name="AutoShape 67">
          <a:hlinkClick r:id="rId1"/>
        </xdr:cNvPr>
        <xdr:cNvSpPr/>
      </xdr:nvSpPr>
      <xdr:spPr>
        <a:xfrm>
          <a:off x="2317680" y="228600"/>
          <a:ext cx="586440" cy="30528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MENU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3</xdr:col>
      <xdr:colOff>1236960</xdr:colOff>
      <xdr:row>1</xdr:row>
      <xdr:rowOff>63360</xdr:rowOff>
    </xdr:from>
    <xdr:to>
      <xdr:col>4</xdr:col>
      <xdr:colOff>398520</xdr:colOff>
      <xdr:row>2</xdr:row>
      <xdr:rowOff>207000</xdr:rowOff>
    </xdr:to>
    <xdr:sp fLocksText="0">
      <xdr:nvSpPr>
        <xdr:cNvPr id="59" name="AutoShape 67">
          <a:hlinkClick r:id="rId2"/>
        </xdr:cNvPr>
        <xdr:cNvSpPr/>
      </xdr:nvSpPr>
      <xdr:spPr>
        <a:xfrm>
          <a:off x="2958480" y="225360"/>
          <a:ext cx="621360" cy="30564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/>
        </a:ln>
      </xdr:spPr>
      <xdr:style>
        <a:lnRef idx="0"/>
        <a:fillRef idx="0"/>
        <a:effectRef idx="0"/>
        <a:fontRef idx="minor"/>
      </xdr:style>
      <xdr:txBody>
        <a:bodyPr vertOverflow="clip" lIns="27360" rIns="27360" tIns="27360" bIns="27360" anchor="ctr">
          <a:noAutofit/>
        </a:bodyPr>
        <a:p>
          <a:pPr algn="ctr">
            <a:lnSpc>
              <a:spcPct val="100000"/>
            </a:lnSpc>
          </a:pPr>
          <a:r>
            <a:rPr b="1" lang="pt-BR" sz="1100" strike="noStrike" u="none">
              <a:solidFill>
                <a:srgbClr val="000000"/>
              </a:solidFill>
              <a:effectLst/>
              <a:uFillTx/>
              <a:latin typeface="Calibri"/>
            </a:rPr>
            <a:t>←</a:t>
          </a:r>
          <a:endParaRPr b="0" lang="en-US" sz="11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Escritório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1.v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drawing" Target="../drawings/drawing4.xml"/><Relationship Id="rId3" Type="http://schemas.openxmlformats.org/officeDocument/2006/relationships/vmlDrawing" Target="../drawings/vmlDrawing2.v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comments" Target="../comments5.xml"/><Relationship Id="rId2" Type="http://schemas.openxmlformats.org/officeDocument/2006/relationships/drawing" Target="../drawings/drawing5.xml"/><Relationship Id="rId3" Type="http://schemas.openxmlformats.org/officeDocument/2006/relationships/vmlDrawing" Target="../drawings/vmlDrawing3.vml"/><Relationship Id="rId4" Type="http://schemas.openxmlformats.org/officeDocument/2006/relationships/ctrlProp" Target="../ctrlProps/ctrlProps6.xml"/><Relationship Id="rId5" Type="http://schemas.openxmlformats.org/officeDocument/2006/relationships/ctrlProp" Target="../ctrlProps/ctrlProps7.xml"/><Relationship Id="rId6" Type="http://schemas.openxmlformats.org/officeDocument/2006/relationships/ctrlProp" Target="../ctrlProps/ctrlProps8.xml"/><Relationship Id="rId7" Type="http://schemas.openxmlformats.org/officeDocument/2006/relationships/ctrlProp" Target="../ctrlProps/ctrlProps9.xml"/><Relationship Id="rId8" Type="http://schemas.openxmlformats.org/officeDocument/2006/relationships/ctrlProp" Target="../ctrlProps/ctrlProps10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11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comments" Target="../comments7.xml"/><Relationship Id="rId2" Type="http://schemas.openxmlformats.org/officeDocument/2006/relationships/drawing" Target="../drawings/drawing12.xml"/><Relationship Id="rId3" Type="http://schemas.openxmlformats.org/officeDocument/2006/relationships/vmlDrawing" Target="../drawings/vmlDrawing4.v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13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14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15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comments" Target="../comments11.xml"/><Relationship Id="rId2" Type="http://schemas.openxmlformats.org/officeDocument/2006/relationships/drawing" Target="../drawings/drawing16.xml"/><Relationship Id="rId3" Type="http://schemas.openxmlformats.org/officeDocument/2006/relationships/vmlDrawing" Target="../drawings/vmlDrawing5.v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comments" Target="../comments12.xml"/><Relationship Id="rId2" Type="http://schemas.openxmlformats.org/officeDocument/2006/relationships/drawing" Target="../drawings/drawing17.xml"/><Relationship Id="rId3" Type="http://schemas.openxmlformats.org/officeDocument/2006/relationships/vmlDrawing" Target="../drawings/vmlDrawing6.vml"/><Relationship Id="rId4" Type="http://schemas.openxmlformats.org/officeDocument/2006/relationships/ctrlProp" Target="../ctrlProps/ctrlProps18.x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comments" Target="../comments13.xml"/><Relationship Id="rId2" Type="http://schemas.openxmlformats.org/officeDocument/2006/relationships/drawing" Target="../drawings/drawing19.xml"/><Relationship Id="rId3" Type="http://schemas.openxmlformats.org/officeDocument/2006/relationships/vmlDrawing" Target="../drawings/vmlDrawing7.v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drawing" Target="../drawings/drawing20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85" workbookViewId="0">
      <selection pane="topLeft" activeCell="E6" activeCellId="0" sqref="E6"/>
    </sheetView>
  </sheetViews>
  <sheetFormatPr defaultColWidth="8.6796875" defaultRowHeight="12.75" customHeight="true" zeroHeight="false" outlineLevelRow="0" outlineLevelCol="0"/>
  <cols>
    <col collapsed="false" customWidth="true" hidden="false" outlineLevel="0" max="1" min="1" style="0" width="2.86"/>
    <col collapsed="false" customWidth="true" hidden="false" outlineLevel="0" max="2" min="2" style="0" width="5.71"/>
    <col collapsed="false" customWidth="true" hidden="false" outlineLevel="0" max="3" min="3" style="0" width="38.57"/>
    <col collapsed="false" customWidth="true" hidden="false" outlineLevel="0" max="4" min="4" style="0" width="5.71"/>
    <col collapsed="false" customWidth="true" hidden="false" outlineLevel="0" max="5" min="5" style="0" width="38.57"/>
    <col collapsed="false" customWidth="true" hidden="false" outlineLevel="0" max="6" min="6" style="0" width="5.71"/>
    <col collapsed="false" customWidth="true" hidden="false" outlineLevel="0" max="7" min="7" style="0" width="38.57"/>
    <col collapsed="false" customWidth="true" hidden="false" outlineLevel="0" max="8" min="8" style="0" width="5.71"/>
    <col collapsed="false" customWidth="true" hidden="false" outlineLevel="0" max="9" min="9" style="0" width="2.86"/>
    <col collapsed="false" customWidth="true" hidden="false" outlineLevel="0" max="10" min="10" style="0" width="19"/>
    <col collapsed="false" customWidth="true" hidden="false" outlineLevel="0" max="11" min="11" style="0" width="3"/>
    <col collapsed="false" customWidth="true" hidden="false" outlineLevel="0" max="13" min="13" style="0" width="1.57"/>
    <col collapsed="false" customWidth="true" hidden="false" outlineLevel="0" max="14" min="14" style="0" width="38.86"/>
  </cols>
  <sheetData>
    <row r="1" customFormat="false" ht="15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0" t="s">
        <v>0</v>
      </c>
    </row>
    <row r="2" customFormat="false" ht="22.5" hidden="false" customHeight="true" outlineLevel="0" collapsed="false">
      <c r="A2" s="1"/>
      <c r="B2" s="2"/>
      <c r="C2" s="2"/>
      <c r="D2" s="2"/>
      <c r="E2" s="3" t="str">
        <f aca="false">CHOOSE(MATCH(Objeto,{"PM","PO"}),"PLANILHA MÚLTIPLA ","PLANILHA ORÇAMENTÁRIA ")&amp; Versao</f>
        <v>PLANILHA MÚLTIPLA v3.0.6</v>
      </c>
      <c r="F2" s="3"/>
      <c r="G2" s="3"/>
      <c r="H2" s="4"/>
      <c r="I2" s="2"/>
      <c r="J2" s="0" t="s">
        <v>1</v>
      </c>
    </row>
    <row r="3" customFormat="false" ht="22.5" hidden="false" customHeight="true" outlineLevel="0" collapsed="false">
      <c r="A3" s="1"/>
      <c r="B3" s="2"/>
      <c r="C3" s="2"/>
      <c r="D3" s="2"/>
      <c r="E3" s="3"/>
      <c r="F3" s="3"/>
      <c r="G3" s="3"/>
      <c r="H3" s="4"/>
      <c r="I3" s="2"/>
      <c r="O3" s="5" t="n">
        <v>1</v>
      </c>
    </row>
    <row r="4" customFormat="false" ht="16.5" hidden="false" customHeight="true" outlineLevel="0" collapsed="false">
      <c r="A4" s="1"/>
      <c r="B4" s="2"/>
      <c r="C4" s="2"/>
      <c r="D4" s="2"/>
      <c r="E4" s="2"/>
      <c r="F4" s="6"/>
      <c r="G4" s="4"/>
      <c r="H4" s="4"/>
      <c r="I4" s="2"/>
      <c r="O4" s="5" t="n">
        <v>1</v>
      </c>
    </row>
    <row r="5" customFormat="false" ht="16.5" hidden="false" customHeight="true" outlineLevel="0" collapsed="false">
      <c r="A5" s="1"/>
      <c r="B5" s="2"/>
      <c r="C5" s="2"/>
      <c r="D5" s="2"/>
      <c r="E5" s="2"/>
      <c r="F5" s="6"/>
      <c r="G5" s="4"/>
      <c r="H5" s="4"/>
      <c r="I5" s="2"/>
      <c r="J5" s="7" t="s">
        <v>2</v>
      </c>
    </row>
    <row r="6" customFormat="false" ht="21" hidden="false" customHeight="true" outlineLevel="0" collapsed="false">
      <c r="A6" s="1"/>
      <c r="B6" s="1"/>
      <c r="C6" s="1"/>
      <c r="D6" s="1"/>
      <c r="E6" s="8" t="s">
        <v>3</v>
      </c>
      <c r="F6" s="9"/>
      <c r="G6" s="8" t="s">
        <v>4</v>
      </c>
      <c r="H6" s="1"/>
      <c r="I6" s="1"/>
      <c r="J6" s="7" t="s">
        <v>5</v>
      </c>
    </row>
    <row r="7" customFormat="false" ht="12.75" hidden="false" customHeight="false" outlineLevel="0" collapsed="false">
      <c r="A7" s="1"/>
      <c r="B7" s="1"/>
      <c r="C7" s="1"/>
      <c r="D7" s="1"/>
      <c r="E7" s="1"/>
      <c r="F7" s="1"/>
      <c r="G7" s="1"/>
      <c r="H7" s="1"/>
      <c r="I7" s="1"/>
      <c r="J7" s="7" t="s">
        <v>6</v>
      </c>
      <c r="K7" s="10"/>
      <c r="L7" s="11"/>
      <c r="M7" s="11"/>
      <c r="N7" s="12"/>
    </row>
    <row r="8" customFormat="false" ht="21" hidden="false" customHeight="true" outlineLevel="0" collapsed="false">
      <c r="A8" s="2"/>
      <c r="B8" s="13" t="str">
        <f aca="false">IF($O$3&lt;&gt;2,"DOCUMENTAÇÃO DA PROPOSTA","PROPOSTA: Para visualizar/preencher esta seção, altere o TIPO DE ORÇAMENTO para 'Proposto'")</f>
        <v>DOCUMENTAÇÃO DA PROPOSTA</v>
      </c>
      <c r="C8" s="13"/>
      <c r="D8" s="13"/>
      <c r="E8" s="13"/>
      <c r="F8" s="13"/>
      <c r="G8" s="13"/>
      <c r="H8" s="13"/>
      <c r="I8" s="1"/>
      <c r="J8" s="7" t="s">
        <v>7</v>
      </c>
      <c r="K8" s="14"/>
      <c r="L8" s="15" t="s">
        <v>8</v>
      </c>
      <c r="M8" s="15"/>
      <c r="N8" s="16"/>
    </row>
    <row r="9" customFormat="false" ht="12.75" hidden="false" customHeight="false" outlineLevel="0" collapsed="false">
      <c r="A9" s="1"/>
      <c r="B9" s="1"/>
      <c r="C9" s="1"/>
      <c r="D9" s="1"/>
      <c r="E9" s="1"/>
      <c r="F9" s="1"/>
      <c r="G9" s="1"/>
      <c r="H9" s="1"/>
      <c r="I9" s="1"/>
      <c r="K9" s="14"/>
      <c r="L9" s="0" t="s">
        <v>9</v>
      </c>
      <c r="N9" s="16"/>
    </row>
    <row r="10" customFormat="false" ht="21" hidden="false" customHeight="true" outlineLevel="0" collapsed="false">
      <c r="A10" s="1"/>
      <c r="B10" s="1"/>
      <c r="C10" s="17" t="str">
        <f aca="false">IF(TIPOORCAMENTO&lt;&gt;"Proposto","","                    BDI                    ")</f>
        <v>                    BDI                    </v>
      </c>
      <c r="D10" s="9"/>
      <c r="E10" s="17" t="str">
        <f aca="false">IF(TIPOORCAMENTO&lt;&gt;"Proposto","","             ORÇAMENTO             ")</f>
        <v>             ORÇAMENTO             </v>
      </c>
      <c r="F10" s="9"/>
      <c r="G10" s="18" t="str">
        <f aca="false">IF(TIPOORCAMENTO&lt;&gt;"Proposto","","MEMÓRIA DE CÁLCULO / PLQ")</f>
        <v>MEMÓRIA DE CÁLCULO / PLQ</v>
      </c>
      <c r="H10" s="1"/>
      <c r="I10" s="1"/>
      <c r="K10" s="14"/>
      <c r="L10" s="19"/>
      <c r="M10" s="20"/>
      <c r="N10" s="21" t="s">
        <v>10</v>
      </c>
    </row>
    <row r="11" customFormat="false" ht="12.75" hidden="false" customHeight="false" outlineLevel="0" collapsed="false">
      <c r="A11" s="1"/>
      <c r="B11" s="1"/>
      <c r="C11" s="9"/>
      <c r="D11" s="9"/>
      <c r="E11" s="9"/>
      <c r="F11" s="9"/>
      <c r="G11" s="9"/>
      <c r="H11" s="1"/>
      <c r="I11" s="1"/>
      <c r="K11" s="14"/>
      <c r="N11" s="16"/>
    </row>
    <row r="12" customFormat="false" ht="21" hidden="false" customHeight="true" outlineLevel="0" collapsed="false">
      <c r="A12" s="1"/>
      <c r="B12" s="1"/>
      <c r="C12" s="17" t="str">
        <f aca="false">IF(TIPOORCAMENTO&lt;&gt;"Proposto","","                    QCI                    ")</f>
        <v>                    QCI                    </v>
      </c>
      <c r="D12" s="9"/>
      <c r="E12" s="22" t="str">
        <f aca="false">IF(TIPOORCAMENTO&lt;&gt;"Proposto","","CRONOGRAMA FÍSICO-FINANCEIRO")</f>
        <v>CRONOGRAMA FÍSICO-FINANCEIRO</v>
      </c>
      <c r="F12" s="9"/>
      <c r="G12" s="9"/>
      <c r="H12" s="1"/>
      <c r="I12" s="1"/>
      <c r="K12" s="14"/>
      <c r="L12" s="23"/>
      <c r="M12" s="20"/>
      <c r="N12" s="21" t="s">
        <v>11</v>
      </c>
    </row>
    <row r="13" customFormat="false" ht="12.75" hidden="false" customHeight="false" outlineLevel="0" collapsed="false">
      <c r="A13" s="1"/>
      <c r="B13" s="1"/>
      <c r="C13" s="1"/>
      <c r="D13" s="1"/>
      <c r="E13" s="1"/>
      <c r="F13" s="1"/>
      <c r="G13" s="1"/>
      <c r="H13" s="1"/>
      <c r="I13" s="1"/>
      <c r="K13" s="14"/>
      <c r="N13" s="16"/>
    </row>
    <row r="14" customFormat="false" ht="12.75" hidden="false" customHeight="false" outlineLevel="0" collapsed="false">
      <c r="A14" s="1"/>
      <c r="B14" s="1"/>
      <c r="C14" s="1" t="str">
        <f aca="true">IF(TIPOORCAMENTO&lt;&gt;"Proposto","","Obs: Composições e Cotações devem ser preenchidas diretamente no arquivo Referência "&amp;IF(ISBLANK(Import.DataBase),"mm-aaaa",TEXT(Import.DataBase,"mm-aaaa"))&amp;".xlsm.")</f>
        <v>Obs: Composições e Cotações devem ser preenchidas diretamente no arquivo Referência 02-Thursday.xlsm.</v>
      </c>
      <c r="D14" s="1"/>
      <c r="E14" s="1"/>
      <c r="F14" s="1"/>
      <c r="G14" s="1"/>
      <c r="H14" s="1"/>
      <c r="I14" s="1"/>
      <c r="K14" s="14"/>
      <c r="N14" s="16"/>
    </row>
    <row r="15" customFormat="false" ht="12.75" hidden="false" customHeight="false" outlineLevel="0" collapsed="false">
      <c r="A15" s="1"/>
      <c r="B15" s="1"/>
      <c r="C15" s="1"/>
      <c r="D15" s="1"/>
      <c r="E15" s="1"/>
      <c r="F15" s="1"/>
      <c r="G15" s="1"/>
      <c r="H15" s="1"/>
      <c r="I15" s="1"/>
      <c r="K15" s="14"/>
      <c r="L15" s="0" t="s">
        <v>12</v>
      </c>
      <c r="N15" s="16"/>
    </row>
    <row r="16" customFormat="false" ht="21" hidden="false" customHeight="true" outlineLevel="0" collapsed="false">
      <c r="A16" s="1"/>
      <c r="B16" s="13" t="str">
        <f aca="false">IF($O$3&lt;&gt;2,"PÓS-LICITADO: Para visualizar/preencher esta seção, altere o TIPO DE ORÇAMENTO para 'Licitado'","RESULTADO DO PROCESSO LICITATÓRIO")</f>
        <v>PÓS-LICITADO: Para visualizar/preencher esta seção, altere o TIPO DE ORÇAMENTO para 'Licitado'</v>
      </c>
      <c r="C16" s="13"/>
      <c r="D16" s="13"/>
      <c r="E16" s="13"/>
      <c r="F16" s="13"/>
      <c r="G16" s="13"/>
      <c r="H16" s="13"/>
      <c r="I16" s="1"/>
      <c r="K16" s="14"/>
      <c r="L16" s="24"/>
      <c r="M16" s="20"/>
      <c r="N16" s="21" t="s">
        <v>13</v>
      </c>
    </row>
    <row r="17" customFormat="false" ht="12.75" hidden="false" customHeight="false" outlineLevel="0" collapsed="false">
      <c r="A17" s="1"/>
      <c r="B17" s="1"/>
      <c r="C17" s="1"/>
      <c r="D17" s="1"/>
      <c r="E17" s="1"/>
      <c r="F17" s="1"/>
      <c r="G17" s="1"/>
      <c r="H17" s="1"/>
      <c r="I17" s="1"/>
      <c r="K17" s="14"/>
      <c r="N17" s="16"/>
    </row>
    <row r="18" customFormat="false" ht="21" hidden="false" customHeight="true" outlineLevel="0" collapsed="false">
      <c r="A18" s="1"/>
      <c r="B18" s="1"/>
      <c r="C18" s="25" t="str">
        <f aca="false">IF(TIPOORCAMENTO&lt;&gt;"Licitado","","             ORÇAMENTO             ")</f>
        <v/>
      </c>
      <c r="D18" s="9"/>
      <c r="E18" s="25" t="str">
        <f aca="false">IF(TIPOORCAMENTO&lt;&gt;"Licitado","","                    QCI                    ")</f>
        <v/>
      </c>
      <c r="F18" s="9"/>
      <c r="G18" s="26" t="str">
        <f aca="false">IF(TIPOORCAMENTO&lt;&gt;"Licitado","","CRONOGRAMA FÍSICO-FINANCEIRO")</f>
        <v/>
      </c>
      <c r="H18" s="1"/>
      <c r="I18" s="1"/>
      <c r="K18" s="14"/>
      <c r="L18" s="27"/>
      <c r="M18" s="20"/>
      <c r="N18" s="21" t="s">
        <v>14</v>
      </c>
    </row>
    <row r="19" customFormat="false" ht="12.75" hidden="false" customHeight="false" outlineLevel="0" collapsed="false">
      <c r="A19" s="1"/>
      <c r="B19" s="1"/>
      <c r="C19" s="1"/>
      <c r="D19" s="1"/>
      <c r="E19" s="1"/>
      <c r="F19" s="1"/>
      <c r="G19" s="1"/>
      <c r="H19" s="1"/>
      <c r="I19" s="1"/>
      <c r="K19" s="28"/>
      <c r="L19" s="29"/>
      <c r="M19" s="29"/>
      <c r="N19" s="30"/>
    </row>
    <row r="20" customFormat="false" ht="21" hidden="false" customHeight="true" outlineLevel="0" collapsed="false">
      <c r="A20" s="2"/>
      <c r="B20" s="13" t="str">
        <f aca="false">IF($O$3&lt;&gt;2,"ACOMPANHAMENTO: Para visualizar/preencher esta seção, altere o TIPO DE ORÇAMENTO para 'Licitado'","ACOMPANHAMENTO DO EMPREENDIMENTO")</f>
        <v>ACOMPANHAMENTO: Para visualizar/preencher esta seção, altere o TIPO DE ORÇAMENTO para 'Licitado'</v>
      </c>
      <c r="C20" s="13"/>
      <c r="D20" s="13"/>
      <c r="E20" s="13"/>
      <c r="F20" s="13"/>
      <c r="G20" s="13"/>
      <c r="H20" s="13"/>
      <c r="I20" s="1"/>
    </row>
    <row r="21" customFormat="false" ht="12.75" hidden="false" customHeight="false" outlineLevel="0" collapsed="false">
      <c r="A21" s="1"/>
      <c r="B21" s="1"/>
      <c r="C21" s="1"/>
      <c r="D21" s="1"/>
      <c r="E21" s="1"/>
      <c r="F21" s="1"/>
      <c r="G21" s="1"/>
      <c r="H21" s="1"/>
      <c r="I21" s="1"/>
    </row>
    <row r="22" customFormat="false" ht="21" hidden="false" customHeight="true" outlineLevel="0" collapsed="false">
      <c r="A22" s="1"/>
      <c r="B22" s="1"/>
      <c r="C22" s="31" t="str">
        <f aca="false">IF(OR(TIPOORCAMENTO&lt;&gt;"Licitado",ACOMPANHAMENTO&lt;&gt;"PLE"),"","PLAN. DE LEVANT. DE EVENTOS - PLE")</f>
        <v/>
      </c>
      <c r="D22" s="9"/>
      <c r="E22" s="32" t="str">
        <f aca="false">IF(TIPOORCAMENTO&lt;&gt;"Licitado","","                    RRE                    ")</f>
        <v/>
      </c>
      <c r="F22" s="9"/>
      <c r="G22" s="33" t="str">
        <f aca="false">IF(OR(TIPOORCAMENTO&lt;&gt;"Licitado",ACOMPANHAMENTO&lt;&gt;"BM"),"","  BOLETIM DE MEDIÇÃO - BM  ")</f>
        <v/>
      </c>
      <c r="H22" s="1"/>
      <c r="I22" s="1"/>
    </row>
    <row r="23" customFormat="false" ht="12.75" hidden="false" customHeight="false" outlineLevel="0" collapsed="false">
      <c r="A23" s="1"/>
      <c r="B23" s="1"/>
      <c r="C23" s="9"/>
      <c r="D23" s="9"/>
      <c r="E23" s="9"/>
      <c r="F23" s="9"/>
      <c r="G23" s="9"/>
      <c r="H23" s="1"/>
      <c r="I23" s="1"/>
    </row>
    <row r="24" customFormat="false" ht="21" hidden="false" customHeight="true" outlineLevel="0" collapsed="false">
      <c r="A24" s="1"/>
      <c r="B24" s="1"/>
      <c r="C24" s="9"/>
      <c r="D24" s="9"/>
      <c r="E24" s="31" t="str">
        <f aca="false">IF(TIPOORCAMENTO&lt;&gt;"Licitado","","OF. DE SOLICITAÇÃO DE DESBLOQUEIO")</f>
        <v/>
      </c>
      <c r="F24" s="9"/>
      <c r="G24" s="9"/>
      <c r="H24" s="1"/>
      <c r="I24" s="1"/>
    </row>
    <row r="25" customFormat="false" ht="12.75" hidden="false" customHeight="false" outlineLevel="0" collapsed="false">
      <c r="A25" s="1"/>
      <c r="B25" s="1"/>
      <c r="C25" s="1"/>
      <c r="D25" s="1"/>
      <c r="E25" s="1"/>
      <c r="F25" s="1"/>
      <c r="G25" s="1"/>
      <c r="H25" s="1"/>
      <c r="I25" s="1"/>
    </row>
  </sheetData>
  <sheetProtection algorithmName="SHA-512" hashValue="ZjipzJCUXfwYqXUF6x0NfqaPBWuvxOmEo4vRftge9kCbaxrpLe9+32CGduu1xfYyUQMng6kGpu9qAuXFc1/wbg==" saltValue="FeCEYnS0C/1FDaKUcwwHFQ==" spinCount="100000" sheet="true" objects="true" scenarios="true" autoFilter="false"/>
  <mergeCells count="4">
    <mergeCell ref="E2:G3"/>
    <mergeCell ref="B8:H8"/>
    <mergeCell ref="B16:H16"/>
    <mergeCell ref="B20:H20"/>
  </mergeCells>
  <conditionalFormatting sqref="C10:G14">
    <cfRule type="expression" priority="2" aboveAverage="0" equalAverage="0" bottom="0" percent="0" rank="0" text="" dxfId="0">
      <formula>TIPOORCAMENTO="Licitado"</formula>
    </cfRule>
  </conditionalFormatting>
  <conditionalFormatting sqref="C18:G18 E22:E24">
    <cfRule type="expression" priority="3" aboveAverage="0" equalAverage="0" bottom="0" percent="0" rank="0" text="" dxfId="1">
      <formula>TIPOORCAMENTO&lt;&gt;"Licitado"</formula>
    </cfRule>
  </conditionalFormatting>
  <conditionalFormatting sqref="C22">
    <cfRule type="expression" priority="4" aboveAverage="0" equalAverage="0" bottom="0" percent="0" rank="0" text="" dxfId="2">
      <formula>OR(TIPOORCAMENTO&lt;&gt;"Licitado",ACOMPANHAMENTO&lt;&gt;"PLE")</formula>
    </cfRule>
  </conditionalFormatting>
  <conditionalFormatting sqref="G22">
    <cfRule type="expression" priority="5" aboveAverage="0" equalAverage="0" bottom="0" percent="0" rank="0" text="" dxfId="3">
      <formula>OR(TIPOORCAMENTO&lt;&gt;"Licitado",ACOMPANHAMENTO&lt;&gt;"BM")</formula>
    </cfRule>
  </conditionalFormatting>
  <conditionalFormatting sqref="B16:H16 B20:H20">
    <cfRule type="expression" priority="6" aboveAverage="0" equalAverage="0" bottom="0" percent="0" rank="0" text="" dxfId="4">
      <formula>$O$3&lt;&gt;2</formula>
    </cfRule>
  </conditionalFormatting>
  <conditionalFormatting sqref="B8:H8">
    <cfRule type="expression" priority="7" aboveAverage="0" equalAverage="0" bottom="0" percent="0" rank="0" text="" dxfId="5">
      <formula>$O$3&lt;&gt;1</formula>
    </cfRule>
  </conditionalFormatting>
  <hyperlinks>
    <hyperlink ref="E6" location="DADOS!E3" display="DADOS DO CONTRATO"/>
    <hyperlink ref="G6" location="'NOVO'!A1" display="NOVIDADES DA VERSÃO"/>
    <hyperlink ref="C10" location="BDI!Q11" display="#BDI.Q11"/>
    <hyperlink ref="E10" location="ORÇAMENTO!M13" display="#ORÇAMENTO.M13"/>
    <hyperlink ref="G10" location="CÁLCULO!D13" display="#CÁLCULO.D13"/>
    <hyperlink ref="C12" location="QCI!D13" display="#QCI.D13"/>
    <hyperlink ref="E12" location="CRONO!G12" display="#CRONO.G12"/>
    <hyperlink ref="C18" location="ORÇAMENTO!AM15" display="#ORÇAMENTO.AM15"/>
    <hyperlink ref="E18" location="QCI!D13" display="#QCI.D13"/>
    <hyperlink ref="G18" location="CRONO!G12" display="#CRONO.G12"/>
    <hyperlink ref="C22" location="PLE!J8" display="#PLE.J8"/>
    <hyperlink ref="E22" location="RRE!E13" display="#RRE.E13"/>
    <hyperlink ref="G22" location="BM!D13" display="#BM.D13"/>
    <hyperlink ref="E24" location="Ofício!C6" display="#Ofício!C6"/>
  </hyperlinks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60" fitToWidth="1" fitToHeight="1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&amp;LPMv3.0.6&amp;R&amp;P / &amp;N</oddFooter>
  </headerFooter>
  <colBreaks count="1" manualBreakCount="1">
    <brk id="9" man="true" max="65535" min="0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E1:AR61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0" ySplit="2" topLeftCell="A3" activePane="bottomLeft" state="frozen"/>
      <selection pane="topLeft" activeCell="A1" activeCellId="0" sqref="A1"/>
      <selection pane="bottomLeft" activeCell="F19" activeCellId="0" sqref="F19"/>
    </sheetView>
  </sheetViews>
  <sheetFormatPr defaultColWidth="8.6796875" defaultRowHeight="12.75" customHeight="true" zeroHeight="false" outlineLevelRow="0" outlineLevelCol="0"/>
  <cols>
    <col collapsed="false" customWidth="true" hidden="false" outlineLevel="0" max="5" min="5" style="20" width="42.71"/>
    <col collapsed="false" customWidth="true" hidden="false" outlineLevel="0" max="6" min="6" style="20" width="53.29"/>
    <col collapsed="false" customWidth="true" hidden="true" outlineLevel="0" max="10" min="10" style="0" width="14.29"/>
    <col collapsed="false" customWidth="true" hidden="true" outlineLevel="0" max="13" min="11" style="0" width="11.53"/>
    <col collapsed="false" customWidth="true" hidden="true" outlineLevel="0" max="14" min="14" style="34" width="11.53"/>
    <col collapsed="false" customWidth="true" hidden="true" outlineLevel="0" max="44" min="15" style="0" width="11.53"/>
  </cols>
  <sheetData>
    <row r="1" customFormat="false" ht="15.75" hidden="false" customHeight="true" outlineLevel="0" collapsed="false">
      <c r="E1" s="35" t="s">
        <v>15</v>
      </c>
      <c r="K1" s="36"/>
      <c r="L1" s="37" t="s">
        <v>16</v>
      </c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</row>
    <row r="2" customFormat="false" ht="12.75" hidden="false" customHeight="true" outlineLevel="0" collapsed="false">
      <c r="E2" s="35"/>
      <c r="J2" s="38" t="s">
        <v>17</v>
      </c>
      <c r="K2" s="39" t="s">
        <v>18</v>
      </c>
      <c r="L2" s="40" t="n">
        <f aca="false">COUNTA(K:K)-1</f>
        <v>3</v>
      </c>
      <c r="M2" s="39" t="s">
        <v>19</v>
      </c>
      <c r="N2" s="40" t="n">
        <f aca="false">COUNTA(M:M)-1</f>
        <v>6</v>
      </c>
      <c r="O2" s="39" t="s">
        <v>20</v>
      </c>
      <c r="P2" s="40" t="n">
        <f aca="false">COUNTA(O:O)-1</f>
        <v>6</v>
      </c>
      <c r="Q2" s="39" t="s">
        <v>21</v>
      </c>
      <c r="R2" s="40" t="n">
        <f aca="false">COUNTA(Q:Q)-1</f>
        <v>6</v>
      </c>
      <c r="S2" s="39" t="s">
        <v>22</v>
      </c>
      <c r="T2" s="40" t="n">
        <f aca="false">COUNTA(S:S)-1</f>
        <v>11</v>
      </c>
      <c r="U2" s="39" t="s">
        <v>23</v>
      </c>
      <c r="V2" s="40" t="n">
        <f aca="false">COUNTA(U:U)-1</f>
        <v>8</v>
      </c>
      <c r="W2" s="39" t="s">
        <v>24</v>
      </c>
      <c r="X2" s="40" t="n">
        <f aca="false">COUNTA(W:W)-1</f>
        <v>4</v>
      </c>
      <c r="Y2" s="39" t="s">
        <v>25</v>
      </c>
      <c r="Z2" s="40" t="n">
        <f aca="false">COUNTA(Y:Y)-1</f>
        <v>6</v>
      </c>
      <c r="AA2" s="39" t="s">
        <v>26</v>
      </c>
      <c r="AB2" s="40" t="n">
        <f aca="false">COUNTA(AA:AA)-1</f>
        <v>2</v>
      </c>
      <c r="AC2" s="39" t="s">
        <v>27</v>
      </c>
      <c r="AD2" s="40" t="n">
        <f aca="false">COUNTA(AC:AC)-1</f>
        <v>2</v>
      </c>
      <c r="AE2" s="39" t="s">
        <v>28</v>
      </c>
      <c r="AF2" s="40" t="n">
        <f aca="false">COUNTA(AE:AE)-1</f>
        <v>2</v>
      </c>
      <c r="AG2" s="39" t="s">
        <v>29</v>
      </c>
      <c r="AH2" s="40" t="n">
        <f aca="false">COUNTA(AG:AG)-1</f>
        <v>1</v>
      </c>
      <c r="AI2" s="39" t="s">
        <v>30</v>
      </c>
      <c r="AJ2" s="40" t="n">
        <f aca="false">COUNTA(AI:AI)-1</f>
        <v>1</v>
      </c>
      <c r="AK2" s="39" t="s">
        <v>31</v>
      </c>
      <c r="AL2" s="40" t="n">
        <f aca="false">COUNTA(AK:AK)-1</f>
        <v>1</v>
      </c>
      <c r="AM2" s="39" t="s">
        <v>32</v>
      </c>
      <c r="AN2" s="40" t="n">
        <f aca="false">COUNTA(AM:AM)-1</f>
        <v>3</v>
      </c>
      <c r="AO2" s="39" t="s">
        <v>33</v>
      </c>
      <c r="AP2" s="40" t="n">
        <f aca="false">COUNTA(AO:AO)-1</f>
        <v>1</v>
      </c>
      <c r="AQ2" s="39" t="s">
        <v>34</v>
      </c>
      <c r="AR2" s="40" t="n">
        <f aca="false">COUNTA(AQ:AQ)-1</f>
        <v>4</v>
      </c>
    </row>
    <row r="3" customFormat="false" ht="13.8" hidden="false" customHeight="false" outlineLevel="0" collapsed="false">
      <c r="E3" s="41" t="s">
        <v>35</v>
      </c>
      <c r="F3" s="41"/>
      <c r="J3" s="42" t="s">
        <v>18</v>
      </c>
      <c r="K3" s="0" t="s">
        <v>36</v>
      </c>
      <c r="L3" s="34" t="s">
        <v>37</v>
      </c>
      <c r="M3" s="42" t="s">
        <v>38</v>
      </c>
      <c r="N3" s="34" t="s">
        <v>39</v>
      </c>
      <c r="O3" s="0" t="s">
        <v>40</v>
      </c>
      <c r="P3" s="34" t="s">
        <v>39</v>
      </c>
      <c r="Q3" s="0" t="s">
        <v>41</v>
      </c>
      <c r="R3" s="34" t="s">
        <v>42</v>
      </c>
      <c r="S3" s="0" t="s">
        <v>43</v>
      </c>
      <c r="T3" s="34" t="s">
        <v>44</v>
      </c>
      <c r="U3" s="0" t="s">
        <v>45</v>
      </c>
      <c r="V3" s="34" t="s">
        <v>37</v>
      </c>
      <c r="W3" s="0" t="s">
        <v>46</v>
      </c>
      <c r="X3" s="34" t="s">
        <v>37</v>
      </c>
      <c r="Y3" s="0" t="s">
        <v>47</v>
      </c>
      <c r="Z3" s="34" t="s">
        <v>37</v>
      </c>
      <c r="AA3" s="0" t="s">
        <v>48</v>
      </c>
      <c r="AB3" s="34" t="s">
        <v>39</v>
      </c>
      <c r="AC3" s="0" t="s">
        <v>49</v>
      </c>
      <c r="AD3" s="34" t="s">
        <v>39</v>
      </c>
      <c r="AE3" s="0" t="s">
        <v>28</v>
      </c>
      <c r="AF3" s="34" t="s">
        <v>39</v>
      </c>
      <c r="AG3" s="0" t="s">
        <v>29</v>
      </c>
      <c r="AH3" s="34" t="s">
        <v>37</v>
      </c>
      <c r="AI3" s="0" t="s">
        <v>30</v>
      </c>
      <c r="AJ3" s="34" t="s">
        <v>37</v>
      </c>
      <c r="AK3" s="0" t="s">
        <v>31</v>
      </c>
      <c r="AL3" s="34" t="s">
        <v>37</v>
      </c>
      <c r="AM3" s="0" t="s">
        <v>50</v>
      </c>
      <c r="AN3" s="34" t="s">
        <v>37</v>
      </c>
      <c r="AO3" s="0" t="s">
        <v>33</v>
      </c>
      <c r="AP3" s="34" t="s">
        <v>51</v>
      </c>
      <c r="AQ3" s="0" t="s">
        <v>52</v>
      </c>
      <c r="AR3" s="34" t="s">
        <v>53</v>
      </c>
    </row>
    <row r="4" customFormat="false" ht="12.75" hidden="false" customHeight="false" outlineLevel="0" collapsed="false">
      <c r="E4" s="43" t="s">
        <v>54</v>
      </c>
      <c r="F4" s="44" t="s">
        <v>55</v>
      </c>
      <c r="J4" s="42" t="s">
        <v>19</v>
      </c>
      <c r="K4" s="0" t="s">
        <v>56</v>
      </c>
      <c r="L4" s="34" t="s">
        <v>37</v>
      </c>
      <c r="M4" s="0" t="s">
        <v>57</v>
      </c>
      <c r="N4" s="34" t="s">
        <v>39</v>
      </c>
      <c r="O4" s="0" t="s">
        <v>58</v>
      </c>
      <c r="P4" s="34" t="s">
        <v>39</v>
      </c>
      <c r="Q4" s="0" t="s">
        <v>59</v>
      </c>
      <c r="R4" s="34" t="s">
        <v>42</v>
      </c>
      <c r="S4" s="0" t="s">
        <v>60</v>
      </c>
      <c r="T4" s="34" t="s">
        <v>44</v>
      </c>
      <c r="U4" s="0" t="s">
        <v>61</v>
      </c>
      <c r="V4" s="34" t="s">
        <v>42</v>
      </c>
      <c r="W4" s="0" t="s">
        <v>62</v>
      </c>
      <c r="X4" s="34" t="s">
        <v>37</v>
      </c>
      <c r="Y4" s="0" t="s">
        <v>63</v>
      </c>
      <c r="Z4" s="34" t="s">
        <v>64</v>
      </c>
      <c r="AA4" s="0" t="s">
        <v>65</v>
      </c>
      <c r="AB4" s="34" t="s">
        <v>39</v>
      </c>
      <c r="AC4" s="0" t="s">
        <v>66</v>
      </c>
      <c r="AD4" s="34" t="s">
        <v>39</v>
      </c>
      <c r="AE4" s="0" t="s">
        <v>67</v>
      </c>
      <c r="AF4" s="34" t="s">
        <v>39</v>
      </c>
      <c r="AH4" s="34"/>
      <c r="AJ4" s="34"/>
      <c r="AL4" s="34"/>
      <c r="AM4" s="0" t="s">
        <v>68</v>
      </c>
      <c r="AN4" s="34" t="s">
        <v>37</v>
      </c>
      <c r="AQ4" s="0" t="s">
        <v>69</v>
      </c>
      <c r="AR4" s="34" t="s">
        <v>53</v>
      </c>
    </row>
    <row r="5" customFormat="false" ht="12.75" hidden="false" customHeight="false" outlineLevel="0" collapsed="false">
      <c r="E5" s="45" t="s">
        <v>70</v>
      </c>
      <c r="F5" s="46"/>
      <c r="J5" s="42" t="s">
        <v>20</v>
      </c>
      <c r="K5" s="0" t="s">
        <v>71</v>
      </c>
      <c r="L5" s="34" t="s">
        <v>37</v>
      </c>
      <c r="M5" s="0" t="s">
        <v>72</v>
      </c>
      <c r="N5" s="34" t="s">
        <v>39</v>
      </c>
      <c r="O5" s="0" t="s">
        <v>73</v>
      </c>
      <c r="P5" s="34" t="s">
        <v>42</v>
      </c>
      <c r="Q5" s="0" t="s">
        <v>74</v>
      </c>
      <c r="R5" s="34" t="s">
        <v>42</v>
      </c>
      <c r="S5" s="0" t="s">
        <v>75</v>
      </c>
      <c r="T5" s="34" t="s">
        <v>44</v>
      </c>
      <c r="U5" s="0" t="s">
        <v>76</v>
      </c>
      <c r="V5" s="34" t="s">
        <v>42</v>
      </c>
      <c r="W5" s="0" t="s">
        <v>77</v>
      </c>
      <c r="X5" s="34" t="s">
        <v>42</v>
      </c>
      <c r="Y5" s="0" t="s">
        <v>78</v>
      </c>
      <c r="Z5" s="34" t="s">
        <v>64</v>
      </c>
      <c r="AB5" s="34"/>
      <c r="AD5" s="34"/>
      <c r="AF5" s="34"/>
      <c r="AH5" s="34"/>
      <c r="AJ5" s="34"/>
      <c r="AL5" s="34"/>
      <c r="AM5" s="0" t="s">
        <v>79</v>
      </c>
      <c r="AN5" s="34" t="s">
        <v>37</v>
      </c>
      <c r="AQ5" s="0" t="s">
        <v>80</v>
      </c>
      <c r="AR5" s="34" t="s">
        <v>53</v>
      </c>
    </row>
    <row r="6" customFormat="false" ht="12.75" hidden="false" customHeight="false" outlineLevel="0" collapsed="false">
      <c r="E6" s="45" t="s">
        <v>81</v>
      </c>
      <c r="F6" s="46" t="s">
        <v>82</v>
      </c>
      <c r="J6" s="42" t="s">
        <v>21</v>
      </c>
      <c r="M6" s="0" t="s">
        <v>83</v>
      </c>
      <c r="N6" s="34" t="s">
        <v>39</v>
      </c>
      <c r="O6" s="0" t="s">
        <v>84</v>
      </c>
      <c r="P6" s="34" t="s">
        <v>39</v>
      </c>
      <c r="Q6" s="0" t="s">
        <v>85</v>
      </c>
      <c r="R6" s="34" t="s">
        <v>39</v>
      </c>
      <c r="S6" s="0" t="s">
        <v>86</v>
      </c>
      <c r="T6" s="34" t="s">
        <v>42</v>
      </c>
      <c r="U6" s="0" t="s">
        <v>87</v>
      </c>
      <c r="V6" s="34" t="s">
        <v>42</v>
      </c>
      <c r="W6" s="0" t="s">
        <v>88</v>
      </c>
      <c r="X6" s="34" t="s">
        <v>42</v>
      </c>
      <c r="Y6" s="0" t="s">
        <v>89</v>
      </c>
      <c r="Z6" s="34" t="s">
        <v>37</v>
      </c>
      <c r="AQ6" s="0" t="s">
        <v>90</v>
      </c>
      <c r="AR6" s="34" t="s">
        <v>53</v>
      </c>
    </row>
    <row r="7" customFormat="false" ht="12.75" hidden="false" customHeight="false" outlineLevel="0" collapsed="false">
      <c r="E7" s="47" t="s">
        <v>91</v>
      </c>
      <c r="F7" s="48"/>
      <c r="J7" s="42" t="s">
        <v>22</v>
      </c>
      <c r="M7" s="0" t="s">
        <v>92</v>
      </c>
      <c r="N7" s="34" t="s">
        <v>39</v>
      </c>
      <c r="O7" s="0" t="s">
        <v>93</v>
      </c>
      <c r="P7" s="34" t="s">
        <v>39</v>
      </c>
      <c r="Q7" s="0" t="s">
        <v>94</v>
      </c>
      <c r="R7" s="34" t="s">
        <v>64</v>
      </c>
      <c r="S7" s="0" t="s">
        <v>95</v>
      </c>
      <c r="T7" s="34" t="s">
        <v>44</v>
      </c>
      <c r="U7" s="0" t="s">
        <v>96</v>
      </c>
      <c r="V7" s="34" t="s">
        <v>44</v>
      </c>
      <c r="Y7" s="0" t="s">
        <v>97</v>
      </c>
      <c r="Z7" s="34" t="s">
        <v>37</v>
      </c>
    </row>
    <row r="8" customFormat="false" ht="12.75" hidden="false" customHeight="false" outlineLevel="0" collapsed="false">
      <c r="E8" s="47" t="s">
        <v>98</v>
      </c>
      <c r="F8" s="48"/>
      <c r="J8" s="42" t="s">
        <v>23</v>
      </c>
      <c r="M8" s="0" t="s">
        <v>99</v>
      </c>
      <c r="N8" s="34" t="s">
        <v>39</v>
      </c>
      <c r="O8" s="0" t="s">
        <v>100</v>
      </c>
      <c r="P8" s="34" t="s">
        <v>39</v>
      </c>
      <c r="Q8" s="0" t="s">
        <v>101</v>
      </c>
      <c r="R8" s="34" t="s">
        <v>44</v>
      </c>
      <c r="S8" s="0" t="s">
        <v>102</v>
      </c>
      <c r="T8" s="34" t="s">
        <v>44</v>
      </c>
      <c r="U8" s="0" t="s">
        <v>103</v>
      </c>
      <c r="V8" s="34" t="s">
        <v>44</v>
      </c>
      <c r="Y8" s="0" t="s">
        <v>104</v>
      </c>
      <c r="Z8" s="34" t="s">
        <v>39</v>
      </c>
    </row>
    <row r="9" customFormat="false" ht="12.75" hidden="false" customHeight="false" outlineLevel="0" collapsed="false">
      <c r="E9" s="47" t="str">
        <f aca="false">IF(F4="FGTS","Valor de Financiamento Contratado (R$):","Valor do Repasse Contratado (R$):")</f>
        <v>Valor do Repasse Contratado (R$):</v>
      </c>
      <c r="F9" s="49" t="n">
        <v>994700</v>
      </c>
      <c r="J9" s="42" t="s">
        <v>24</v>
      </c>
      <c r="S9" s="0" t="s">
        <v>105</v>
      </c>
      <c r="T9" s="34" t="s">
        <v>42</v>
      </c>
      <c r="U9" s="0" t="s">
        <v>106</v>
      </c>
      <c r="V9" s="34" t="s">
        <v>44</v>
      </c>
    </row>
    <row r="10" customFormat="false" ht="12.75" hidden="false" customHeight="false" outlineLevel="0" collapsed="false">
      <c r="E10" s="47" t="s">
        <v>107</v>
      </c>
      <c r="F10" s="49" t="n">
        <f aca="false">F11*F9</f>
        <v>994.7</v>
      </c>
      <c r="J10" s="42" t="s">
        <v>25</v>
      </c>
      <c r="S10" s="0" t="s">
        <v>108</v>
      </c>
      <c r="T10" s="34" t="s">
        <v>64</v>
      </c>
      <c r="U10" s="0" t="s">
        <v>109</v>
      </c>
      <c r="V10" s="34" t="s">
        <v>37</v>
      </c>
    </row>
    <row r="11" customFormat="false" ht="12.75" hidden="false" customHeight="false" outlineLevel="0" collapsed="false">
      <c r="E11" s="47" t="s">
        <v>110</v>
      </c>
      <c r="F11" s="50" t="n">
        <v>0.001</v>
      </c>
      <c r="J11" s="42" t="s">
        <v>26</v>
      </c>
      <c r="S11" s="0" t="s">
        <v>111</v>
      </c>
      <c r="T11" s="34" t="s">
        <v>42</v>
      </c>
    </row>
    <row r="12" customFormat="false" ht="12.75" hidden="false" customHeight="false" outlineLevel="0" collapsed="false">
      <c r="E12" s="47" t="s">
        <v>112</v>
      </c>
      <c r="F12" s="49"/>
      <c r="J12" s="42" t="s">
        <v>27</v>
      </c>
      <c r="S12" s="0" t="s">
        <v>45</v>
      </c>
      <c r="T12" s="34" t="s">
        <v>37</v>
      </c>
    </row>
    <row r="13" customFormat="false" ht="12.75" hidden="false" customHeight="false" outlineLevel="0" collapsed="false">
      <c r="E13" s="51" t="s">
        <v>113</v>
      </c>
      <c r="F13" s="52"/>
      <c r="J13" s="42" t="s">
        <v>28</v>
      </c>
      <c r="S13" s="0" t="s">
        <v>114</v>
      </c>
      <c r="T13" s="34" t="s">
        <v>42</v>
      </c>
    </row>
    <row r="14" customFormat="false" ht="12.75" hidden="false" customHeight="false" outlineLevel="0" collapsed="false">
      <c r="F14" s="53"/>
      <c r="J14" s="42" t="s">
        <v>29</v>
      </c>
    </row>
    <row r="15" customFormat="false" ht="13.8" hidden="false" customHeight="false" outlineLevel="0" collapsed="false">
      <c r="E15" s="41" t="s">
        <v>115</v>
      </c>
      <c r="F15" s="41"/>
      <c r="J15" s="42" t="s">
        <v>30</v>
      </c>
    </row>
    <row r="16" customFormat="false" ht="12.75" hidden="false" customHeight="false" outlineLevel="0" collapsed="false">
      <c r="E16" s="54" t="s">
        <v>116</v>
      </c>
      <c r="F16" s="55" t="s">
        <v>117</v>
      </c>
      <c r="J16" s="42" t="s">
        <v>31</v>
      </c>
    </row>
    <row r="17" customFormat="false" ht="12.75" hidden="false" customHeight="false" outlineLevel="0" collapsed="false">
      <c r="E17" s="47" t="s">
        <v>118</v>
      </c>
      <c r="F17" s="56" t="s">
        <v>117</v>
      </c>
      <c r="J17" s="42" t="s">
        <v>32</v>
      </c>
    </row>
    <row r="18" customFormat="false" ht="12.75" hidden="false" customHeight="false" outlineLevel="0" collapsed="false">
      <c r="E18" s="47" t="s">
        <v>119</v>
      </c>
      <c r="F18" s="57" t="s">
        <v>120</v>
      </c>
      <c r="J18" s="42" t="s">
        <v>33</v>
      </c>
    </row>
    <row r="19" customFormat="false" ht="12.75" hidden="false" customHeight="false" outlineLevel="0" collapsed="false">
      <c r="E19" s="58" t="s">
        <v>121</v>
      </c>
      <c r="F19" s="59" t="n">
        <v>45778</v>
      </c>
      <c r="J19" s="42" t="s">
        <v>34</v>
      </c>
    </row>
    <row r="20" customFormat="false" ht="12.75" hidden="false" customHeight="false" outlineLevel="0" collapsed="false">
      <c r="F20" s="60"/>
      <c r="J20" s="42"/>
    </row>
    <row r="21" customFormat="false" ht="13.8" hidden="false" customHeight="false" outlineLevel="0" collapsed="false">
      <c r="E21" s="41" t="s">
        <v>122</v>
      </c>
      <c r="F21" s="41"/>
      <c r="J21" s="42"/>
    </row>
    <row r="22" customFormat="false" ht="12.75" hidden="false" customHeight="false" outlineLevel="0" collapsed="false">
      <c r="E22" s="45" t="s">
        <v>123</v>
      </c>
      <c r="F22" s="61" t="s">
        <v>124</v>
      </c>
    </row>
    <row r="23" customFormat="false" ht="12.75" hidden="false" customHeight="false" outlineLevel="0" collapsed="false">
      <c r="E23" s="47" t="s">
        <v>125</v>
      </c>
      <c r="F23" s="48" t="s">
        <v>126</v>
      </c>
    </row>
    <row r="24" customFormat="false" ht="12.75" hidden="false" customHeight="false" outlineLevel="0" collapsed="false">
      <c r="E24" s="47" t="s">
        <v>127</v>
      </c>
      <c r="F24" s="48"/>
    </row>
    <row r="25" customFormat="false" ht="12.75" hidden="false" customHeight="false" outlineLevel="0" collapsed="false">
      <c r="E25" s="51" t="s">
        <v>128</v>
      </c>
      <c r="F25" s="62" t="n">
        <f aca="true">TODAY()</f>
        <v>45849</v>
      </c>
    </row>
    <row r="27" customFormat="false" ht="13.8" hidden="false" customHeight="false" outlineLevel="0" collapsed="false">
      <c r="E27" s="41" t="s">
        <v>129</v>
      </c>
      <c r="F27" s="41"/>
    </row>
    <row r="28" customFormat="false" ht="12.75" hidden="false" customHeight="false" outlineLevel="0" collapsed="false">
      <c r="E28" s="43" t="s">
        <v>123</v>
      </c>
      <c r="F28" s="63"/>
    </row>
    <row r="29" customFormat="false" ht="12.75" hidden="false" customHeight="false" outlineLevel="0" collapsed="false">
      <c r="E29" s="51" t="s">
        <v>130</v>
      </c>
      <c r="F29" s="64"/>
    </row>
    <row r="30" customFormat="false" ht="15" hidden="false" customHeight="false" outlineLevel="0" collapsed="false">
      <c r="E30" s="35"/>
    </row>
    <row r="31" customFormat="false" ht="12.75" hidden="false" customHeight="false" outlineLevel="0" collapsed="false">
      <c r="E31" s="65" t="s">
        <v>131</v>
      </c>
      <c r="F31" s="66" t="s">
        <v>132</v>
      </c>
    </row>
    <row r="32" customFormat="false" ht="12.75" hidden="false" customHeight="true" outlineLevel="0" collapsed="false">
      <c r="E32" s="35"/>
    </row>
    <row r="33" customFormat="false" ht="12.75" hidden="false" customHeight="true" outlineLevel="0" collapsed="false">
      <c r="E33" s="35" t="s">
        <v>133</v>
      </c>
    </row>
    <row r="34" customFormat="false" ht="15" hidden="false" customHeight="false" outlineLevel="0" collapsed="false">
      <c r="E34" s="35"/>
    </row>
    <row r="35" customFormat="false" ht="12.75" hidden="false" customHeight="true" outlineLevel="0" collapsed="false">
      <c r="E35" s="41" t="s">
        <v>134</v>
      </c>
      <c r="F35" s="41"/>
    </row>
    <row r="36" customFormat="false" ht="12.75" hidden="false" customHeight="false" outlineLevel="0" collapsed="false">
      <c r="E36" s="43" t="s">
        <v>135</v>
      </c>
      <c r="F36" s="67"/>
    </row>
    <row r="37" customFormat="false" ht="12.75" hidden="false" customHeight="false" outlineLevel="0" collapsed="false">
      <c r="E37" s="45" t="s">
        <v>136</v>
      </c>
      <c r="F37" s="46"/>
    </row>
    <row r="38" customFormat="false" ht="12.75" hidden="false" customHeight="false" outlineLevel="0" collapsed="false">
      <c r="E38" s="47" t="s">
        <v>137</v>
      </c>
      <c r="F38" s="48"/>
    </row>
    <row r="39" customFormat="false" ht="12.75" hidden="false" customHeight="false" outlineLevel="0" collapsed="false">
      <c r="E39" s="47" t="s">
        <v>138</v>
      </c>
      <c r="F39" s="48"/>
    </row>
    <row r="40" customFormat="false" ht="12.75" hidden="false" customHeight="false" outlineLevel="0" collapsed="false">
      <c r="E40" s="47" t="s">
        <v>139</v>
      </c>
      <c r="F40" s="57" t="s">
        <v>140</v>
      </c>
    </row>
    <row r="41" customFormat="false" ht="12.75" hidden="false" customHeight="false" outlineLevel="0" collapsed="false">
      <c r="E41" s="58" t="s">
        <v>141</v>
      </c>
      <c r="F41" s="68"/>
    </row>
    <row r="42" customFormat="false" ht="15" hidden="false" customHeight="false" outlineLevel="0" collapsed="false">
      <c r="E42" s="35"/>
    </row>
    <row r="43" customFormat="false" ht="12.75" hidden="false" customHeight="true" outlineLevel="0" collapsed="false">
      <c r="E43" s="35"/>
    </row>
    <row r="44" customFormat="false" ht="12.75" hidden="false" customHeight="true" outlineLevel="0" collapsed="false">
      <c r="E44" s="35" t="s">
        <v>142</v>
      </c>
    </row>
    <row r="45" customFormat="false" ht="15" hidden="false" customHeight="false" outlineLevel="0" collapsed="false">
      <c r="E45" s="35"/>
    </row>
    <row r="46" customFormat="false" ht="12.75" hidden="false" customHeight="true" outlineLevel="0" collapsed="false">
      <c r="E46" s="41" t="s">
        <v>143</v>
      </c>
      <c r="F46" s="41"/>
    </row>
    <row r="47" customFormat="false" ht="12.75" hidden="false" customHeight="false" outlineLevel="0" collapsed="false">
      <c r="E47" s="43" t="s">
        <v>144</v>
      </c>
      <c r="F47" s="67"/>
    </row>
    <row r="48" customFormat="false" ht="12.75" hidden="false" customHeight="false" outlineLevel="0" collapsed="false">
      <c r="E48" s="58" t="s">
        <v>145</v>
      </c>
      <c r="F48" s="69" t="n">
        <f aca="true">TODAY()</f>
        <v>45849</v>
      </c>
    </row>
    <row r="49" customFormat="false" ht="15" hidden="false" customHeight="false" outlineLevel="0" collapsed="false">
      <c r="E49" s="35"/>
    </row>
    <row r="50" customFormat="false" ht="12.75" hidden="false" customHeight="true" outlineLevel="0" collapsed="false">
      <c r="E50" s="41" t="s">
        <v>146</v>
      </c>
      <c r="F50" s="41"/>
    </row>
    <row r="51" customFormat="false" ht="12.75" hidden="false" customHeight="false" outlineLevel="0" collapsed="false">
      <c r="E51" s="43" t="s">
        <v>123</v>
      </c>
      <c r="F51" s="70"/>
    </row>
    <row r="52" customFormat="false" ht="12.75" hidden="false" customHeight="false" outlineLevel="0" collapsed="false">
      <c r="E52" s="47" t="s">
        <v>147</v>
      </c>
      <c r="F52" s="48"/>
    </row>
    <row r="53" customFormat="false" ht="12.75" hidden="false" customHeight="false" outlineLevel="0" collapsed="false">
      <c r="E53" s="47" t="s">
        <v>148</v>
      </c>
      <c r="F53" s="48"/>
    </row>
    <row r="54" customFormat="false" ht="12.75" hidden="false" customHeight="false" outlineLevel="0" collapsed="false">
      <c r="E54" s="51" t="s">
        <v>149</v>
      </c>
      <c r="F54" s="71"/>
    </row>
    <row r="55" customFormat="false" ht="12.75" hidden="false" customHeight="false" outlineLevel="0" collapsed="false">
      <c r="F55" s="60"/>
    </row>
    <row r="57" customFormat="false" ht="15" hidden="false" customHeight="false" outlineLevel="0" collapsed="false">
      <c r="E57" s="35" t="s">
        <v>150</v>
      </c>
    </row>
    <row r="58" customFormat="false" ht="15" hidden="false" customHeight="false" outlineLevel="0" collapsed="false">
      <c r="E58" s="35"/>
    </row>
    <row r="59" customFormat="false" ht="13.8" hidden="false" customHeight="false" outlineLevel="0" collapsed="false">
      <c r="E59" s="41" t="s">
        <v>151</v>
      </c>
      <c r="F59" s="41"/>
    </row>
    <row r="60" customFormat="false" ht="12.75" hidden="false" customHeight="false" outlineLevel="0" collapsed="false">
      <c r="E60" s="43" t="s">
        <v>123</v>
      </c>
      <c r="F60" s="70"/>
    </row>
    <row r="61" customFormat="false" ht="12.75" hidden="false" customHeight="false" outlineLevel="0" collapsed="false">
      <c r="E61" s="58" t="s">
        <v>152</v>
      </c>
      <c r="F61" s="72"/>
    </row>
  </sheetData>
  <sheetProtection algorithmName="SHA-512" hashValue="qhS/ShjVl0+iA4u/StJPADXZyyqWi5zwH0VBtDEuJX/uBAKcz7JKS5I8lzesfnvIOedvcSZU9CgCLO5EWPt0UQ==" saltValue="rK4r+LATfY57KJ9egRg7Kg==" spinCount="100000" sheet="true" objects="true" scenarios="true" autoFilter="false"/>
  <mergeCells count="9">
    <mergeCell ref="L1:AR1"/>
    <mergeCell ref="E3:F3"/>
    <mergeCell ref="E15:F15"/>
    <mergeCell ref="E21:F21"/>
    <mergeCell ref="E27:F27"/>
    <mergeCell ref="E35:F35"/>
    <mergeCell ref="E46:F46"/>
    <mergeCell ref="E50:F50"/>
    <mergeCell ref="E59:F59"/>
  </mergeCells>
  <conditionalFormatting sqref="E57:F58">
    <cfRule type="expression" priority="2" aboveAverage="0" equalAverage="0" bottom="0" percent="0" rank="0" text="" dxfId="6">
      <formula>CAIXA.Modo=0</formula>
    </cfRule>
  </conditionalFormatting>
  <conditionalFormatting sqref="E59:F61">
    <cfRule type="expression" priority="3" aboveAverage="0" equalAverage="0" bottom="0" percent="0" rank="0" text="" dxfId="7">
      <formula>CAIXA.Modo=0</formula>
    </cfRule>
  </conditionalFormatting>
  <dataValidations count="7">
    <dataValidation allowBlank="true" error="Digite somente datas válidas no formato mm/aaaa." errorStyle="stop" errorTitle="Dados inválidos" operator="between" showDropDown="false" showErrorMessage="true" showInputMessage="false" sqref="F19 F25 F36 F41 F47:F48" type="date">
      <formula1>36526</formula1>
      <formula2>72686</formula2>
    </dataValidation>
    <dataValidation allowBlank="true" errorStyle="stop" operator="between" showDropDown="false" showErrorMessage="true" showInputMessage="false" sqref="F18" type="list">
      <formula1>"(SELECIONAR),NÃO SE APLICA,DESONERADO,NÃO DESONERADO"</formula1>
      <formula2>0</formula2>
    </dataValidation>
    <dataValidation allowBlank="true" error="Digite um valor em percentual.&#10;&#10;Ou seja um valor de 0% (zero) até 100% (cem). " errorStyle="stop" operator="between" showDropDown="false" showErrorMessage="true" showInputMessage="false" sqref="F11 F13:F14" type="decimal">
      <formula1>0</formula1>
      <formula2>1</formula2>
    </dataValidation>
    <dataValidation allowBlank="true" errorStyle="stop" operator="between" showDropDown="false" showErrorMessage="true" showInputMessage="false" sqref="F4" type="list">
      <formula1>"(SELECIONAR),OGU,FGTS"</formula1>
      <formula2>0</formula2>
    </dataValidation>
    <dataValidation allowBlank="true" error="Digite um valor maior do que 0." errorStyle="stop" operator="greaterThan" showDropDown="false" showErrorMessage="true" showInputMessage="false" sqref="F12" type="decimal">
      <formula1>0</formula1>
      <formula2>0</formula2>
    </dataValidation>
    <dataValidation allowBlank="true" errorStyle="stop" operator="between" showDropDown="false" showErrorMessage="true" showInputMessage="false" sqref="F40" type="list">
      <formula1>"(SELECIONAR),INDEFINIDO / NÃO SE APLICA,EMPREITADA POR PREÇO GLOBAL,EMPREITADA POR PREÇO UNITÁRIO,EMPREITADA INTEGRAL,TAREFA,CONTRATAÇÃO INTEGRADA,ADM. DIRETA"</formula1>
      <formula2>0</formula2>
    </dataValidation>
    <dataValidation allowBlank="true" errorStyle="stop" operator="between" showDropDown="false" showErrorMessage="true" showInputMessage="false" sqref="F31" type="list">
      <formula1>"Tradicional,TransfereGOV"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&amp;LPMv3.0.6&amp;R&amp;P /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3:E52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2.75" customHeight="true" zeroHeight="false" outlineLevelRow="0" outlineLevelCol="0"/>
  <cols>
    <col collapsed="false" customWidth="true" hidden="false" outlineLevel="0" max="2" min="2" style="0" width="5.71"/>
    <col collapsed="false" customWidth="true" hidden="false" outlineLevel="0" max="3" min="3" style="0" width="3.71"/>
  </cols>
  <sheetData>
    <row r="3" customFormat="false" ht="36.75" hidden="false" customHeight="true" outlineLevel="0" collapsed="false">
      <c r="B3" s="73" t="s">
        <v>153</v>
      </c>
    </row>
    <row r="5" customFormat="false" ht="17.35" hidden="false" customHeight="false" outlineLevel="0" collapsed="false">
      <c r="A5" s="30"/>
      <c r="B5" s="74"/>
      <c r="C5" s="74"/>
      <c r="D5" s="75"/>
    </row>
    <row r="6" customFormat="false" ht="17.35" hidden="false" customHeight="false" outlineLevel="0" collapsed="false">
      <c r="A6" s="76" t="s">
        <v>154</v>
      </c>
      <c r="B6" s="77"/>
      <c r="C6" s="77"/>
      <c r="D6" s="20"/>
    </row>
    <row r="7" customFormat="false" ht="13.8" hidden="false" customHeight="false" outlineLevel="0" collapsed="false">
      <c r="A7" s="16"/>
      <c r="B7" s="78" t="s">
        <v>155</v>
      </c>
      <c r="C7" s="78"/>
      <c r="D7" s="20"/>
    </row>
    <row r="8" customFormat="false" ht="13.8" hidden="false" customHeight="false" outlineLevel="0" collapsed="false">
      <c r="A8" s="16"/>
      <c r="B8" s="78"/>
      <c r="C8" s="79" t="str">
        <f aca="false">IF(D8&lt;&gt;"","▪","")</f>
        <v>▪</v>
      </c>
      <c r="D8" s="20" t="s">
        <v>156</v>
      </c>
    </row>
    <row r="9" customFormat="false" ht="13.8" hidden="false" customHeight="false" outlineLevel="0" collapsed="false">
      <c r="A9" s="16"/>
      <c r="B9" s="78"/>
      <c r="C9" s="79" t="str">
        <f aca="false">IF(D9&lt;&gt;"","▪","")</f>
        <v/>
      </c>
      <c r="D9" s="20"/>
    </row>
    <row r="10" customFormat="false" ht="17.35" hidden="false" customHeight="false" outlineLevel="0" collapsed="false">
      <c r="A10" s="80" t="s">
        <v>157</v>
      </c>
      <c r="B10" s="81"/>
      <c r="C10" s="81"/>
      <c r="D10" s="82"/>
    </row>
    <row r="11" customFormat="false" ht="13.8" hidden="false" customHeight="false" outlineLevel="0" collapsed="false">
      <c r="A11" s="16"/>
      <c r="B11" s="78" t="s">
        <v>155</v>
      </c>
      <c r="C11" s="78"/>
      <c r="D11" s="20"/>
    </row>
    <row r="12" customFormat="false" ht="13.8" hidden="false" customHeight="false" outlineLevel="0" collapsed="false">
      <c r="A12" s="16"/>
      <c r="B12" s="78"/>
      <c r="C12" s="79" t="str">
        <f aca="false">IF(D12&lt;&gt;"","▪","")</f>
        <v>▪</v>
      </c>
      <c r="D12" s="20" t="s">
        <v>158</v>
      </c>
    </row>
    <row r="13" customFormat="false" ht="13.8" hidden="false" customHeight="false" outlineLevel="0" collapsed="false">
      <c r="A13" s="16"/>
      <c r="B13" s="78" t="s">
        <v>159</v>
      </c>
      <c r="C13" s="78"/>
      <c r="D13" s="20"/>
    </row>
    <row r="14" customFormat="false" ht="13.8" hidden="false" customHeight="false" outlineLevel="0" collapsed="false">
      <c r="A14" s="16"/>
      <c r="B14" s="78"/>
      <c r="C14" s="79" t="str">
        <f aca="false">IF(D14&lt;&gt;"","▪","")</f>
        <v>▪</v>
      </c>
      <c r="D14" s="20" t="s">
        <v>160</v>
      </c>
    </row>
    <row r="15" customFormat="false" ht="13.8" hidden="false" customHeight="false" outlineLevel="0" collapsed="false">
      <c r="A15" s="16"/>
      <c r="C15" s="79" t="str">
        <f aca="false">IF(D15&lt;&gt;"","▪","")</f>
        <v>▪</v>
      </c>
      <c r="D15" s="20" t="s">
        <v>161</v>
      </c>
    </row>
    <row r="16" customFormat="false" ht="12.75" hidden="false" customHeight="false" outlineLevel="0" collapsed="false">
      <c r="A16" s="30"/>
    </row>
    <row r="17" customFormat="false" ht="17.35" hidden="false" customHeight="false" outlineLevel="0" collapsed="false">
      <c r="A17" s="80" t="s">
        <v>162</v>
      </c>
      <c r="B17" s="81"/>
      <c r="C17" s="81"/>
      <c r="D17" s="82"/>
    </row>
    <row r="18" customFormat="false" ht="13.8" hidden="false" customHeight="false" outlineLevel="0" collapsed="false">
      <c r="A18" s="16"/>
      <c r="B18" s="78" t="s">
        <v>155</v>
      </c>
      <c r="C18" s="78"/>
      <c r="D18" s="20"/>
    </row>
    <row r="19" customFormat="false" ht="13.8" hidden="false" customHeight="false" outlineLevel="0" collapsed="false">
      <c r="A19" s="16"/>
      <c r="B19" s="78"/>
      <c r="C19" s="79" t="str">
        <f aca="false">IF(D19&lt;&gt;"","▪","")</f>
        <v>▪</v>
      </c>
      <c r="D19" s="20" t="s">
        <v>158</v>
      </c>
    </row>
    <row r="20" customFormat="false" ht="13.8" hidden="false" customHeight="false" outlineLevel="0" collapsed="false">
      <c r="A20" s="16"/>
      <c r="B20" s="78"/>
      <c r="C20" s="79" t="str">
        <f aca="false">IF(D20&lt;&gt;"","▪","")</f>
        <v>▪</v>
      </c>
      <c r="D20" s="20" t="s">
        <v>163</v>
      </c>
    </row>
    <row r="21" customFormat="false" ht="13.8" hidden="false" customHeight="false" outlineLevel="0" collapsed="false">
      <c r="A21" s="16"/>
      <c r="B21" s="78" t="s">
        <v>164</v>
      </c>
      <c r="C21" s="78"/>
      <c r="D21" s="20"/>
    </row>
    <row r="22" customFormat="false" ht="13.8" hidden="false" customHeight="false" outlineLevel="0" collapsed="false">
      <c r="A22" s="16"/>
      <c r="B22" s="78"/>
      <c r="C22" s="79" t="str">
        <f aca="false">IF(D22&lt;&gt;"","▪","")</f>
        <v>▪</v>
      </c>
      <c r="D22" s="20" t="s">
        <v>165</v>
      </c>
    </row>
    <row r="23" customFormat="false" ht="13.8" hidden="false" customHeight="false" outlineLevel="0" collapsed="false">
      <c r="A23" s="16"/>
      <c r="B23" s="78" t="s">
        <v>166</v>
      </c>
      <c r="C23" s="78"/>
      <c r="D23" s="20"/>
    </row>
    <row r="24" customFormat="false" ht="13.8" hidden="false" customHeight="false" outlineLevel="0" collapsed="false">
      <c r="A24" s="16"/>
      <c r="B24" s="78"/>
      <c r="C24" s="79" t="str">
        <f aca="false">IF(D24&lt;&gt;"","▪","")</f>
        <v>▪</v>
      </c>
      <c r="D24" s="20" t="s">
        <v>167</v>
      </c>
    </row>
    <row r="25" customFormat="false" ht="13.8" hidden="false" customHeight="false" outlineLevel="0" collapsed="false">
      <c r="A25" s="16"/>
      <c r="B25" s="78" t="s">
        <v>168</v>
      </c>
      <c r="C25" s="78"/>
      <c r="D25" s="20"/>
    </row>
    <row r="26" customFormat="false" ht="13.8" hidden="false" customHeight="false" outlineLevel="0" collapsed="false">
      <c r="A26" s="16"/>
      <c r="B26" s="78"/>
      <c r="C26" s="79" t="str">
        <f aca="false">IF(D26&lt;&gt;"","▪","")</f>
        <v>▪</v>
      </c>
      <c r="D26" s="20" t="s">
        <v>169</v>
      </c>
    </row>
    <row r="27" customFormat="false" ht="13.8" hidden="false" customHeight="false" outlineLevel="0" collapsed="false">
      <c r="A27" s="16"/>
      <c r="B27" s="78" t="s">
        <v>170</v>
      </c>
      <c r="C27" s="78"/>
      <c r="D27" s="20"/>
    </row>
    <row r="28" customFormat="false" ht="13.8" hidden="false" customHeight="false" outlineLevel="0" collapsed="false">
      <c r="A28" s="16"/>
      <c r="B28" s="78"/>
      <c r="C28" s="79" t="str">
        <f aca="false">IF(D28&lt;&gt;"","▪","")</f>
        <v>▪</v>
      </c>
      <c r="D28" s="20" t="s">
        <v>171</v>
      </c>
    </row>
    <row r="29" customFormat="false" ht="12.75" hidden="false" customHeight="false" outlineLevel="0" collapsed="false">
      <c r="A29" s="30"/>
    </row>
    <row r="30" customFormat="false" ht="17.35" hidden="false" customHeight="false" outlineLevel="0" collapsed="false">
      <c r="A30" s="80" t="s">
        <v>172</v>
      </c>
      <c r="B30" s="81"/>
      <c r="C30" s="81"/>
      <c r="D30" s="82"/>
    </row>
    <row r="31" customFormat="false" ht="13.8" hidden="false" customHeight="false" outlineLevel="0" collapsed="false">
      <c r="A31" s="16"/>
      <c r="B31" s="78" t="s">
        <v>155</v>
      </c>
      <c r="C31" s="78"/>
      <c r="D31" s="20"/>
    </row>
    <row r="32" customFormat="false" ht="13.8" hidden="false" customHeight="false" outlineLevel="0" collapsed="false">
      <c r="A32" s="16"/>
      <c r="B32" s="78"/>
      <c r="C32" s="79" t="str">
        <f aca="false">IF(D32&lt;&gt;"","▪","")</f>
        <v>▪</v>
      </c>
      <c r="D32" s="20" t="s">
        <v>163</v>
      </c>
    </row>
    <row r="33" customFormat="false" ht="13.8" hidden="false" customHeight="false" outlineLevel="0" collapsed="false">
      <c r="A33" s="16"/>
      <c r="B33" s="78" t="s">
        <v>173</v>
      </c>
      <c r="C33" s="79"/>
      <c r="D33" s="20"/>
    </row>
    <row r="34" customFormat="false" ht="13.8" hidden="false" customHeight="false" outlineLevel="0" collapsed="false">
      <c r="A34" s="16"/>
      <c r="B34" s="78"/>
      <c r="C34" s="79" t="str">
        <f aca="false">IF(D34&lt;&gt;"","▪","")</f>
        <v>▪</v>
      </c>
      <c r="D34" s="20" t="s">
        <v>174</v>
      </c>
    </row>
    <row r="35" customFormat="false" ht="13.8" hidden="false" customHeight="false" outlineLevel="0" collapsed="false">
      <c r="A35" s="16"/>
      <c r="B35" s="78"/>
      <c r="C35" s="78"/>
      <c r="D35" s="78"/>
      <c r="E35" s="78"/>
    </row>
    <row r="36" customFormat="false" ht="12.75" hidden="false" customHeight="false" outlineLevel="0" collapsed="false">
      <c r="A36" s="30"/>
    </row>
    <row r="37" customFormat="false" ht="17.35" hidden="false" customHeight="false" outlineLevel="0" collapsed="false">
      <c r="A37" s="80" t="s">
        <v>175</v>
      </c>
      <c r="B37" s="81"/>
      <c r="C37" s="81"/>
      <c r="D37" s="82"/>
    </row>
    <row r="38" customFormat="false" ht="13.8" hidden="false" customHeight="false" outlineLevel="0" collapsed="false">
      <c r="A38" s="16"/>
      <c r="B38" s="78" t="s">
        <v>176</v>
      </c>
      <c r="C38" s="78"/>
      <c r="D38" s="20"/>
    </row>
    <row r="39" customFormat="false" ht="13.8" hidden="false" customHeight="false" outlineLevel="0" collapsed="false">
      <c r="A39" s="16"/>
      <c r="B39" s="78"/>
      <c r="C39" s="79" t="str">
        <f aca="false">IF(D39&lt;&gt;"","▪","")</f>
        <v>▪</v>
      </c>
      <c r="D39" s="20" t="s">
        <v>177</v>
      </c>
    </row>
    <row r="40" customFormat="false" ht="13.8" hidden="false" customHeight="false" outlineLevel="0" collapsed="false">
      <c r="A40" s="16"/>
      <c r="B40" s="78" t="s">
        <v>166</v>
      </c>
      <c r="C40" s="78"/>
      <c r="D40" s="20"/>
    </row>
    <row r="41" customFormat="false" ht="13.8" hidden="false" customHeight="false" outlineLevel="0" collapsed="false">
      <c r="A41" s="16"/>
      <c r="B41" s="78"/>
      <c r="C41" s="79" t="str">
        <f aca="false">IF(D41&lt;&gt;"","▪","")</f>
        <v>▪</v>
      </c>
      <c r="D41" s="20" t="s">
        <v>178</v>
      </c>
    </row>
    <row r="42" customFormat="false" ht="13.8" hidden="false" customHeight="false" outlineLevel="0" collapsed="false">
      <c r="A42" s="16"/>
      <c r="B42" s="78" t="s">
        <v>168</v>
      </c>
      <c r="C42" s="78"/>
      <c r="D42" s="20"/>
      <c r="E42" s="78"/>
    </row>
    <row r="43" customFormat="false" ht="13.8" hidden="false" customHeight="false" outlineLevel="0" collapsed="false">
      <c r="A43" s="16"/>
      <c r="B43" s="78"/>
      <c r="C43" s="79" t="str">
        <f aca="false">IF(D43&lt;&gt;"","▪","")</f>
        <v>▪</v>
      </c>
      <c r="D43" s="20" t="s">
        <v>179</v>
      </c>
    </row>
    <row r="44" customFormat="false" ht="13.8" hidden="false" customHeight="false" outlineLevel="0" collapsed="false">
      <c r="A44" s="16"/>
      <c r="B44" s="78"/>
      <c r="C44" s="78"/>
      <c r="D44" s="78"/>
    </row>
    <row r="45" customFormat="false" ht="17.35" hidden="false" customHeight="false" outlineLevel="0" collapsed="false">
      <c r="A45" s="80" t="s">
        <v>180</v>
      </c>
      <c r="B45" s="81"/>
      <c r="C45" s="81"/>
      <c r="D45" s="82"/>
    </row>
    <row r="46" customFormat="false" ht="13.8" hidden="false" customHeight="false" outlineLevel="0" collapsed="false">
      <c r="A46" s="16"/>
      <c r="B46" s="78" t="s">
        <v>155</v>
      </c>
      <c r="C46" s="78"/>
      <c r="D46" s="20"/>
    </row>
    <row r="47" customFormat="false" ht="13.8" hidden="false" customHeight="false" outlineLevel="0" collapsed="false">
      <c r="A47" s="16"/>
      <c r="B47" s="78"/>
      <c r="C47" s="79" t="str">
        <f aca="false">IF(D47&lt;&gt;"","▪","")</f>
        <v>▪</v>
      </c>
      <c r="D47" s="20" t="s">
        <v>181</v>
      </c>
    </row>
    <row r="48" customFormat="false" ht="13.8" hidden="false" customHeight="false" outlineLevel="0" collapsed="false">
      <c r="A48" s="16"/>
      <c r="B48" s="78"/>
      <c r="C48" s="78"/>
      <c r="D48" s="78"/>
    </row>
    <row r="49" customFormat="false" ht="17.35" hidden="false" customHeight="false" outlineLevel="0" collapsed="false">
      <c r="A49" s="80" t="s">
        <v>182</v>
      </c>
      <c r="B49" s="81"/>
      <c r="C49" s="81"/>
      <c r="D49" s="82"/>
    </row>
    <row r="50" customFormat="false" ht="13.8" hidden="false" customHeight="false" outlineLevel="0" collapsed="false">
      <c r="A50" s="16"/>
      <c r="B50" s="78" t="s">
        <v>155</v>
      </c>
      <c r="C50" s="78"/>
      <c r="D50" s="20"/>
    </row>
    <row r="51" customFormat="false" ht="13.8" hidden="false" customHeight="false" outlineLevel="0" collapsed="false">
      <c r="A51" s="16"/>
      <c r="B51" s="78"/>
      <c r="C51" s="79" t="str">
        <f aca="false">IF(D51&lt;&gt;"","▪","")</f>
        <v>▪</v>
      </c>
      <c r="D51" s="20" t="s">
        <v>183</v>
      </c>
    </row>
    <row r="52" customFormat="false" ht="13.8" hidden="false" customHeight="false" outlineLevel="0" collapsed="false">
      <c r="A52" s="16"/>
      <c r="B52" s="78"/>
      <c r="C52" s="79" t="str">
        <f aca="false">IF(D52&lt;&gt;"","▪","")</f>
        <v>▪</v>
      </c>
      <c r="D52" s="20" t="s">
        <v>184</v>
      </c>
    </row>
  </sheetData>
  <sheetProtection algorithmName="SHA-512" hashValue="GC6aTY4P3+MgUUaaLQr7h0CNDYXN8M3ZMYAUt6aL0dD73B0tM8IsJMu1rlkcLSClvINKcCdfIJYgR1tTOZ4AQA==" saltValue="lkrPr3lBUuggvMEOMJPFDg==" spinCount="100000" sheet="true" objects="true" scenarios="true" autoFilter="false"/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&amp;LPMv3.0.6&amp;R&amp;P /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true">
    <pageSetUpPr fitToPage="true"/>
  </sheetPr>
  <dimension ref="A1:Z146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0" ySplit="11" topLeftCell="A12" activePane="bottomLeft" state="frozen"/>
      <selection pane="topLeft" activeCell="A1" activeCellId="0" sqref="A1"/>
      <selection pane="bottomLeft" activeCell="R11" activeCellId="0" sqref="R11"/>
    </sheetView>
  </sheetViews>
  <sheetFormatPr defaultColWidth="8.6796875" defaultRowHeight="12.75" customHeight="true" zeroHeight="false" outlineLevelRow="0" outlineLevelCol="0"/>
  <cols>
    <col collapsed="false" customWidth="true" hidden="true" outlineLevel="0" max="4" min="1" style="83" width="5.71"/>
    <col collapsed="false" customWidth="true" hidden="true" outlineLevel="0" max="5" min="5" style="83" width="11.29"/>
    <col collapsed="false" customWidth="true" hidden="true" outlineLevel="0" max="6" min="6" style="83" width="11.43"/>
    <col collapsed="false" customWidth="true" hidden="true" outlineLevel="0" max="7" min="7" style="83" width="11.85"/>
    <col collapsed="false" customWidth="true" hidden="false" outlineLevel="0" max="8" min="8" style="0" width="10.71"/>
    <col collapsed="false" customWidth="true" hidden="false" outlineLevel="0" max="9" min="9" style="0" width="3.71"/>
    <col collapsed="false" customWidth="true" hidden="false" outlineLevel="0" max="15" min="10" style="83" width="10.71"/>
    <col collapsed="false" customWidth="true" hidden="false" outlineLevel="0" max="16" min="16" style="83" width="12.86"/>
    <col collapsed="false" customWidth="true" hidden="false" outlineLevel="0" max="19" min="17" style="83" width="10.71"/>
  </cols>
  <sheetData>
    <row r="1" customFormat="false" ht="15" hidden="false" customHeight="false" outlineLevel="0" collapsed="false">
      <c r="E1" s="84" t="s">
        <v>185</v>
      </c>
      <c r="F1" s="84" t="s">
        <v>186</v>
      </c>
      <c r="G1" s="84" t="s">
        <v>187</v>
      </c>
      <c r="O1" s="85" t="str">
        <f aca="false">"Quadro de Composição do BDI"</f>
        <v>Quadro de Composição do BDI</v>
      </c>
      <c r="R1" s="86" t="s">
        <v>188</v>
      </c>
      <c r="S1" s="86"/>
    </row>
    <row r="2" customFormat="false" ht="12.75" hidden="false" customHeight="false" outlineLevel="0" collapsed="false">
      <c r="A2" s="83" t="s">
        <v>189</v>
      </c>
      <c r="B2" s="87" t="s">
        <v>190</v>
      </c>
      <c r="C2" s="83" t="str">
        <f aca="false">CONCATENATE(A2,"-",B2)</f>
        <v>Construção e Reforma de Edifícios-AC</v>
      </c>
      <c r="E2" s="88" t="n">
        <v>0.03</v>
      </c>
      <c r="F2" s="88" t="n">
        <v>0.04</v>
      </c>
      <c r="G2" s="88" t="n">
        <v>0.055</v>
      </c>
      <c r="R2" s="40" t="s">
        <v>191</v>
      </c>
      <c r="S2" s="40"/>
    </row>
    <row r="3" customFormat="false" ht="12.75" hidden="false" customHeight="false" outlineLevel="0" collapsed="false">
      <c r="A3" s="83" t="str">
        <f aca="false">A2</f>
        <v>Construção e Reforma de Edifícios</v>
      </c>
      <c r="B3" s="87" t="s">
        <v>192</v>
      </c>
      <c r="C3" s="83" t="str">
        <f aca="false">CONCATENATE(A3,"-",B3)</f>
        <v>Construção e Reforma de Edifícios-SG</v>
      </c>
      <c r="E3" s="88" t="n">
        <v>0.008</v>
      </c>
      <c r="F3" s="88" t="n">
        <v>0.008</v>
      </c>
      <c r="G3" s="88" t="n">
        <v>0.01</v>
      </c>
    </row>
    <row r="4" customFormat="false" ht="12.75" hidden="false" customHeight="false" outlineLevel="0" collapsed="false">
      <c r="A4" s="83" t="str">
        <f aca="false">A3</f>
        <v>Construção e Reforma de Edifícios</v>
      </c>
      <c r="B4" s="87" t="s">
        <v>193</v>
      </c>
      <c r="C4" s="83" t="str">
        <f aca="false">CONCATENATE(A4,"-",B4)</f>
        <v>Construção e Reforma de Edifícios-R</v>
      </c>
      <c r="E4" s="88" t="n">
        <v>0.0097</v>
      </c>
      <c r="F4" s="88" t="n">
        <v>0.0127</v>
      </c>
      <c r="G4" s="88" t="n">
        <v>0.0127</v>
      </c>
      <c r="J4" s="89" t="s">
        <v>194</v>
      </c>
      <c r="K4" s="89"/>
      <c r="L4" s="89" t="s">
        <v>195</v>
      </c>
      <c r="M4" s="89"/>
      <c r="N4" s="89" t="s">
        <v>196</v>
      </c>
      <c r="O4" s="89"/>
      <c r="P4" s="89"/>
      <c r="Q4" s="89"/>
      <c r="R4" s="89"/>
      <c r="S4" s="89"/>
    </row>
    <row r="5" customFormat="false" ht="12.75" hidden="false" customHeight="true" outlineLevel="0" collapsed="false">
      <c r="A5" s="83" t="str">
        <f aca="false">A4</f>
        <v>Construção e Reforma de Edifícios</v>
      </c>
      <c r="B5" s="87" t="s">
        <v>197</v>
      </c>
      <c r="C5" s="83" t="str">
        <f aca="false">CONCATENATE(A5,"-",B5)</f>
        <v>Construção e Reforma de Edifícios-DF</v>
      </c>
      <c r="E5" s="88" t="n">
        <v>0.0059</v>
      </c>
      <c r="F5" s="88" t="n">
        <v>0.0123</v>
      </c>
      <c r="G5" s="88" t="n">
        <v>0.0139</v>
      </c>
      <c r="J5" s="90" t="n">
        <f aca="false">Import.CR</f>
        <v>0</v>
      </c>
      <c r="K5" s="90"/>
      <c r="L5" s="90" t="n">
        <f aca="false">Import.TransfereGOV</f>
        <v>0</v>
      </c>
      <c r="M5" s="90"/>
      <c r="N5" s="90" t="n">
        <f aca="false">Import.Proponente</f>
        <v>0</v>
      </c>
      <c r="O5" s="90"/>
      <c r="P5" s="90"/>
      <c r="Q5" s="90"/>
      <c r="R5" s="90"/>
      <c r="S5" s="90"/>
    </row>
    <row r="6" customFormat="false" ht="12.75" hidden="false" customHeight="false" outlineLevel="0" collapsed="false">
      <c r="A6" s="83" t="str">
        <f aca="false">A5</f>
        <v>Construção e Reforma de Edifícios</v>
      </c>
      <c r="B6" s="87" t="s">
        <v>198</v>
      </c>
      <c r="C6" s="83" t="str">
        <f aca="false">CONCATENATE(A6,"-",B6)</f>
        <v>Construção e Reforma de Edifícios-L</v>
      </c>
      <c r="E6" s="88" t="n">
        <v>0.0616</v>
      </c>
      <c r="F6" s="88" t="n">
        <v>0.074</v>
      </c>
      <c r="G6" s="88" t="n">
        <v>0.0896</v>
      </c>
      <c r="I6" s="91" t="s">
        <v>199</v>
      </c>
      <c r="J6" s="92"/>
      <c r="K6" s="92"/>
      <c r="L6" s="92"/>
      <c r="M6" s="92"/>
      <c r="N6" s="92"/>
      <c r="O6" s="92"/>
      <c r="P6" s="92"/>
      <c r="Q6" s="92"/>
      <c r="R6" s="92"/>
      <c r="S6" s="92"/>
    </row>
    <row r="7" customFormat="false" ht="23.85" hidden="false" customHeight="false" outlineLevel="0" collapsed="false">
      <c r="A7" s="83" t="str">
        <f aca="false">A6</f>
        <v>Construção e Reforma de Edifícios</v>
      </c>
      <c r="B7" s="93" t="s">
        <v>200</v>
      </c>
      <c r="C7" s="83" t="str">
        <f aca="false">CONCATENATE(A7,"-",B7)</f>
        <v>Construção e Reforma de Edifícios-BDI PAD</v>
      </c>
      <c r="E7" s="88" t="n">
        <v>0.2034</v>
      </c>
      <c r="F7" s="88" t="n">
        <v>0.2212</v>
      </c>
      <c r="G7" s="88" t="n">
        <v>0.25</v>
      </c>
      <c r="I7" s="91"/>
      <c r="J7" s="89" t="s">
        <v>201</v>
      </c>
      <c r="K7" s="89"/>
      <c r="L7" s="89"/>
      <c r="M7" s="89"/>
      <c r="N7" s="89"/>
      <c r="O7" s="89"/>
      <c r="P7" s="89"/>
      <c r="Q7" s="89"/>
      <c r="R7" s="89"/>
      <c r="S7" s="89"/>
    </row>
    <row r="8" customFormat="false" ht="12.75" hidden="false" customHeight="false" outlineLevel="0" collapsed="false">
      <c r="A8" s="83" t="s">
        <v>202</v>
      </c>
      <c r="B8" s="87" t="s">
        <v>190</v>
      </c>
      <c r="C8" s="83" t="str">
        <f aca="false">CONCATENATE(A8,"-",B8)</f>
        <v>Construção de Praças Urbanas, Rodovias, Ferrovias e recapeamento e pavimentação de vias urbanas-AC</v>
      </c>
      <c r="E8" s="88" t="n">
        <v>0.038</v>
      </c>
      <c r="F8" s="88" t="n">
        <v>0.0401</v>
      </c>
      <c r="G8" s="88" t="n">
        <v>0.0467</v>
      </c>
      <c r="I8" s="91"/>
      <c r="J8" s="94" t="str">
        <f aca="false">Import.Apelido&amp;" / "&amp;Import.DescLote</f>
        <v>Pavimentação MG-446 / Pavimentação MG-446</v>
      </c>
      <c r="K8" s="94"/>
      <c r="L8" s="94"/>
      <c r="M8" s="94"/>
      <c r="N8" s="94"/>
      <c r="O8" s="94"/>
      <c r="P8" s="94"/>
      <c r="Q8" s="94"/>
      <c r="R8" s="94"/>
      <c r="S8" s="94"/>
    </row>
    <row r="9" customFormat="false" ht="12.75" hidden="false" customHeight="false" outlineLevel="0" collapsed="false">
      <c r="A9" s="83" t="s">
        <v>202</v>
      </c>
      <c r="B9" s="87" t="s">
        <v>192</v>
      </c>
      <c r="C9" s="83" t="str">
        <f aca="false">CONCATENATE(A9,"-",B9)</f>
        <v>Construção de Praças Urbanas, Rodovias, Ferrovias e recapeamento e pavimentação de vias urbanas-SG</v>
      </c>
      <c r="E9" s="88" t="n">
        <v>0.0032</v>
      </c>
      <c r="F9" s="88" t="n">
        <v>0.004</v>
      </c>
      <c r="G9" s="88" t="n">
        <v>0.0074</v>
      </c>
      <c r="I9" s="91"/>
      <c r="J9" s="92"/>
      <c r="K9" s="92"/>
      <c r="L9" s="92"/>
      <c r="M9" s="92"/>
      <c r="N9" s="92"/>
      <c r="O9" s="92"/>
      <c r="P9" s="92"/>
      <c r="Q9" s="92"/>
      <c r="R9" s="92"/>
      <c r="S9" s="92"/>
    </row>
    <row r="10" customFormat="false" ht="12.75" hidden="false" customHeight="true" outlineLevel="0" collapsed="false">
      <c r="A10" s="83" t="s">
        <v>202</v>
      </c>
      <c r="B10" s="87" t="s">
        <v>193</v>
      </c>
      <c r="C10" s="83" t="str">
        <f aca="false">CONCATENATE(A10,"-",B10)</f>
        <v>Construção de Praças Urbanas, Rodovias, Ferrovias e recapeamento e pavimentação de vias urbanas-R</v>
      </c>
      <c r="E10" s="88" t="n">
        <v>0.005</v>
      </c>
      <c r="F10" s="88" t="n">
        <v>0.0056</v>
      </c>
      <c r="G10" s="88" t="n">
        <v>0.0097</v>
      </c>
      <c r="I10" s="91"/>
      <c r="J10" s="95" t="s">
        <v>203</v>
      </c>
      <c r="K10" s="95"/>
      <c r="L10" s="95"/>
      <c r="M10" s="95"/>
      <c r="N10" s="95"/>
      <c r="O10" s="95"/>
      <c r="P10" s="95"/>
      <c r="Q10" s="95"/>
      <c r="R10" s="96" t="n">
        <v>1</v>
      </c>
      <c r="S10" s="96"/>
    </row>
    <row r="11" customFormat="false" ht="12.75" hidden="false" customHeight="true" outlineLevel="0" collapsed="false">
      <c r="A11" s="83" t="s">
        <v>202</v>
      </c>
      <c r="B11" s="87" t="s">
        <v>197</v>
      </c>
      <c r="C11" s="83" t="str">
        <f aca="false">CONCATENATE(A11,"-",B11)</f>
        <v>Construção de Praças Urbanas, Rodovias, Ferrovias e recapeamento e pavimentação de vias urbanas-DF</v>
      </c>
      <c r="E11" s="88" t="n">
        <v>0.0102</v>
      </c>
      <c r="F11" s="88" t="n">
        <v>0.0111</v>
      </c>
      <c r="G11" s="88" t="n">
        <v>0.0121</v>
      </c>
      <c r="I11" s="97" t="s">
        <v>204</v>
      </c>
      <c r="J11" s="98" t="s">
        <v>205</v>
      </c>
      <c r="K11" s="98"/>
      <c r="L11" s="98"/>
      <c r="M11" s="98"/>
      <c r="N11" s="98"/>
      <c r="O11" s="98"/>
      <c r="P11" s="98"/>
      <c r="Q11" s="98"/>
      <c r="R11" s="96" t="n">
        <v>0.03</v>
      </c>
      <c r="S11" s="96"/>
    </row>
    <row r="12" customFormat="false" ht="12.75" hidden="false" customHeight="false" outlineLevel="0" collapsed="false">
      <c r="A12" s="83" t="s">
        <v>202</v>
      </c>
      <c r="B12" s="87" t="s">
        <v>198</v>
      </c>
      <c r="C12" s="83" t="str">
        <f aca="false">CONCATENATE(A12,"-",B12)</f>
        <v>Construção de Praças Urbanas, Rodovias, Ferrovias e recapeamento e pavimentação de vias urbanas-L</v>
      </c>
      <c r="E12" s="88" t="n">
        <v>0.0664</v>
      </c>
      <c r="F12" s="88" t="n">
        <v>0.073</v>
      </c>
      <c r="G12" s="88" t="n">
        <v>0.0869</v>
      </c>
      <c r="I12" s="0" t="s">
        <v>206</v>
      </c>
      <c r="J12" s="99"/>
      <c r="K12" s="99"/>
      <c r="L12" s="99"/>
      <c r="M12" s="99"/>
      <c r="N12" s="99"/>
      <c r="O12" s="99"/>
      <c r="P12" s="99"/>
      <c r="Q12" s="99"/>
      <c r="R12" s="99"/>
      <c r="S12" s="99"/>
    </row>
    <row r="13" customFormat="false" ht="23.85" hidden="false" customHeight="false" outlineLevel="0" collapsed="false">
      <c r="A13" s="83" t="s">
        <v>202</v>
      </c>
      <c r="B13" s="93" t="s">
        <v>200</v>
      </c>
      <c r="C13" s="83" t="str">
        <f aca="false">CONCATENATE(A13,"-",B13)</f>
        <v>Construção de Praças Urbanas, Rodovias, Ferrovias e recapeamento e pavimentação de vias urbanas-BDI PAD</v>
      </c>
      <c r="E13" s="88" t="n">
        <v>0.196</v>
      </c>
      <c r="F13" s="88" t="n">
        <v>0.2097</v>
      </c>
      <c r="G13" s="88" t="n">
        <v>0.2423</v>
      </c>
      <c r="I13" s="0" t="s">
        <v>206</v>
      </c>
    </row>
    <row r="14" customFormat="false" ht="15" hidden="false" customHeight="false" outlineLevel="0" collapsed="false">
      <c r="A14" s="83" t="s">
        <v>207</v>
      </c>
      <c r="B14" s="87" t="s">
        <v>190</v>
      </c>
      <c r="C14" s="83" t="str">
        <f aca="false">CONCATENATE(A14,"-",B14)</f>
        <v>Construção de Redes de Abastecimento de Água, Coleta de Esgoto-AC</v>
      </c>
      <c r="E14" s="88" t="n">
        <v>0.0343</v>
      </c>
      <c r="F14" s="88" t="n">
        <v>0.0493</v>
      </c>
      <c r="G14" s="88" t="n">
        <v>0.0671</v>
      </c>
      <c r="I14" s="0" t="s">
        <v>206</v>
      </c>
      <c r="J14" s="100" t="s">
        <v>208</v>
      </c>
      <c r="K14" s="100"/>
      <c r="L14" s="100"/>
      <c r="M14" s="100"/>
      <c r="N14" s="100"/>
      <c r="O14" s="100"/>
      <c r="P14" s="100"/>
      <c r="Q14" s="100"/>
      <c r="R14" s="100"/>
      <c r="S14" s="100"/>
    </row>
    <row r="15" customFormat="false" ht="12.75" hidden="false" customHeight="false" outlineLevel="0" collapsed="false">
      <c r="A15" s="83" t="str">
        <f aca="false">A14</f>
        <v>Construção de Redes de Abastecimento de Água, Coleta de Esgoto</v>
      </c>
      <c r="B15" s="87" t="s">
        <v>192</v>
      </c>
      <c r="C15" s="83" t="str">
        <f aca="false">CONCATENATE(A15,"-",B15)</f>
        <v>Construção de Redes de Abastecimento de Água, Coleta de Esgoto-SG</v>
      </c>
      <c r="E15" s="88" t="n">
        <v>0.0028</v>
      </c>
      <c r="F15" s="88" t="n">
        <v>0.0049</v>
      </c>
      <c r="G15" s="88" t="n">
        <v>0.0075</v>
      </c>
      <c r="I15" s="0" t="s">
        <v>206</v>
      </c>
    </row>
    <row r="16" customFormat="false" ht="12.75" hidden="false" customHeight="false" outlineLevel="0" collapsed="false">
      <c r="A16" s="83" t="str">
        <f aca="false">A15</f>
        <v>Construção de Redes de Abastecimento de Água, Coleta de Esgoto</v>
      </c>
      <c r="B16" s="87" t="s">
        <v>193</v>
      </c>
      <c r="C16" s="83" t="str">
        <f aca="false">CONCATENATE(A16,"-",B16)</f>
        <v>Construção de Redes de Abastecimento de Água, Coleta de Esgoto-R</v>
      </c>
      <c r="E16" s="88" t="n">
        <v>0.01</v>
      </c>
      <c r="F16" s="88" t="n">
        <v>0.0139</v>
      </c>
      <c r="G16" s="88" t="n">
        <v>0.0174</v>
      </c>
      <c r="I16" s="0" t="s">
        <v>206</v>
      </c>
      <c r="J16" s="89" t="s">
        <v>209</v>
      </c>
      <c r="K16" s="89"/>
      <c r="L16" s="89"/>
      <c r="M16" s="89"/>
      <c r="N16" s="89"/>
      <c r="O16" s="89"/>
      <c r="P16" s="89"/>
      <c r="Q16" s="89"/>
      <c r="R16" s="89"/>
      <c r="S16" s="89"/>
    </row>
    <row r="17" customFormat="false" ht="12.75" hidden="false" customHeight="false" outlineLevel="0" collapsed="false">
      <c r="A17" s="83" t="str">
        <f aca="false">A16</f>
        <v>Construção de Redes de Abastecimento de Água, Coleta de Esgoto</v>
      </c>
      <c r="B17" s="87" t="s">
        <v>197</v>
      </c>
      <c r="C17" s="83" t="str">
        <f aca="false">CONCATENATE(A17,"-",B17)</f>
        <v>Construção de Redes de Abastecimento de Água, Coleta de Esgoto-DF</v>
      </c>
      <c r="E17" s="88" t="n">
        <v>0.0094</v>
      </c>
      <c r="F17" s="88" t="n">
        <v>0.0099</v>
      </c>
      <c r="G17" s="88" t="n">
        <v>0.0117</v>
      </c>
      <c r="I17" s="0" t="s">
        <v>206</v>
      </c>
      <c r="J17" s="101" t="s">
        <v>202</v>
      </c>
      <c r="K17" s="101"/>
      <c r="L17" s="101"/>
      <c r="M17" s="101"/>
      <c r="N17" s="101"/>
      <c r="O17" s="101"/>
      <c r="P17" s="101"/>
      <c r="Q17" s="101"/>
      <c r="R17" s="101"/>
      <c r="S17" s="101"/>
    </row>
    <row r="18" customFormat="false" ht="12.75" hidden="false" customHeight="false" outlineLevel="0" collapsed="false">
      <c r="A18" s="83" t="str">
        <f aca="false">A17</f>
        <v>Construção de Redes de Abastecimento de Água, Coleta de Esgoto</v>
      </c>
      <c r="B18" s="87" t="s">
        <v>198</v>
      </c>
      <c r="C18" s="83" t="str">
        <f aca="false">CONCATENATE(A18,"-",B18)</f>
        <v>Construção de Redes de Abastecimento de Água, Coleta de Esgoto-L</v>
      </c>
      <c r="E18" s="88" t="n">
        <v>0.0674</v>
      </c>
      <c r="F18" s="88" t="n">
        <v>0.0804</v>
      </c>
      <c r="G18" s="88" t="n">
        <v>0.094</v>
      </c>
      <c r="I18" s="0" t="s">
        <v>206</v>
      </c>
    </row>
    <row r="19" customFormat="false" ht="12.75" hidden="false" customHeight="true" outlineLevel="0" collapsed="false">
      <c r="A19" s="83" t="str">
        <f aca="false">A18</f>
        <v>Construção de Redes de Abastecimento de Água, Coleta de Esgoto</v>
      </c>
      <c r="B19" s="93" t="s">
        <v>200</v>
      </c>
      <c r="C19" s="83" t="str">
        <f aca="false">CONCATENATE(A19,"-",B19)</f>
        <v>Construção de Redes de Abastecimento de Água, Coleta de Esgoto-BDI PAD</v>
      </c>
      <c r="E19" s="88" t="n">
        <v>0.2076</v>
      </c>
      <c r="F19" s="88" t="n">
        <v>0.2418</v>
      </c>
      <c r="G19" s="88" t="n">
        <v>0.2644</v>
      </c>
      <c r="I19" s="0" t="s">
        <v>206</v>
      </c>
      <c r="J19" s="102" t="s">
        <v>210</v>
      </c>
      <c r="K19" s="102"/>
      <c r="L19" s="102"/>
      <c r="M19" s="102"/>
      <c r="N19" s="102"/>
      <c r="O19" s="102"/>
      <c r="P19" s="102"/>
      <c r="Q19" s="102"/>
      <c r="R19" s="102" t="s">
        <v>211</v>
      </c>
      <c r="S19" s="103" t="s">
        <v>212</v>
      </c>
      <c r="U19" s="103" t="s">
        <v>213</v>
      </c>
      <c r="V19" s="103"/>
      <c r="W19" s="103"/>
      <c r="X19" s="104" t="s">
        <v>214</v>
      </c>
      <c r="Y19" s="104" t="s">
        <v>215</v>
      </c>
      <c r="Z19" s="104" t="s">
        <v>216</v>
      </c>
    </row>
    <row r="20" customFormat="false" ht="12.75" hidden="false" customHeight="true" outlineLevel="0" collapsed="false">
      <c r="A20" s="83" t="s">
        <v>217</v>
      </c>
      <c r="B20" s="87" t="s">
        <v>190</v>
      </c>
      <c r="C20" s="83" t="str">
        <f aca="false">CONCATENATE(A20,"-",B20)</f>
        <v>Construção e Manutenção de Estações e Redes de Distribuição de Energia Elétrica-AC</v>
      </c>
      <c r="E20" s="88" t="n">
        <v>0.0529</v>
      </c>
      <c r="F20" s="88" t="n">
        <v>0.0592</v>
      </c>
      <c r="G20" s="88" t="n">
        <v>0.0793</v>
      </c>
      <c r="I20" s="0" t="s">
        <v>206</v>
      </c>
      <c r="J20" s="102"/>
      <c r="K20" s="102"/>
      <c r="L20" s="102"/>
      <c r="M20" s="102"/>
      <c r="N20" s="102"/>
      <c r="O20" s="102"/>
      <c r="P20" s="102"/>
      <c r="Q20" s="102"/>
      <c r="R20" s="102"/>
      <c r="S20" s="103"/>
      <c r="U20" s="103"/>
      <c r="V20" s="103"/>
      <c r="W20" s="103"/>
      <c r="X20" s="104"/>
      <c r="Y20" s="104"/>
      <c r="Z20" s="104"/>
    </row>
    <row r="21" customFormat="false" ht="15" hidden="false" customHeight="true" outlineLevel="0" collapsed="false">
      <c r="A21" s="83" t="str">
        <f aca="false">A20</f>
        <v>Construção e Manutenção de Estações e Redes de Distribuição de Energia Elétrica</v>
      </c>
      <c r="B21" s="87" t="s">
        <v>192</v>
      </c>
      <c r="C21" s="83" t="str">
        <f aca="false">CONCATENATE(A21,"-",B21)</f>
        <v>Construção e Manutenção de Estações e Redes de Distribuição de Energia Elétrica-SG</v>
      </c>
      <c r="E21" s="88" t="n">
        <v>0.0025</v>
      </c>
      <c r="F21" s="88" t="n">
        <v>0.0051</v>
      </c>
      <c r="G21" s="88" t="n">
        <v>0.0056</v>
      </c>
      <c r="I21" s="0" t="s">
        <v>206</v>
      </c>
      <c r="J21" s="105" t="str">
        <f aca="false">IF($J$17=$A$146,"Encargos Sociais incidentes sobre a mão de obra","Administração Central")</f>
        <v>Administração Central</v>
      </c>
      <c r="K21" s="105"/>
      <c r="L21" s="105"/>
      <c r="M21" s="105"/>
      <c r="N21" s="105"/>
      <c r="O21" s="105"/>
      <c r="P21" s="105"/>
      <c r="Q21" s="105"/>
      <c r="R21" s="106" t="str">
        <f aca="false">IF($J17=$A$146,"K1","AC")</f>
        <v>AC</v>
      </c>
      <c r="S21" s="107" t="n">
        <v>0.0401</v>
      </c>
      <c r="U21" s="108" t="s">
        <v>218</v>
      </c>
      <c r="V21" s="108"/>
      <c r="W21" s="108"/>
      <c r="X21" s="109" t="n">
        <f aca="false">VLOOKUP(CONCATENATE(J17,"-",R21),$C$2:$G$136,3,FALSE())</f>
        <v>0.038</v>
      </c>
      <c r="Y21" s="109" t="n">
        <f aca="false">VLOOKUP(CONCATENATE(J17,"-",R21),$C$2:$G$136,4,FALSE())</f>
        <v>0.0401</v>
      </c>
      <c r="Z21" s="109" t="n">
        <f aca="false">VLOOKUP(CONCATENATE(J17,"-",R21),$C$2:$G$136,5,FALSE())</f>
        <v>0.0467</v>
      </c>
    </row>
    <row r="22" customFormat="false" ht="15" hidden="false" customHeight="true" outlineLevel="0" collapsed="false">
      <c r="A22" s="83" t="str">
        <f aca="false">A21</f>
        <v>Construção e Manutenção de Estações e Redes de Distribuição de Energia Elétrica</v>
      </c>
      <c r="B22" s="87" t="s">
        <v>193</v>
      </c>
      <c r="C22" s="83" t="str">
        <f aca="false">CONCATENATE(A22,"-",B22)</f>
        <v>Construção e Manutenção de Estações e Redes de Distribuição de Energia Elétrica-R</v>
      </c>
      <c r="E22" s="88" t="n">
        <v>0.01</v>
      </c>
      <c r="F22" s="88" t="n">
        <v>0.0148</v>
      </c>
      <c r="G22" s="88" t="n">
        <v>0.0197</v>
      </c>
      <c r="I22" s="0" t="s">
        <v>206</v>
      </c>
      <c r="J22" s="105" t="str">
        <f aca="false">IF($J$17=$A$146,"Administração Central da empresa ou consultoria - overhead","Seguro e Garantia")</f>
        <v>Seguro e Garantia</v>
      </c>
      <c r="K22" s="105"/>
      <c r="L22" s="105"/>
      <c r="M22" s="105"/>
      <c r="N22" s="105"/>
      <c r="O22" s="105"/>
      <c r="P22" s="105"/>
      <c r="Q22" s="105"/>
      <c r="R22" s="106" t="str">
        <f aca="false">IF($J17=$A$146,"K2","SG")</f>
        <v>SG</v>
      </c>
      <c r="S22" s="107" t="n">
        <v>0.004</v>
      </c>
      <c r="U22" s="108" t="s">
        <v>218</v>
      </c>
      <c r="V22" s="108"/>
      <c r="W22" s="108"/>
      <c r="X22" s="109" t="n">
        <f aca="false">VLOOKUP(CONCATENATE(J17,"-",R22),$C$2:$G$136,3,FALSE())</f>
        <v>0.0032</v>
      </c>
      <c r="Y22" s="109" t="n">
        <f aca="false">VLOOKUP(CONCATENATE(J17,"-",R22),$C$2:$G$136,4,FALSE())</f>
        <v>0.004</v>
      </c>
      <c r="Z22" s="109" t="n">
        <f aca="false">VLOOKUP(CONCATENATE(J17,"-",R22),$C$2:$G$136,5,FALSE())</f>
        <v>0.0074</v>
      </c>
    </row>
    <row r="23" customFormat="false" ht="15" hidden="false" customHeight="true" outlineLevel="0" collapsed="false">
      <c r="A23" s="83" t="str">
        <f aca="false">A22</f>
        <v>Construção e Manutenção de Estações e Redes de Distribuição de Energia Elétrica</v>
      </c>
      <c r="B23" s="87" t="s">
        <v>197</v>
      </c>
      <c r="C23" s="83" t="str">
        <f aca="false">CONCATENATE(A23,"-",B23)</f>
        <v>Construção e Manutenção de Estações e Redes de Distribuição de Energia Elétrica-DF</v>
      </c>
      <c r="E23" s="88" t="n">
        <v>0.0101</v>
      </c>
      <c r="F23" s="88" t="n">
        <v>0.0107</v>
      </c>
      <c r="G23" s="88" t="n">
        <v>0.0111</v>
      </c>
      <c r="I23" s="0" t="s">
        <v>206</v>
      </c>
      <c r="J23" s="105" t="str">
        <f aca="false">IF($J$17=$A$146,"","Risco")</f>
        <v>Risco</v>
      </c>
      <c r="K23" s="105"/>
      <c r="L23" s="105"/>
      <c r="M23" s="105"/>
      <c r="N23" s="105"/>
      <c r="O23" s="105"/>
      <c r="P23" s="105"/>
      <c r="Q23" s="105"/>
      <c r="R23" s="106" t="str">
        <f aca="false">IF($J17=$A$146,"","R")</f>
        <v>R</v>
      </c>
      <c r="S23" s="107" t="n">
        <v>0.0056</v>
      </c>
      <c r="U23" s="108" t="s">
        <v>218</v>
      </c>
      <c r="V23" s="108"/>
      <c r="W23" s="108"/>
      <c r="X23" s="109" t="n">
        <f aca="false">VLOOKUP(CONCATENATE(J17,"-",R23),$C$2:$G$136,3,FALSE())</f>
        <v>0.005</v>
      </c>
      <c r="Y23" s="109" t="n">
        <f aca="false">VLOOKUP(CONCATENATE(J17,"-",R23),$C$2:$G$136,4,FALSE())</f>
        <v>0.0056</v>
      </c>
      <c r="Z23" s="109" t="n">
        <f aca="false">VLOOKUP(CONCATENATE(J17,"-",R23),$C$2:$G$136,5,FALSE())</f>
        <v>0.0097</v>
      </c>
    </row>
    <row r="24" customFormat="false" ht="15" hidden="false" customHeight="true" outlineLevel="0" collapsed="false">
      <c r="A24" s="83" t="str">
        <f aca="false">A23</f>
        <v>Construção e Manutenção de Estações e Redes de Distribuição de Energia Elétrica</v>
      </c>
      <c r="B24" s="87" t="s">
        <v>198</v>
      </c>
      <c r="C24" s="83" t="str">
        <f aca="false">CONCATENATE(A24,"-",B24)</f>
        <v>Construção e Manutenção de Estações e Redes de Distribuição de Energia Elétrica-L</v>
      </c>
      <c r="E24" s="88" t="n">
        <v>0.08</v>
      </c>
      <c r="F24" s="88" t="n">
        <v>0.0831</v>
      </c>
      <c r="G24" s="88" t="n">
        <v>0.0951</v>
      </c>
      <c r="I24" s="0" t="s">
        <v>206</v>
      </c>
      <c r="J24" s="105" t="str">
        <f aca="false">IF($J$17=$A$146,"","Despesas Financeiras")</f>
        <v>Despesas Financeiras</v>
      </c>
      <c r="K24" s="105"/>
      <c r="L24" s="105"/>
      <c r="M24" s="105"/>
      <c r="N24" s="105"/>
      <c r="O24" s="105"/>
      <c r="P24" s="105"/>
      <c r="Q24" s="105"/>
      <c r="R24" s="106" t="str">
        <f aca="false">IF($J17=$A$146,"","DF")</f>
        <v>DF</v>
      </c>
      <c r="S24" s="107" t="n">
        <v>0.0111</v>
      </c>
      <c r="U24" s="108" t="s">
        <v>218</v>
      </c>
      <c r="V24" s="108"/>
      <c r="W24" s="108"/>
      <c r="X24" s="109" t="n">
        <f aca="false">VLOOKUP(CONCATENATE(J17,"-",R24),$C$2:$G$136,3,FALSE())</f>
        <v>0.0102</v>
      </c>
      <c r="Y24" s="109" t="n">
        <f aca="false">VLOOKUP(CONCATENATE(J17,"-",R24),$C$2:$G$136,4,FALSE())</f>
        <v>0.0111</v>
      </c>
      <c r="Z24" s="109" t="n">
        <f aca="false">VLOOKUP(CONCATENATE(J17,"-",R24),$C$2:$G$136,5,FALSE())</f>
        <v>0.0121</v>
      </c>
    </row>
    <row r="25" customFormat="false" ht="15" hidden="false" customHeight="true" outlineLevel="0" collapsed="false">
      <c r="A25" s="83" t="str">
        <f aca="false">A24</f>
        <v>Construção e Manutenção de Estações e Redes de Distribuição de Energia Elétrica</v>
      </c>
      <c r="B25" s="93" t="s">
        <v>200</v>
      </c>
      <c r="C25" s="83" t="str">
        <f aca="false">CONCATENATE(A25,"-",B25)</f>
        <v>Construção e Manutenção de Estações e Redes de Distribuição de Energia Elétrica-BDI PAD</v>
      </c>
      <c r="E25" s="88" t="n">
        <v>0.24</v>
      </c>
      <c r="F25" s="88" t="n">
        <v>0.2584</v>
      </c>
      <c r="G25" s="88" t="n">
        <v>0.2786</v>
      </c>
      <c r="I25" s="0" t="s">
        <v>206</v>
      </c>
      <c r="J25" s="105" t="str">
        <f aca="false">IF($J$17=$A$146,"Margem bruta da empresa de consultoria","Lucro")</f>
        <v>Lucro</v>
      </c>
      <c r="K25" s="105"/>
      <c r="L25" s="105"/>
      <c r="M25" s="105"/>
      <c r="N25" s="105"/>
      <c r="O25" s="105"/>
      <c r="P25" s="105"/>
      <c r="Q25" s="105"/>
      <c r="R25" s="106" t="str">
        <f aca="false">IF($J17=$A$146,"K3","L")</f>
        <v>L</v>
      </c>
      <c r="S25" s="107" t="n">
        <v>0.073</v>
      </c>
      <c r="U25" s="108" t="s">
        <v>218</v>
      </c>
      <c r="V25" s="108"/>
      <c r="W25" s="108"/>
      <c r="X25" s="109" t="n">
        <f aca="false">VLOOKUP(CONCATENATE(J17,"-",R25),$C$2:$G$136,3,FALSE())</f>
        <v>0.0664</v>
      </c>
      <c r="Y25" s="109" t="n">
        <f aca="false">VLOOKUP(CONCATENATE(J17,"-",R25),$C$2:$G$136,4,FALSE())</f>
        <v>0.073</v>
      </c>
      <c r="Z25" s="109" t="n">
        <f aca="false">VLOOKUP(CONCATENATE(J17,"-",R25),$C$2:$G$136,5,FALSE())</f>
        <v>0.0869</v>
      </c>
    </row>
    <row r="26" customFormat="false" ht="15" hidden="false" customHeight="true" outlineLevel="0" collapsed="false">
      <c r="A26" s="83" t="s">
        <v>219</v>
      </c>
      <c r="B26" s="87" t="s">
        <v>190</v>
      </c>
      <c r="C26" s="83" t="str">
        <f aca="false">CONCATENATE(A26,"-",B26)</f>
        <v>Obras Portuárias, Marítimas e Fluviais-AC</v>
      </c>
      <c r="E26" s="88" t="n">
        <v>0.04</v>
      </c>
      <c r="F26" s="88" t="n">
        <v>0.0552</v>
      </c>
      <c r="G26" s="88" t="n">
        <v>0.0785</v>
      </c>
      <c r="I26" s="0" t="s">
        <v>206</v>
      </c>
      <c r="J26" s="105" t="s">
        <v>220</v>
      </c>
      <c r="K26" s="105"/>
      <c r="L26" s="105"/>
      <c r="M26" s="105"/>
      <c r="N26" s="105"/>
      <c r="O26" s="105"/>
      <c r="P26" s="105"/>
      <c r="Q26" s="105"/>
      <c r="R26" s="106" t="s">
        <v>221</v>
      </c>
      <c r="S26" s="107" t="n">
        <v>0.0365</v>
      </c>
      <c r="U26" s="108" t="s">
        <v>218</v>
      </c>
      <c r="V26" s="108"/>
      <c r="W26" s="108"/>
      <c r="X26" s="109" t="n">
        <v>0.0365</v>
      </c>
      <c r="Y26" s="109" t="n">
        <v>0.0365</v>
      </c>
      <c r="Z26" s="109" t="n">
        <v>0.0365</v>
      </c>
    </row>
    <row r="27" customFormat="false" ht="15" hidden="false" customHeight="true" outlineLevel="0" collapsed="false">
      <c r="A27" s="83" t="str">
        <f aca="false">A26</f>
        <v>Obras Portuárias, Marítimas e Fluviais</v>
      </c>
      <c r="B27" s="87" t="s">
        <v>192</v>
      </c>
      <c r="C27" s="83" t="str">
        <f aca="false">CONCATENATE(A27,"-",B27)</f>
        <v>Obras Portuárias, Marítimas e Fluviais-SG</v>
      </c>
      <c r="E27" s="88" t="n">
        <v>0.0081</v>
      </c>
      <c r="F27" s="88" t="n">
        <v>0.0122</v>
      </c>
      <c r="G27" s="88" t="n">
        <v>0.0199</v>
      </c>
      <c r="I27" s="0" t="s">
        <v>206</v>
      </c>
      <c r="J27" s="105" t="s">
        <v>222</v>
      </c>
      <c r="K27" s="105"/>
      <c r="L27" s="105"/>
      <c r="M27" s="105"/>
      <c r="N27" s="105"/>
      <c r="O27" s="105"/>
      <c r="P27" s="105"/>
      <c r="Q27" s="105"/>
      <c r="R27" s="106" t="s">
        <v>223</v>
      </c>
      <c r="S27" s="109" t="n">
        <f aca="true">IF(AND($J17&lt;&gt;$A$145,COUNTA(OFFSET(S20,1,0,6))&gt;0),$R$11*$R$10,0)</f>
        <v>0.03</v>
      </c>
      <c r="U27" s="108" t="s">
        <v>218</v>
      </c>
      <c r="V27" s="108"/>
      <c r="W27" s="108"/>
      <c r="X27" s="109" t="n">
        <v>0</v>
      </c>
      <c r="Y27" s="109" t="n">
        <v>0.025</v>
      </c>
      <c r="Z27" s="109" t="n">
        <v>0.05</v>
      </c>
    </row>
    <row r="28" customFormat="false" ht="15" hidden="false" customHeight="true" outlineLevel="0" collapsed="false">
      <c r="A28" s="83" t="str">
        <f aca="false">A27</f>
        <v>Obras Portuárias, Marítimas e Fluviais</v>
      </c>
      <c r="B28" s="87" t="s">
        <v>193</v>
      </c>
      <c r="C28" s="83" t="str">
        <f aca="false">CONCATENATE(A28,"-",B28)</f>
        <v>Obras Portuárias, Marítimas e Fluviais-R</v>
      </c>
      <c r="E28" s="88" t="n">
        <v>0.0146</v>
      </c>
      <c r="F28" s="88" t="n">
        <v>0.0232</v>
      </c>
      <c r="G28" s="88" t="n">
        <v>0.0316</v>
      </c>
      <c r="I28" s="0" t="s">
        <v>206</v>
      </c>
      <c r="J28" s="105" t="s">
        <v>224</v>
      </c>
      <c r="K28" s="105"/>
      <c r="L28" s="105"/>
      <c r="M28" s="105"/>
      <c r="N28" s="105"/>
      <c r="O28" s="105"/>
      <c r="P28" s="105"/>
      <c r="Q28" s="105"/>
      <c r="R28" s="106" t="s">
        <v>225</v>
      </c>
      <c r="S28" s="109" t="n">
        <f aca="true">IF(BDI.Opcao&lt;&gt;"Desonerado",0,IF(AND($J17&lt;&gt;$A$145,COUNTA(OFFSET(S20,1,0,6))&gt;0),4.5%,0%))</f>
        <v>0</v>
      </c>
      <c r="U28" s="108" t="s">
        <v>218</v>
      </c>
      <c r="V28" s="108"/>
      <c r="W28" s="108"/>
      <c r="X28" s="110" t="n">
        <v>0</v>
      </c>
      <c r="Y28" s="110" t="n">
        <v>0.045</v>
      </c>
      <c r="Z28" s="110" t="n">
        <v>0.045</v>
      </c>
    </row>
    <row r="29" customFormat="false" ht="15" hidden="false" customHeight="true" outlineLevel="0" collapsed="false">
      <c r="A29" s="83" t="str">
        <f aca="false">A28</f>
        <v>Obras Portuárias, Marítimas e Fluviais</v>
      </c>
      <c r="B29" s="87" t="s">
        <v>197</v>
      </c>
      <c r="C29" s="83" t="str">
        <f aca="false">CONCATENATE(A29,"-",B29)</f>
        <v>Obras Portuárias, Marítimas e Fluviais-DF</v>
      </c>
      <c r="E29" s="88" t="n">
        <v>0.0094</v>
      </c>
      <c r="F29" s="88" t="n">
        <v>0.0102</v>
      </c>
      <c r="G29" s="88" t="n">
        <v>0.0133</v>
      </c>
      <c r="I29" s="0" t="s">
        <v>206</v>
      </c>
      <c r="J29" s="105" t="s">
        <v>226</v>
      </c>
      <c r="K29" s="105"/>
      <c r="L29" s="105"/>
      <c r="M29" s="105"/>
      <c r="N29" s="105"/>
      <c r="O29" s="105"/>
      <c r="P29" s="105"/>
      <c r="Q29" s="105"/>
      <c r="R29" s="111" t="s">
        <v>200</v>
      </c>
      <c r="S29" s="109" t="n">
        <f aca="false">IF($J17=$A$145,0,ROUND((((1+S21+S22+S23)*(1+S24)*(1+S25)/(1-(S26+S27)))-1),4))</f>
        <v>0.22</v>
      </c>
      <c r="U29" s="103" t="str">
        <f aca="false">IF(OR($J$17=$A$146,$J$17=$A$145,AND(S29&gt;=X29,S29&lt;=Z29)),"OK","FORA DO INTERVALO")</f>
        <v>OK</v>
      </c>
      <c r="V29" s="103"/>
      <c r="W29" s="103"/>
      <c r="X29" s="109" t="n">
        <f aca="false">IF($J17=$A$145,0,VLOOKUP(CONCATENATE($J17,"-",$R29),$C$2:$G$136,3,FALSE()))</f>
        <v>0.196</v>
      </c>
      <c r="Y29" s="109" t="n">
        <f aca="false">IF($J17=$A$145,0,VLOOKUP(CONCATENATE($J17,"-",$R29),$C$2:$G$136,4,FALSE()))</f>
        <v>0.2097</v>
      </c>
      <c r="Z29" s="109" t="n">
        <f aca="false">IF($J17=$A$145,0,VLOOKUP(CONCATENATE($J17,"-",$R29),$C$2:$G$136,5,FALSE()))</f>
        <v>0.2423</v>
      </c>
    </row>
    <row r="30" customFormat="false" ht="15" hidden="false" customHeight="true" outlineLevel="0" collapsed="false">
      <c r="A30" s="83" t="str">
        <f aca="false">A29</f>
        <v>Obras Portuárias, Marítimas e Fluviais</v>
      </c>
      <c r="B30" s="87" t="s">
        <v>198</v>
      </c>
      <c r="C30" s="83" t="str">
        <f aca="false">CONCATENATE(A30,"-",B30)</f>
        <v>Obras Portuárias, Marítimas e Fluviais-L</v>
      </c>
      <c r="E30" s="88" t="n">
        <v>0.0714</v>
      </c>
      <c r="F30" s="88" t="n">
        <v>0.084</v>
      </c>
      <c r="G30" s="88" t="n">
        <v>0.1043</v>
      </c>
      <c r="I30" s="0" t="s">
        <v>206</v>
      </c>
      <c r="J30" s="112" t="s">
        <v>227</v>
      </c>
      <c r="K30" s="112"/>
      <c r="L30" s="112"/>
      <c r="M30" s="112"/>
      <c r="N30" s="112"/>
      <c r="O30" s="112"/>
      <c r="P30" s="112"/>
      <c r="Q30" s="112"/>
      <c r="R30" s="112" t="s">
        <v>228</v>
      </c>
      <c r="S30" s="113" t="n">
        <f aca="false">IF($J17=$A$145,0,ROUND((((1+S21+S22+S23)*(1+S24)*(1+S25)/(1-(S26+S27+S28)))-1),4))</f>
        <v>0.22</v>
      </c>
    </row>
    <row r="31" customFormat="false" ht="23.85" hidden="false" customHeight="false" outlineLevel="0" collapsed="false">
      <c r="A31" s="83" t="str">
        <f aca="false">A30</f>
        <v>Obras Portuárias, Marítimas e Fluviais</v>
      </c>
      <c r="B31" s="93" t="s">
        <v>200</v>
      </c>
      <c r="C31" s="83" t="str">
        <f aca="false">CONCATENATE(A31,"-",B31)</f>
        <v>Obras Portuárias, Marítimas e Fluviais-BDI PAD</v>
      </c>
      <c r="E31" s="88" t="n">
        <v>0.228</v>
      </c>
      <c r="F31" s="88" t="n">
        <v>0.2748</v>
      </c>
      <c r="G31" s="88" t="n">
        <v>0.3095</v>
      </c>
      <c r="I31" s="0" t="s">
        <v>206</v>
      </c>
    </row>
    <row r="32" customFormat="false" ht="15" hidden="false" customHeight="false" outlineLevel="0" collapsed="false">
      <c r="A32" s="83" t="s">
        <v>229</v>
      </c>
      <c r="B32" s="87" t="s">
        <v>190</v>
      </c>
      <c r="C32" s="83" t="str">
        <f aca="false">CONCATENATE(A32,"-",B32)</f>
        <v>Fornecimento de Materiais e Equipamentos (aquisição indireta - em conjunto com licitação de obras)-AC</v>
      </c>
      <c r="E32" s="88" t="n">
        <v>0.015</v>
      </c>
      <c r="F32" s="88" t="n">
        <v>0.0345</v>
      </c>
      <c r="G32" s="88" t="n">
        <v>0.0449</v>
      </c>
      <c r="I32" s="0" t="s">
        <v>206</v>
      </c>
      <c r="J32" s="114" t="str">
        <f aca="false">IF(U29&lt;&gt;"ok","X","")</f>
        <v/>
      </c>
      <c r="K32" s="115" t="str">
        <f aca="false">IF(U29&lt;&gt;"ok","Anexo: Relatório Técnico Circunstanciado justificando a adoção do percentual de cada parcela do BDI.","")</f>
        <v/>
      </c>
      <c r="L32" s="115"/>
      <c r="M32" s="115"/>
      <c r="N32" s="115"/>
      <c r="O32" s="115"/>
      <c r="P32" s="115"/>
      <c r="Q32" s="115"/>
      <c r="R32" s="115"/>
      <c r="S32" s="115"/>
    </row>
    <row r="33" customFormat="false" ht="12.75" hidden="false" customHeight="false" outlineLevel="0" collapsed="false">
      <c r="A33" s="83" t="str">
        <f aca="false">A32</f>
        <v>Fornecimento de Materiais e Equipamentos (aquisição indireta - em conjunto com licitação de obras)</v>
      </c>
      <c r="B33" s="87" t="s">
        <v>192</v>
      </c>
      <c r="C33" s="83" t="str">
        <f aca="false">CONCATENATE(A33,"-",B33)</f>
        <v>Fornecimento de Materiais e Equipamentos (aquisição indireta - em conjunto com licitação de obras)-SG</v>
      </c>
      <c r="E33" s="88" t="n">
        <v>0.003</v>
      </c>
      <c r="F33" s="88" t="n">
        <v>0.0048</v>
      </c>
      <c r="G33" s="88" t="n">
        <v>0.0082</v>
      </c>
      <c r="I33" s="0" t="s">
        <v>206</v>
      </c>
    </row>
    <row r="34" customFormat="false" ht="12.75" hidden="false" customHeight="false" outlineLevel="0" collapsed="false">
      <c r="A34" s="83" t="str">
        <f aca="false">A33</f>
        <v>Fornecimento de Materiais e Equipamentos (aquisição indireta - em conjunto com licitação de obras)</v>
      </c>
      <c r="B34" s="87" t="s">
        <v>193</v>
      </c>
      <c r="C34" s="83" t="str">
        <f aca="false">CONCATENATE(A34,"-",B34)</f>
        <v>Fornecimento de Materiais e Equipamentos (aquisição indireta - em conjunto com licitação de obras)-R</v>
      </c>
      <c r="E34" s="88" t="n">
        <v>0.0056</v>
      </c>
      <c r="F34" s="88" t="n">
        <v>0.0085</v>
      </c>
      <c r="G34" s="88" t="n">
        <v>0.0089</v>
      </c>
      <c r="I34" s="0" t="s">
        <v>206</v>
      </c>
      <c r="J34" s="116" t="s">
        <v>230</v>
      </c>
      <c r="K34" s="116"/>
      <c r="L34" s="116"/>
      <c r="M34" s="116"/>
      <c r="N34" s="116"/>
      <c r="O34" s="116"/>
      <c r="P34" s="116"/>
      <c r="Q34" s="116"/>
      <c r="R34" s="116"/>
      <c r="S34" s="116"/>
    </row>
    <row r="35" customFormat="false" ht="15" hidden="false" customHeight="false" outlineLevel="0" collapsed="false">
      <c r="A35" s="83" t="str">
        <f aca="false">A34</f>
        <v>Fornecimento de Materiais e Equipamentos (aquisição indireta - em conjunto com licitação de obras)</v>
      </c>
      <c r="B35" s="87" t="s">
        <v>197</v>
      </c>
      <c r="C35" s="83" t="str">
        <f aca="false">CONCATENATE(A35,"-",B35)</f>
        <v>Fornecimento de Materiais e Equipamentos (aquisição indireta - em conjunto com licitação de obras)-DF</v>
      </c>
      <c r="E35" s="88" t="n">
        <v>0.0085</v>
      </c>
      <c r="F35" s="88" t="n">
        <v>0.0085</v>
      </c>
      <c r="G35" s="88" t="n">
        <v>0.0111</v>
      </c>
      <c r="I35" s="0" t="s">
        <v>206</v>
      </c>
      <c r="J35" s="117"/>
      <c r="K35" s="117"/>
      <c r="L35" s="117"/>
      <c r="M35" s="118" t="s">
        <v>231</v>
      </c>
      <c r="N35" s="119" t="str">
        <f aca="false">IF($J17=$A$146,"(1+K1+K2)*(1+K3)","(1+AC + S + R + G)*(1 + DF)*(1+L)")</f>
        <v>(1+AC + S + R + G)*(1 + DF)*(1+L)</v>
      </c>
      <c r="O35" s="119"/>
      <c r="P35" s="119"/>
      <c r="Q35" s="120" t="s">
        <v>232</v>
      </c>
      <c r="R35" s="117"/>
      <c r="S35" s="117"/>
    </row>
    <row r="36" customFormat="false" ht="15" hidden="false" customHeight="false" outlineLevel="0" collapsed="false">
      <c r="A36" s="83" t="str">
        <f aca="false">A35</f>
        <v>Fornecimento de Materiais e Equipamentos (aquisição indireta - em conjunto com licitação de obras)</v>
      </c>
      <c r="B36" s="87" t="s">
        <v>198</v>
      </c>
      <c r="C36" s="83" t="str">
        <f aca="false">CONCATENATE(A36,"-",B36)</f>
        <v>Fornecimento de Materiais e Equipamentos (aquisição indireta - em conjunto com licitação de obras)-L</v>
      </c>
      <c r="E36" s="88" t="n">
        <v>0.035</v>
      </c>
      <c r="F36" s="88" t="n">
        <v>0.0511</v>
      </c>
      <c r="G36" s="88" t="n">
        <v>0.0622</v>
      </c>
      <c r="I36" s="0" t="s">
        <v>206</v>
      </c>
      <c r="J36" s="117"/>
      <c r="K36" s="117"/>
      <c r="L36" s="117"/>
      <c r="M36" s="118"/>
      <c r="N36" s="121" t="s">
        <v>233</v>
      </c>
      <c r="O36" s="121"/>
      <c r="P36" s="121"/>
      <c r="Q36" s="120"/>
      <c r="R36" s="117"/>
      <c r="S36" s="117"/>
    </row>
    <row r="37" customFormat="false" ht="15" hidden="false" customHeight="true" outlineLevel="0" collapsed="false">
      <c r="A37" s="83" t="str">
        <f aca="false">A36</f>
        <v>Fornecimento de Materiais e Equipamentos (aquisição indireta - em conjunto com licitação de obras)</v>
      </c>
      <c r="B37" s="93" t="s">
        <v>200</v>
      </c>
      <c r="C37" s="83" t="str">
        <f aca="false">CONCATENATE(A37,"-",B37)</f>
        <v>Fornecimento de Materiais e Equipamentos (aquisição indireta - em conjunto com licitação de obras)-BDI PAD</v>
      </c>
      <c r="E37" s="88" t="n">
        <v>0.111</v>
      </c>
      <c r="F37" s="88" t="n">
        <v>0.1402</v>
      </c>
      <c r="G37" s="88" t="n">
        <v>0.168</v>
      </c>
      <c r="I37" s="0" t="s">
        <v>206</v>
      </c>
      <c r="J37" s="122"/>
      <c r="K37" s="122"/>
      <c r="L37" s="122"/>
      <c r="M37" s="122"/>
      <c r="N37" s="122"/>
      <c r="O37" s="122"/>
      <c r="P37" s="122"/>
      <c r="Q37" s="122"/>
      <c r="R37" s="122"/>
      <c r="S37" s="122"/>
    </row>
    <row r="38" customFormat="false" ht="49.5" hidden="false" customHeight="true" outlineLevel="0" collapsed="false">
      <c r="A38" s="83" t="s">
        <v>234</v>
      </c>
      <c r="B38" s="93" t="s">
        <v>190</v>
      </c>
      <c r="C38" s="83" t="str">
        <f aca="false">CONCATENATE(A38,"-",B38)</f>
        <v>Fornecimento de Materiais e Equipamentos (aquisição direta)-AC</v>
      </c>
      <c r="E38" s="88" t="s">
        <v>218</v>
      </c>
      <c r="F38" s="88" t="s">
        <v>218</v>
      </c>
      <c r="G38" s="88" t="s">
        <v>218</v>
      </c>
      <c r="I38" s="0" t="s">
        <v>206</v>
      </c>
      <c r="J38" s="123" t="str">
        <f aca="false"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38" s="123"/>
      <c r="L38" s="123"/>
      <c r="M38" s="123"/>
      <c r="N38" s="123"/>
      <c r="O38" s="123"/>
      <c r="P38" s="123"/>
      <c r="Q38" s="123"/>
      <c r="R38" s="123"/>
      <c r="S38" s="123"/>
    </row>
    <row r="39" customFormat="false" ht="12.75" hidden="false" customHeight="false" outlineLevel="0" collapsed="false">
      <c r="A39" s="83" t="s">
        <v>234</v>
      </c>
      <c r="B39" s="93" t="s">
        <v>192</v>
      </c>
      <c r="C39" s="83" t="str">
        <f aca="false">CONCATENATE(A39,"-",B39)</f>
        <v>Fornecimento de Materiais e Equipamentos (aquisição direta)-SG</v>
      </c>
      <c r="E39" s="88" t="s">
        <v>218</v>
      </c>
      <c r="F39" s="88" t="s">
        <v>218</v>
      </c>
      <c r="G39" s="88" t="s">
        <v>218</v>
      </c>
      <c r="I39" s="0" t="s">
        <v>206</v>
      </c>
    </row>
    <row r="40" customFormat="false" ht="49.5" hidden="false" customHeight="true" outlineLevel="0" collapsed="false">
      <c r="A40" s="83" t="s">
        <v>234</v>
      </c>
      <c r="B40" s="93" t="s">
        <v>193</v>
      </c>
      <c r="C40" s="83" t="str">
        <f aca="false">CONCATENATE(A40,"-",B40)</f>
        <v>Fornecimento de Materiais e Equipamentos (aquisição direta)-R</v>
      </c>
      <c r="E40" s="88" t="s">
        <v>218</v>
      </c>
      <c r="F40" s="88" t="s">
        <v>218</v>
      </c>
      <c r="G40" s="88" t="s">
        <v>218</v>
      </c>
      <c r="I40" s="0" t="s">
        <v>206</v>
      </c>
      <c r="J40" s="123" t="str">
        <f aca="true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40" s="123"/>
      <c r="L40" s="123"/>
      <c r="M40" s="123"/>
      <c r="N40" s="123"/>
      <c r="O40" s="123"/>
      <c r="P40" s="123"/>
      <c r="Q40" s="123"/>
      <c r="R40" s="123"/>
      <c r="S40" s="123"/>
    </row>
    <row r="41" customFormat="false" ht="12.75" hidden="false" customHeight="false" outlineLevel="0" collapsed="false">
      <c r="A41" s="83" t="s">
        <v>234</v>
      </c>
      <c r="B41" s="93" t="s">
        <v>197</v>
      </c>
      <c r="C41" s="83" t="str">
        <f aca="false">CONCATENATE(A41,"-",B41)</f>
        <v>Fornecimento de Materiais e Equipamentos (aquisição direta)-DF</v>
      </c>
      <c r="E41" s="88" t="s">
        <v>218</v>
      </c>
      <c r="F41" s="88" t="s">
        <v>218</v>
      </c>
      <c r="G41" s="88" t="s">
        <v>218</v>
      </c>
      <c r="I41" s="0" t="s">
        <v>206</v>
      </c>
    </row>
    <row r="42" customFormat="false" ht="12.75" hidden="false" customHeight="false" outlineLevel="0" collapsed="false">
      <c r="A42" s="83" t="s">
        <v>234</v>
      </c>
      <c r="B42" s="93" t="s">
        <v>198</v>
      </c>
      <c r="C42" s="83" t="str">
        <f aca="false">CONCATENATE(A42,"-",B42)</f>
        <v>Fornecimento de Materiais e Equipamentos (aquisição direta)-L</v>
      </c>
      <c r="E42" s="88" t="s">
        <v>218</v>
      </c>
      <c r="F42" s="88" t="s">
        <v>218</v>
      </c>
      <c r="G42" s="88" t="s">
        <v>218</v>
      </c>
      <c r="I42" s="0" t="s">
        <v>206</v>
      </c>
      <c r="J42" s="83" t="s">
        <v>235</v>
      </c>
    </row>
    <row r="43" customFormat="false" ht="99.75" hidden="false" customHeight="true" outlineLevel="0" collapsed="false">
      <c r="A43" s="83" t="s">
        <v>234</v>
      </c>
      <c r="B43" s="93" t="s">
        <v>200</v>
      </c>
      <c r="C43" s="83" t="str">
        <f aca="false">CONCATENATE(A43,"-",B43)</f>
        <v>Fornecimento de Materiais e Equipamentos (aquisição direta)-BDI PAD</v>
      </c>
      <c r="E43" s="88" t="s">
        <v>218</v>
      </c>
      <c r="F43" s="88" t="s">
        <v>218</v>
      </c>
      <c r="G43" s="88" t="s">
        <v>218</v>
      </c>
      <c r="I43" s="0" t="s">
        <v>206</v>
      </c>
      <c r="J43" s="124"/>
      <c r="K43" s="124"/>
      <c r="L43" s="124"/>
      <c r="M43" s="124"/>
      <c r="N43" s="124"/>
      <c r="O43" s="124"/>
      <c r="P43" s="124"/>
      <c r="Q43" s="124"/>
      <c r="R43" s="124"/>
      <c r="S43" s="124"/>
    </row>
    <row r="44" customFormat="false" ht="12.75" hidden="false" customHeight="false" outlineLevel="0" collapsed="false">
      <c r="A44" s="83" t="s">
        <v>236</v>
      </c>
      <c r="B44" s="87" t="s">
        <v>237</v>
      </c>
      <c r="C44" s="83" t="str">
        <f aca="false">CONCATENATE(A44,"-",B44)</f>
        <v>Estudos e Projetos, Planos e Gerenciamento e outros correlatos-K1</v>
      </c>
      <c r="E44" s="88" t="s">
        <v>218</v>
      </c>
      <c r="F44" s="88" t="s">
        <v>218</v>
      </c>
      <c r="G44" s="88" t="s">
        <v>218</v>
      </c>
      <c r="I44" s="0" t="s">
        <v>206</v>
      </c>
    </row>
    <row r="45" customFormat="false" ht="12.75" hidden="false" customHeight="false" outlineLevel="0" collapsed="false">
      <c r="A45" s="83" t="str">
        <f aca="false">A44</f>
        <v>Estudos e Projetos, Planos e Gerenciamento e outros correlatos</v>
      </c>
      <c r="B45" s="87" t="s">
        <v>238</v>
      </c>
      <c r="C45" s="83" t="str">
        <f aca="false">CONCATENATE(A45,"-",B45)</f>
        <v>Estudos e Projetos, Planos e Gerenciamento e outros correlatos-K2</v>
      </c>
      <c r="E45" s="88" t="s">
        <v>218</v>
      </c>
      <c r="F45" s="88" t="n">
        <v>0.2</v>
      </c>
      <c r="G45" s="88" t="s">
        <v>218</v>
      </c>
      <c r="I45" s="0" t="s">
        <v>206</v>
      </c>
      <c r="J45" s="125" t="str">
        <f aca="false">Import.Município</f>
        <v>Alpinópolis</v>
      </c>
      <c r="K45" s="125"/>
      <c r="L45" s="125"/>
      <c r="M45" s="125"/>
      <c r="P45" s="126" t="n">
        <f aca="false">DADOS!$F$25</f>
        <v>45849</v>
      </c>
      <c r="Q45" s="126"/>
      <c r="R45" s="126"/>
      <c r="S45" s="126"/>
    </row>
    <row r="46" customFormat="false" ht="12.75" hidden="false" customHeight="false" outlineLevel="0" collapsed="false">
      <c r="A46" s="83" t="str">
        <f aca="false">A45</f>
        <v>Estudos e Projetos, Planos e Gerenciamento e outros correlatos</v>
      </c>
      <c r="B46" s="87"/>
      <c r="C46" s="83" t="str">
        <f aca="false">CONCATENATE(A46,"-",B46)</f>
        <v>Estudos e Projetos, Planos e Gerenciamento e outros correlatos-</v>
      </c>
      <c r="E46" s="88" t="s">
        <v>218</v>
      </c>
      <c r="F46" s="88" t="s">
        <v>218</v>
      </c>
      <c r="G46" s="88" t="s">
        <v>218</v>
      </c>
      <c r="I46" s="0" t="s">
        <v>206</v>
      </c>
      <c r="J46" s="127" t="s">
        <v>239</v>
      </c>
      <c r="K46" s="127"/>
      <c r="L46" s="127"/>
      <c r="M46" s="127"/>
      <c r="O46" s="128"/>
      <c r="P46" s="129" t="s">
        <v>240</v>
      </c>
      <c r="Q46" s="130"/>
      <c r="R46" s="130"/>
      <c r="S46" s="130"/>
    </row>
    <row r="47" customFormat="false" ht="30" hidden="false" customHeight="true" outlineLevel="0" collapsed="false">
      <c r="A47" s="83" t="str">
        <f aca="false">A46</f>
        <v>Estudos e Projetos, Planos e Gerenciamento e outros correlatos</v>
      </c>
      <c r="B47" s="87"/>
      <c r="C47" s="83" t="str">
        <f aca="false">CONCATENATE(A47,"-",B47)</f>
        <v>Estudos e Projetos, Planos e Gerenciamento e outros correlatos-</v>
      </c>
      <c r="E47" s="88" t="s">
        <v>218</v>
      </c>
      <c r="F47" s="88" t="s">
        <v>218</v>
      </c>
      <c r="G47" s="88" t="s">
        <v>218</v>
      </c>
      <c r="I47" s="0" t="s">
        <v>206</v>
      </c>
    </row>
    <row r="48" customFormat="false" ht="13.8" hidden="false" customHeight="false" outlineLevel="0" collapsed="false">
      <c r="A48" s="83" t="str">
        <f aca="false">A47</f>
        <v>Estudos e Projetos, Planos e Gerenciamento e outros correlatos</v>
      </c>
      <c r="B48" s="87" t="s">
        <v>241</v>
      </c>
      <c r="C48" s="83" t="str">
        <f aca="false">CONCATENATE(A48,"-",B48)</f>
        <v>Estudos e Projetos, Planos e Gerenciamento e outros correlatos-K3</v>
      </c>
      <c r="E48" s="88" t="s">
        <v>218</v>
      </c>
      <c r="F48" s="88" t="n">
        <v>0.12</v>
      </c>
      <c r="G48" s="88" t="s">
        <v>218</v>
      </c>
      <c r="I48" s="0" t="s">
        <v>206</v>
      </c>
      <c r="J48" s="131"/>
      <c r="K48" s="131"/>
      <c r="L48" s="131"/>
      <c r="M48" s="131"/>
      <c r="N48" s="132"/>
    </row>
    <row r="49" customFormat="false" ht="12.75" hidden="false" customHeight="true" outlineLevel="0" collapsed="false">
      <c r="A49" s="83" t="str">
        <f aca="false">A48</f>
        <v>Estudos e Projetos, Planos e Gerenciamento e outros correlatos</v>
      </c>
      <c r="B49" s="93" t="s">
        <v>200</v>
      </c>
      <c r="C49" s="83" t="str">
        <f aca="false">CONCATENATE(A49,"-",B49)</f>
        <v>Estudos e Projetos, Planos e Gerenciamento e outros correlatos-BDI PAD</v>
      </c>
      <c r="E49" s="88" t="s">
        <v>218</v>
      </c>
      <c r="F49" s="88" t="s">
        <v>218</v>
      </c>
      <c r="G49" s="88" t="s">
        <v>218</v>
      </c>
      <c r="I49" s="0" t="s">
        <v>206</v>
      </c>
      <c r="J49" s="133" t="s">
        <v>242</v>
      </c>
      <c r="K49" s="133"/>
      <c r="L49" s="133"/>
      <c r="M49" s="133"/>
    </row>
    <row r="50" customFormat="false" ht="13.8" hidden="false" customHeight="false" outlineLevel="0" collapsed="false">
      <c r="B50" s="93"/>
      <c r="E50" s="88"/>
      <c r="F50" s="88"/>
      <c r="G50" s="88"/>
      <c r="I50" s="0" t="s">
        <v>206</v>
      </c>
      <c r="J50" s="134" t="s">
        <v>123</v>
      </c>
      <c r="K50" s="135" t="str">
        <f aca="false" t="array" ref="K50:K52">Import.RespOrçamento</f>
        <v>Fabiano Martins Cunha</v>
      </c>
      <c r="L50" s="136"/>
      <c r="M50" s="136"/>
      <c r="N50" s="132"/>
    </row>
    <row r="51" customFormat="false" ht="13.8" hidden="false" customHeight="false" outlineLevel="0" collapsed="false">
      <c r="I51" s="0" t="s">
        <v>206</v>
      </c>
      <c r="J51" s="134" t="s">
        <v>125</v>
      </c>
      <c r="K51" s="135" t="str">
        <v>125417/D</v>
      </c>
      <c r="L51" s="136"/>
      <c r="M51" s="136"/>
      <c r="N51" s="132"/>
    </row>
    <row r="52" customFormat="false" ht="13.8" hidden="false" customHeight="false" outlineLevel="0" collapsed="false">
      <c r="I52" s="0" t="s">
        <v>206</v>
      </c>
      <c r="J52" s="134" t="s">
        <v>127</v>
      </c>
      <c r="K52" s="135" t="n">
        <v>0</v>
      </c>
      <c r="L52" s="136"/>
      <c r="M52" s="136"/>
      <c r="N52" s="132"/>
    </row>
    <row r="53" customFormat="false" ht="13.8" hidden="false" customHeight="false" outlineLevel="0" collapsed="false">
      <c r="I53" s="0" t="s">
        <v>206</v>
      </c>
      <c r="J53" s="134"/>
      <c r="K53" s="137"/>
      <c r="L53" s="136"/>
      <c r="M53" s="136"/>
      <c r="N53" s="132"/>
    </row>
    <row r="54" customFormat="false" ht="15" hidden="true" customHeight="false" outlineLevel="0" collapsed="false">
      <c r="I54" s="0" t="str">
        <f aca="false">IF($S$69=0,"","F")</f>
        <v/>
      </c>
      <c r="J54" s="100" t="s">
        <v>243</v>
      </c>
      <c r="K54" s="100"/>
      <c r="L54" s="100"/>
      <c r="M54" s="100"/>
      <c r="N54" s="100"/>
      <c r="O54" s="100"/>
      <c r="P54" s="100"/>
      <c r="Q54" s="100"/>
      <c r="R54" s="100"/>
      <c r="S54" s="100"/>
    </row>
    <row r="55" customFormat="false" ht="12.75" hidden="true" customHeight="false" outlineLevel="0" collapsed="false">
      <c r="I55" s="0" t="str">
        <f aca="false">IF($S$69=0,"","F")</f>
        <v/>
      </c>
    </row>
    <row r="56" customFormat="false" ht="12.75" hidden="true" customHeight="false" outlineLevel="0" collapsed="false">
      <c r="I56" s="0" t="str">
        <f aca="false">IF($S$69=0,"","F")</f>
        <v/>
      </c>
      <c r="J56" s="89" t="s">
        <v>209</v>
      </c>
      <c r="K56" s="89"/>
      <c r="L56" s="89"/>
      <c r="M56" s="89"/>
      <c r="N56" s="89"/>
      <c r="O56" s="89"/>
      <c r="P56" s="89"/>
      <c r="Q56" s="89"/>
      <c r="R56" s="89"/>
      <c r="S56" s="89"/>
    </row>
    <row r="57" customFormat="false" ht="12.75" hidden="true" customHeight="false" outlineLevel="0" collapsed="false">
      <c r="I57" s="0" t="str">
        <f aca="false">IF($S$69=0,"","F")</f>
        <v/>
      </c>
      <c r="J57" s="101" t="s">
        <v>140</v>
      </c>
      <c r="K57" s="101"/>
      <c r="L57" s="101"/>
      <c r="M57" s="101"/>
      <c r="N57" s="101"/>
      <c r="O57" s="101"/>
      <c r="P57" s="101"/>
      <c r="Q57" s="101"/>
      <c r="R57" s="101"/>
      <c r="S57" s="101"/>
    </row>
    <row r="58" customFormat="false" ht="12.75" hidden="true" customHeight="false" outlineLevel="0" collapsed="false">
      <c r="I58" s="0" t="str">
        <f aca="false">IF($S$69=0,"","F")</f>
        <v/>
      </c>
    </row>
    <row r="59" customFormat="false" ht="12.75" hidden="true" customHeight="true" outlineLevel="0" collapsed="false">
      <c r="I59" s="0" t="str">
        <f aca="false">IF($S$69=0,"","F")</f>
        <v/>
      </c>
      <c r="J59" s="102" t="s">
        <v>210</v>
      </c>
      <c r="K59" s="102"/>
      <c r="L59" s="102"/>
      <c r="M59" s="102"/>
      <c r="N59" s="102"/>
      <c r="O59" s="102"/>
      <c r="P59" s="102"/>
      <c r="Q59" s="102"/>
      <c r="R59" s="102" t="s">
        <v>211</v>
      </c>
      <c r="S59" s="103" t="s">
        <v>212</v>
      </c>
      <c r="U59" s="103" t="s">
        <v>213</v>
      </c>
      <c r="V59" s="103"/>
      <c r="W59" s="103"/>
      <c r="X59" s="104" t="s">
        <v>214</v>
      </c>
      <c r="Y59" s="104" t="s">
        <v>215</v>
      </c>
      <c r="Z59" s="104" t="s">
        <v>216</v>
      </c>
    </row>
    <row r="60" customFormat="false" ht="12.75" hidden="true" customHeight="true" outlineLevel="0" collapsed="false">
      <c r="I60" s="0" t="str">
        <f aca="false">IF($S$69=0,"","F")</f>
        <v/>
      </c>
      <c r="J60" s="102"/>
      <c r="K60" s="102"/>
      <c r="L60" s="102"/>
      <c r="M60" s="102"/>
      <c r="N60" s="102"/>
      <c r="O60" s="102"/>
      <c r="P60" s="102"/>
      <c r="Q60" s="102"/>
      <c r="R60" s="102"/>
      <c r="S60" s="103"/>
      <c r="U60" s="103"/>
      <c r="V60" s="103"/>
      <c r="W60" s="103"/>
      <c r="X60" s="104"/>
      <c r="Y60" s="104"/>
      <c r="Z60" s="104"/>
    </row>
    <row r="61" customFormat="false" ht="15" hidden="true" customHeight="true" outlineLevel="0" collapsed="false">
      <c r="I61" s="0" t="str">
        <f aca="false">IF($S$69=0,"","F")</f>
        <v/>
      </c>
      <c r="J61" s="105" t="str">
        <f aca="false">IF($J$17=$A$146,"Encargos Sociais incidentes sobre a mão de obra","Administração Central")</f>
        <v>Administração Central</v>
      </c>
      <c r="K61" s="105"/>
      <c r="L61" s="105"/>
      <c r="M61" s="105"/>
      <c r="N61" s="105"/>
      <c r="O61" s="105"/>
      <c r="P61" s="105"/>
      <c r="Q61" s="105"/>
      <c r="R61" s="106" t="str">
        <f aca="false">IF($J57=$A$146,"K1","AC")</f>
        <v>AC</v>
      </c>
      <c r="S61" s="107"/>
      <c r="U61" s="108" t="s">
        <v>218</v>
      </c>
      <c r="V61" s="108"/>
      <c r="W61" s="108"/>
      <c r="X61" s="109" t="e">
        <f aca="false">VLOOKUP(CONCATENATE(J57,"-",R61),$C$2:$G$136,3,FALSE())</f>
        <v>#N/A</v>
      </c>
      <c r="Y61" s="109" t="e">
        <f aca="false">VLOOKUP(CONCATENATE(J57,"-",R61),$C$2:$G$136,4,FALSE())</f>
        <v>#N/A</v>
      </c>
      <c r="Z61" s="109" t="e">
        <f aca="false">VLOOKUP(CONCATENATE(J57,"-",R61),$C$2:$G$136,5,FALSE())</f>
        <v>#N/A</v>
      </c>
    </row>
    <row r="62" customFormat="false" ht="15" hidden="true" customHeight="true" outlineLevel="0" collapsed="false">
      <c r="I62" s="0" t="str">
        <f aca="false">IF($S$69=0,"","F")</f>
        <v/>
      </c>
      <c r="J62" s="105" t="str">
        <f aca="false">IF($J$17=$A$146,"Administração Central da empresa ou consultoria - overhead","Seguro e Garantia")</f>
        <v>Seguro e Garantia</v>
      </c>
      <c r="K62" s="105"/>
      <c r="L62" s="105"/>
      <c r="M62" s="105"/>
      <c r="N62" s="105"/>
      <c r="O62" s="105"/>
      <c r="P62" s="105"/>
      <c r="Q62" s="105"/>
      <c r="R62" s="106" t="str">
        <f aca="false">IF($J57=$A$146,"K2","SG")</f>
        <v>SG</v>
      </c>
      <c r="S62" s="107"/>
      <c r="U62" s="108" t="s">
        <v>218</v>
      </c>
      <c r="V62" s="108"/>
      <c r="W62" s="108"/>
      <c r="X62" s="109" t="e">
        <f aca="false">VLOOKUP(CONCATENATE(J57,"-",R62),$C$2:$G$136,3,FALSE())</f>
        <v>#N/A</v>
      </c>
      <c r="Y62" s="109" t="e">
        <f aca="false">VLOOKUP(CONCATENATE(J57,"-",R62),$C$2:$G$136,4,FALSE())</f>
        <v>#N/A</v>
      </c>
      <c r="Z62" s="109" t="e">
        <f aca="false">VLOOKUP(CONCATENATE(J57,"-",R62),$C$2:$G$136,5,FALSE())</f>
        <v>#N/A</v>
      </c>
    </row>
    <row r="63" customFormat="false" ht="15" hidden="true" customHeight="true" outlineLevel="0" collapsed="false">
      <c r="I63" s="0" t="str">
        <f aca="false">IF($S$69=0,"","F")</f>
        <v/>
      </c>
      <c r="J63" s="105" t="str">
        <f aca="false">IF($J$17=$A$146,"","Risco")</f>
        <v>Risco</v>
      </c>
      <c r="K63" s="105"/>
      <c r="L63" s="105"/>
      <c r="M63" s="105"/>
      <c r="N63" s="105"/>
      <c r="O63" s="105"/>
      <c r="P63" s="105"/>
      <c r="Q63" s="105"/>
      <c r="R63" s="106" t="str">
        <f aca="false">IF($J57=$A$146,"","R")</f>
        <v>R</v>
      </c>
      <c r="S63" s="107"/>
      <c r="U63" s="108" t="s">
        <v>218</v>
      </c>
      <c r="V63" s="108"/>
      <c r="W63" s="108"/>
      <c r="X63" s="109" t="e">
        <f aca="false">VLOOKUP(CONCATENATE(J57,"-",R63),$C$2:$G$136,3,FALSE())</f>
        <v>#N/A</v>
      </c>
      <c r="Y63" s="109" t="e">
        <f aca="false">VLOOKUP(CONCATENATE(J57,"-",R63),$C$2:$G$136,4,FALSE())</f>
        <v>#N/A</v>
      </c>
      <c r="Z63" s="109" t="e">
        <f aca="false">VLOOKUP(CONCATENATE(J57,"-",R63),$C$2:$G$136,5,FALSE())</f>
        <v>#N/A</v>
      </c>
    </row>
    <row r="64" customFormat="false" ht="15" hidden="true" customHeight="true" outlineLevel="0" collapsed="false">
      <c r="I64" s="0" t="str">
        <f aca="false">IF($S$69=0,"","F")</f>
        <v/>
      </c>
      <c r="J64" s="105" t="str">
        <f aca="false">IF($J$17=$A$146,"","Despesas Financeiras")</f>
        <v>Despesas Financeiras</v>
      </c>
      <c r="K64" s="105"/>
      <c r="L64" s="105"/>
      <c r="M64" s="105"/>
      <c r="N64" s="105"/>
      <c r="O64" s="105"/>
      <c r="P64" s="105"/>
      <c r="Q64" s="105"/>
      <c r="R64" s="106" t="str">
        <f aca="false">IF($J57=$A$146,"","DF")</f>
        <v>DF</v>
      </c>
      <c r="S64" s="107"/>
      <c r="U64" s="108" t="s">
        <v>218</v>
      </c>
      <c r="V64" s="108"/>
      <c r="W64" s="108"/>
      <c r="X64" s="109" t="e">
        <f aca="false">VLOOKUP(CONCATENATE(J57,"-",R64),$C$2:$G$136,3,FALSE())</f>
        <v>#N/A</v>
      </c>
      <c r="Y64" s="109" t="e">
        <f aca="false">VLOOKUP(CONCATENATE(J57,"-",R64),$C$2:$G$136,4,FALSE())</f>
        <v>#N/A</v>
      </c>
      <c r="Z64" s="109" t="e">
        <f aca="false">VLOOKUP(CONCATENATE(J57,"-",R64),$C$2:$G$136,5,FALSE())</f>
        <v>#N/A</v>
      </c>
    </row>
    <row r="65" customFormat="false" ht="15" hidden="true" customHeight="true" outlineLevel="0" collapsed="false">
      <c r="I65" s="0" t="str">
        <f aca="false">IF($S$69=0,"","F")</f>
        <v/>
      </c>
      <c r="J65" s="105" t="str">
        <f aca="false">IF($J$17=$A$146,"Margem bruta da empresa de consultoria","Lucro")</f>
        <v>Lucro</v>
      </c>
      <c r="K65" s="105"/>
      <c r="L65" s="105"/>
      <c r="M65" s="105"/>
      <c r="N65" s="105"/>
      <c r="O65" s="105"/>
      <c r="P65" s="105"/>
      <c r="Q65" s="105"/>
      <c r="R65" s="106" t="str">
        <f aca="false">IF($J57=$A$146,"K3","L")</f>
        <v>L</v>
      </c>
      <c r="S65" s="107"/>
      <c r="U65" s="108" t="s">
        <v>218</v>
      </c>
      <c r="V65" s="108"/>
      <c r="W65" s="108"/>
      <c r="X65" s="109" t="e">
        <f aca="false">VLOOKUP(CONCATENATE(J57,"-",R65),$C$2:$G$136,3,FALSE())</f>
        <v>#N/A</v>
      </c>
      <c r="Y65" s="109" t="e">
        <f aca="false">VLOOKUP(CONCATENATE(J57,"-",R65),$C$2:$G$136,4,FALSE())</f>
        <v>#N/A</v>
      </c>
      <c r="Z65" s="109" t="e">
        <f aca="false">VLOOKUP(CONCATENATE(J57,"-",R65),$C$2:$G$136,5,FALSE())</f>
        <v>#N/A</v>
      </c>
    </row>
    <row r="66" customFormat="false" ht="15" hidden="true" customHeight="true" outlineLevel="0" collapsed="false">
      <c r="I66" s="0" t="str">
        <f aca="false">IF($S$69=0,"","F")</f>
        <v/>
      </c>
      <c r="J66" s="105" t="s">
        <v>220</v>
      </c>
      <c r="K66" s="105"/>
      <c r="L66" s="105"/>
      <c r="M66" s="105"/>
      <c r="N66" s="105"/>
      <c r="O66" s="105"/>
      <c r="P66" s="105"/>
      <c r="Q66" s="105"/>
      <c r="R66" s="106" t="s">
        <v>221</v>
      </c>
      <c r="S66" s="107"/>
      <c r="U66" s="108" t="s">
        <v>218</v>
      </c>
      <c r="V66" s="108"/>
      <c r="W66" s="108"/>
      <c r="X66" s="109" t="n">
        <v>0.0365</v>
      </c>
      <c r="Y66" s="109" t="n">
        <v>0.0365</v>
      </c>
      <c r="Z66" s="109" t="n">
        <v>0.0365</v>
      </c>
    </row>
    <row r="67" customFormat="false" ht="15" hidden="true" customHeight="true" outlineLevel="0" collapsed="false">
      <c r="I67" s="0" t="str">
        <f aca="false">IF($S$69=0,"","F")</f>
        <v/>
      </c>
      <c r="J67" s="105" t="s">
        <v>222</v>
      </c>
      <c r="K67" s="105"/>
      <c r="L67" s="105"/>
      <c r="M67" s="105"/>
      <c r="N67" s="105"/>
      <c r="O67" s="105"/>
      <c r="P67" s="105"/>
      <c r="Q67" s="105"/>
      <c r="R67" s="106" t="s">
        <v>223</v>
      </c>
      <c r="S67" s="109" t="n">
        <f aca="true">IF(AND($J57&lt;&gt;$A$145,COUNTA(OFFSET(S60,1,0,6))&gt;0),$R$11*$R$10,0)</f>
        <v>0</v>
      </c>
      <c r="U67" s="108" t="s">
        <v>218</v>
      </c>
      <c r="V67" s="108"/>
      <c r="W67" s="108"/>
      <c r="X67" s="109" t="n">
        <v>0</v>
      </c>
      <c r="Y67" s="109" t="n">
        <v>0.025</v>
      </c>
      <c r="Z67" s="109" t="n">
        <v>0.05</v>
      </c>
    </row>
    <row r="68" customFormat="false" ht="15" hidden="true" customHeight="true" outlineLevel="0" collapsed="false">
      <c r="I68" s="0" t="str">
        <f aca="false">IF($S$69=0,"","F")</f>
        <v/>
      </c>
      <c r="J68" s="105" t="s">
        <v>224</v>
      </c>
      <c r="K68" s="105"/>
      <c r="L68" s="105"/>
      <c r="M68" s="105"/>
      <c r="N68" s="105"/>
      <c r="O68" s="105"/>
      <c r="P68" s="105"/>
      <c r="Q68" s="105"/>
      <c r="R68" s="106" t="s">
        <v>225</v>
      </c>
      <c r="S68" s="109" t="n">
        <f aca="true">IF(BDI.Opcao&lt;&gt;"Desonerado",0,IF(AND($J57&lt;&gt;$A$145,COUNTA(OFFSET(S60,1,0,6))&gt;0),4.5%,0%))</f>
        <v>0</v>
      </c>
      <c r="U68" s="108" t="s">
        <v>218</v>
      </c>
      <c r="V68" s="108"/>
      <c r="W68" s="108"/>
      <c r="X68" s="110" t="n">
        <v>0</v>
      </c>
      <c r="Y68" s="110" t="n">
        <v>0.045</v>
      </c>
      <c r="Z68" s="110" t="n">
        <v>0.045</v>
      </c>
    </row>
    <row r="69" customFormat="false" ht="15" hidden="true" customHeight="true" outlineLevel="0" collapsed="false">
      <c r="I69" s="0" t="str">
        <f aca="false">IF($S$69=0,"","F")</f>
        <v/>
      </c>
      <c r="J69" s="105" t="s">
        <v>226</v>
      </c>
      <c r="K69" s="105"/>
      <c r="L69" s="105"/>
      <c r="M69" s="105"/>
      <c r="N69" s="105"/>
      <c r="O69" s="105"/>
      <c r="P69" s="105"/>
      <c r="Q69" s="105"/>
      <c r="R69" s="111" t="s">
        <v>200</v>
      </c>
      <c r="S69" s="109" t="n">
        <f aca="false">IF($J57=$A$145,0,ROUND((((1+S61+S62+S63)*(1+S64)*(1+S65)/(1-(S66+S67)))-1),4))</f>
        <v>0</v>
      </c>
      <c r="U69" s="103" t="e">
        <f aca="false">IF(OR($J$17=$A$146,$J$17=$A$145,AND(S69&gt;=X69,S69&lt;=Z69)),"OK","FORA DO INTERVALO")</f>
        <v>#N/A</v>
      </c>
      <c r="V69" s="103"/>
      <c r="W69" s="103"/>
      <c r="X69" s="109" t="e">
        <f aca="false">IF($J57=$A$145,0,VLOOKUP(CONCATENATE($J57,"-",$R69),$C$2:$G$136,3,FALSE()))</f>
        <v>#N/A</v>
      </c>
      <c r="Y69" s="109" t="e">
        <f aca="false">IF($J57=$A$145,0,VLOOKUP(CONCATENATE($J57,"-",$R69),$C$2:$G$136,4,FALSE()))</f>
        <v>#N/A</v>
      </c>
      <c r="Z69" s="109" t="e">
        <f aca="false">IF($J57=$A$145,0,VLOOKUP(CONCATENATE($J57,"-",$R69),$C$2:$G$136,5,FALSE()))</f>
        <v>#N/A</v>
      </c>
    </row>
    <row r="70" customFormat="false" ht="15" hidden="true" customHeight="true" outlineLevel="0" collapsed="false">
      <c r="I70" s="0" t="str">
        <f aca="false">IF($S$69=0,"","F")</f>
        <v/>
      </c>
      <c r="J70" s="112" t="s">
        <v>227</v>
      </c>
      <c r="K70" s="112"/>
      <c r="L70" s="112"/>
      <c r="M70" s="112"/>
      <c r="N70" s="112"/>
      <c r="O70" s="112"/>
      <c r="P70" s="112"/>
      <c r="Q70" s="112"/>
      <c r="R70" s="112" t="s">
        <v>228</v>
      </c>
      <c r="S70" s="113" t="n">
        <f aca="false">IF($J57=$A$145,0,ROUND((((1+S61+S62+S63)*(1+S64)*(1+S65)/(1-(S66+S67+S68)))-1),4))</f>
        <v>0</v>
      </c>
    </row>
    <row r="71" customFormat="false" ht="25.5" hidden="true" customHeight="true" outlineLevel="0" collapsed="false">
      <c r="I71" s="0" t="str">
        <f aca="false">IF($S$69=0,"","F")</f>
        <v/>
      </c>
    </row>
    <row r="72" customFormat="false" ht="15" hidden="true" customHeight="false" outlineLevel="0" collapsed="false">
      <c r="I72" s="0" t="str">
        <f aca="false">IF($S$69=0,"","F")</f>
        <v/>
      </c>
      <c r="J72" s="114" t="e">
        <f aca="false">IF(U69&lt;&gt;"ok","X","")</f>
        <v>#N/A</v>
      </c>
      <c r="K72" s="115" t="e">
        <f aca="false">IF(U69&lt;&gt;"ok","Anexo: Relatório Técnico Circunstanciado justificando a adoção do percentual de cada parcela do BDI.","")</f>
        <v>#N/A</v>
      </c>
      <c r="L72" s="115"/>
      <c r="M72" s="115"/>
      <c r="N72" s="115"/>
      <c r="O72" s="115"/>
      <c r="P72" s="115"/>
      <c r="Q72" s="115"/>
      <c r="R72" s="115"/>
      <c r="S72" s="115"/>
    </row>
    <row r="73" customFormat="false" ht="12.75" hidden="true" customHeight="false" outlineLevel="0" collapsed="false">
      <c r="I73" s="0" t="str">
        <f aca="false">IF($S$69=0,"","F")</f>
        <v/>
      </c>
    </row>
    <row r="74" customFormat="false" ht="12.75" hidden="true" customHeight="false" outlineLevel="0" collapsed="false">
      <c r="I74" s="0" t="str">
        <f aca="false">IF($S$69=0,"","F")</f>
        <v/>
      </c>
      <c r="J74" s="116" t="s">
        <v>230</v>
      </c>
      <c r="K74" s="116"/>
      <c r="L74" s="116"/>
      <c r="M74" s="116"/>
      <c r="N74" s="116"/>
      <c r="O74" s="116"/>
      <c r="P74" s="116"/>
      <c r="Q74" s="116"/>
      <c r="R74" s="116"/>
      <c r="S74" s="116"/>
    </row>
    <row r="75" customFormat="false" ht="15" hidden="true" customHeight="false" outlineLevel="0" collapsed="false">
      <c r="I75" s="0" t="str">
        <f aca="false">IF($S$69=0,"","F")</f>
        <v/>
      </c>
      <c r="J75" s="117"/>
      <c r="K75" s="117"/>
      <c r="L75" s="117"/>
      <c r="M75" s="118" t="s">
        <v>231</v>
      </c>
      <c r="N75" s="119" t="str">
        <f aca="false">IF($J57=$A$146,"(1+K1+K2)*(1+K3)","(1+AC + S + R + G)*(1 + DF)*(1+L)")</f>
        <v>(1+AC + S + R + G)*(1 + DF)*(1+L)</v>
      </c>
      <c r="O75" s="119"/>
      <c r="P75" s="119"/>
      <c r="Q75" s="120" t="s">
        <v>232</v>
      </c>
      <c r="R75" s="117"/>
      <c r="S75" s="117"/>
    </row>
    <row r="76" customFormat="false" ht="15" hidden="true" customHeight="false" outlineLevel="0" collapsed="false">
      <c r="I76" s="0" t="str">
        <f aca="false">IF($S$69=0,"","F")</f>
        <v/>
      </c>
      <c r="J76" s="117"/>
      <c r="K76" s="117"/>
      <c r="L76" s="117"/>
      <c r="M76" s="118"/>
      <c r="N76" s="121" t="s">
        <v>233</v>
      </c>
      <c r="O76" s="121"/>
      <c r="P76" s="121"/>
      <c r="Q76" s="120"/>
      <c r="R76" s="117"/>
      <c r="S76" s="117"/>
    </row>
    <row r="77" customFormat="false" ht="15" hidden="true" customHeight="true" outlineLevel="0" collapsed="false">
      <c r="I77" s="0" t="str">
        <f aca="false">IF($S$69=0,"","F")</f>
        <v/>
      </c>
      <c r="J77" s="117"/>
      <c r="K77" s="117"/>
      <c r="L77" s="117"/>
      <c r="M77" s="138"/>
      <c r="N77" s="139"/>
      <c r="O77" s="139"/>
      <c r="P77" s="139"/>
      <c r="Q77" s="140"/>
      <c r="R77" s="117"/>
      <c r="S77" s="117"/>
    </row>
    <row r="78" customFormat="false" ht="49.5" hidden="true" customHeight="true" outlineLevel="0" collapsed="false">
      <c r="I78" s="0" t="str">
        <f aca="false">IF($S$69=0,"","F")</f>
        <v/>
      </c>
      <c r="J78" s="123" t="str">
        <f aca="false"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78" s="123"/>
      <c r="L78" s="123"/>
      <c r="M78" s="123"/>
      <c r="N78" s="123"/>
      <c r="O78" s="123"/>
      <c r="P78" s="123"/>
      <c r="Q78" s="123"/>
      <c r="R78" s="123"/>
      <c r="S78" s="123"/>
    </row>
    <row r="79" customFormat="false" ht="12.75" hidden="true" customHeight="false" outlineLevel="0" collapsed="false">
      <c r="I79" s="0" t="str">
        <f aca="false">IF($S$69=0,"","F")</f>
        <v/>
      </c>
    </row>
    <row r="80" customFormat="false" ht="49.5" hidden="true" customHeight="true" outlineLevel="0" collapsed="false">
      <c r="I80" s="0" t="str">
        <f aca="false">IF($S$69=0,"","F")</f>
        <v/>
      </c>
      <c r="J80" s="123" t="str">
        <f aca="true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80" s="123"/>
      <c r="L80" s="123"/>
      <c r="M80" s="123"/>
      <c r="N80" s="123"/>
      <c r="O80" s="123"/>
      <c r="P80" s="123"/>
      <c r="Q80" s="123"/>
      <c r="R80" s="123"/>
      <c r="S80" s="123"/>
    </row>
    <row r="81" customFormat="false" ht="12.75" hidden="true" customHeight="false" outlineLevel="0" collapsed="false">
      <c r="I81" s="0" t="str">
        <f aca="false">IF($S$69=0,"","F")</f>
        <v/>
      </c>
    </row>
    <row r="82" customFormat="false" ht="12.75" hidden="true" customHeight="false" outlineLevel="0" collapsed="false">
      <c r="I82" s="0" t="str">
        <f aca="false">IF($S$69=0,"","F")</f>
        <v/>
      </c>
      <c r="J82" s="83" t="s">
        <v>235</v>
      </c>
    </row>
    <row r="83" customFormat="false" ht="99.75" hidden="true" customHeight="true" outlineLevel="0" collapsed="false">
      <c r="I83" s="0" t="str">
        <f aca="false">IF($S$69=0,"","F")</f>
        <v/>
      </c>
      <c r="J83" s="124"/>
      <c r="K83" s="124"/>
      <c r="L83" s="124"/>
      <c r="M83" s="124"/>
      <c r="N83" s="124"/>
      <c r="O83" s="124"/>
      <c r="P83" s="124"/>
      <c r="Q83" s="124"/>
      <c r="R83" s="124"/>
      <c r="S83" s="124"/>
    </row>
    <row r="84" customFormat="false" ht="12.75" hidden="true" customHeight="false" outlineLevel="0" collapsed="false">
      <c r="I84" s="0" t="str">
        <f aca="false">IF($S$69=0,"","F")</f>
        <v/>
      </c>
    </row>
    <row r="85" customFormat="false" ht="12.75" hidden="true" customHeight="false" outlineLevel="0" collapsed="false">
      <c r="I85" s="0" t="str">
        <f aca="false">IF($S$69=0,"","F")</f>
        <v/>
      </c>
      <c r="J85" s="125" t="str">
        <f aca="false">Import.Município</f>
        <v>Alpinópolis</v>
      </c>
      <c r="K85" s="125"/>
      <c r="L85" s="125"/>
      <c r="M85" s="125"/>
      <c r="P85" s="126" t="n">
        <f aca="false">DADOS!$F$25</f>
        <v>45849</v>
      </c>
      <c r="Q85" s="126"/>
      <c r="R85" s="126"/>
      <c r="S85" s="126"/>
    </row>
    <row r="86" customFormat="false" ht="12.75" hidden="true" customHeight="false" outlineLevel="0" collapsed="false">
      <c r="I86" s="0" t="str">
        <f aca="false">IF($S$69=0,"","F")</f>
        <v/>
      </c>
      <c r="J86" s="127" t="s">
        <v>239</v>
      </c>
      <c r="K86" s="127"/>
      <c r="L86" s="127"/>
      <c r="M86" s="127"/>
      <c r="O86" s="128"/>
      <c r="P86" s="129" t="s">
        <v>240</v>
      </c>
      <c r="Q86" s="130"/>
      <c r="R86" s="130"/>
      <c r="S86" s="130"/>
    </row>
    <row r="87" customFormat="false" ht="30" hidden="true" customHeight="true" outlineLevel="0" collapsed="false">
      <c r="I87" s="0" t="str">
        <f aca="false">IF($S$69=0,"","F")</f>
        <v/>
      </c>
    </row>
    <row r="88" customFormat="false" ht="13.8" hidden="true" customHeight="false" outlineLevel="0" collapsed="false">
      <c r="I88" s="0" t="str">
        <f aca="false">IF($S$69=0,"","F")</f>
        <v/>
      </c>
      <c r="J88" s="131"/>
      <c r="K88" s="131"/>
      <c r="L88" s="131"/>
      <c r="M88" s="131"/>
      <c r="N88" s="132"/>
    </row>
    <row r="89" customFormat="false" ht="12.75" hidden="true" customHeight="false" outlineLevel="0" collapsed="false">
      <c r="I89" s="0" t="str">
        <f aca="false">IF($S$69=0,"","F")</f>
        <v/>
      </c>
      <c r="J89" s="133" t="s">
        <v>242</v>
      </c>
      <c r="K89" s="133"/>
      <c r="L89" s="133"/>
      <c r="M89" s="133"/>
    </row>
    <row r="90" customFormat="false" ht="13.8" hidden="true" customHeight="false" outlineLevel="0" collapsed="false">
      <c r="I90" s="0" t="str">
        <f aca="false">IF($S$69=0,"","F")</f>
        <v/>
      </c>
      <c r="J90" s="134" t="s">
        <v>123</v>
      </c>
      <c r="K90" s="135" t="str">
        <f aca="false" t="array" ref="K90:K92">Import.RespOrçamento</f>
        <v>Fabiano Martins Cunha</v>
      </c>
      <c r="L90" s="136"/>
      <c r="M90" s="136"/>
      <c r="N90" s="132"/>
    </row>
    <row r="91" customFormat="false" ht="13.8" hidden="true" customHeight="false" outlineLevel="0" collapsed="false">
      <c r="I91" s="0" t="str">
        <f aca="false">IF($S$69=0,"","F")</f>
        <v/>
      </c>
      <c r="J91" s="134" t="s">
        <v>125</v>
      </c>
      <c r="K91" s="135" t="str">
        <v>125417/D</v>
      </c>
      <c r="L91" s="136"/>
      <c r="M91" s="136"/>
      <c r="N91" s="132"/>
    </row>
    <row r="92" customFormat="false" ht="13.8" hidden="true" customHeight="false" outlineLevel="0" collapsed="false">
      <c r="I92" s="0" t="str">
        <f aca="false">IF($S$69=0,"","F")</f>
        <v/>
      </c>
      <c r="J92" s="134" t="s">
        <v>127</v>
      </c>
      <c r="K92" s="135" t="n">
        <v>0</v>
      </c>
      <c r="L92" s="136"/>
      <c r="M92" s="136"/>
      <c r="N92" s="132"/>
    </row>
    <row r="93" customFormat="false" ht="13.8" hidden="true" customHeight="false" outlineLevel="0" collapsed="false">
      <c r="I93" s="0" t="str">
        <f aca="false">IF($S$69=0,"","F")</f>
        <v/>
      </c>
      <c r="J93" s="134"/>
      <c r="K93" s="137"/>
      <c r="L93" s="136"/>
      <c r="M93" s="136"/>
      <c r="N93" s="132"/>
    </row>
    <row r="94" customFormat="false" ht="15" hidden="true" customHeight="false" outlineLevel="0" collapsed="false">
      <c r="I94" s="0" t="str">
        <f aca="false">IF($S$109=0,"","F")</f>
        <v/>
      </c>
      <c r="J94" s="100" t="s">
        <v>244</v>
      </c>
      <c r="K94" s="100"/>
      <c r="L94" s="100"/>
      <c r="M94" s="100"/>
      <c r="N94" s="100"/>
      <c r="O94" s="100"/>
      <c r="P94" s="100"/>
      <c r="Q94" s="100"/>
      <c r="R94" s="100"/>
      <c r="S94" s="100"/>
    </row>
    <row r="95" customFormat="false" ht="12.75" hidden="true" customHeight="false" outlineLevel="0" collapsed="false">
      <c r="I95" s="0" t="str">
        <f aca="false">IF($S$109=0,"","F")</f>
        <v/>
      </c>
    </row>
    <row r="96" customFormat="false" ht="12.75" hidden="true" customHeight="false" outlineLevel="0" collapsed="false">
      <c r="I96" s="0" t="str">
        <f aca="false">IF($S$109=0,"","F")</f>
        <v/>
      </c>
      <c r="J96" s="89" t="s">
        <v>209</v>
      </c>
      <c r="K96" s="89"/>
      <c r="L96" s="89"/>
      <c r="M96" s="89"/>
      <c r="N96" s="89"/>
      <c r="O96" s="89"/>
      <c r="P96" s="89"/>
      <c r="Q96" s="89"/>
      <c r="R96" s="89"/>
      <c r="S96" s="89"/>
    </row>
    <row r="97" customFormat="false" ht="12.75" hidden="true" customHeight="false" outlineLevel="0" collapsed="false">
      <c r="I97" s="0" t="str">
        <f aca="false">IF($S$109=0,"","F")</f>
        <v/>
      </c>
      <c r="J97" s="101" t="s">
        <v>140</v>
      </c>
      <c r="K97" s="101"/>
      <c r="L97" s="101"/>
      <c r="M97" s="101"/>
      <c r="N97" s="101"/>
      <c r="O97" s="101"/>
      <c r="P97" s="101"/>
      <c r="Q97" s="101"/>
      <c r="R97" s="101"/>
      <c r="S97" s="101"/>
    </row>
    <row r="98" customFormat="false" ht="12.75" hidden="true" customHeight="false" outlineLevel="0" collapsed="false">
      <c r="I98" s="0" t="str">
        <f aca="false">IF($S$109=0,"","F")</f>
        <v/>
      </c>
    </row>
    <row r="99" customFormat="false" ht="12.75" hidden="true" customHeight="true" outlineLevel="0" collapsed="false">
      <c r="I99" s="0" t="str">
        <f aca="false">IF($S$109=0,"","F")</f>
        <v/>
      </c>
      <c r="J99" s="102" t="s">
        <v>210</v>
      </c>
      <c r="K99" s="102"/>
      <c r="L99" s="102"/>
      <c r="M99" s="102"/>
      <c r="N99" s="102"/>
      <c r="O99" s="102"/>
      <c r="P99" s="102"/>
      <c r="Q99" s="102"/>
      <c r="R99" s="102" t="s">
        <v>211</v>
      </c>
      <c r="S99" s="103" t="s">
        <v>212</v>
      </c>
      <c r="U99" s="103" t="s">
        <v>213</v>
      </c>
      <c r="V99" s="103"/>
      <c r="W99" s="103"/>
      <c r="X99" s="104" t="s">
        <v>214</v>
      </c>
      <c r="Y99" s="104" t="s">
        <v>215</v>
      </c>
      <c r="Z99" s="104" t="s">
        <v>216</v>
      </c>
    </row>
    <row r="100" customFormat="false" ht="12.75" hidden="true" customHeight="true" outlineLevel="0" collapsed="false">
      <c r="I100" s="0" t="str">
        <f aca="false">IF($S$109=0,"","F")</f>
        <v/>
      </c>
      <c r="J100" s="102"/>
      <c r="K100" s="102"/>
      <c r="L100" s="102"/>
      <c r="M100" s="102"/>
      <c r="N100" s="102"/>
      <c r="O100" s="102"/>
      <c r="P100" s="102"/>
      <c r="Q100" s="102"/>
      <c r="R100" s="102"/>
      <c r="S100" s="103"/>
      <c r="U100" s="103"/>
      <c r="V100" s="103"/>
      <c r="W100" s="103"/>
      <c r="X100" s="104"/>
      <c r="Y100" s="104"/>
      <c r="Z100" s="104"/>
    </row>
    <row r="101" customFormat="false" ht="15" hidden="true" customHeight="true" outlineLevel="0" collapsed="false">
      <c r="I101" s="0" t="str">
        <f aca="false">IF($S$109=0,"","F")</f>
        <v/>
      </c>
      <c r="J101" s="105" t="str">
        <f aca="false">IF($J$17=$A$146,"Encargos Sociais incidentes sobre a mão de obra","Administração Central")</f>
        <v>Administração Central</v>
      </c>
      <c r="K101" s="105"/>
      <c r="L101" s="105"/>
      <c r="M101" s="105"/>
      <c r="N101" s="105"/>
      <c r="O101" s="105"/>
      <c r="P101" s="105"/>
      <c r="Q101" s="105"/>
      <c r="R101" s="106" t="str">
        <f aca="false">IF($J97=$A$146,"K1","AC")</f>
        <v>AC</v>
      </c>
      <c r="S101" s="107"/>
      <c r="U101" s="108" t="s">
        <v>218</v>
      </c>
      <c r="V101" s="108"/>
      <c r="W101" s="108"/>
      <c r="X101" s="109" t="e">
        <f aca="false">VLOOKUP(CONCATENATE(J97,"-",R101),$C$2:$G$136,3,FALSE())</f>
        <v>#N/A</v>
      </c>
      <c r="Y101" s="109" t="e">
        <f aca="false">VLOOKUP(CONCATENATE(J97,"-",R101),$C$2:$G$136,4,FALSE())</f>
        <v>#N/A</v>
      </c>
      <c r="Z101" s="109" t="e">
        <f aca="false">VLOOKUP(CONCATENATE(J97,"-",R101),$C$2:$G$136,5,FALSE())</f>
        <v>#N/A</v>
      </c>
    </row>
    <row r="102" customFormat="false" ht="15" hidden="true" customHeight="true" outlineLevel="0" collapsed="false">
      <c r="I102" s="0" t="str">
        <f aca="false">IF($S$109=0,"","F")</f>
        <v/>
      </c>
      <c r="J102" s="105" t="str">
        <f aca="false">IF($J$17=$A$146,"Administração Central da empresa ou consultoria - overhead","Seguro e Garantia")</f>
        <v>Seguro e Garantia</v>
      </c>
      <c r="K102" s="105"/>
      <c r="L102" s="105"/>
      <c r="M102" s="105"/>
      <c r="N102" s="105"/>
      <c r="O102" s="105"/>
      <c r="P102" s="105"/>
      <c r="Q102" s="105"/>
      <c r="R102" s="106" t="str">
        <f aca="false">IF($J97=$A$146,"K2","SG")</f>
        <v>SG</v>
      </c>
      <c r="S102" s="107"/>
      <c r="U102" s="108" t="s">
        <v>218</v>
      </c>
      <c r="V102" s="108"/>
      <c r="W102" s="108"/>
      <c r="X102" s="109" t="e">
        <f aca="false">VLOOKUP(CONCATENATE(J97,"-",R102),$C$2:$G$136,3,FALSE())</f>
        <v>#N/A</v>
      </c>
      <c r="Y102" s="109" t="e">
        <f aca="false">VLOOKUP(CONCATENATE(J97,"-",R102),$C$2:$G$136,4,FALSE())</f>
        <v>#N/A</v>
      </c>
      <c r="Z102" s="109" t="e">
        <f aca="false">VLOOKUP(CONCATENATE(J97,"-",R102),$C$2:$G$136,5,FALSE())</f>
        <v>#N/A</v>
      </c>
    </row>
    <row r="103" customFormat="false" ht="15" hidden="true" customHeight="true" outlineLevel="0" collapsed="false">
      <c r="I103" s="0" t="str">
        <f aca="false">IF($S$109=0,"","F")</f>
        <v/>
      </c>
      <c r="J103" s="105" t="str">
        <f aca="false">IF($J$17=$A$146,"","Risco")</f>
        <v>Risco</v>
      </c>
      <c r="K103" s="105"/>
      <c r="L103" s="105"/>
      <c r="M103" s="105"/>
      <c r="N103" s="105"/>
      <c r="O103" s="105"/>
      <c r="P103" s="105"/>
      <c r="Q103" s="105"/>
      <c r="R103" s="106" t="str">
        <f aca="false">IF($J97=$A$146,"","R")</f>
        <v>R</v>
      </c>
      <c r="S103" s="107"/>
      <c r="U103" s="108" t="s">
        <v>218</v>
      </c>
      <c r="V103" s="108"/>
      <c r="W103" s="108"/>
      <c r="X103" s="109" t="e">
        <f aca="false">VLOOKUP(CONCATENATE(J97,"-",R103),$C$2:$G$136,3,FALSE())</f>
        <v>#N/A</v>
      </c>
      <c r="Y103" s="109" t="e">
        <f aca="false">VLOOKUP(CONCATENATE(J97,"-",R103),$C$2:$G$136,4,FALSE())</f>
        <v>#N/A</v>
      </c>
      <c r="Z103" s="109" t="e">
        <f aca="false">VLOOKUP(CONCATENATE(J97,"-",R103),$C$2:$G$136,5,FALSE())</f>
        <v>#N/A</v>
      </c>
    </row>
    <row r="104" customFormat="false" ht="15" hidden="true" customHeight="true" outlineLevel="0" collapsed="false">
      <c r="I104" s="0" t="str">
        <f aca="false">IF($S$109=0,"","F")</f>
        <v/>
      </c>
      <c r="J104" s="105" t="str">
        <f aca="false">IF($J$17=$A$146,"","Despesas Financeiras")</f>
        <v>Despesas Financeiras</v>
      </c>
      <c r="K104" s="105"/>
      <c r="L104" s="105"/>
      <c r="M104" s="105"/>
      <c r="N104" s="105"/>
      <c r="O104" s="105"/>
      <c r="P104" s="105"/>
      <c r="Q104" s="105"/>
      <c r="R104" s="106" t="str">
        <f aca="false">IF($J97=$A$146,"","DF")</f>
        <v>DF</v>
      </c>
      <c r="S104" s="107"/>
      <c r="U104" s="108" t="s">
        <v>218</v>
      </c>
      <c r="V104" s="108"/>
      <c r="W104" s="108"/>
      <c r="X104" s="109" t="e">
        <f aca="false">VLOOKUP(CONCATENATE(J97,"-",R104),$C$2:$G$136,3,FALSE())</f>
        <v>#N/A</v>
      </c>
      <c r="Y104" s="109" t="e">
        <f aca="false">VLOOKUP(CONCATENATE(J97,"-",R104),$C$2:$G$136,4,FALSE())</f>
        <v>#N/A</v>
      </c>
      <c r="Z104" s="109" t="e">
        <f aca="false">VLOOKUP(CONCATENATE(J97,"-",R104),$C$2:$G$136,5,FALSE())</f>
        <v>#N/A</v>
      </c>
    </row>
    <row r="105" customFormat="false" ht="15" hidden="true" customHeight="true" outlineLevel="0" collapsed="false">
      <c r="I105" s="0" t="str">
        <f aca="false">IF($S$109=0,"","F")</f>
        <v/>
      </c>
      <c r="J105" s="105" t="str">
        <f aca="false">IF($J$17=$A$146,"Margem bruta da empresa de consultoria","Lucro")</f>
        <v>Lucro</v>
      </c>
      <c r="K105" s="105"/>
      <c r="L105" s="105"/>
      <c r="M105" s="105"/>
      <c r="N105" s="105"/>
      <c r="O105" s="105"/>
      <c r="P105" s="105"/>
      <c r="Q105" s="105"/>
      <c r="R105" s="106" t="str">
        <f aca="false">IF($J97=$A$146,"K3","L")</f>
        <v>L</v>
      </c>
      <c r="S105" s="107"/>
      <c r="U105" s="108" t="s">
        <v>218</v>
      </c>
      <c r="V105" s="108"/>
      <c r="W105" s="108"/>
      <c r="X105" s="109" t="e">
        <f aca="false">VLOOKUP(CONCATENATE(J97,"-",R105),$C$2:$G$136,3,FALSE())</f>
        <v>#N/A</v>
      </c>
      <c r="Y105" s="109" t="e">
        <f aca="false">VLOOKUP(CONCATENATE(J97,"-",R105),$C$2:$G$136,4,FALSE())</f>
        <v>#N/A</v>
      </c>
      <c r="Z105" s="109" t="e">
        <f aca="false">VLOOKUP(CONCATENATE(J97,"-",R105),$C$2:$G$136,5,FALSE())</f>
        <v>#N/A</v>
      </c>
    </row>
    <row r="106" customFormat="false" ht="15" hidden="true" customHeight="true" outlineLevel="0" collapsed="false">
      <c r="I106" s="0" t="str">
        <f aca="false">IF($S$109=0,"","F")</f>
        <v/>
      </c>
      <c r="J106" s="105" t="s">
        <v>220</v>
      </c>
      <c r="K106" s="105"/>
      <c r="L106" s="105"/>
      <c r="M106" s="105"/>
      <c r="N106" s="105"/>
      <c r="O106" s="105"/>
      <c r="P106" s="105"/>
      <c r="Q106" s="105"/>
      <c r="R106" s="106" t="s">
        <v>221</v>
      </c>
      <c r="S106" s="107"/>
      <c r="U106" s="108" t="s">
        <v>218</v>
      </c>
      <c r="V106" s="108"/>
      <c r="W106" s="108"/>
      <c r="X106" s="109" t="n">
        <v>0.0365</v>
      </c>
      <c r="Y106" s="109" t="n">
        <v>0.0365</v>
      </c>
      <c r="Z106" s="109" t="n">
        <v>0.0365</v>
      </c>
    </row>
    <row r="107" customFormat="false" ht="15" hidden="true" customHeight="true" outlineLevel="0" collapsed="false">
      <c r="I107" s="0" t="str">
        <f aca="false">IF($S$109=0,"","F")</f>
        <v/>
      </c>
      <c r="J107" s="105" t="s">
        <v>222</v>
      </c>
      <c r="K107" s="105"/>
      <c r="L107" s="105"/>
      <c r="M107" s="105"/>
      <c r="N107" s="105"/>
      <c r="O107" s="105"/>
      <c r="P107" s="105"/>
      <c r="Q107" s="105"/>
      <c r="R107" s="106" t="s">
        <v>223</v>
      </c>
      <c r="S107" s="109" t="n">
        <f aca="true">IF(AND($J97&lt;&gt;$A$145,COUNTA(OFFSET(S100,1,0,6))&gt;0),$R$11*$R$10,0)</f>
        <v>0</v>
      </c>
      <c r="U107" s="108" t="s">
        <v>218</v>
      </c>
      <c r="V107" s="108"/>
      <c r="W107" s="108"/>
      <c r="X107" s="109" t="n">
        <v>0</v>
      </c>
      <c r="Y107" s="109" t="n">
        <v>0.025</v>
      </c>
      <c r="Z107" s="109" t="n">
        <v>0.05</v>
      </c>
    </row>
    <row r="108" customFormat="false" ht="15" hidden="true" customHeight="true" outlineLevel="0" collapsed="false">
      <c r="I108" s="0" t="str">
        <f aca="false">IF($S$109=0,"","F")</f>
        <v/>
      </c>
      <c r="J108" s="105" t="s">
        <v>224</v>
      </c>
      <c r="K108" s="105"/>
      <c r="L108" s="105"/>
      <c r="M108" s="105"/>
      <c r="N108" s="105"/>
      <c r="O108" s="105"/>
      <c r="P108" s="105"/>
      <c r="Q108" s="105"/>
      <c r="R108" s="106" t="s">
        <v>225</v>
      </c>
      <c r="S108" s="109" t="n">
        <f aca="true">IF(BDI.Opcao&lt;&gt;"Desonerado",0,IF(AND($J97&lt;&gt;$A$145,COUNTA(OFFSET(S100,1,0,6))&gt;0),4.5%,0%))</f>
        <v>0</v>
      </c>
      <c r="U108" s="108" t="s">
        <v>218</v>
      </c>
      <c r="V108" s="108"/>
      <c r="W108" s="108"/>
      <c r="X108" s="110" t="n">
        <v>0</v>
      </c>
      <c r="Y108" s="110" t="n">
        <v>0.045</v>
      </c>
      <c r="Z108" s="110" t="n">
        <v>0.045</v>
      </c>
    </row>
    <row r="109" customFormat="false" ht="15" hidden="true" customHeight="true" outlineLevel="0" collapsed="false">
      <c r="I109" s="0" t="str">
        <f aca="false">IF($S$109=0,"","F")</f>
        <v/>
      </c>
      <c r="J109" s="105" t="s">
        <v>226</v>
      </c>
      <c r="K109" s="105"/>
      <c r="L109" s="105"/>
      <c r="M109" s="105"/>
      <c r="N109" s="105"/>
      <c r="O109" s="105"/>
      <c r="P109" s="105"/>
      <c r="Q109" s="105"/>
      <c r="R109" s="111" t="s">
        <v>200</v>
      </c>
      <c r="S109" s="109" t="n">
        <f aca="false">IF($J97=$A$145,0,ROUND((((1+S101+S102+S103)*(1+S104)*(1+S105)/(1-(S106+S107)))-1),4))</f>
        <v>0</v>
      </c>
      <c r="U109" s="103" t="e">
        <f aca="false">IF(OR($J$17=$A$146,$J$17=$A$145,AND(S109&gt;=X109,S109&lt;=Z109)),"OK","FORA DO INTERVALO")</f>
        <v>#N/A</v>
      </c>
      <c r="V109" s="103"/>
      <c r="W109" s="103"/>
      <c r="X109" s="109" t="e">
        <f aca="false">IF($J97=$A$145,0,VLOOKUP(CONCATENATE($J97,"-",$R109),$C$2:$G$136,3,FALSE()))</f>
        <v>#N/A</v>
      </c>
      <c r="Y109" s="109" t="e">
        <f aca="false">IF($J97=$A$145,0,VLOOKUP(CONCATENATE($J97,"-",$R109),$C$2:$G$136,4,FALSE()))</f>
        <v>#N/A</v>
      </c>
      <c r="Z109" s="109" t="e">
        <f aca="false">IF($J97=$A$145,0,VLOOKUP(CONCATENATE($J97,"-",$R109),$C$2:$G$136,5,FALSE()))</f>
        <v>#N/A</v>
      </c>
    </row>
    <row r="110" customFormat="false" ht="15" hidden="true" customHeight="true" outlineLevel="0" collapsed="false">
      <c r="I110" s="0" t="str">
        <f aca="false">IF($S$109=0,"","F")</f>
        <v/>
      </c>
      <c r="J110" s="112" t="s">
        <v>227</v>
      </c>
      <c r="K110" s="112"/>
      <c r="L110" s="112"/>
      <c r="M110" s="112"/>
      <c r="N110" s="112"/>
      <c r="O110" s="112"/>
      <c r="P110" s="112"/>
      <c r="Q110" s="112"/>
      <c r="R110" s="112" t="s">
        <v>228</v>
      </c>
      <c r="S110" s="113" t="n">
        <f aca="false">IF($J97=$A$145,0,ROUND((((1+S101+S102+S103)*(1+S104)*(1+S105)/(1-(S106+S107+S108)))-1),4))</f>
        <v>0</v>
      </c>
    </row>
    <row r="111" customFormat="false" ht="25.5" hidden="true" customHeight="true" outlineLevel="0" collapsed="false">
      <c r="I111" s="0" t="str">
        <f aca="false">IF($S$109=0,"","F")</f>
        <v/>
      </c>
    </row>
    <row r="112" customFormat="false" ht="15" hidden="true" customHeight="false" outlineLevel="0" collapsed="false">
      <c r="I112" s="0" t="str">
        <f aca="false">IF($S$109=0,"","F")</f>
        <v/>
      </c>
      <c r="J112" s="114" t="e">
        <f aca="false">IF(U109&lt;&gt;"ok","X","")</f>
        <v>#N/A</v>
      </c>
      <c r="K112" s="115" t="e">
        <f aca="false">IF(U109&lt;&gt;"ok","Anexo: Relatório Técnico Circunstanciado justificando a adoção do percentual de cada parcela do BDI.","")</f>
        <v>#N/A</v>
      </c>
      <c r="L112" s="115"/>
      <c r="M112" s="115"/>
      <c r="N112" s="115"/>
      <c r="O112" s="115"/>
      <c r="P112" s="115"/>
      <c r="Q112" s="115"/>
      <c r="R112" s="115"/>
      <c r="S112" s="115"/>
    </row>
    <row r="113" customFormat="false" ht="12.75" hidden="true" customHeight="false" outlineLevel="0" collapsed="false">
      <c r="I113" s="0" t="str">
        <f aca="false">IF($S$109=0,"","F")</f>
        <v/>
      </c>
    </row>
    <row r="114" customFormat="false" ht="12.75" hidden="true" customHeight="false" outlineLevel="0" collapsed="false">
      <c r="I114" s="0" t="str">
        <f aca="false">IF($S$109=0,"","F")</f>
        <v/>
      </c>
      <c r="J114" s="116" t="s">
        <v>230</v>
      </c>
      <c r="K114" s="116"/>
      <c r="L114" s="116"/>
      <c r="M114" s="116"/>
      <c r="N114" s="116"/>
      <c r="O114" s="116"/>
      <c r="P114" s="116"/>
      <c r="Q114" s="116"/>
      <c r="R114" s="116"/>
      <c r="S114" s="116"/>
    </row>
    <row r="115" customFormat="false" ht="15" hidden="true" customHeight="false" outlineLevel="0" collapsed="false">
      <c r="I115" s="0" t="str">
        <f aca="false">IF($S$109=0,"","F")</f>
        <v/>
      </c>
      <c r="J115" s="117"/>
      <c r="K115" s="117"/>
      <c r="L115" s="117"/>
      <c r="M115" s="118" t="s">
        <v>231</v>
      </c>
      <c r="N115" s="119" t="str">
        <f aca="false">IF($J97=$A$146,"(1+K1+K2)*(1+K3)","(1+AC + S + R + G)*(1 + DF)*(1+L)")</f>
        <v>(1+AC + S + R + G)*(1 + DF)*(1+L)</v>
      </c>
      <c r="O115" s="119"/>
      <c r="P115" s="119"/>
      <c r="Q115" s="120" t="s">
        <v>232</v>
      </c>
      <c r="R115" s="117"/>
      <c r="S115" s="117"/>
    </row>
    <row r="116" customFormat="false" ht="15" hidden="true" customHeight="false" outlineLevel="0" collapsed="false">
      <c r="I116" s="0" t="str">
        <f aca="false">IF($S$109=0,"","F")</f>
        <v/>
      </c>
      <c r="J116" s="117"/>
      <c r="K116" s="117"/>
      <c r="L116" s="117"/>
      <c r="M116" s="118"/>
      <c r="N116" s="121" t="s">
        <v>233</v>
      </c>
      <c r="O116" s="121"/>
      <c r="P116" s="121"/>
      <c r="Q116" s="120"/>
      <c r="R116" s="117"/>
      <c r="S116" s="117"/>
    </row>
    <row r="117" customFormat="false" ht="15" hidden="true" customHeight="true" outlineLevel="0" collapsed="false">
      <c r="I117" s="0" t="str">
        <f aca="false">IF($S$109=0,"","F")</f>
        <v/>
      </c>
      <c r="J117" s="117"/>
      <c r="K117" s="117"/>
      <c r="L117" s="117"/>
      <c r="M117" s="138"/>
      <c r="N117" s="139"/>
      <c r="O117" s="139"/>
      <c r="P117" s="139"/>
      <c r="Q117" s="140"/>
      <c r="R117" s="117"/>
      <c r="S117" s="117"/>
    </row>
    <row r="118" customFormat="false" ht="49.5" hidden="true" customHeight="true" outlineLevel="0" collapsed="false">
      <c r="I118" s="0" t="str">
        <f aca="false">IF($S$109=0,"","F")</f>
        <v/>
      </c>
      <c r="J118" s="123" t="str">
        <f aca="false"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118" s="123"/>
      <c r="L118" s="123"/>
      <c r="M118" s="123"/>
      <c r="N118" s="123"/>
      <c r="O118" s="123"/>
      <c r="P118" s="123"/>
      <c r="Q118" s="123"/>
      <c r="R118" s="123"/>
      <c r="S118" s="123"/>
    </row>
    <row r="119" customFormat="false" ht="12.75" hidden="true" customHeight="false" outlineLevel="0" collapsed="false">
      <c r="I119" s="0" t="str">
        <f aca="false">IF($S$109=0,"","F")</f>
        <v/>
      </c>
    </row>
    <row r="120" customFormat="false" ht="49.5" hidden="true" customHeight="true" outlineLevel="0" collapsed="false">
      <c r="I120" s="0" t="str">
        <f aca="false">IF($S$109=0,"","F")</f>
        <v/>
      </c>
      <c r="J120" s="123" t="str">
        <f aca="true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120" s="123"/>
      <c r="L120" s="123"/>
      <c r="M120" s="123"/>
      <c r="N120" s="123"/>
      <c r="O120" s="123"/>
      <c r="P120" s="123"/>
      <c r="Q120" s="123"/>
      <c r="R120" s="123"/>
      <c r="S120" s="123"/>
    </row>
    <row r="121" customFormat="false" ht="12.75" hidden="true" customHeight="false" outlineLevel="0" collapsed="false">
      <c r="I121" s="0" t="str">
        <f aca="false">IF($S$109=0,"","F")</f>
        <v/>
      </c>
    </row>
    <row r="122" customFormat="false" ht="12.75" hidden="true" customHeight="false" outlineLevel="0" collapsed="false">
      <c r="I122" s="0" t="str">
        <f aca="false">IF($S$109=0,"","F")</f>
        <v/>
      </c>
      <c r="J122" s="83" t="s">
        <v>235</v>
      </c>
    </row>
    <row r="123" customFormat="false" ht="109.5" hidden="true" customHeight="true" outlineLevel="0" collapsed="false">
      <c r="I123" s="0" t="str">
        <f aca="false">IF($S$109=0,"","F")</f>
        <v/>
      </c>
      <c r="J123" s="124"/>
      <c r="K123" s="124"/>
      <c r="L123" s="124"/>
      <c r="M123" s="124"/>
      <c r="N123" s="124"/>
      <c r="O123" s="124"/>
      <c r="P123" s="124"/>
      <c r="Q123" s="124"/>
      <c r="R123" s="124"/>
      <c r="S123" s="124"/>
    </row>
    <row r="124" customFormat="false" ht="12.75" hidden="true" customHeight="false" outlineLevel="0" collapsed="false">
      <c r="I124" s="0" t="str">
        <f aca="false">IF($S$109=0,"","F")</f>
        <v/>
      </c>
    </row>
    <row r="125" customFormat="false" ht="12.75" hidden="true" customHeight="false" outlineLevel="0" collapsed="false">
      <c r="I125" s="0" t="str">
        <f aca="false">IF($S$109=0,"","F")</f>
        <v/>
      </c>
      <c r="J125" s="125" t="str">
        <f aca="false">Import.Município</f>
        <v>Alpinópolis</v>
      </c>
      <c r="K125" s="125"/>
      <c r="L125" s="125"/>
      <c r="M125" s="125"/>
      <c r="P125" s="126" t="n">
        <f aca="false">DADOS!$F$25</f>
        <v>45849</v>
      </c>
      <c r="Q125" s="126"/>
      <c r="R125" s="126"/>
      <c r="S125" s="126"/>
    </row>
    <row r="126" customFormat="false" ht="12.75" hidden="true" customHeight="false" outlineLevel="0" collapsed="false">
      <c r="I126" s="0" t="str">
        <f aca="false">IF($S$109=0,"","F")</f>
        <v/>
      </c>
      <c r="J126" s="127" t="s">
        <v>239</v>
      </c>
      <c r="K126" s="127"/>
      <c r="L126" s="127"/>
      <c r="M126" s="127"/>
      <c r="O126" s="128"/>
      <c r="P126" s="129" t="s">
        <v>240</v>
      </c>
      <c r="Q126" s="130"/>
      <c r="R126" s="130"/>
      <c r="S126" s="130"/>
    </row>
    <row r="127" customFormat="false" ht="30" hidden="true" customHeight="true" outlineLevel="0" collapsed="false">
      <c r="I127" s="0" t="str">
        <f aca="false">IF($S$109=0,"","F")</f>
        <v/>
      </c>
    </row>
    <row r="128" customFormat="false" ht="13.8" hidden="true" customHeight="false" outlineLevel="0" collapsed="false">
      <c r="I128" s="0" t="str">
        <f aca="false">IF($S$109=0,"","F")</f>
        <v/>
      </c>
      <c r="J128" s="131"/>
      <c r="K128" s="131"/>
      <c r="L128" s="131"/>
      <c r="M128" s="131"/>
      <c r="N128" s="132"/>
    </row>
    <row r="129" customFormat="false" ht="12.75" hidden="true" customHeight="false" outlineLevel="0" collapsed="false">
      <c r="I129" s="0" t="str">
        <f aca="false">IF($S$109=0,"","F")</f>
        <v/>
      </c>
      <c r="J129" s="133" t="s">
        <v>242</v>
      </c>
      <c r="K129" s="133"/>
      <c r="L129" s="133"/>
      <c r="M129" s="133"/>
    </row>
    <row r="130" customFormat="false" ht="13.8" hidden="true" customHeight="false" outlineLevel="0" collapsed="false">
      <c r="I130" s="0" t="str">
        <f aca="false">IF($S$109=0,"","F")</f>
        <v/>
      </c>
      <c r="J130" s="134" t="s">
        <v>123</v>
      </c>
      <c r="K130" s="135" t="str">
        <f aca="false" t="array" ref="K130:K132">Import.RespOrçamento</f>
        <v>Fabiano Martins Cunha</v>
      </c>
      <c r="L130" s="136"/>
      <c r="M130" s="136"/>
      <c r="N130" s="132"/>
    </row>
    <row r="131" customFormat="false" ht="13.8" hidden="true" customHeight="false" outlineLevel="0" collapsed="false">
      <c r="I131" s="0" t="str">
        <f aca="false">IF($S$109=0,"","F")</f>
        <v/>
      </c>
      <c r="J131" s="134" t="s">
        <v>125</v>
      </c>
      <c r="K131" s="135" t="str">
        <v>125417/D</v>
      </c>
      <c r="L131" s="136"/>
      <c r="M131" s="136"/>
      <c r="N131" s="132"/>
    </row>
    <row r="132" customFormat="false" ht="13.8" hidden="true" customHeight="false" outlineLevel="0" collapsed="false">
      <c r="I132" s="0" t="str">
        <f aca="false">IF($S$109=0,"","F")</f>
        <v/>
      </c>
      <c r="J132" s="134" t="s">
        <v>127</v>
      </c>
      <c r="K132" s="135" t="n">
        <v>0</v>
      </c>
      <c r="L132" s="136"/>
      <c r="M132" s="136"/>
      <c r="N132" s="132"/>
    </row>
    <row r="138" customFormat="false" ht="12.75" hidden="false" customHeight="false" outlineLevel="0" collapsed="false">
      <c r="A138" s="83" t="s">
        <v>140</v>
      </c>
    </row>
    <row r="139" customFormat="false" ht="12.75" hidden="false" customHeight="false" outlineLevel="0" collapsed="false">
      <c r="A139" s="83" t="s">
        <v>189</v>
      </c>
    </row>
    <row r="140" customFormat="false" ht="12.75" hidden="false" customHeight="false" outlineLevel="0" collapsed="false">
      <c r="A140" s="83" t="s">
        <v>202</v>
      </c>
    </row>
    <row r="141" customFormat="false" ht="12.75" hidden="false" customHeight="false" outlineLevel="0" collapsed="false">
      <c r="A141" s="83" t="s">
        <v>207</v>
      </c>
    </row>
    <row r="142" customFormat="false" ht="12.75" hidden="false" customHeight="false" outlineLevel="0" collapsed="false">
      <c r="A142" s="83" t="s">
        <v>217</v>
      </c>
    </row>
    <row r="143" customFormat="false" ht="12.75" hidden="false" customHeight="false" outlineLevel="0" collapsed="false">
      <c r="A143" s="83" t="s">
        <v>219</v>
      </c>
    </row>
    <row r="144" customFormat="false" ht="12.75" hidden="false" customHeight="false" outlineLevel="0" collapsed="false">
      <c r="A144" s="83" t="s">
        <v>229</v>
      </c>
    </row>
    <row r="145" customFormat="false" ht="12.75" hidden="false" customHeight="false" outlineLevel="0" collapsed="false">
      <c r="A145" s="83" t="s">
        <v>234</v>
      </c>
    </row>
    <row r="146" customFormat="false" ht="12.75" hidden="false" customHeight="false" outlineLevel="0" collapsed="false">
      <c r="A146" s="83" t="s">
        <v>236</v>
      </c>
    </row>
  </sheetData>
  <sheetProtection algorithmName="SHA-512" hashValue="11G1/MUijHroRiXj3Ok1eSYXk+QqRwssiIWqwY7AYbtdobxcHsSPnnLT0FOY4Dvbdl+a7MFdcEGXPFzLp60y+g==" saltValue="MGJ58BkDxQ9VL9UrVzTRSg==" spinCount="100000" sheet="true" objects="true" scenarios="true" autoFilter="false"/>
  <autoFilter ref="I11:I132">
    <filterColumn colId="0">
      <filters>
        <filter val="F"/>
      </filters>
    </filterColumn>
  </autoFilter>
  <mergeCells count="144">
    <mergeCell ref="R1:S1"/>
    <mergeCell ref="R2:S2"/>
    <mergeCell ref="J4:K4"/>
    <mergeCell ref="L4:M4"/>
    <mergeCell ref="N4:S4"/>
    <mergeCell ref="J5:K5"/>
    <mergeCell ref="L5:M5"/>
    <mergeCell ref="N5:S5"/>
    <mergeCell ref="I6:I10"/>
    <mergeCell ref="J7:S7"/>
    <mergeCell ref="J8:S8"/>
    <mergeCell ref="J10:Q10"/>
    <mergeCell ref="R10:S10"/>
    <mergeCell ref="J11:Q11"/>
    <mergeCell ref="R11:S11"/>
    <mergeCell ref="J14:S14"/>
    <mergeCell ref="J16:S16"/>
    <mergeCell ref="J17:S17"/>
    <mergeCell ref="J19:Q20"/>
    <mergeCell ref="R19:R20"/>
    <mergeCell ref="S19:S20"/>
    <mergeCell ref="U19:W20"/>
    <mergeCell ref="X19:X20"/>
    <mergeCell ref="Y19:Y20"/>
    <mergeCell ref="Z19:Z20"/>
    <mergeCell ref="J21:Q21"/>
    <mergeCell ref="U21:W21"/>
    <mergeCell ref="J22:Q22"/>
    <mergeCell ref="U22:W22"/>
    <mergeCell ref="J23:Q23"/>
    <mergeCell ref="U23:W23"/>
    <mergeCell ref="J24:Q24"/>
    <mergeCell ref="U24:W24"/>
    <mergeCell ref="J25:Q25"/>
    <mergeCell ref="U25:W25"/>
    <mergeCell ref="J26:Q26"/>
    <mergeCell ref="U26:W26"/>
    <mergeCell ref="J27:Q27"/>
    <mergeCell ref="U27:W27"/>
    <mergeCell ref="J28:Q28"/>
    <mergeCell ref="U28:W28"/>
    <mergeCell ref="J29:Q29"/>
    <mergeCell ref="U29:W29"/>
    <mergeCell ref="J30:Q30"/>
    <mergeCell ref="K32:S32"/>
    <mergeCell ref="J34:S34"/>
    <mergeCell ref="M35:M36"/>
    <mergeCell ref="N35:P35"/>
    <mergeCell ref="Q35:Q36"/>
    <mergeCell ref="N36:P36"/>
    <mergeCell ref="J38:S38"/>
    <mergeCell ref="J40:S40"/>
    <mergeCell ref="J43:S43"/>
    <mergeCell ref="J45:M45"/>
    <mergeCell ref="P45:S45"/>
    <mergeCell ref="J46:M46"/>
    <mergeCell ref="J48:M48"/>
    <mergeCell ref="J49:M49"/>
    <mergeCell ref="J54:S54"/>
    <mergeCell ref="J56:S56"/>
    <mergeCell ref="J57:S57"/>
    <mergeCell ref="J59:Q60"/>
    <mergeCell ref="R59:R60"/>
    <mergeCell ref="S59:S60"/>
    <mergeCell ref="U59:W60"/>
    <mergeCell ref="X59:X60"/>
    <mergeCell ref="Y59:Y60"/>
    <mergeCell ref="Z59:Z60"/>
    <mergeCell ref="J61:Q61"/>
    <mergeCell ref="U61:W61"/>
    <mergeCell ref="J62:Q62"/>
    <mergeCell ref="U62:W62"/>
    <mergeCell ref="J63:Q63"/>
    <mergeCell ref="U63:W63"/>
    <mergeCell ref="J64:Q64"/>
    <mergeCell ref="U64:W64"/>
    <mergeCell ref="J65:Q65"/>
    <mergeCell ref="U65:W65"/>
    <mergeCell ref="J66:Q66"/>
    <mergeCell ref="U66:W66"/>
    <mergeCell ref="J67:Q67"/>
    <mergeCell ref="U67:W67"/>
    <mergeCell ref="J68:Q68"/>
    <mergeCell ref="U68:W68"/>
    <mergeCell ref="J69:Q69"/>
    <mergeCell ref="U69:W69"/>
    <mergeCell ref="J70:Q70"/>
    <mergeCell ref="K72:S72"/>
    <mergeCell ref="J74:S74"/>
    <mergeCell ref="M75:M76"/>
    <mergeCell ref="N75:P75"/>
    <mergeCell ref="Q75:Q76"/>
    <mergeCell ref="N76:P76"/>
    <mergeCell ref="J78:S78"/>
    <mergeCell ref="J80:S80"/>
    <mergeCell ref="J83:S83"/>
    <mergeCell ref="J85:M85"/>
    <mergeCell ref="P85:S85"/>
    <mergeCell ref="J86:M86"/>
    <mergeCell ref="J88:M88"/>
    <mergeCell ref="J89:M89"/>
    <mergeCell ref="J94:S94"/>
    <mergeCell ref="J96:S96"/>
    <mergeCell ref="J97:S97"/>
    <mergeCell ref="J99:Q100"/>
    <mergeCell ref="R99:R100"/>
    <mergeCell ref="S99:S100"/>
    <mergeCell ref="U99:W100"/>
    <mergeCell ref="X99:X100"/>
    <mergeCell ref="Y99:Y100"/>
    <mergeCell ref="Z99:Z100"/>
    <mergeCell ref="J101:Q101"/>
    <mergeCell ref="U101:W101"/>
    <mergeCell ref="J102:Q102"/>
    <mergeCell ref="U102:W102"/>
    <mergeCell ref="J103:Q103"/>
    <mergeCell ref="U103:W103"/>
    <mergeCell ref="J104:Q104"/>
    <mergeCell ref="U104:W104"/>
    <mergeCell ref="J105:Q105"/>
    <mergeCell ref="U105:W105"/>
    <mergeCell ref="J106:Q106"/>
    <mergeCell ref="U106:W106"/>
    <mergeCell ref="J107:Q107"/>
    <mergeCell ref="U107:W107"/>
    <mergeCell ref="J108:Q108"/>
    <mergeCell ref="U108:W108"/>
    <mergeCell ref="J109:Q109"/>
    <mergeCell ref="U109:W109"/>
    <mergeCell ref="J110:Q110"/>
    <mergeCell ref="K112:S112"/>
    <mergeCell ref="J114:S114"/>
    <mergeCell ref="M115:M116"/>
    <mergeCell ref="N115:P115"/>
    <mergeCell ref="Q115:Q116"/>
    <mergeCell ref="N116:P116"/>
    <mergeCell ref="J118:S118"/>
    <mergeCell ref="J120:S120"/>
    <mergeCell ref="J123:S123"/>
    <mergeCell ref="J125:M125"/>
    <mergeCell ref="P125:S125"/>
    <mergeCell ref="J126:M126"/>
    <mergeCell ref="J128:M128"/>
    <mergeCell ref="J129:M129"/>
  </mergeCells>
  <conditionalFormatting sqref="J30:S30 J70:S70 J110:S110">
    <cfRule type="expression" priority="2" aboveAverage="0" equalAverage="0" bottom="0" percent="0" rank="0" text="" dxfId="9">
      <formula>DESONERACAO="não"</formula>
    </cfRule>
  </conditionalFormatting>
  <conditionalFormatting sqref="U29:W29 U69:W69 U109:W109">
    <cfRule type="expression" priority="3" aboveAverage="0" equalAverage="0" bottom="0" percent="0" rank="0" text="" dxfId="10">
      <formula>AND(U29&lt;&gt;"OK",U29&lt;&gt;"-",U29&lt;&gt;"")</formula>
    </cfRule>
    <cfRule type="cellIs" priority="4" operator="equal" aboveAverage="0" equalAverage="0" bottom="0" percent="0" rank="0" text="" dxfId="11">
      <formula>"OK"</formula>
    </cfRule>
  </conditionalFormatting>
  <conditionalFormatting sqref="S29 S69 S109">
    <cfRule type="expression" priority="5" aboveAverage="0" equalAverage="0" bottom="0" percent="0" rank="0" text="" dxfId="12">
      <formula>DESONERACAO="não"</formula>
    </cfRule>
  </conditionalFormatting>
  <dataValidations count="6">
    <dataValidation allowBlank="true" error="Digite um valor entre 0% e 100%" errorStyle="stop" errorTitle="Erro de valores" operator="between" showDropDown="false" showErrorMessage="true" showInputMessage="false" sqref="S21:S26 S61:S66 S101:S106" type="decimal">
      <formula1>0</formula1>
      <formula2>1</formula2>
    </dataValidation>
    <dataValidation allowBlank="true" error="Digite um valor maior do que 0." errorStyle="stop" errorTitle="Erro de valores" operator="between" showDropDown="false" showErrorMessage="true" showInputMessage="false" sqref="S27 S67 S107" type="decimal">
      <formula1>0</formula1>
      <formula2>1</formula2>
    </dataValidation>
    <dataValidation allowBlank="true" error="Digite um valor igual a 0% ou 2%." errorStyle="stop" errorTitle="Erro de valores" operator="greaterThanOrEqual" showDropDown="false" showErrorMessage="true" showInputMessage="false" sqref="S28 S68 S108" type="none">
      <formula1>0</formula1>
      <formula2>0</formula2>
    </dataValidation>
    <dataValidation allowBlank="true" error="Digite um percentual entre 0% e 100%." errorStyle="stop" errorTitle="Valor não permitido" operator="greaterThanOrEqual" prompt="Normalmente entre 2 e 5%." promptTitle="Valores comuns:" showDropDown="false" showErrorMessage="true" showInputMessage="true" sqref="R11:S11" type="decimal">
      <formula1>0</formula1>
      <formula2>0</formula2>
    </dataValidation>
    <dataValidation allowBlank="true" error="Digite um percentual entre 0% e 100%." errorStyle="stop" errorTitle="Valor não permitido" operator="between" prompt="Insira valores entre 0 e 100%." promptTitle="Valores admissíveis:" showDropDown="false" showErrorMessage="true" showInputMessage="true" sqref="R10:S10" type="decimal">
      <formula1>0</formula1>
      <formula2>1</formula2>
    </dataValidation>
    <dataValidation allowBlank="true" errorStyle="stop" operator="between" showDropDown="false" showErrorMessage="true" showInputMessage="false" sqref="J17:S17 J57:S57 J97:S97" type="list">
      <formula1>BDI.TipoObra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&amp;LPMv3.0.6&amp;R&amp;P /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true">
    <pageSetUpPr fitToPage="true"/>
  </sheetPr>
  <dimension ref="A1:AN76"/>
  <sheetViews>
    <sheetView showFormulas="false" showGridLines="false" showRowColHeaders="true" showZeros="true" rightToLeft="false" tabSelected="true" showOutlineSymbols="true" defaultGridColor="true" view="normal" topLeftCell="A1" colorId="64" zoomScale="90" zoomScaleNormal="90" zoomScalePageLayoutView="90" workbookViewId="0">
      <pane xSplit="19" ySplit="15" topLeftCell="T16" activePane="bottomRight" state="frozen"/>
      <selection pane="topLeft" activeCell="A1" activeCellId="0" sqref="A1"/>
      <selection pane="topRight" activeCell="T1" activeCellId="0" sqref="T1"/>
      <selection pane="bottomLeft" activeCell="A16" activeCellId="0" sqref="A16"/>
      <selection pane="bottomRight" activeCell="AJ1" activeCellId="0" sqref="AJ1"/>
    </sheetView>
  </sheetViews>
  <sheetFormatPr defaultColWidth="8.6796875" defaultRowHeight="12.75" customHeight="true" zeroHeight="false" outlineLevelRow="0" outlineLevelCol="0"/>
  <cols>
    <col collapsed="false" customWidth="true" hidden="true" outlineLevel="0" max="1" min="1" style="0" width="5.57"/>
    <col collapsed="false" customWidth="true" hidden="true" outlineLevel="0" max="2" min="2" style="0" width="10.42"/>
    <col collapsed="false" customWidth="true" hidden="true" outlineLevel="0" max="3" min="3" style="0" width="5.57"/>
    <col collapsed="false" customWidth="true" hidden="true" outlineLevel="0" max="4" min="4" style="0" width="12.86"/>
    <col collapsed="false" customWidth="false" hidden="true" outlineLevel="0" max="5" min="5" style="0" width="8.71"/>
    <col collapsed="false" customWidth="true" hidden="true" outlineLevel="0" max="6" min="6" style="0" width="12.42"/>
    <col collapsed="false" customWidth="true" hidden="true" outlineLevel="0" max="7" min="7" style="0" width="14.57"/>
    <col collapsed="false" customWidth="true" hidden="true" outlineLevel="0" max="8" min="8" style="0" width="11.29"/>
    <col collapsed="false" customWidth="true" hidden="true" outlineLevel="0" max="9" min="9" style="0" width="13.42"/>
    <col collapsed="false" customWidth="true" hidden="true" outlineLevel="0" max="10" min="10" style="0" width="7.29"/>
    <col collapsed="false" customWidth="true" hidden="true" outlineLevel="0" max="11" min="11" style="0" width="7.57"/>
    <col collapsed="false" customWidth="true" hidden="false" outlineLevel="0" max="12" min="12" style="0" width="3.71"/>
    <col collapsed="false" customWidth="true" hidden="false" outlineLevel="0" max="15" min="15" style="0" width="12.71"/>
    <col collapsed="false" customWidth="true" hidden="false" outlineLevel="0" max="17" min="16" style="0" width="15.71"/>
    <col collapsed="false" customWidth="true" hidden="false" outlineLevel="0" max="18" min="18" style="0" width="65.71"/>
    <col collapsed="false" customWidth="true" hidden="false" outlineLevel="0" max="19" min="19" style="0" width="10.71"/>
    <col collapsed="false" customWidth="true" hidden="false" outlineLevel="0" max="21" min="20" style="0" width="14.71"/>
    <col collapsed="false" customWidth="true" hidden="false" outlineLevel="0" max="22" min="22" style="0" width="10.71"/>
    <col collapsed="false" customWidth="true" hidden="false" outlineLevel="0" max="23" min="23" style="0" width="14.71"/>
    <col collapsed="false" customWidth="true" hidden="false" outlineLevel="0" max="24" min="24" style="0" width="15.71"/>
    <col collapsed="false" customWidth="true" hidden="false" outlineLevel="0" max="25" min="25" style="0" width="3.71"/>
    <col collapsed="false" customWidth="true" hidden="true" outlineLevel="0" max="26" min="26" style="0" width="3.71"/>
    <col collapsed="false" customWidth="true" hidden="true" outlineLevel="0" max="28" min="27" style="0" width="14.71"/>
    <col collapsed="false" customWidth="true" hidden="false" outlineLevel="0" max="29" min="29" style="0" width="15.71"/>
    <col collapsed="false" customWidth="true" hidden="true" outlineLevel="0" max="31" min="30" style="0" width="9.14"/>
    <col collapsed="false" customWidth="true" hidden="true" outlineLevel="0" max="32" min="32" style="0" width="15.57"/>
    <col collapsed="false" customWidth="true" hidden="false" outlineLevel="0" max="33" min="33" style="0" width="15.71"/>
    <col collapsed="false" customWidth="true" hidden="false" outlineLevel="0" max="35" min="35" style="0" width="1.71"/>
    <col collapsed="false" customWidth="true" hidden="false" outlineLevel="0" max="36" min="36" style="0" width="14.71"/>
    <col collapsed="false" customWidth="true" hidden="false" outlineLevel="0" max="37" min="37" style="0" width="1.71"/>
    <col collapsed="false" customWidth="true" hidden="false" outlineLevel="0" max="38" min="38" style="0" width="14.71"/>
    <col collapsed="false" customWidth="true" hidden="false" outlineLevel="0" max="40" min="39" style="0" width="15.71"/>
  </cols>
  <sheetData>
    <row r="1" customFormat="false" ht="17.35" hidden="false" customHeight="false" outlineLevel="0" collapsed="false">
      <c r="M1" s="141"/>
      <c r="N1" s="141"/>
      <c r="R1" s="142" t="s">
        <v>245</v>
      </c>
      <c r="T1" s="142"/>
      <c r="X1" s="86" t="s">
        <v>188</v>
      </c>
      <c r="Y1" s="34"/>
      <c r="Z1" s="34"/>
      <c r="AA1" s="34"/>
      <c r="AB1" s="34"/>
    </row>
    <row r="2" customFormat="false" ht="15" hidden="false" customHeight="false" outlineLevel="0" collapsed="false">
      <c r="D2" s="0" t="s">
        <v>246</v>
      </c>
      <c r="E2" s="0" t="s">
        <v>247</v>
      </c>
      <c r="F2" s="0" t="s">
        <v>248</v>
      </c>
      <c r="G2" s="0" t="s">
        <v>249</v>
      </c>
      <c r="H2" s="0" t="s">
        <v>250</v>
      </c>
      <c r="I2" s="0" t="s">
        <v>251</v>
      </c>
      <c r="R2" s="143" t="str">
        <f aca="false">IF(TIPOORCAMENTO="licitado","Orçamento Licitado","Orçamento Base para Licitação")&amp;" - "&amp;import.recurso</f>
        <v>Orçamento Base para Licitação - OGU</v>
      </c>
      <c r="X2" s="40" t="s">
        <v>191</v>
      </c>
      <c r="Y2" s="144"/>
      <c r="Z2" s="144"/>
      <c r="AA2" s="144"/>
      <c r="AB2" s="144"/>
    </row>
    <row r="3" customFormat="false" ht="12.75" hidden="false" customHeight="false" outlineLevel="0" collapsed="false">
      <c r="H3" s="145"/>
      <c r="R3" s="146"/>
    </row>
    <row r="4" customFormat="false" ht="12.75" hidden="false" customHeight="false" outlineLevel="0" collapsed="false">
      <c r="A4" s="0" t="s">
        <v>252</v>
      </c>
      <c r="F4" s="0" t="s">
        <v>208</v>
      </c>
      <c r="G4" s="0" t="s">
        <v>243</v>
      </c>
      <c r="H4" s="0" t="s">
        <v>244</v>
      </c>
      <c r="I4" s="147" t="n">
        <v>0</v>
      </c>
      <c r="O4" s="89" t="s">
        <v>194</v>
      </c>
      <c r="P4" s="89"/>
      <c r="Q4" s="148" t="s">
        <v>253</v>
      </c>
      <c r="R4" s="148" t="s">
        <v>196</v>
      </c>
      <c r="S4" s="89" t="s">
        <v>254</v>
      </c>
      <c r="T4" s="89"/>
      <c r="U4" s="89"/>
      <c r="V4" s="89"/>
      <c r="W4" s="89"/>
      <c r="X4" s="89"/>
      <c r="Y4" s="134"/>
      <c r="Z4" s="134"/>
      <c r="AA4" s="134"/>
      <c r="AB4" s="134"/>
    </row>
    <row r="5" customFormat="false" ht="12.75" hidden="false" customHeight="true" outlineLevel="0" collapsed="false">
      <c r="A5" s="34" t="n">
        <f aca="false">MAX($C$15:$C$59)</f>
        <v>2</v>
      </c>
      <c r="B5" s="34"/>
      <c r="C5" s="34"/>
      <c r="F5" s="147" t="n">
        <f aca="false">IF(BDI.Opcao="DESONERADO",BDI!$S$30,BDI!$S$29)</f>
        <v>0.22</v>
      </c>
      <c r="G5" s="147" t="n">
        <f aca="false">IF(BDI.Opcao="DESONERADO",BDI!$S$70,BDI!$S$69)</f>
        <v>0</v>
      </c>
      <c r="H5" s="147" t="n">
        <f aca="false">IF(BDI.Opcao="DESONERADO",BDI!$S$110,BDI!$S$109)</f>
        <v>0</v>
      </c>
      <c r="O5" s="90" t="n">
        <f aca="false">Import.CR</f>
        <v>0</v>
      </c>
      <c r="P5" s="90"/>
      <c r="Q5" s="149" t="n">
        <f aca="false">Import.TransfereGOV</f>
        <v>0</v>
      </c>
      <c r="R5" s="150" t="n">
        <f aca="false">Import.Proponente</f>
        <v>0</v>
      </c>
      <c r="S5" s="90" t="str">
        <f aca="false">Import.Apelido</f>
        <v>Pavimentação MG-446</v>
      </c>
      <c r="T5" s="90"/>
      <c r="U5" s="90"/>
      <c r="V5" s="90"/>
      <c r="W5" s="90"/>
      <c r="X5" s="90"/>
      <c r="Y5" s="151"/>
      <c r="Z5" s="151"/>
      <c r="AA5" s="151"/>
      <c r="AB5" s="151"/>
      <c r="AE5" s="152" t="s">
        <v>255</v>
      </c>
      <c r="AF5" s="152"/>
    </row>
    <row r="6" customFormat="false" ht="4.5" hidden="false" customHeight="true" outlineLevel="0" collapsed="false">
      <c r="A6" s="34"/>
      <c r="B6" s="34"/>
      <c r="C6" s="34"/>
      <c r="H6" s="145"/>
      <c r="O6" s="153"/>
      <c r="P6" s="153"/>
      <c r="Q6" s="154"/>
      <c r="R6" s="154"/>
      <c r="S6" s="153"/>
      <c r="T6" s="153"/>
      <c r="U6" s="153"/>
      <c r="V6" s="153"/>
      <c r="W6" s="153"/>
      <c r="X6" s="153"/>
      <c r="Y6" s="151"/>
      <c r="Z6" s="151"/>
      <c r="AA6" s="151"/>
      <c r="AB6" s="151"/>
      <c r="AC6" s="155"/>
      <c r="AE6" s="156"/>
      <c r="AF6" s="157"/>
    </row>
    <row r="7" customFormat="false" ht="12.75" hidden="false" customHeight="true" outlineLevel="0" collapsed="false">
      <c r="H7" s="145"/>
      <c r="O7" s="89" t="s">
        <v>256</v>
      </c>
      <c r="P7" s="89"/>
      <c r="Q7" s="148" t="s">
        <v>257</v>
      </c>
      <c r="R7" s="148" t="str">
        <f aca="false">IF(TIPOORCAMENTO="Licitado","NOME DA EMPRESA","DESCRIÇÃO DO LOTE")</f>
        <v>DESCRIÇÃO DO LOTE</v>
      </c>
      <c r="S7" s="158" t="str">
        <f aca="false">IF(TIPOORCAMENTO="Licitado","REGIME DE EXECUÇÃO","MUNICÍPIO / UF")</f>
        <v>MUNICÍPIO / UF</v>
      </c>
      <c r="T7" s="158"/>
      <c r="U7" s="158"/>
      <c r="V7" s="159" t="str">
        <f aca="false">IF(TIPOORCAMENTO="Licitado","","BDI 1")</f>
        <v>BDI 1</v>
      </c>
      <c r="W7" s="159" t="str">
        <f aca="false">IF(TIPOORCAMENTO="Licitado","","BDI 2")</f>
        <v>BDI 2</v>
      </c>
      <c r="X7" s="160" t="str">
        <f aca="false">IF(TIPOORCAMENTO="Licitado","Nº CTEF","BDI 3")</f>
        <v>BDI 3</v>
      </c>
      <c r="Y7" s="159"/>
      <c r="Z7" s="159"/>
      <c r="AE7" s="156" t="s">
        <v>258</v>
      </c>
      <c r="AF7" s="161" t="b">
        <f aca="false">TRUE()</f>
        <v>1</v>
      </c>
      <c r="AJ7" s="162" t="s">
        <v>259</v>
      </c>
      <c r="AL7" s="163" t="s">
        <v>260</v>
      </c>
    </row>
    <row r="8" customFormat="false" ht="12.75" hidden="false" customHeight="true" outlineLevel="0" collapsed="false">
      <c r="A8" s="34"/>
      <c r="B8" s="34"/>
      <c r="C8" s="34"/>
      <c r="F8" s="164" t="str">
        <f aca="true">IF(LEN(INFO("release"))&gt;5,"'Referência "&amp;Excel_BuiltIn_Database&amp;".xlsm'#Banco.$a5:$a$65536","'[Referência "&amp;Excel_BuiltIn_Database&amp;".xlsm]Banco'!$a5:$a$65536")</f>
        <v>'Referência 02-Thursday.xlsm'#Banco.$a5:$a$65536</v>
      </c>
      <c r="G8" s="164"/>
      <c r="H8" s="164"/>
      <c r="I8" s="164"/>
      <c r="J8" s="164"/>
      <c r="K8" s="164"/>
      <c r="L8" s="91" t="s">
        <v>199</v>
      </c>
      <c r="O8" s="90" t="str">
        <f aca="true">IF(ISERROR(INDIRECT($F$9)),"(N/D: 'Referência "&amp;Excel_BuiltIn_Database&amp;".xlsm)",INDIRECT($F$9))</f>
        <v>(N/D: 'Referência 02-Thursday.xlsm)</v>
      </c>
      <c r="P8" s="90"/>
      <c r="Q8" s="165" t="str">
        <f aca="true">TEXT(Import.DataBase,"mm-aa")&amp;IF(DESONERACAO="Sim"," (DES.)"," (N DES.)")</f>
        <v>05-aa (N DES.)</v>
      </c>
      <c r="R8" s="150" t="str">
        <f aca="false">IF(TIPOORCAMENTO="Licitado",Import.empresa,Import.DescLote)</f>
        <v>Pavimentação MG-446</v>
      </c>
      <c r="S8" s="166" t="str">
        <f aca="true">IF(TIPOORCAMENTO="Licitado",Import.RegimeExecução,Import.Município)</f>
        <v>Alpinópolis</v>
      </c>
      <c r="T8" s="166"/>
      <c r="U8" s="166"/>
      <c r="V8" s="167" t="str">
        <f aca="false">IF(TIPOORCAMENTO="Licitado","",TEXT(F5,"0,00%"))</f>
        <v>022%</v>
      </c>
      <c r="W8" s="167" t="str">
        <f aca="false">IF(TIPOORCAMENTO="Licitado","",TEXT(G5,"0,00%"))</f>
        <v>000%</v>
      </c>
      <c r="X8" s="168" t="str">
        <f aca="false">IF(TIPOORCAMENTO="Licitado",Import.CTEF,TEXT(H5,"0,00%"))</f>
        <v>000%</v>
      </c>
      <c r="Y8" s="91" t="s">
        <v>261</v>
      </c>
      <c r="Z8" s="91" t="s">
        <v>262</v>
      </c>
      <c r="AA8" s="169"/>
      <c r="AB8" s="169"/>
      <c r="AE8" s="156" t="s">
        <v>263</v>
      </c>
      <c r="AF8" s="161" t="b">
        <f aca="false">TRUE()</f>
        <v>1</v>
      </c>
      <c r="AJ8" s="162"/>
      <c r="AL8" s="163"/>
    </row>
    <row r="9" customFormat="false" ht="12.75" hidden="false" customHeight="true" outlineLevel="0" collapsed="false">
      <c r="F9" s="164" t="str">
        <f aca="true">IF(LEN(INFO("release"))&gt;5,"'Referência "&amp;Excel_BuiltIn_Database&amp;".xlsm'#Banco.$d$3","'[Referência "&amp;Excel_BuiltIn_Database&amp;".xlsm]Banco'!$d$3")</f>
        <v>'Referência 02-Thursday.xlsm'#Banco.$d$3</v>
      </c>
      <c r="G9" s="164"/>
      <c r="H9" s="164"/>
      <c r="I9" s="164"/>
      <c r="J9" s="164"/>
      <c r="K9" s="164"/>
      <c r="L9" s="91"/>
      <c r="Y9" s="91"/>
      <c r="Z9" s="91"/>
      <c r="AE9" s="156" t="s">
        <v>176</v>
      </c>
      <c r="AF9" s="161" t="b">
        <f aca="false">TRUE()</f>
        <v>1</v>
      </c>
      <c r="AJ9" s="162"/>
      <c r="AL9" s="163"/>
    </row>
    <row r="10" customFormat="false" ht="12.75" hidden="false" customHeight="false" outlineLevel="0" collapsed="false">
      <c r="G10" s="145"/>
      <c r="H10" s="145"/>
      <c r="L10" s="91"/>
      <c r="Y10" s="91"/>
      <c r="Z10" s="91"/>
      <c r="AC10" s="170" t="s">
        <v>264</v>
      </c>
      <c r="AE10" s="156" t="s">
        <v>265</v>
      </c>
      <c r="AF10" s="161" t="b">
        <f aca="false">TRUE()</f>
        <v>1</v>
      </c>
      <c r="AJ10" s="162"/>
      <c r="AL10" s="163"/>
    </row>
    <row r="11" customFormat="false" ht="12.75" hidden="false" customHeight="false" outlineLevel="0" collapsed="false">
      <c r="G11" s="145"/>
      <c r="H11" s="171"/>
      <c r="L11" s="91"/>
      <c r="Y11" s="91"/>
      <c r="Z11" s="91"/>
      <c r="AC11" s="172" t="str">
        <f aca="true">IF(COUNTIF($AC$15:OFFSET($AC$59,-1,0),"DESCRIÇÃO")+COUNTIF($AC$15:OFFSET($AC$59,-1,0),"UNIDADE")+COUNTIF($AC$15:OFFSET($AC$59,-1,0),"SEM VALOR")&gt;0,"NÃO OK","OK")</f>
        <v>OK</v>
      </c>
      <c r="AE11" s="156" t="s">
        <v>266</v>
      </c>
      <c r="AF11" s="161" t="b">
        <f aca="false">TRUE()</f>
        <v>1</v>
      </c>
      <c r="AJ11" s="162"/>
      <c r="AL11" s="163"/>
    </row>
    <row r="12" customFormat="false" ht="12.75" hidden="false" customHeight="false" outlineLevel="0" collapsed="false">
      <c r="G12" s="145"/>
      <c r="H12" s="145"/>
      <c r="L12" s="91"/>
      <c r="Y12" s="91"/>
      <c r="Z12" s="91"/>
      <c r="AA12" s="173" t="s">
        <v>267</v>
      </c>
      <c r="AB12" s="173"/>
      <c r="AJ12" s="97" t="s">
        <v>204</v>
      </c>
      <c r="AL12" s="174" t="s">
        <v>204</v>
      </c>
    </row>
    <row r="13" customFormat="false" ht="34.5" hidden="false" customHeight="true" outlineLevel="0" collapsed="false">
      <c r="A13" s="175" t="s">
        <v>268</v>
      </c>
      <c r="B13" s="175" t="s">
        <v>269</v>
      </c>
      <c r="C13" s="175" t="s">
        <v>270</v>
      </c>
      <c r="D13" s="175" t="s">
        <v>271</v>
      </c>
      <c r="E13" s="175" t="s">
        <v>272</v>
      </c>
      <c r="F13" s="175" t="s">
        <v>273</v>
      </c>
      <c r="G13" s="175" t="s">
        <v>274</v>
      </c>
      <c r="H13" s="175" t="s">
        <v>275</v>
      </c>
      <c r="I13" s="175" t="s">
        <v>276</v>
      </c>
      <c r="J13" s="175" t="s">
        <v>277</v>
      </c>
      <c r="K13" s="175" t="s">
        <v>278</v>
      </c>
      <c r="L13" s="97" t="s">
        <v>204</v>
      </c>
      <c r="M13" s="175" t="s">
        <v>279</v>
      </c>
      <c r="N13" s="176" t="s">
        <v>280</v>
      </c>
      <c r="O13" s="175" t="s">
        <v>281</v>
      </c>
      <c r="P13" s="175" t="s">
        <v>282</v>
      </c>
      <c r="Q13" s="175" t="s">
        <v>283</v>
      </c>
      <c r="R13" s="175" t="s">
        <v>284</v>
      </c>
      <c r="S13" s="177" t="s">
        <v>285</v>
      </c>
      <c r="T13" s="175" t="s">
        <v>258</v>
      </c>
      <c r="U13" s="175" t="str">
        <f aca="false">IF(TIPOORCAMENTO="Licitado","","Custo Unitário (sem BDI) (R$)")</f>
        <v>Custo Unitário (sem BDI) (R$)</v>
      </c>
      <c r="V13" s="175" t="str">
        <f aca="false">IF(TIPOORCAMENTO="Licitado","","BDI
(%)")</f>
        <v>BDI
(%)</v>
      </c>
      <c r="W13" s="175" t="s">
        <v>286</v>
      </c>
      <c r="X13" s="175" t="s">
        <v>287</v>
      </c>
      <c r="Y13" s="97" t="s">
        <v>204</v>
      </c>
      <c r="Z13" s="97" t="s">
        <v>204</v>
      </c>
      <c r="AA13" s="178" t="s">
        <v>288</v>
      </c>
      <c r="AB13" s="179" t="s">
        <v>289</v>
      </c>
      <c r="AC13" s="175" t="s">
        <v>290</v>
      </c>
      <c r="AD13" s="180" t="s">
        <v>291</v>
      </c>
      <c r="AE13" s="180" t="s">
        <v>292</v>
      </c>
      <c r="AF13" s="180" t="s">
        <v>293</v>
      </c>
      <c r="AG13" s="181" t="s">
        <v>294</v>
      </c>
      <c r="AH13" s="182" t="str">
        <f aca="false">IF(TIPOORCAMENTO="LICITADO","Valor BDI Edital","Valor BDI")</f>
        <v>Valor BDI</v>
      </c>
      <c r="AJ13" s="183" t="s">
        <v>258</v>
      </c>
      <c r="AL13" s="183" t="s">
        <v>286</v>
      </c>
      <c r="AM13" s="181" t="s">
        <v>295</v>
      </c>
      <c r="AN13" s="184" t="s">
        <v>296</v>
      </c>
    </row>
    <row r="14" customFormat="false" ht="12.75" hidden="true" customHeight="false" outlineLevel="0" collapsed="false">
      <c r="A14" s="0" t="str">
        <f aca="false">CHOOSE(1+LOG(1+2*(ORÇAMENTO.Nivel="Meta")+4*(ORÇAMENTO.Nivel="Nível 2")+8*(ORÇAMENTO.Nivel="Nível 3")+16*(ORÇAMENTO.Nivel="Nível 4")+32*(ORÇAMENTO.Nivel="Serviço"),2),0,1,2,3,4,"S")</f>
        <v>S</v>
      </c>
      <c r="B14" s="0" t="str">
        <f aca="true">IF(OR(C14="s",C14=0),OFFSET(B14,-1,0),C14)</f>
        <v>Save Nivel</v>
      </c>
      <c r="C14" s="0" t="str">
        <f aca="true">IF(OFFSET(C14,-1,0)="L",1,IF(OFFSET(C14,-1,0)=1,2,IF(OR(A14="s",A14=0),"S",IF(AND(OFFSET(C14,-1,0)=2,A14=4),3,IF(AND(OR(OFFSET(C14,-1,0)="s",OFFSET(C14,-1,0)=0),A14&lt;&gt;"s",A14&gt;OFFSET(B14,-1,0)),OFFSET(B14,-1,0),A14)))))</f>
        <v>S</v>
      </c>
      <c r="D14" s="0" t="n">
        <f aca="false">IF(OR(C14="S",C14=0),0,IF(ISERROR(K14),J14,SMALL(J14:K14,1)))</f>
        <v>0</v>
      </c>
      <c r="E14" s="0" t="str">
        <f aca="true">IF($C14=1,OFFSET(E14,-1,0)+MAX(1,COUNTIF(QCI!$A$13:$A$24,OFFSET(ORÇAMENTO!E14,-1,0))),OFFSET(E14,-1,0))</f>
        <v>n1</v>
      </c>
      <c r="F14" s="0" t="str">
        <f aca="true">IF($C14=1,0,IF($C14=2,OFFSET(F14,-1,0)+1,OFFSET(F14,-1,0)))</f>
        <v>n2</v>
      </c>
      <c r="G14" s="0" t="str">
        <f aca="true">IF(AND($C14&lt;=2,$C14&lt;&gt;0),0,IF($C14=3,OFFSET(G14,-1,0)+1,OFFSET(G14,-1,0)))</f>
        <v>n3</v>
      </c>
      <c r="H14" s="0" t="str">
        <f aca="true">IF(AND($C14&lt;=3,$C14&lt;&gt;0),0,IF($C14=4,OFFSET(H14,-1,0)+1,OFFSET(H14,-1,0)))</f>
        <v>n4</v>
      </c>
      <c r="I14" s="0" t="str">
        <f aca="true">IF(AND($C14&lt;=4,$C14&lt;&gt;0),0,IF(AND($C14="S",$X14&gt;0),OFFSET(I14,-1,0)+1,OFFSET(I14,-1,0)))</f>
        <v>n5</v>
      </c>
      <c r="J14" s="0" t="n">
        <f aca="true">IF(OR($C14="S",$C14=0),0,MATCH(0,OFFSET($D14,1,$C14,ROW($C$59)-ROW($C14)),0))</f>
        <v>0</v>
      </c>
      <c r="K14" s="0" t="n">
        <f aca="true">IF(OR($C14="S",$C14=0),0,MATCH(OFFSET($D14,0,$C14)+IF($C14&lt;&gt;1,1,COUNTIF(QCI!$A$13:$A$24,ORÇAMENTO!E14)),OFFSET($D14,1,$C14,ROW($C$59)-ROW($C14)),0))</f>
        <v>0</v>
      </c>
      <c r="L14" s="185" t="str">
        <f aca="false">IF(OR($X14&gt;0,$C14=1,$C14=2,$C14=3,$C14=4),"F","")</f>
        <v/>
      </c>
      <c r="M14" s="186" t="s">
        <v>251</v>
      </c>
      <c r="N14" s="187" t="str">
        <f aca="false">CHOOSE(1+LOG(1+2*(C14=1)+4*(C14=2)+8*(C14=3)+16*(C14=4)+32*(C14="S"),2),"","Meta","Nível 2","Nível 3","Nível 4","Serviço")</f>
        <v>Serviço</v>
      </c>
      <c r="O14" s="188" t="str">
        <f aca="false">IF(OR($C14=0,$L14=""),"-",CONCATENATE(E14&amp;".",IF(AND($A$5&gt;=2,$C14&gt;=2),F14&amp;".",""),IF(AND($A$5&gt;=3,$C14&gt;=3),G14&amp;".",""),IF(AND($A$5&gt;=4,$C14&gt;=4),H14&amp;".",""),IF($C14="S",I14&amp;".","")))</f>
        <v>-</v>
      </c>
      <c r="P14" s="189" t="s">
        <v>297</v>
      </c>
      <c r="Q14" s="190"/>
      <c r="R14" s="191" t="str">
        <f aca="true">IF($C14="S",REFERENCIA.Descricao,"(digite a descrição aqui)")</f>
        <v>(abra o arquivo 'Referência 02-Thursday.xlsm)</v>
      </c>
      <c r="S14" s="192" t="str">
        <f aca="true">REFERENCIA.Unidade</f>
        <v>-</v>
      </c>
      <c r="T14" s="193" t="n">
        <f aca="true">OFFSET(CÁLCULO!H$15,ROW($T14)-ROW(T$15),0)</f>
        <v>0</v>
      </c>
      <c r="U14" s="194"/>
      <c r="V14" s="195" t="s">
        <v>208</v>
      </c>
      <c r="W14" s="193" t="n">
        <f aca="false">IF($C14="S",ROUND(IF(TIPOORCAMENTO="Proposto",ORÇAMENTO.CustoUnitario*(1+$AH14),ORÇAMENTO.PrecoUnitarioLicitado),15-13*$AF$10),0)</f>
        <v>0</v>
      </c>
      <c r="X14" s="196" t="n">
        <f aca="true">IF($C14="S",IF(Import.TipoArredondamento&lt;&gt;"TransfereGOV",VTOTAL1,SUM(OFFSET(CÁLCULO!$AA$15,ROW($X14)-ROW($X$15),1):OFFSET(CÁLCULO!$AL$15,ROW($X14)-ROW($X$15),-1))),IF($C14=0,0,ROUND(SomaAgrup,15-13*$AF$11)))</f>
        <v>0</v>
      </c>
      <c r="Y14" s="197" t="s">
        <v>298</v>
      </c>
      <c r="Z14" s="0" t="str">
        <f aca="false">IF(AND($C14="S",$X14&gt;0),IF(ISBLANK($Y14),"RA",LEFT($Y14,2)),"")</f>
        <v/>
      </c>
      <c r="AA14" s="198" t="n">
        <f aca="true">IF($C14="S",IF($Z14="CP",$X14,IF($Z14="RA",(($X14)*QCI!$AA$3),0)),SomaAgrup)</f>
        <v>0</v>
      </c>
      <c r="AB14" s="199" t="n">
        <f aca="true">IF($C14="S",IF($Z14="OU",ROUND($X14,2),0),SomaAgrup)</f>
        <v>0</v>
      </c>
      <c r="AC14" s="200" t="str">
        <f aca="false">IF($N14="","",IF(ORÇAMENTO.Descricao="","DESCRIÇÃO",IF(AND($C14="S",ORÇAMENTO.Unidade=""),"UNIDADE",IF($X14&lt;0,"VALOR NEGATIVO",IF(OR(AND(TIPOORCAMENTO="Proposto",$AG14&lt;&gt;"",$AG14&gt;0,ORÇAMENTO.CustoUnitario&gt;$AG14),AND(TIPOORCAMENTO="LICITADO",ORÇAMENTO.PrecoUnitarioLicitado&gt;$AN14)),"ACIMA REF.","")))))</f>
        <v/>
      </c>
      <c r="AD14" s="0" t="str">
        <f aca="true">IF(C14&lt;=CRONO.NivelExibicao,MAX($AD$15:OFFSET(AD14,-1,0))+IF($C14&lt;&gt;1,1,MAX(1,COUNTIF(QCI!$A$13:$A$24,OFFSET($E14,-1,0)))),"")</f>
        <v/>
      </c>
      <c r="AE14" s="201" t="b">
        <f aca="false">IF(AND($C14="S",ORÇAMENTO.CodBarra&lt;&gt;""),IF(ORÇAMENTO.Fonte="",ORÇAMENTO.CodBarra,CONCATENATE(ORÇAMENTO.Fonte," ",ORÇAMENTO.CodBarra)))</f>
        <v>0</v>
      </c>
      <c r="AF14" s="42" t="str">
        <f aca="true">IF(ISERROR(INDIRECT(ORÇAMENTO.BancoRef)),"(abra o arquivo 'Referência "&amp;Excel_BuiltIn_Database&amp;".xlsm)",IF(OR($C14&lt;&gt;"S",ORÇAMENTO.CodBarra=""),"(Sem Código)",IF(ISERROR(MATCH($AE14,INDIRECT(ORÇAMENTO.BancoRef),0)),"(Código não identificado nas referências)",MATCH($AE14,INDIRECT(ORÇAMENTO.BancoRef),0))))</f>
        <v>(abra o arquivo 'Referência 02-Thursday.xlsm)</v>
      </c>
      <c r="AG14" s="202" t="n">
        <f aca="true">ROUND(IF(DESONERACAO="sim",REFERENCIA.Desonerado,REFERENCIA.NaoDesonerado),2)</f>
        <v>0</v>
      </c>
      <c r="AH14" s="203" t="n">
        <f aca="false">ROUND(IF(ISNUMBER(ORÇAMENTO.OpcaoBDI),ORÇAMENTO.OpcaoBDI,IF(LEFT(ORÇAMENTO.OpcaoBDI,3)="BDI",HLOOKUP(ORÇAMENTO.OpcaoBDI,$F$4:$H$5,2,FALSE()),0)),15-11*$AF$9)</f>
        <v>0.22</v>
      </c>
      <c r="AJ14" s="204"/>
      <c r="AL14" s="205"/>
      <c r="AM14" s="206" t="n">
        <f aca="false">$X14</f>
        <v>0</v>
      </c>
      <c r="AN14" s="207" t="n">
        <f aca="false">ROUND(ORÇAMENTO.CustoUnitario*(1+$AH14),2)</f>
        <v>0</v>
      </c>
    </row>
    <row r="15" customFormat="false" ht="12.75" hidden="false" customHeight="false" outlineLevel="0" collapsed="false">
      <c r="A15" s="0" t="n">
        <v>0</v>
      </c>
      <c r="C15" s="0" t="s">
        <v>198</v>
      </c>
      <c r="D15" s="0" t="n">
        <f aca="true">COUNTA(OFFSET(D15,1,0):D$59)</f>
        <v>43</v>
      </c>
      <c r="E15" s="0" t="n">
        <v>0</v>
      </c>
      <c r="L15" s="185" t="s">
        <v>206</v>
      </c>
      <c r="M15" s="208" t="str">
        <f aca="false">IF(TIPOORCAMENTO="LICITADO","CTEF","LOTE")</f>
        <v>LOTE</v>
      </c>
      <c r="N15" s="208" t="str">
        <f aca="false">IF(TIPOORCAMENTO="LICITADO","CTEF","LOTE")</f>
        <v>LOTE</v>
      </c>
      <c r="O15" s="209" t="str">
        <f aca="false">Import.DescLote</f>
        <v>Pavimentação MG-446</v>
      </c>
      <c r="P15" s="209"/>
      <c r="Q15" s="209"/>
      <c r="R15" s="209"/>
      <c r="S15" s="210"/>
      <c r="T15" s="211"/>
      <c r="U15" s="211"/>
      <c r="V15" s="212"/>
      <c r="W15" s="211"/>
      <c r="X15" s="213" t="n">
        <f aca="true">SUMIF(OFFSET($C15,1,0,ROW(X59)-ROW(X15)-1),"S",OFFSET(X15,1,0,ROW(X59)-ROW(X15)-1))</f>
        <v>0</v>
      </c>
      <c r="Y15" s="34"/>
      <c r="Z15" s="0" t="str">
        <f aca="false">IF(AND($C15="S",$X15&gt;0),LEFT($Y15,2),"")</f>
        <v/>
      </c>
      <c r="AA15" s="214" t="n">
        <f aca="true">SUMIF(OFFSET($C15,1,0,ROW(AA59)-ROW(AA15)-1),"S",OFFSET(AA15,1,0,ROW(AA59)-ROW(AA15)-1))</f>
        <v>0</v>
      </c>
      <c r="AB15" s="215" t="n">
        <f aca="true">SUMIF(OFFSET($C15,1,0,ROW(AB59)-ROW(AB15)-1),"S",OFFSET(AB15,1,0,ROW(AB59)-ROW(AB15)-1))</f>
        <v>0</v>
      </c>
      <c r="AC15" s="200"/>
      <c r="AG15" s="216"/>
      <c r="AH15" s="217"/>
      <c r="AJ15" s="218"/>
      <c r="AL15" s="219"/>
      <c r="AM15" s="220" t="n">
        <f aca="false">$X15</f>
        <v>0</v>
      </c>
      <c r="AN15" s="221"/>
    </row>
    <row r="16" customFormat="false" ht="12.75" hidden="false" customHeight="false" outlineLevel="0" collapsed="false">
      <c r="A16" s="0" t="n">
        <f aca="false">CHOOSE(1+LOG(1+2*(ORÇAMENTO.Nivel="Meta")+4*(ORÇAMENTO.Nivel="Nível 2")+8*(ORÇAMENTO.Nivel="Nível 3")+16*(ORÇAMENTO.Nivel="Nível 4")+32*(ORÇAMENTO.Nivel="Serviço"),2),0,1,2,3,4,"S")</f>
        <v>1</v>
      </c>
      <c r="B16" s="0" t="n">
        <f aca="true">IF(OR(C16="s",C16=0),OFFSET(B16,-1,0),C16)</f>
        <v>1</v>
      </c>
      <c r="C16" s="0" t="n">
        <f aca="true">IF(OFFSET(C16,-1,0)="L",1,IF(OFFSET(C16,-1,0)=1,2,IF(OR(A16="s",A16=0),"S",IF(AND(OFFSET(C16,-1,0)=2,A16=4),3,IF(AND(OR(OFFSET(C16,-1,0)="s",OFFSET(C16,-1,0)=0),A16&lt;&gt;"s",A16&gt;OFFSET(B16,-1,0)),OFFSET(B16,-1,0),A16)))))</f>
        <v>1</v>
      </c>
      <c r="D16" s="0" t="n">
        <f aca="false">IF(OR(C16="S",C16=0),0,IF(ISERROR(K16),J16,SMALL(J16:K16,1)))</f>
        <v>43</v>
      </c>
      <c r="E16" s="0" t="n">
        <f aca="true">IF($C16=1,OFFSET(E16,-1,0)+MAX(1,COUNTIF(QCI!$A$13:$A$24,OFFSET(ORÇAMENTO!E16,-1,0))),OFFSET(E16,-1,0))</f>
        <v>1</v>
      </c>
      <c r="F16" s="0" t="n">
        <f aca="true">IF($C16=1,0,IF($C16=2,OFFSET(F16,-1,0)+1,OFFSET(F16,-1,0)))</f>
        <v>0</v>
      </c>
      <c r="G16" s="0" t="n">
        <f aca="true">IF(AND($C16&lt;=2,$C16&lt;&gt;0),0,IF($C16=3,OFFSET(G16,-1,0)+1,OFFSET(G16,-1,0)))</f>
        <v>0</v>
      </c>
      <c r="H16" s="0" t="n">
        <f aca="true">IF(AND($C16&lt;=3,$C16&lt;&gt;0),0,IF($C16=4,OFFSET(H16,-1,0)+1,OFFSET(H16,-1,0)))</f>
        <v>0</v>
      </c>
      <c r="I16" s="0" t="n">
        <f aca="true">IF(AND($C16&lt;=4,$C16&lt;&gt;0),0,IF(AND($C16="S",$X16&gt;0),OFFSET(I16,-1,0)+1,OFFSET(I16,-1,0)))</f>
        <v>0</v>
      </c>
      <c r="J16" s="0" t="n">
        <f aca="true">IF(OR($C16="S",$C16=0),0,MATCH(0,OFFSET($D16,1,$C16,ROW($C$59)-ROW($C16)),0))</f>
        <v>43</v>
      </c>
      <c r="K16" s="0" t="e">
        <f aca="true">IF(OR($C16="S",$C16=0),0,MATCH(OFFSET($D16,0,$C16)+IF($C16&lt;&gt;1,1,COUNTIF(QCI!$A$13:$A$24,ORÇAMENTO!E16)),OFFSET($D16,1,$C16,ROW($C$59)-ROW($C16)),0))</f>
        <v>#N/A</v>
      </c>
      <c r="L16" s="185" t="str">
        <f aca="false">IF(OR($X16&gt;0,$C16=1,$C16=2,$C16=3,$C16=4),"F","")</f>
        <v>F</v>
      </c>
      <c r="M16" s="186" t="s">
        <v>247</v>
      </c>
      <c r="N16" s="187" t="str">
        <f aca="false">CHOOSE(1+LOG(1+2*(C16=1)+4*(C16=2)+8*(C16=3)+16*(C16=4)+32*(C16="S"),2),"","Meta","Nível 2","Nível 3","Nível 4","Serviço")</f>
        <v>Meta</v>
      </c>
      <c r="O16" s="188" t="str">
        <f aca="false">IF(OR($C16=0,$L16=""),"-",CONCATENATE(E16&amp;".",IF(AND($A$5&gt;=2,$C16&gt;=2),F16&amp;".",""),IF(AND($A$5&gt;=3,$C16&gt;=3),G16&amp;".",""),IF(AND($A$5&gt;=4,$C16&gt;=4),H16&amp;".",""),IF($C16="S",I16&amp;".","")))</f>
        <v>1.</v>
      </c>
      <c r="P16" s="189" t="s">
        <v>297</v>
      </c>
      <c r="Q16" s="190"/>
      <c r="R16" s="222" t="s">
        <v>299</v>
      </c>
      <c r="S16" s="192" t="str">
        <f aca="true">REFERENCIA.Unidade</f>
        <v>-</v>
      </c>
      <c r="T16" s="193" t="n">
        <f aca="true">OFFSET(CÁLCULO!H$15,ROW($T16)-ROW(T$15),0)</f>
        <v>0</v>
      </c>
      <c r="U16" s="194"/>
      <c r="V16" s="195" t="s">
        <v>208</v>
      </c>
      <c r="W16" s="193" t="n">
        <f aca="false">IF($C16="S",ROUND(IF(TIPOORCAMENTO="Proposto",ORÇAMENTO.CustoUnitario*(1+$AH16),ORÇAMENTO.PrecoUnitarioLicitado),15-13*$AF$10),0)</f>
        <v>0</v>
      </c>
      <c r="X16" s="196" t="n">
        <f aca="true">IF($C16="S",IF(Import.TipoArredondamento&lt;&gt;"TransfereGOV",VTOTAL1,SUM(OFFSET(CÁLCULO!$AA$15,ROW($X16)-ROW($X$15),1):OFFSET(CÁLCULO!$AL$15,ROW($X16)-ROW($X$15),-1))),IF($C16=0,0,ROUND(SomaAgrup,15-13*$AF$11)))</f>
        <v>0</v>
      </c>
      <c r="Y16" s="197" t="s">
        <v>298</v>
      </c>
      <c r="Z16" s="0" t="str">
        <f aca="false">IF(AND($C16="S",$X16&gt;0),IF(ISBLANK($Y16),"RA",LEFT($Y16,2)),"")</f>
        <v/>
      </c>
      <c r="AA16" s="198" t="n">
        <f aca="true">IF($C16="S",IF($Z16="CP",$X16,IF($Z16="RA",(($X16)*QCI!$AA$3),0)),SomaAgrup)</f>
        <v>0</v>
      </c>
      <c r="AB16" s="199" t="n">
        <f aca="true">IF($C16="S",IF($Z16="OU",ROUND($X16,2),0),SomaAgrup)</f>
        <v>0</v>
      </c>
      <c r="AC16" s="200" t="str">
        <f aca="false">IF($N16="","",IF(ORÇAMENTO.Descricao="","DESCRIÇÃO",IF(AND($C16="S",ORÇAMENTO.Unidade=""),"UNIDADE",IF($X16&lt;0,"VALOR NEGATIVO",IF(OR(AND(TIPOORCAMENTO="Proposto",$AG16&lt;&gt;"",$AG16&gt;0,ORÇAMENTO.CustoUnitario&gt;$AG16),AND(TIPOORCAMENTO="LICITADO",ORÇAMENTO.PrecoUnitarioLicitado&gt;$AN16)),"ACIMA REF.","")))))</f>
        <v/>
      </c>
      <c r="AD16" s="0" t="n">
        <f aca="true">IF(C16&lt;=CRONO.NivelExibicao,MAX($AD$15:OFFSET(AD16,-1,0))+IF($C16&lt;&gt;1,1,MAX(1,COUNTIF(QCI!$A$13:$A$24,OFFSET($E16,-1,0)))),"")</f>
        <v>1</v>
      </c>
      <c r="AE16" s="201" t="b">
        <f aca="false">IF(AND($C16="S",ORÇAMENTO.CodBarra&lt;&gt;""),IF(ORÇAMENTO.Fonte="",ORÇAMENTO.CodBarra,CONCATENATE(ORÇAMENTO.Fonte," ",ORÇAMENTO.CodBarra)))</f>
        <v>0</v>
      </c>
      <c r="AF16" s="42" t="str">
        <f aca="true">IF(ISERROR(INDIRECT(ORÇAMENTO.BancoRef)),"(abra o arquivo 'Referência "&amp;Excel_BuiltIn_Database&amp;".xlsm)",IF(OR($C16&lt;&gt;"S",ORÇAMENTO.CodBarra=""),"(Sem Código)",IF(ISERROR(MATCH($AE16,INDIRECT(ORÇAMENTO.BancoRef),0)),"(Código não identificado nas referências)",MATCH($AE16,INDIRECT(ORÇAMENTO.BancoRef),0))))</f>
        <v>(abra o arquivo 'Referência 02-Thursday.xlsm)</v>
      </c>
      <c r="AG16" s="202" t="n">
        <f aca="true">ROUND(IF(DESONERACAO="sim",REFERENCIA.Desonerado,REFERENCIA.NaoDesonerado),2)</f>
        <v>0</v>
      </c>
      <c r="AH16" s="203" t="n">
        <f aca="false">ROUND(IF(ISNUMBER(ORÇAMENTO.OpcaoBDI),ORÇAMENTO.OpcaoBDI,IF(LEFT(ORÇAMENTO.OpcaoBDI,3)="BDI",HLOOKUP(ORÇAMENTO.OpcaoBDI,$F$4:$H$5,2,FALSE()),0)),15-11*$AF$9)</f>
        <v>0.22</v>
      </c>
      <c r="AJ16" s="204"/>
      <c r="AL16" s="205"/>
      <c r="AM16" s="206" t="n">
        <f aca="false">$X16</f>
        <v>0</v>
      </c>
      <c r="AN16" s="207" t="n">
        <f aca="false">ROUND(ORÇAMENTO.CustoUnitario*(1+$AH16),2)</f>
        <v>0</v>
      </c>
    </row>
    <row r="17" customFormat="false" ht="12.75" hidden="false" customHeight="false" outlineLevel="0" collapsed="false">
      <c r="A17" s="0" t="n">
        <f aca="false">CHOOSE(1+LOG(1+2*(ORÇAMENTO.Nivel="Meta")+4*(ORÇAMENTO.Nivel="Nível 2")+8*(ORÇAMENTO.Nivel="Nível 3")+16*(ORÇAMENTO.Nivel="Nível 4")+32*(ORÇAMENTO.Nivel="Serviço"),2),0,1,2,3,4,"S")</f>
        <v>2</v>
      </c>
      <c r="B17" s="0" t="n">
        <f aca="true">IF(OR(C17="s",C17=0),OFFSET(B17,-1,0),C17)</f>
        <v>2</v>
      </c>
      <c r="C17" s="0" t="n">
        <f aca="true">IF(OFFSET(C17,-1,0)="L",1,IF(OFFSET(C17,-1,0)=1,2,IF(OR(A17="s",A17=0),"S",IF(AND(OFFSET(C17,-1,0)=2,A17=4),3,IF(AND(OR(OFFSET(C17,-1,0)="s",OFFSET(C17,-1,0)=0),A17&lt;&gt;"s",A17&gt;OFFSET(B17,-1,0)),OFFSET(B17,-1,0),A17)))))</f>
        <v>2</v>
      </c>
      <c r="D17" s="0" t="n">
        <f aca="false">IF(OR(C17="S",C17=0),0,IF(ISERROR(K17),J17,SMALL(J17:K17,1)))</f>
        <v>2</v>
      </c>
      <c r="E17" s="0" t="n">
        <f aca="true">IF($C17=1,OFFSET(E17,-1,0)+MAX(1,COUNTIF(QCI!$A$13:$A$24,OFFSET(ORÇAMENTO!E17,-1,0))),OFFSET(E17,-1,0))</f>
        <v>1</v>
      </c>
      <c r="F17" s="0" t="n">
        <f aca="true">IF($C17=1,0,IF($C17=2,OFFSET(F17,-1,0)+1,OFFSET(F17,-1,0)))</f>
        <v>1</v>
      </c>
      <c r="G17" s="0" t="n">
        <f aca="true">IF(AND($C17&lt;=2,$C17&lt;&gt;0),0,IF($C17=3,OFFSET(G17,-1,0)+1,OFFSET(G17,-1,0)))</f>
        <v>0</v>
      </c>
      <c r="H17" s="0" t="n">
        <f aca="true">IF(AND($C17&lt;=3,$C17&lt;&gt;0),0,IF($C17=4,OFFSET(H17,-1,0)+1,OFFSET(H17,-1,0)))</f>
        <v>0</v>
      </c>
      <c r="I17" s="0" t="n">
        <f aca="true">IF(AND($C17&lt;=4,$C17&lt;&gt;0),0,IF(AND($C17="S",$X17&gt;0),OFFSET(I17,-1,0)+1,OFFSET(I17,-1,0)))</f>
        <v>0</v>
      </c>
      <c r="J17" s="0" t="n">
        <f aca="true">IF(OR($C17="S",$C17=0),0,MATCH(0,OFFSET($D17,1,$C17,ROW($C$59)-ROW($C17)),0))</f>
        <v>42</v>
      </c>
      <c r="K17" s="0" t="n">
        <f aca="true">IF(OR($C17="S",$C17=0),0,MATCH(OFFSET($D17,0,$C17)+IF($C17&lt;&gt;1,1,COUNTIF(QCI!$A$13:$A$24,ORÇAMENTO!E17)),OFFSET($D17,1,$C17,ROW($C$59)-ROW($C17)),0))</f>
        <v>2</v>
      </c>
      <c r="L17" s="185" t="str">
        <f aca="false">IF(OR($X17&gt;0,$C17=1,$C17=2,$C17=3,$C17=4),"F","")</f>
        <v>F</v>
      </c>
      <c r="M17" s="186" t="s">
        <v>248</v>
      </c>
      <c r="N17" s="187" t="str">
        <f aca="false">CHOOSE(1+LOG(1+2*(C17=1)+4*(C17=2)+8*(C17=3)+16*(C17=4)+32*(C17="S"),2),"","Meta","Nível 2","Nível 3","Nível 4","Serviço")</f>
        <v>Nível 2</v>
      </c>
      <c r="O17" s="188" t="str">
        <f aca="false">IF(OR($C17=0,$L17=""),"-",CONCATENATE(E17&amp;".",IF(AND($A$5&gt;=2,$C17&gt;=2),F17&amp;".",""),IF(AND($A$5&gt;=3,$C17&gt;=3),G17&amp;".",""),IF(AND($A$5&gt;=4,$C17&gt;=4),H17&amp;".",""),IF($C17="S",I17&amp;".","")))</f>
        <v>1.1.</v>
      </c>
      <c r="P17" s="189" t="s">
        <v>297</v>
      </c>
      <c r="Q17" s="190"/>
      <c r="R17" s="222" t="s">
        <v>300</v>
      </c>
      <c r="S17" s="192" t="str">
        <f aca="true">REFERENCIA.Unidade</f>
        <v>-</v>
      </c>
      <c r="T17" s="193" t="n">
        <f aca="true">OFFSET(CÁLCULO!H$15,ROW($T17)-ROW(T$15),0)</f>
        <v>0</v>
      </c>
      <c r="U17" s="194"/>
      <c r="V17" s="195" t="s">
        <v>208</v>
      </c>
      <c r="W17" s="193" t="n">
        <f aca="false">IF($C17="S",ROUND(IF(TIPOORCAMENTO="Proposto",ORÇAMENTO.CustoUnitario*(1+$AH17),ORÇAMENTO.PrecoUnitarioLicitado),15-13*$AF$10),0)</f>
        <v>0</v>
      </c>
      <c r="X17" s="196" t="n">
        <f aca="true">IF($C17="S",IF(Import.TipoArredondamento&lt;&gt;"TransfereGOV",VTOTAL1,SUM(OFFSET(CÁLCULO!$AA$15,ROW($X17)-ROW($X$15),1):OFFSET(CÁLCULO!$AL$15,ROW($X17)-ROW($X$15),-1))),IF($C17=0,0,ROUND(SomaAgrup,15-13*$AF$11)))</f>
        <v>0</v>
      </c>
      <c r="Y17" s="197" t="s">
        <v>298</v>
      </c>
      <c r="Z17" s="0" t="str">
        <f aca="false">IF(AND($C17="S",$X17&gt;0),IF(ISBLANK($Y17),"RA",LEFT($Y17,2)),"")</f>
        <v/>
      </c>
      <c r="AA17" s="198" t="n">
        <f aca="true">IF($C17="S",IF($Z17="CP",$X17,IF($Z17="RA",(($X17)*QCI!$AA$3),0)),SomaAgrup)</f>
        <v>0</v>
      </c>
      <c r="AB17" s="199" t="n">
        <f aca="true">IF($C17="S",IF($Z17="OU",ROUND($X17,2),0),SomaAgrup)</f>
        <v>0</v>
      </c>
      <c r="AC17" s="200" t="str">
        <f aca="false">IF($N17="","",IF(ORÇAMENTO.Descricao="","DESCRIÇÃO",IF(AND($C17="S",ORÇAMENTO.Unidade=""),"UNIDADE",IF($X17&lt;0,"VALOR NEGATIVO",IF(OR(AND(TIPOORCAMENTO="Proposto",$AG17&lt;&gt;"",$AG17&gt;0,ORÇAMENTO.CustoUnitario&gt;$AG17),AND(TIPOORCAMENTO="LICITADO",ORÇAMENTO.PrecoUnitarioLicitado&gt;$AN17)),"ACIMA REF.","")))))</f>
        <v/>
      </c>
      <c r="AD17" s="0" t="n">
        <f aca="true">IF(C17&lt;=CRONO.NivelExibicao,MAX($AD$15:OFFSET(AD17,-1,0))+IF($C17&lt;&gt;1,1,MAX(1,COUNTIF(QCI!$A$13:$A$24,OFFSET($E17,-1,0)))),"")</f>
        <v>2</v>
      </c>
      <c r="AE17" s="201" t="b">
        <f aca="false">IF(AND($C17="S",ORÇAMENTO.CodBarra&lt;&gt;""),IF(ORÇAMENTO.Fonte="",ORÇAMENTO.CodBarra,CONCATENATE(ORÇAMENTO.Fonte," ",ORÇAMENTO.CodBarra)))</f>
        <v>0</v>
      </c>
      <c r="AF17" s="42" t="str">
        <f aca="true">IF(ISERROR(INDIRECT(ORÇAMENTO.BancoRef)),"(abra o arquivo 'Referência "&amp;Excel_BuiltIn_Database&amp;".xlsm)",IF(OR($C17&lt;&gt;"S",ORÇAMENTO.CodBarra=""),"(Sem Código)",IF(ISERROR(MATCH($AE17,INDIRECT(ORÇAMENTO.BancoRef),0)),"(Código não identificado nas referências)",MATCH($AE17,INDIRECT(ORÇAMENTO.BancoRef),0))))</f>
        <v>(abra o arquivo 'Referência 02-Thursday.xlsm)</v>
      </c>
      <c r="AG17" s="202" t="n">
        <f aca="true">ROUND(IF(DESONERACAO="sim",REFERENCIA.Desonerado,REFERENCIA.NaoDesonerado),2)</f>
        <v>0</v>
      </c>
      <c r="AH17" s="203" t="n">
        <f aca="false">ROUND(IF(ISNUMBER(ORÇAMENTO.OpcaoBDI),ORÇAMENTO.OpcaoBDI,IF(LEFT(ORÇAMENTO.OpcaoBDI,3)="BDI",HLOOKUP(ORÇAMENTO.OpcaoBDI,$F$4:$H$5,2,FALSE()),0)),15-11*$AF$9)</f>
        <v>0.22</v>
      </c>
      <c r="AJ17" s="204"/>
      <c r="AL17" s="205"/>
      <c r="AM17" s="206" t="n">
        <f aca="false">$X17</f>
        <v>0</v>
      </c>
      <c r="AN17" s="207" t="n">
        <f aca="false">ROUND(ORÇAMENTO.CustoUnitario*(1+$AH17),2)</f>
        <v>0</v>
      </c>
    </row>
    <row r="18" customFormat="false" ht="12.75" hidden="false" customHeight="false" outlineLevel="0" collapsed="false">
      <c r="A18" s="0" t="str">
        <f aca="false">CHOOSE(1+LOG(1+2*(ORÇAMENTO.Nivel="Meta")+4*(ORÇAMENTO.Nivel="Nível 2")+8*(ORÇAMENTO.Nivel="Nível 3")+16*(ORÇAMENTO.Nivel="Nível 4")+32*(ORÇAMENTO.Nivel="Serviço"),2),0,1,2,3,4,"S")</f>
        <v>S</v>
      </c>
      <c r="B18" s="0" t="n">
        <f aca="true">IF(OR(C18="s",C18=0),OFFSET(B18,-1,0),C18)</f>
        <v>2</v>
      </c>
      <c r="C18" s="0" t="str">
        <f aca="true">IF(OFFSET(C18,-1,0)="L",1,IF(OFFSET(C18,-1,0)=1,2,IF(OR(A18="s",A18=0),"S",IF(AND(OFFSET(C18,-1,0)=2,A18=4),3,IF(AND(OR(OFFSET(C18,-1,0)="s",OFFSET(C18,-1,0)=0),A18&lt;&gt;"s",A18&gt;OFFSET(B18,-1,0)),OFFSET(B18,-1,0),A18)))))</f>
        <v>S</v>
      </c>
      <c r="D18" s="0" t="n">
        <f aca="false">IF(OR(C18="S",C18=0),0,IF(ISERROR(K18),J18,SMALL(J18:K18,1)))</f>
        <v>0</v>
      </c>
      <c r="E18" s="0" t="n">
        <f aca="true">IF($C18=1,OFFSET(E18,-1,0)+MAX(1,COUNTIF(QCI!$A$13:$A$24,OFFSET(ORÇAMENTO!E18,-1,0))),OFFSET(E18,-1,0))</f>
        <v>1</v>
      </c>
      <c r="F18" s="0" t="n">
        <f aca="true">IF($C18=1,0,IF($C18=2,OFFSET(F18,-1,0)+1,OFFSET(F18,-1,0)))</f>
        <v>1</v>
      </c>
      <c r="G18" s="0" t="n">
        <f aca="true">IF(AND($C18&lt;=2,$C18&lt;&gt;0),0,IF($C18=3,OFFSET(G18,-1,0)+1,OFFSET(G18,-1,0)))</f>
        <v>0</v>
      </c>
      <c r="H18" s="0" t="n">
        <f aca="true">IF(AND($C18&lt;=3,$C18&lt;&gt;0),0,IF($C18=4,OFFSET(H18,-1,0)+1,OFFSET(H18,-1,0)))</f>
        <v>0</v>
      </c>
      <c r="I18" s="0" t="n">
        <f aca="true">IF(AND($C18&lt;=4,$C18&lt;&gt;0),0,IF(AND($C18="S",$X18&gt;0),OFFSET(I18,-1,0)+1,OFFSET(I18,-1,0)))</f>
        <v>0</v>
      </c>
      <c r="J18" s="0" t="n">
        <f aca="true">IF(OR($C18="S",$C18=0),0,MATCH(0,OFFSET($D18,1,$C18,ROW($C$59)-ROW($C18)),0))</f>
        <v>0</v>
      </c>
      <c r="K18" s="0" t="n">
        <f aca="true">IF(OR($C18="S",$C18=0),0,MATCH(OFFSET($D18,0,$C18)+IF($C18&lt;&gt;1,1,COUNTIF(QCI!$A$13:$A$24,ORÇAMENTO!E18)),OFFSET($D18,1,$C18,ROW($C$59)-ROW($C18)),0))</f>
        <v>0</v>
      </c>
      <c r="L18" s="185" t="str">
        <f aca="false">IF(OR($X18&gt;0,$C18=1,$C18=2,$C18=3,$C18=4),"F","")</f>
        <v/>
      </c>
      <c r="M18" s="186" t="s">
        <v>251</v>
      </c>
      <c r="N18" s="187" t="str">
        <f aca="false">CHOOSE(1+LOG(1+2*(C18=1)+4*(C18=2)+8*(C18=3)+16*(C18=4)+32*(C18="S"),2),"","Meta","Nível 2","Nível 3","Nível 4","Serviço")</f>
        <v>Serviço</v>
      </c>
      <c r="O18" s="188" t="str">
        <f aca="false">IF(OR($C18=0,$L18=""),"-",CONCATENATE(E18&amp;".",IF(AND($A$5&gt;=2,$C18&gt;=2),F18&amp;".",""),IF(AND($A$5&gt;=3,$C18&gt;=3),G18&amp;".",""),IF(AND($A$5&gt;=4,$C18&gt;=4),H18&amp;".",""),IF($C18="S",I18&amp;".","")))</f>
        <v>-</v>
      </c>
      <c r="P18" s="189" t="s">
        <v>301</v>
      </c>
      <c r="Q18" s="190" t="s">
        <v>302</v>
      </c>
      <c r="R18" s="222" t="str">
        <f aca="true">IF($C18="S",REFERENCIA.Descricao,"(digite a descrição aqui)")</f>
        <v>(abra o arquivo 'Referência 02-Thursday.xlsm)</v>
      </c>
      <c r="S18" s="192" t="str">
        <f aca="true">REFERENCIA.Unidade</f>
        <v>-</v>
      </c>
      <c r="T18" s="193" t="n">
        <f aca="true">OFFSET(CÁLCULO!H$15,ROW($T18)-ROW(T$15),0)</f>
        <v>1</v>
      </c>
      <c r="U18" s="194" t="n">
        <f aca="false">AG18</f>
        <v>0</v>
      </c>
      <c r="V18" s="195" t="s">
        <v>208</v>
      </c>
      <c r="W18" s="193" t="n">
        <f aca="false">IF($C18="S",ROUND(IF(TIPOORCAMENTO="Proposto",ORÇAMENTO.CustoUnitario*(1+$AH18),ORÇAMENTO.PrecoUnitarioLicitado),15-13*$AF$10),0)</f>
        <v>0</v>
      </c>
      <c r="X18" s="196" t="n">
        <f aca="true">IF($C18="S",IF(Import.TipoArredondamento&lt;&gt;"TransfereGOV",VTOTAL1,SUM(OFFSET(CÁLCULO!$AA$15,ROW($X18)-ROW($X$15),1):OFFSET(CÁLCULO!$AL$15,ROW($X18)-ROW($X$15),-1))),IF($C18=0,0,ROUND(SomaAgrup,15-13*$AF$11)))</f>
        <v>0</v>
      </c>
      <c r="Y18" s="197" t="s">
        <v>298</v>
      </c>
      <c r="Z18" s="0" t="str">
        <f aca="false">IF(AND($C18="S",$X18&gt;0),IF(ISBLANK($Y18),"RA",LEFT($Y18,2)),"")</f>
        <v/>
      </c>
      <c r="AA18" s="198" t="n">
        <f aca="true">IF($C18="S",IF($Z18="CP",$X18,IF($Z18="RA",(($X18)*QCI!$AA$3),0)),SomaAgrup)</f>
        <v>0</v>
      </c>
      <c r="AB18" s="199" t="n">
        <f aca="true">IF($C18="S",IF($Z18="OU",ROUND($X18,2),0),SomaAgrup)</f>
        <v>0</v>
      </c>
      <c r="AC18" s="200" t="str">
        <f aca="false">IF($N18="","",IF(ORÇAMENTO.Descricao="","DESCRIÇÃO",IF(AND($C18="S",ORÇAMENTO.Unidade=""),"UNIDADE",IF($X18&lt;0,"VALOR NEGATIVO",IF(OR(AND(TIPOORCAMENTO="Proposto",$AG18&lt;&gt;"",$AG18&gt;0,ORÇAMENTO.CustoUnitario&gt;$AG18),AND(TIPOORCAMENTO="LICITADO",ORÇAMENTO.PrecoUnitarioLicitado&gt;$AN18)),"ACIMA REF.","")))))</f>
        <v/>
      </c>
      <c r="AD18" s="0" t="str">
        <f aca="true">IF(C18&lt;=CRONO.NivelExibicao,MAX($AD$15:OFFSET(AD18,-1,0))+IF($C18&lt;&gt;1,1,MAX(1,COUNTIF(QCI!$A$13:$A$24,OFFSET($E18,-1,0)))),"")</f>
        <v/>
      </c>
      <c r="AE18" s="34" t="str">
        <f aca="false">IF(AND($C18="S",ORÇAMENTO.CodBarra&lt;&gt;""),IF(ORÇAMENTO.Fonte="",ORÇAMENTO.CodBarra,CONCATENATE(ORÇAMENTO.Fonte," ",ORÇAMENTO.CodBarra)))</f>
        <v>SICOR-MG ED-28427</v>
      </c>
      <c r="AF18" s="42" t="str">
        <f aca="true">IF(ISERROR(INDIRECT(ORÇAMENTO.BancoRef)),"(abra o arquivo 'Referência "&amp;Excel_BuiltIn_Database&amp;".xlsm)",IF(OR($C18&lt;&gt;"S",ORÇAMENTO.CodBarra=""),"(Sem Código)",IF(ISERROR(MATCH($AE18,INDIRECT(ORÇAMENTO.BancoRef),0)),"(Código não identificado nas referências)",MATCH($AE18,INDIRECT(ORÇAMENTO.BancoRef),0))))</f>
        <v>(abra o arquivo 'Referência 02-Thursday.xlsm)</v>
      </c>
      <c r="AG18" s="202" t="n">
        <f aca="true">ROUND(IF(DESONERACAO="sim",REFERENCIA.Desonerado,REFERENCIA.NaoDesonerado),2)</f>
        <v>0</v>
      </c>
      <c r="AH18" s="203" t="n">
        <f aca="false">ROUND(IF(ISNUMBER(ORÇAMENTO.OpcaoBDI),ORÇAMENTO.OpcaoBDI,IF(LEFT(ORÇAMENTO.OpcaoBDI,3)="BDI",HLOOKUP(ORÇAMENTO.OpcaoBDI,$F$4:$H$5,2,FALSE()),0)),15-11*$AF$9)</f>
        <v>0.22</v>
      </c>
      <c r="AJ18" s="204" t="n">
        <v>1</v>
      </c>
      <c r="AL18" s="205"/>
      <c r="AM18" s="206" t="n">
        <f aca="false">$X18</f>
        <v>0</v>
      </c>
      <c r="AN18" s="207" t="n">
        <f aca="false">ROUND(ORÇAMENTO.CustoUnitario*(1+$AH18),2)</f>
        <v>0</v>
      </c>
    </row>
    <row r="19" customFormat="false" ht="12.75" hidden="false" customHeight="false" outlineLevel="0" collapsed="false">
      <c r="A19" s="0" t="n">
        <f aca="false">CHOOSE(1+LOG(1+2*(ORÇAMENTO.Nivel="Meta")+4*(ORÇAMENTO.Nivel="Nível 2")+8*(ORÇAMENTO.Nivel="Nível 3")+16*(ORÇAMENTO.Nivel="Nível 4")+32*(ORÇAMENTO.Nivel="Serviço"),2),0,1,2,3,4,"S")</f>
        <v>2</v>
      </c>
      <c r="B19" s="0" t="n">
        <f aca="true">IF(OR(C19="s",C19=0),OFFSET(B19,-1,0),C19)</f>
        <v>2</v>
      </c>
      <c r="C19" s="0" t="n">
        <f aca="true">IF(OFFSET(C19,-1,0)="L",1,IF(OFFSET(C19,-1,0)=1,2,IF(OR(A19="s",A19=0),"S",IF(AND(OFFSET(C19,-1,0)=2,A19=4),3,IF(AND(OR(OFFSET(C19,-1,0)="s",OFFSET(C19,-1,0)=0),A19&lt;&gt;"s",A19&gt;OFFSET(B19,-1,0)),OFFSET(B19,-1,0),A19)))))</f>
        <v>2</v>
      </c>
      <c r="D19" s="0" t="n">
        <f aca="false">IF(OR(C19="S",C19=0),0,IF(ISERROR(K19),J19,SMALL(J19:K19,1)))</f>
        <v>2</v>
      </c>
      <c r="E19" s="0" t="n">
        <f aca="true">IF($C19=1,OFFSET(E19,-1,0)+MAX(1,COUNTIF(QCI!$A$13:$A$24,OFFSET(ORÇAMENTO!E19,-1,0))),OFFSET(E19,-1,0))</f>
        <v>1</v>
      </c>
      <c r="F19" s="0" t="n">
        <f aca="true">IF($C19=1,0,IF($C19=2,OFFSET(F19,-1,0)+1,OFFSET(F19,-1,0)))</f>
        <v>2</v>
      </c>
      <c r="G19" s="0" t="n">
        <f aca="true">IF(AND($C19&lt;=2,$C19&lt;&gt;0),0,IF($C19=3,OFFSET(G19,-1,0)+1,OFFSET(G19,-1,0)))</f>
        <v>0</v>
      </c>
      <c r="H19" s="0" t="n">
        <f aca="true">IF(AND($C19&lt;=3,$C19&lt;&gt;0),0,IF($C19=4,OFFSET(H19,-1,0)+1,OFFSET(H19,-1,0)))</f>
        <v>0</v>
      </c>
      <c r="I19" s="0" t="n">
        <f aca="true">IF(AND($C19&lt;=4,$C19&lt;&gt;0),0,IF(AND($C19="S",$X19&gt;0),OFFSET(I19,-1,0)+1,OFFSET(I19,-1,0)))</f>
        <v>0</v>
      </c>
      <c r="J19" s="0" t="n">
        <f aca="true">IF(OR($C19="S",$C19=0),0,MATCH(0,OFFSET($D19,1,$C19,ROW($C$59)-ROW($C19)),0))</f>
        <v>40</v>
      </c>
      <c r="K19" s="0" t="n">
        <f aca="true">IF(OR($C19="S",$C19=0),0,MATCH(OFFSET($D19,0,$C19)+IF($C19&lt;&gt;1,1,COUNTIF(QCI!$A$13:$A$24,ORÇAMENTO!E19)),OFFSET($D19,1,$C19,ROW($C$59)-ROW($C19)),0))</f>
        <v>2</v>
      </c>
      <c r="L19" s="185" t="str">
        <f aca="false">IF(OR($X19&gt;0,$C19=1,$C19=2,$C19=3,$C19=4),"F","")</f>
        <v>F</v>
      </c>
      <c r="M19" s="186" t="s">
        <v>248</v>
      </c>
      <c r="N19" s="187" t="str">
        <f aca="false">CHOOSE(1+LOG(1+2*(C19=1)+4*(C19=2)+8*(C19=3)+16*(C19=4)+32*(C19="S"),2),"","Meta","Nível 2","Nível 3","Nível 4","Serviço")</f>
        <v>Nível 2</v>
      </c>
      <c r="O19" s="188" t="str">
        <f aca="false">IF(OR($C19=0,$L19=""),"-",CONCATENATE(E19&amp;".",IF(AND($A$5&gt;=2,$C19&gt;=2),F19&amp;".",""),IF(AND($A$5&gt;=3,$C19&gt;=3),G19&amp;".",""),IF(AND($A$5&gt;=4,$C19&gt;=4),H19&amp;".",""),IF($C19="S",I19&amp;".","")))</f>
        <v>1.2.</v>
      </c>
      <c r="P19" s="189" t="s">
        <v>297</v>
      </c>
      <c r="Q19" s="190"/>
      <c r="R19" s="222" t="s">
        <v>303</v>
      </c>
      <c r="S19" s="192" t="str">
        <f aca="true">REFERENCIA.Unidade</f>
        <v>-</v>
      </c>
      <c r="T19" s="193" t="n">
        <f aca="true">OFFSET(CÁLCULO!H$15,ROW($T19)-ROW(T$15),0)</f>
        <v>0</v>
      </c>
      <c r="U19" s="194" t="n">
        <f aca="false">AG19</f>
        <v>0</v>
      </c>
      <c r="V19" s="195" t="s">
        <v>208</v>
      </c>
      <c r="W19" s="193" t="n">
        <f aca="false">IF($C19="S",ROUND(IF(TIPOORCAMENTO="Proposto",ORÇAMENTO.CustoUnitario*(1+$AH19),ORÇAMENTO.PrecoUnitarioLicitado),15-13*$AF$10),0)</f>
        <v>0</v>
      </c>
      <c r="X19" s="196" t="n">
        <f aca="true">IF($C19="S",IF(Import.TipoArredondamento&lt;&gt;"TransfereGOV",VTOTAL1,SUM(OFFSET(CÁLCULO!$AA$15,ROW($X19)-ROW($X$15),1):OFFSET(CÁLCULO!$AL$15,ROW($X19)-ROW($X$15),-1))),IF($C19=0,0,ROUND(SomaAgrup,15-13*$AF$11)))</f>
        <v>0</v>
      </c>
      <c r="Y19" s="197" t="s">
        <v>298</v>
      </c>
      <c r="Z19" s="0" t="str">
        <f aca="false">IF(AND($C19="S",$X19&gt;0),IF(ISBLANK($Y19),"RA",LEFT($Y19,2)),"")</f>
        <v/>
      </c>
      <c r="AA19" s="198" t="n">
        <f aca="true">IF($C19="S",IF($Z19="CP",$X19,IF($Z19="RA",(($X19)*QCI!$AA$3),0)),SomaAgrup)</f>
        <v>0</v>
      </c>
      <c r="AB19" s="199" t="n">
        <f aca="true">IF($C19="S",IF($Z19="OU",ROUND($X19,2),0),SomaAgrup)</f>
        <v>0</v>
      </c>
      <c r="AC19" s="200" t="str">
        <f aca="false">IF($N19="","",IF(ORÇAMENTO.Descricao="","DESCRIÇÃO",IF(AND($C19="S",ORÇAMENTO.Unidade=""),"UNIDADE",IF($X19&lt;0,"VALOR NEGATIVO",IF(OR(AND(TIPOORCAMENTO="Proposto",$AG19&lt;&gt;"",$AG19&gt;0,ORÇAMENTO.CustoUnitario&gt;$AG19),AND(TIPOORCAMENTO="LICITADO",ORÇAMENTO.PrecoUnitarioLicitado&gt;$AN19)),"ACIMA REF.","")))))</f>
        <v/>
      </c>
      <c r="AD19" s="0" t="n">
        <f aca="true">IF(C19&lt;=CRONO.NivelExibicao,MAX($AD$15:OFFSET(AD19,-1,0))+IF($C19&lt;&gt;1,1,MAX(1,COUNTIF(QCI!$A$13:$A$24,OFFSET($E19,-1,0)))),"")</f>
        <v>3</v>
      </c>
      <c r="AE19" s="201" t="b">
        <f aca="false">IF(AND($C19="S",ORÇAMENTO.CodBarra&lt;&gt;""),IF(ORÇAMENTO.Fonte="",ORÇAMENTO.CodBarra,CONCATENATE(ORÇAMENTO.Fonte," ",ORÇAMENTO.CodBarra)))</f>
        <v>0</v>
      </c>
      <c r="AF19" s="42" t="str">
        <f aca="true">IF(ISERROR(INDIRECT(ORÇAMENTO.BancoRef)),"(abra o arquivo 'Referência "&amp;Excel_BuiltIn_Database&amp;".xlsm)",IF(OR($C19&lt;&gt;"S",ORÇAMENTO.CodBarra=""),"(Sem Código)",IF(ISERROR(MATCH($AE19,INDIRECT(ORÇAMENTO.BancoRef),0)),"(Código não identificado nas referências)",MATCH($AE19,INDIRECT(ORÇAMENTO.BancoRef),0))))</f>
        <v>(abra o arquivo 'Referência 02-Thursday.xlsm)</v>
      </c>
      <c r="AG19" s="202" t="n">
        <f aca="true">ROUND(IF(DESONERACAO="sim",REFERENCIA.Desonerado,REFERENCIA.NaoDesonerado),2)</f>
        <v>0</v>
      </c>
      <c r="AH19" s="203" t="n">
        <f aca="false">ROUND(IF(ISNUMBER(ORÇAMENTO.OpcaoBDI),ORÇAMENTO.OpcaoBDI,IF(LEFT(ORÇAMENTO.OpcaoBDI,3)="BDI",HLOOKUP(ORÇAMENTO.OpcaoBDI,$F$4:$H$5,2,FALSE()),0)),15-11*$AF$9)</f>
        <v>0.22</v>
      </c>
      <c r="AJ19" s="204"/>
      <c r="AL19" s="205"/>
      <c r="AM19" s="206" t="n">
        <f aca="false">$X19</f>
        <v>0</v>
      </c>
      <c r="AN19" s="207" t="n">
        <f aca="false">ROUND(ORÇAMENTO.CustoUnitario*(1+$AH19),2)</f>
        <v>0</v>
      </c>
    </row>
    <row r="20" customFormat="false" ht="12.75" hidden="false" customHeight="false" outlineLevel="0" collapsed="false">
      <c r="A20" s="0" t="str">
        <f aca="false">CHOOSE(1+LOG(1+2*(ORÇAMENTO.Nivel="Meta")+4*(ORÇAMENTO.Nivel="Nível 2")+8*(ORÇAMENTO.Nivel="Nível 3")+16*(ORÇAMENTO.Nivel="Nível 4")+32*(ORÇAMENTO.Nivel="Serviço"),2),0,1,2,3,4,"S")</f>
        <v>S</v>
      </c>
      <c r="B20" s="0" t="n">
        <f aca="true">IF(OR(C20="s",C20=0),OFFSET(B20,-1,0),C20)</f>
        <v>2</v>
      </c>
      <c r="C20" s="0" t="str">
        <f aca="true">IF(OFFSET(C20,-1,0)="L",1,IF(OFFSET(C20,-1,0)=1,2,IF(OR(A20="s",A20=0),"S",IF(AND(OFFSET(C20,-1,0)=2,A20=4),3,IF(AND(OR(OFFSET(C20,-1,0)="s",OFFSET(C20,-1,0)=0),A20&lt;&gt;"s",A20&gt;OFFSET(B20,-1,0)),OFFSET(B20,-1,0),A20)))))</f>
        <v>S</v>
      </c>
      <c r="D20" s="0" t="n">
        <f aca="false">IF(OR(C20="S",C20=0),0,IF(ISERROR(K20),J20,SMALL(J20:K20,1)))</f>
        <v>0</v>
      </c>
      <c r="E20" s="0" t="n">
        <f aca="true">IF($C20=1,OFFSET(E20,-1,0)+MAX(1,COUNTIF(QCI!$A$13:$A$24,OFFSET(ORÇAMENTO!E20,-1,0))),OFFSET(E20,-1,0))</f>
        <v>1</v>
      </c>
      <c r="F20" s="0" t="n">
        <f aca="true">IF($C20=1,0,IF($C20=2,OFFSET(F20,-1,0)+1,OFFSET(F20,-1,0)))</f>
        <v>2</v>
      </c>
      <c r="G20" s="0" t="n">
        <f aca="true">IF(AND($C20&lt;=2,$C20&lt;&gt;0),0,IF($C20=3,OFFSET(G20,-1,0)+1,OFFSET(G20,-1,0)))</f>
        <v>0</v>
      </c>
      <c r="H20" s="0" t="n">
        <f aca="true">IF(AND($C20&lt;=3,$C20&lt;&gt;0),0,IF($C20=4,OFFSET(H20,-1,0)+1,OFFSET(H20,-1,0)))</f>
        <v>0</v>
      </c>
      <c r="I20" s="0" t="n">
        <f aca="true">IF(AND($C20&lt;=4,$C20&lt;&gt;0),0,IF(AND($C20="S",$X20&gt;0),OFFSET(I20,-1,0)+1,OFFSET(I20,-1,0)))</f>
        <v>0</v>
      </c>
      <c r="J20" s="0" t="n">
        <f aca="true">IF(OR($C20="S",$C20=0),0,MATCH(0,OFFSET($D20,1,$C20,ROW($C$59)-ROW($C20)),0))</f>
        <v>0</v>
      </c>
      <c r="K20" s="0" t="n">
        <f aca="true">IF(OR($C20="S",$C20=0),0,MATCH(OFFSET($D20,0,$C20)+IF($C20&lt;&gt;1,1,COUNTIF(QCI!$A$13:$A$24,ORÇAMENTO!E20)),OFFSET($D20,1,$C20,ROW($C$59)-ROW($C20)),0))</f>
        <v>0</v>
      </c>
      <c r="L20" s="185" t="str">
        <f aca="false">IF(OR($X20&gt;0,$C20=1,$C20=2,$C20=3,$C20=4),"F","")</f>
        <v/>
      </c>
      <c r="M20" s="186" t="s">
        <v>251</v>
      </c>
      <c r="N20" s="187" t="str">
        <f aca="false">CHOOSE(1+LOG(1+2*(C20=1)+4*(C20=2)+8*(C20=3)+16*(C20=4)+32*(C20="S"),2),"","Meta","Nível 2","Nível 3","Nível 4","Serviço")</f>
        <v>Serviço</v>
      </c>
      <c r="O20" s="188" t="str">
        <f aca="false">IF(OR($C20=0,$L20=""),"-",CONCATENATE(E20&amp;".",IF(AND($A$5&gt;=2,$C20&gt;=2),F20&amp;".",""),IF(AND($A$5&gt;=3,$C20&gt;=3),G20&amp;".",""),IF(AND($A$5&gt;=4,$C20&gt;=4),H20&amp;".",""),IF($C20="S",I20&amp;".","")))</f>
        <v>-</v>
      </c>
      <c r="P20" s="189" t="s">
        <v>304</v>
      </c>
      <c r="Q20" s="190" t="s">
        <v>305</v>
      </c>
      <c r="R20" s="222" t="str">
        <f aca="true">IF($C20="S",REFERENCIA.Descricao,"(digite a descrição aqui)")</f>
        <v>(abra o arquivo 'Referência 02-Thursday.xlsm)</v>
      </c>
      <c r="S20" s="192" t="str">
        <f aca="true">REFERENCIA.Unidade</f>
        <v>-</v>
      </c>
      <c r="T20" s="193" t="n">
        <f aca="true">OFFSET(CÁLCULO!H$15,ROW($T20)-ROW(T$15),0)</f>
        <v>3</v>
      </c>
      <c r="U20" s="194" t="n">
        <f aca="false">AG20</f>
        <v>0</v>
      </c>
      <c r="V20" s="195" t="s">
        <v>208</v>
      </c>
      <c r="W20" s="193" t="n">
        <f aca="false">IF($C20="S",ROUND(IF(TIPOORCAMENTO="Proposto",ORÇAMENTO.CustoUnitario*(1+$AH20),ORÇAMENTO.PrecoUnitarioLicitado),15-13*$AF$10),0)</f>
        <v>0</v>
      </c>
      <c r="X20" s="196" t="n">
        <f aca="true">IF($C20="S",IF(Import.TipoArredondamento&lt;&gt;"TransfereGOV",VTOTAL1,SUM(OFFSET(CÁLCULO!$AA$15,ROW($X20)-ROW($X$15),1):OFFSET(CÁLCULO!$AL$15,ROW($X20)-ROW($X$15),-1))),IF($C20=0,0,ROUND(SomaAgrup,15-13*$AF$11)))</f>
        <v>0</v>
      </c>
      <c r="Y20" s="197" t="s">
        <v>298</v>
      </c>
      <c r="Z20" s="0" t="str">
        <f aca="false">IF(AND($C20="S",$X20&gt;0),IF(ISBLANK($Y20),"RA",LEFT($Y20,2)),"")</f>
        <v/>
      </c>
      <c r="AA20" s="198" t="n">
        <f aca="true">IF($C20="S",IF($Z20="CP",$X20,IF($Z20="RA",(($X20)*QCI!$AA$3),0)),SomaAgrup)</f>
        <v>0</v>
      </c>
      <c r="AB20" s="199" t="n">
        <f aca="true">IF($C20="S",IF($Z20="OU",ROUND($X20,2),0),SomaAgrup)</f>
        <v>0</v>
      </c>
      <c r="AC20" s="200" t="str">
        <f aca="false">IF($N20="","",IF(ORÇAMENTO.Descricao="","DESCRIÇÃO",IF(AND($C20="S",ORÇAMENTO.Unidade=""),"UNIDADE",IF($X20&lt;0,"VALOR NEGATIVO",IF(OR(AND(TIPOORCAMENTO="Proposto",$AG20&lt;&gt;"",$AG20&gt;0,ORÇAMENTO.CustoUnitario&gt;$AG20),AND(TIPOORCAMENTO="LICITADO",ORÇAMENTO.PrecoUnitarioLicitado&gt;$AN20)),"ACIMA REF.","")))))</f>
        <v/>
      </c>
      <c r="AD20" s="0" t="str">
        <f aca="true">IF(C20&lt;=CRONO.NivelExibicao,MAX($AD$15:OFFSET(AD20,-1,0))+IF($C20&lt;&gt;1,1,MAX(1,COUNTIF(QCI!$A$13:$A$24,OFFSET($E20,-1,0)))),"")</f>
        <v/>
      </c>
      <c r="AE20" s="34" t="str">
        <f aca="false">IF(AND($C20="S",ORÇAMENTO.CodBarra&lt;&gt;""),IF(ORÇAMENTO.Fonte="",ORÇAMENTO.CodBarra,CONCATENATE(ORÇAMENTO.Fonte," ",ORÇAMENTO.CodBarra)))</f>
        <v>Composição CPU-029</v>
      </c>
      <c r="AF20" s="42" t="str">
        <f aca="true">IF(ISERROR(INDIRECT(ORÇAMENTO.BancoRef)),"(abra o arquivo 'Referência "&amp;Excel_BuiltIn_Database&amp;".xlsm)",IF(OR($C20&lt;&gt;"S",ORÇAMENTO.CodBarra=""),"(Sem Código)",IF(ISERROR(MATCH($AE20,INDIRECT(ORÇAMENTO.BancoRef),0)),"(Código não identificado nas referências)",MATCH($AE20,INDIRECT(ORÇAMENTO.BancoRef),0))))</f>
        <v>(abra o arquivo 'Referência 02-Thursday.xlsm)</v>
      </c>
      <c r="AG20" s="202" t="n">
        <f aca="true">ROUND(IF(DESONERACAO="sim",REFERENCIA.Desonerado,REFERENCIA.NaoDesonerado),2)</f>
        <v>0</v>
      </c>
      <c r="AH20" s="203" t="n">
        <f aca="false">ROUND(IF(ISNUMBER(ORÇAMENTO.OpcaoBDI),ORÇAMENTO.OpcaoBDI,IF(LEFT(ORÇAMENTO.OpcaoBDI,3)="BDI",HLOOKUP(ORÇAMENTO.OpcaoBDI,$F$4:$H$5,2,FALSE()),0)),15-11*$AF$9)</f>
        <v>0.22</v>
      </c>
      <c r="AJ20" s="204" t="n">
        <v>3</v>
      </c>
      <c r="AL20" s="205"/>
      <c r="AM20" s="206" t="n">
        <f aca="false">$X20</f>
        <v>0</v>
      </c>
      <c r="AN20" s="207" t="n">
        <f aca="false">ROUND(ORÇAMENTO.CustoUnitario*(1+$AH20),2)</f>
        <v>0</v>
      </c>
    </row>
    <row r="21" customFormat="false" ht="12.75" hidden="false" customHeight="false" outlineLevel="0" collapsed="false">
      <c r="A21" s="0" t="n">
        <f aca="false">CHOOSE(1+LOG(1+2*(ORÇAMENTO.Nivel="Meta")+4*(ORÇAMENTO.Nivel="Nível 2")+8*(ORÇAMENTO.Nivel="Nível 3")+16*(ORÇAMENTO.Nivel="Nível 4")+32*(ORÇAMENTO.Nivel="Serviço"),2),0,1,2,3,4,"S")</f>
        <v>2</v>
      </c>
      <c r="B21" s="0" t="n">
        <f aca="true">IF(OR(C21="s",C21=0),OFFSET(B21,-1,0),C21)</f>
        <v>2</v>
      </c>
      <c r="C21" s="0" t="n">
        <f aca="true">IF(OFFSET(C21,-1,0)="L",1,IF(OFFSET(C21,-1,0)=1,2,IF(OR(A21="s",A21=0),"S",IF(AND(OFFSET(C21,-1,0)=2,A21=4),3,IF(AND(OR(OFFSET(C21,-1,0)="s",OFFSET(C21,-1,0)=0),A21&lt;&gt;"s",A21&gt;OFFSET(B21,-1,0)),OFFSET(B21,-1,0),A21)))))</f>
        <v>2</v>
      </c>
      <c r="D21" s="0" t="n">
        <f aca="false">IF(OR(C21="S",C21=0),0,IF(ISERROR(K21),J21,SMALL(J21:K21,1)))</f>
        <v>8</v>
      </c>
      <c r="E21" s="0" t="n">
        <f aca="true">IF($C21=1,OFFSET(E21,-1,0)+MAX(1,COUNTIF(QCI!$A$13:$A$24,OFFSET(ORÇAMENTO!E21,-1,0))),OFFSET(E21,-1,0))</f>
        <v>1</v>
      </c>
      <c r="F21" s="0" t="n">
        <f aca="true">IF($C21=1,0,IF($C21=2,OFFSET(F21,-1,0)+1,OFFSET(F21,-1,0)))</f>
        <v>3</v>
      </c>
      <c r="G21" s="0" t="n">
        <f aca="true">IF(AND($C21&lt;=2,$C21&lt;&gt;0),0,IF($C21=3,OFFSET(G21,-1,0)+1,OFFSET(G21,-1,0)))</f>
        <v>0</v>
      </c>
      <c r="H21" s="0" t="n">
        <f aca="true">IF(AND($C21&lt;=3,$C21&lt;&gt;0),0,IF($C21=4,OFFSET(H21,-1,0)+1,OFFSET(H21,-1,0)))</f>
        <v>0</v>
      </c>
      <c r="I21" s="0" t="n">
        <f aca="true">IF(AND($C21&lt;=4,$C21&lt;&gt;0),0,IF(AND($C21="S",$X21&gt;0),OFFSET(I21,-1,0)+1,OFFSET(I21,-1,0)))</f>
        <v>0</v>
      </c>
      <c r="J21" s="0" t="n">
        <f aca="true">IF(OR($C21="S",$C21=0),0,MATCH(0,OFFSET($D21,1,$C21,ROW($C$59)-ROW($C21)),0))</f>
        <v>38</v>
      </c>
      <c r="K21" s="0" t="n">
        <f aca="true">IF(OR($C21="S",$C21=0),0,MATCH(OFFSET($D21,0,$C21)+IF($C21&lt;&gt;1,1,COUNTIF(QCI!$A$13:$A$24,ORÇAMENTO!E21)),OFFSET($D21,1,$C21,ROW($C$59)-ROW($C21)),0))</f>
        <v>8</v>
      </c>
      <c r="L21" s="185" t="str">
        <f aca="false">IF(OR($X21&gt;0,$C21=1,$C21=2,$C21=3,$C21=4),"F","")</f>
        <v>F</v>
      </c>
      <c r="M21" s="186" t="s">
        <v>248</v>
      </c>
      <c r="N21" s="187" t="str">
        <f aca="false">CHOOSE(1+LOG(1+2*(C21=1)+4*(C21=2)+8*(C21=3)+16*(C21=4)+32*(C21="S"),2),"","Meta","Nível 2","Nível 3","Nível 4","Serviço")</f>
        <v>Nível 2</v>
      </c>
      <c r="O21" s="188" t="str">
        <f aca="false">IF(OR($C21=0,$L21=""),"-",CONCATENATE(E21&amp;".",IF(AND($A$5&gt;=2,$C21&gt;=2),F21&amp;".",""),IF(AND($A$5&gt;=3,$C21&gt;=3),G21&amp;".",""),IF(AND($A$5&gt;=4,$C21&gt;=4),H21&amp;".",""),IF($C21="S",I21&amp;".","")))</f>
        <v>1.3.</v>
      </c>
      <c r="P21" s="189" t="s">
        <v>297</v>
      </c>
      <c r="Q21" s="190"/>
      <c r="R21" s="191" t="s">
        <v>306</v>
      </c>
      <c r="S21" s="192" t="str">
        <f aca="true">REFERENCIA.Unidade</f>
        <v>-</v>
      </c>
      <c r="T21" s="193" t="n">
        <f aca="true">OFFSET(CÁLCULO!H$15,ROW($T21)-ROW(T$15),0)</f>
        <v>0</v>
      </c>
      <c r="U21" s="194" t="n">
        <f aca="false">AG21</f>
        <v>0</v>
      </c>
      <c r="V21" s="195" t="s">
        <v>208</v>
      </c>
      <c r="W21" s="193" t="n">
        <f aca="false">IF($C21="S",ROUND(IF(TIPOORCAMENTO="Proposto",ORÇAMENTO.CustoUnitario*(1+$AH21),ORÇAMENTO.PrecoUnitarioLicitado),15-13*$AF$10),0)</f>
        <v>0</v>
      </c>
      <c r="X21" s="196" t="n">
        <f aca="true">IF($C21="S",IF(Import.TipoArredondamento&lt;&gt;"TransfereGOV",VTOTAL1,SUM(OFFSET(CÁLCULO!$AA$15,ROW($X21)-ROW($X$15),1):OFFSET(CÁLCULO!$AL$15,ROW($X21)-ROW($X$15),-1))),IF($C21=0,0,ROUND(SomaAgrup,15-13*$AF$11)))</f>
        <v>0</v>
      </c>
      <c r="Y21" s="197" t="s">
        <v>298</v>
      </c>
      <c r="Z21" s="0" t="str">
        <f aca="false">IF(AND($C21="S",$X21&gt;0),IF(ISBLANK($Y21),"RA",LEFT($Y21,2)),"")</f>
        <v/>
      </c>
      <c r="AA21" s="198" t="n">
        <f aca="true">IF($C21="S",IF($Z21="CP",$X21,IF($Z21="RA",(($X21)*QCI!$AA$3),0)),SomaAgrup)</f>
        <v>0</v>
      </c>
      <c r="AB21" s="199" t="n">
        <f aca="true">IF($C21="S",IF($Z21="OU",ROUND($X21,2),0),SomaAgrup)</f>
        <v>0</v>
      </c>
      <c r="AC21" s="200" t="str">
        <f aca="false">IF($N21="","",IF(ORÇAMENTO.Descricao="","DESCRIÇÃO",IF(AND($C21="S",ORÇAMENTO.Unidade=""),"UNIDADE",IF($X21&lt;0,"VALOR NEGATIVO",IF(OR(AND(TIPOORCAMENTO="Proposto",$AG21&lt;&gt;"",$AG21&gt;0,ORÇAMENTO.CustoUnitario&gt;$AG21),AND(TIPOORCAMENTO="LICITADO",ORÇAMENTO.PrecoUnitarioLicitado&gt;$AN21)),"ACIMA REF.","")))))</f>
        <v/>
      </c>
      <c r="AD21" s="0" t="n">
        <f aca="true">IF(C21&lt;=CRONO.NivelExibicao,MAX($AD$15:OFFSET(AD21,-1,0))+IF($C21&lt;&gt;1,1,MAX(1,COUNTIF(QCI!$A$13:$A$24,OFFSET($E21,-1,0)))),"")</f>
        <v>4</v>
      </c>
      <c r="AE21" s="201" t="b">
        <f aca="false">IF(AND($C21="S",ORÇAMENTO.CodBarra&lt;&gt;""),IF(ORÇAMENTO.Fonte="",ORÇAMENTO.CodBarra,CONCATENATE(ORÇAMENTO.Fonte," ",ORÇAMENTO.CodBarra)))</f>
        <v>0</v>
      </c>
      <c r="AF21" s="42" t="str">
        <f aca="true">IF(ISERROR(INDIRECT(ORÇAMENTO.BancoRef)),"(abra o arquivo 'Referência "&amp;Excel_BuiltIn_Database&amp;".xlsm)",IF(OR($C21&lt;&gt;"S",ORÇAMENTO.CodBarra=""),"(Sem Código)",IF(ISERROR(MATCH($AE21,INDIRECT(ORÇAMENTO.BancoRef),0)),"(Código não identificado nas referências)",MATCH($AE21,INDIRECT(ORÇAMENTO.BancoRef),0))))</f>
        <v>(abra o arquivo 'Referência 02-Thursday.xlsm)</v>
      </c>
      <c r="AG21" s="202" t="n">
        <f aca="true">ROUND(IF(DESONERACAO="sim",REFERENCIA.Desonerado,REFERENCIA.NaoDesonerado),2)</f>
        <v>0</v>
      </c>
      <c r="AH21" s="203" t="n">
        <f aca="false">ROUND(IF(ISNUMBER(ORÇAMENTO.OpcaoBDI),ORÇAMENTO.OpcaoBDI,IF(LEFT(ORÇAMENTO.OpcaoBDI,3)="BDI",HLOOKUP(ORÇAMENTO.OpcaoBDI,$F$4:$H$5,2,FALSE()),0)),15-11*$AF$9)</f>
        <v>0.22</v>
      </c>
      <c r="AJ21" s="204"/>
      <c r="AL21" s="205"/>
      <c r="AM21" s="206" t="n">
        <f aca="false">$X21</f>
        <v>0</v>
      </c>
      <c r="AN21" s="207" t="n">
        <f aca="false">ROUND(ORÇAMENTO.CustoUnitario*(1+$AH21),2)</f>
        <v>0</v>
      </c>
    </row>
    <row r="22" customFormat="false" ht="12.75" hidden="false" customHeight="false" outlineLevel="0" collapsed="false">
      <c r="A22" s="0" t="str">
        <f aca="false">CHOOSE(1+LOG(1+2*(ORÇAMENTO.Nivel="Meta")+4*(ORÇAMENTO.Nivel="Nível 2")+8*(ORÇAMENTO.Nivel="Nível 3")+16*(ORÇAMENTO.Nivel="Nível 4")+32*(ORÇAMENTO.Nivel="Serviço"),2),0,1,2,3,4,"S")</f>
        <v>S</v>
      </c>
      <c r="B22" s="0" t="n">
        <f aca="true">IF(OR(C22="s",C22=0),OFFSET(B22,-1,0),C22)</f>
        <v>2</v>
      </c>
      <c r="C22" s="0" t="str">
        <f aca="true">IF(OFFSET(C22,-1,0)="L",1,IF(OFFSET(C22,-1,0)=1,2,IF(OR(A22="s",A22=0),"S",IF(AND(OFFSET(C22,-1,0)=2,A22=4),3,IF(AND(OR(OFFSET(C22,-1,0)="s",OFFSET(C22,-1,0)=0),A22&lt;&gt;"s",A22&gt;OFFSET(B22,-1,0)),OFFSET(B22,-1,0),A22)))))</f>
        <v>S</v>
      </c>
      <c r="D22" s="0" t="n">
        <f aca="false">IF(OR(C22="S",C22=0),0,IF(ISERROR(K22),J22,SMALL(J22:K22,1)))</f>
        <v>0</v>
      </c>
      <c r="E22" s="0" t="n">
        <f aca="true">IF($C22=1,OFFSET(E22,-1,0)+MAX(1,COUNTIF(QCI!$A$13:$A$24,OFFSET(ORÇAMENTO!E22,-1,0))),OFFSET(E22,-1,0))</f>
        <v>1</v>
      </c>
      <c r="F22" s="0" t="n">
        <f aca="true">IF($C22=1,0,IF($C22=2,OFFSET(F22,-1,0)+1,OFFSET(F22,-1,0)))</f>
        <v>3</v>
      </c>
      <c r="G22" s="0" t="n">
        <f aca="true">IF(AND($C22&lt;=2,$C22&lt;&gt;0),0,IF($C22=3,OFFSET(G22,-1,0)+1,OFFSET(G22,-1,0)))</f>
        <v>0</v>
      </c>
      <c r="H22" s="0" t="n">
        <f aca="true">IF(AND($C22&lt;=3,$C22&lt;&gt;0),0,IF($C22=4,OFFSET(H22,-1,0)+1,OFFSET(H22,-1,0)))</f>
        <v>0</v>
      </c>
      <c r="I22" s="0" t="n">
        <f aca="true">IF(AND($C22&lt;=4,$C22&lt;&gt;0),0,IF(AND($C22="S",$X22&gt;0),OFFSET(I22,-1,0)+1,OFFSET(I22,-1,0)))</f>
        <v>0</v>
      </c>
      <c r="J22" s="0" t="n">
        <f aca="true">IF(OR($C22="S",$C22=0),0,MATCH(0,OFFSET($D22,1,$C22,ROW($C$59)-ROW($C22)),0))</f>
        <v>0</v>
      </c>
      <c r="K22" s="0" t="n">
        <f aca="true">IF(OR($C22="S",$C22=0),0,MATCH(OFFSET($D22,0,$C22)+IF($C22&lt;&gt;1,1,COUNTIF(QCI!$A$13:$A$24,ORÇAMENTO!E22)),OFFSET($D22,1,$C22,ROW($C$59)-ROW($C22)),0))</f>
        <v>0</v>
      </c>
      <c r="L22" s="185" t="str">
        <f aca="false">IF(OR($X22&gt;0,$C22=1,$C22=2,$C22=3,$C22=4),"F","")</f>
        <v/>
      </c>
      <c r="M22" s="186" t="s">
        <v>251</v>
      </c>
      <c r="N22" s="187" t="str">
        <f aca="false">CHOOSE(1+LOG(1+2*(C22=1)+4*(C22=2)+8*(C22=3)+16*(C22=4)+32*(C22="S"),2),"","Meta","Nível 2","Nível 3","Nível 4","Serviço")</f>
        <v>Serviço</v>
      </c>
      <c r="O22" s="188" t="str">
        <f aca="false">IF(OR($C22=0,$L22=""),"-",CONCATENATE(E22&amp;".",IF(AND($A$5&gt;=2,$C22&gt;=2),F22&amp;".",""),IF(AND($A$5&gt;=3,$C22&gt;=3),G22&amp;".",""),IF(AND($A$5&gt;=4,$C22&gt;=4),H22&amp;".",""),IF($C22="S",I22&amp;".","")))</f>
        <v>-</v>
      </c>
      <c r="P22" s="189" t="s">
        <v>301</v>
      </c>
      <c r="Q22" s="190" t="s">
        <v>307</v>
      </c>
      <c r="R22" s="191" t="str">
        <f aca="true">IF($C22="S",REFERENCIA.Descricao,"(digite a descrição aqui)")</f>
        <v>(abra o arquivo 'Referência 02-Thursday.xlsm)</v>
      </c>
      <c r="S22" s="192" t="str">
        <f aca="true">REFERENCIA.Unidade</f>
        <v>-</v>
      </c>
      <c r="T22" s="193" t="n">
        <f aca="true">OFFSET(CÁLCULO!H$15,ROW($T22)-ROW(T$15),0)</f>
        <v>3</v>
      </c>
      <c r="U22" s="194" t="n">
        <f aca="false">AG22</f>
        <v>0</v>
      </c>
      <c r="V22" s="195" t="s">
        <v>208</v>
      </c>
      <c r="W22" s="193" t="n">
        <f aca="false">IF($C22="S",ROUND(IF(TIPOORCAMENTO="Proposto",ORÇAMENTO.CustoUnitario*(1+$AH22),ORÇAMENTO.PrecoUnitarioLicitado),15-13*$AF$10),0)</f>
        <v>0</v>
      </c>
      <c r="X22" s="196" t="n">
        <f aca="true">IF($C22="S",IF(Import.TipoArredondamento&lt;&gt;"TransfereGOV",VTOTAL1,SUM(OFFSET(CÁLCULO!$AA$15,ROW($X22)-ROW($X$15),1):OFFSET(CÁLCULO!$AL$15,ROW($X22)-ROW($X$15),-1))),IF($C22=0,0,ROUND(SomaAgrup,15-13*$AF$11)))</f>
        <v>0</v>
      </c>
      <c r="Y22" s="197" t="s">
        <v>298</v>
      </c>
      <c r="Z22" s="0" t="str">
        <f aca="false">IF(AND($C22="S",$X22&gt;0),IF(ISBLANK($Y22),"RA",LEFT($Y22,2)),"")</f>
        <v/>
      </c>
      <c r="AA22" s="198" t="n">
        <f aca="true">IF($C22="S",IF($Z22="CP",$X22,IF($Z22="RA",(($X22)*QCI!$AA$3),0)),SomaAgrup)</f>
        <v>0</v>
      </c>
      <c r="AB22" s="199" t="n">
        <f aca="true">IF($C22="S",IF($Z22="OU",ROUND($X22,2),0),SomaAgrup)</f>
        <v>0</v>
      </c>
      <c r="AC22" s="200" t="str">
        <f aca="false">IF($N22="","",IF(ORÇAMENTO.Descricao="","DESCRIÇÃO",IF(AND($C22="S",ORÇAMENTO.Unidade=""),"UNIDADE",IF($X22&lt;0,"VALOR NEGATIVO",IF(OR(AND(TIPOORCAMENTO="Proposto",$AG22&lt;&gt;"",$AG22&gt;0,ORÇAMENTO.CustoUnitario&gt;$AG22),AND(TIPOORCAMENTO="LICITADO",ORÇAMENTO.PrecoUnitarioLicitado&gt;$AN22)),"ACIMA REF.","")))))</f>
        <v/>
      </c>
      <c r="AD22" s="0" t="str">
        <f aca="true">IF(C22&lt;=CRONO.NivelExibicao,MAX($AD$15:OFFSET(AD22,-1,0))+IF($C22&lt;&gt;1,1,MAX(1,COUNTIF(QCI!$A$13:$A$24,OFFSET($E22,-1,0)))),"")</f>
        <v/>
      </c>
      <c r="AE22" s="34" t="str">
        <f aca="false">IF(AND($C22="S",ORÇAMENTO.CodBarra&lt;&gt;""),IF(ORÇAMENTO.Fonte="",ORÇAMENTO.CodBarra,CONCATENATE(ORÇAMENTO.Fonte," ",ORÇAMENTO.CodBarra)))</f>
        <v>SICOR-MG ED-16348</v>
      </c>
      <c r="AF22" s="42" t="str">
        <f aca="true">IF(ISERROR(INDIRECT(ORÇAMENTO.BancoRef)),"(abra o arquivo 'Referência "&amp;Excel_BuiltIn_Database&amp;".xlsm)",IF(OR($C22&lt;&gt;"S",ORÇAMENTO.CodBarra=""),"(Sem Código)",IF(ISERROR(MATCH($AE22,INDIRECT(ORÇAMENTO.BancoRef),0)),"(Código não identificado nas referências)",MATCH($AE22,INDIRECT(ORÇAMENTO.BancoRef),0))))</f>
        <v>(abra o arquivo 'Referência 02-Thursday.xlsm)</v>
      </c>
      <c r="AG22" s="202" t="n">
        <f aca="true">ROUND(IF(DESONERACAO="sim",REFERENCIA.Desonerado,REFERENCIA.NaoDesonerado),2)</f>
        <v>0</v>
      </c>
      <c r="AH22" s="203" t="n">
        <f aca="false">ROUND(IF(ISNUMBER(ORÇAMENTO.OpcaoBDI),ORÇAMENTO.OpcaoBDI,IF(LEFT(ORÇAMENTO.OpcaoBDI,3)="BDI",HLOOKUP(ORÇAMENTO.OpcaoBDI,$F$4:$H$5,2,FALSE()),0)),15-11*$AF$9)</f>
        <v>0.22</v>
      </c>
      <c r="AJ22" s="204" t="n">
        <v>3</v>
      </c>
      <c r="AL22" s="205"/>
      <c r="AM22" s="206" t="n">
        <f aca="false">$X22</f>
        <v>0</v>
      </c>
      <c r="AN22" s="207" t="n">
        <f aca="false">ROUND(ORÇAMENTO.CustoUnitario*(1+$AH22),2)</f>
        <v>0</v>
      </c>
    </row>
    <row r="23" customFormat="false" ht="12.75" hidden="false" customHeight="false" outlineLevel="0" collapsed="false">
      <c r="A23" s="0" t="str">
        <f aca="false">CHOOSE(1+LOG(1+2*(ORÇAMENTO.Nivel="Meta")+4*(ORÇAMENTO.Nivel="Nível 2")+8*(ORÇAMENTO.Nivel="Nível 3")+16*(ORÇAMENTO.Nivel="Nível 4")+32*(ORÇAMENTO.Nivel="Serviço"),2),0,1,2,3,4,"S")</f>
        <v>S</v>
      </c>
      <c r="B23" s="0" t="n">
        <f aca="true">IF(OR(C23="s",C23=0),OFFSET(B23,-1,0),C23)</f>
        <v>2</v>
      </c>
      <c r="C23" s="0" t="str">
        <f aca="true">IF(OFFSET(C23,-1,0)="L",1,IF(OFFSET(C23,-1,0)=1,2,IF(OR(A23="s",A23=0),"S",IF(AND(OFFSET(C23,-1,0)=2,A23=4),3,IF(AND(OR(OFFSET(C23,-1,0)="s",OFFSET(C23,-1,0)=0),A23&lt;&gt;"s",A23&gt;OFFSET(B23,-1,0)),OFFSET(B23,-1,0),A23)))))</f>
        <v>S</v>
      </c>
      <c r="D23" s="0" t="n">
        <f aca="false">IF(OR(C23="S",C23=0),0,IF(ISERROR(K23),J23,SMALL(J23:K23,1)))</f>
        <v>0</v>
      </c>
      <c r="E23" s="0" t="n">
        <f aca="true">IF($C23=1,OFFSET(E23,-1,0)+MAX(1,COUNTIF(QCI!$A$13:$A$24,OFFSET(ORÇAMENTO!E23,-1,0))),OFFSET(E23,-1,0))</f>
        <v>1</v>
      </c>
      <c r="F23" s="0" t="n">
        <f aca="true">IF($C23=1,0,IF($C23=2,OFFSET(F23,-1,0)+1,OFFSET(F23,-1,0)))</f>
        <v>3</v>
      </c>
      <c r="G23" s="0" t="n">
        <f aca="true">IF(AND($C23&lt;=2,$C23&lt;&gt;0),0,IF($C23=3,OFFSET(G23,-1,0)+1,OFFSET(G23,-1,0)))</f>
        <v>0</v>
      </c>
      <c r="H23" s="0" t="n">
        <f aca="true">IF(AND($C23&lt;=3,$C23&lt;&gt;0),0,IF($C23=4,OFFSET(H23,-1,0)+1,OFFSET(H23,-1,0)))</f>
        <v>0</v>
      </c>
      <c r="I23" s="0" t="n">
        <f aca="true">IF(AND($C23&lt;=4,$C23&lt;&gt;0),0,IF(AND($C23="S",$X23&gt;0),OFFSET(I23,-1,0)+1,OFFSET(I23,-1,0)))</f>
        <v>0</v>
      </c>
      <c r="J23" s="0" t="n">
        <f aca="true">IF(OR($C23="S",$C23=0),0,MATCH(0,OFFSET($D23,1,$C23,ROW($C$59)-ROW($C23)),0))</f>
        <v>0</v>
      </c>
      <c r="K23" s="0" t="n">
        <f aca="true">IF(OR($C23="S",$C23=0),0,MATCH(OFFSET($D23,0,$C23)+IF($C23&lt;&gt;1,1,COUNTIF(QCI!$A$13:$A$24,ORÇAMENTO!E23)),OFFSET($D23,1,$C23,ROW($C$59)-ROW($C23)),0))</f>
        <v>0</v>
      </c>
      <c r="L23" s="185" t="str">
        <f aca="false">IF(OR($X23&gt;0,$C23=1,$C23=2,$C23=3,$C23=4),"F","")</f>
        <v/>
      </c>
      <c r="M23" s="186" t="s">
        <v>251</v>
      </c>
      <c r="N23" s="187" t="str">
        <f aca="false">CHOOSE(1+LOG(1+2*(C23=1)+4*(C23=2)+8*(C23=3)+16*(C23=4)+32*(C23="S"),2),"","Meta","Nível 2","Nível 3","Nível 4","Serviço")</f>
        <v>Serviço</v>
      </c>
      <c r="O23" s="188" t="str">
        <f aca="false">IF(OR($C23=0,$L23=""),"-",CONCATENATE(E23&amp;".",IF(AND($A$5&gt;=2,$C23&gt;=2),F23&amp;".",""),IF(AND($A$5&gt;=3,$C23&gt;=3),G23&amp;".",""),IF(AND($A$5&gt;=4,$C23&gt;=4),H23&amp;".",""),IF($C23="S",I23&amp;".","")))</f>
        <v>-</v>
      </c>
      <c r="P23" s="189" t="s">
        <v>301</v>
      </c>
      <c r="Q23" s="190" t="s">
        <v>308</v>
      </c>
      <c r="R23" s="191" t="str">
        <f aca="true">IF($C23="S",REFERENCIA.Descricao,"(digite a descrição aqui)")</f>
        <v>(abra o arquivo 'Referência 02-Thursday.xlsm)</v>
      </c>
      <c r="S23" s="192" t="str">
        <f aca="true">REFERENCIA.Unidade</f>
        <v>-</v>
      </c>
      <c r="T23" s="193" t="n">
        <f aca="true">OFFSET(CÁLCULO!H$15,ROW($T23)-ROW(T$15),0)</f>
        <v>1</v>
      </c>
      <c r="U23" s="194" t="n">
        <f aca="false">AG23</f>
        <v>0</v>
      </c>
      <c r="V23" s="195" t="s">
        <v>208</v>
      </c>
      <c r="W23" s="193" t="n">
        <f aca="false">IF($C23="S",ROUND(IF(TIPOORCAMENTO="Proposto",ORÇAMENTO.CustoUnitario*(1+$AH23),ORÇAMENTO.PrecoUnitarioLicitado),15-13*$AF$10),0)</f>
        <v>0</v>
      </c>
      <c r="X23" s="196" t="n">
        <f aca="true">IF($C23="S",IF(Import.TipoArredondamento&lt;&gt;"TransfereGOV",VTOTAL1,SUM(OFFSET(CÁLCULO!$AA$15,ROW($X23)-ROW($X$15),1):OFFSET(CÁLCULO!$AL$15,ROW($X23)-ROW($X$15),-1))),IF($C23=0,0,ROUND(SomaAgrup,15-13*$AF$11)))</f>
        <v>0</v>
      </c>
      <c r="Y23" s="197" t="s">
        <v>298</v>
      </c>
      <c r="Z23" s="0" t="str">
        <f aca="false">IF(AND($C23="S",$X23&gt;0),IF(ISBLANK($Y23),"RA",LEFT($Y23,2)),"")</f>
        <v/>
      </c>
      <c r="AA23" s="198" t="n">
        <f aca="true">IF($C23="S",IF($Z23="CP",$X23,IF($Z23="RA",(($X23)*QCI!$AA$3),0)),SomaAgrup)</f>
        <v>0</v>
      </c>
      <c r="AB23" s="199" t="n">
        <f aca="true">IF($C23="S",IF($Z23="OU",ROUND($X23,2),0),SomaAgrup)</f>
        <v>0</v>
      </c>
      <c r="AC23" s="200" t="str">
        <f aca="false">IF($N23="","",IF(ORÇAMENTO.Descricao="","DESCRIÇÃO",IF(AND($C23="S",ORÇAMENTO.Unidade=""),"UNIDADE",IF($X23&lt;0,"VALOR NEGATIVO",IF(OR(AND(TIPOORCAMENTO="Proposto",$AG23&lt;&gt;"",$AG23&gt;0,ORÇAMENTO.CustoUnitario&gt;$AG23),AND(TIPOORCAMENTO="LICITADO",ORÇAMENTO.PrecoUnitarioLicitado&gt;$AN23)),"ACIMA REF.","")))))</f>
        <v/>
      </c>
      <c r="AD23" s="0" t="str">
        <f aca="true">IF(C23&lt;=CRONO.NivelExibicao,MAX($AD$15:OFFSET(AD23,-1,0))+IF($C23&lt;&gt;1,1,MAX(1,COUNTIF(QCI!$A$13:$A$24,OFFSET($E23,-1,0)))),"")</f>
        <v/>
      </c>
      <c r="AE23" s="34" t="str">
        <f aca="false">IF(AND($C23="S",ORÇAMENTO.CodBarra&lt;&gt;""),IF(ORÇAMENTO.Fonte="",ORÇAMENTO.CodBarra,CONCATENATE(ORÇAMENTO.Fonte," ",ORÇAMENTO.CodBarra)))</f>
        <v>SICOR-MG ED-16356</v>
      </c>
      <c r="AF23" s="42" t="str">
        <f aca="true">IF(ISERROR(INDIRECT(ORÇAMENTO.BancoRef)),"(abra o arquivo 'Referência "&amp;Excel_BuiltIn_Database&amp;".xlsm)",IF(OR($C23&lt;&gt;"S",ORÇAMENTO.CodBarra=""),"(Sem Código)",IF(ISERROR(MATCH($AE23,INDIRECT(ORÇAMENTO.BancoRef),0)),"(Código não identificado nas referências)",MATCH($AE23,INDIRECT(ORÇAMENTO.BancoRef),0))))</f>
        <v>(abra o arquivo 'Referência 02-Thursday.xlsm)</v>
      </c>
      <c r="AG23" s="202" t="n">
        <f aca="true">ROUND(IF(DESONERACAO="sim",REFERENCIA.Desonerado,REFERENCIA.NaoDesonerado),2)</f>
        <v>0</v>
      </c>
      <c r="AH23" s="203" t="n">
        <f aca="false">ROUND(IF(ISNUMBER(ORÇAMENTO.OpcaoBDI),ORÇAMENTO.OpcaoBDI,IF(LEFT(ORÇAMENTO.OpcaoBDI,3)="BDI",HLOOKUP(ORÇAMENTO.OpcaoBDI,$F$4:$H$5,2,FALSE()),0)),15-11*$AF$9)</f>
        <v>0.22</v>
      </c>
      <c r="AJ23" s="204"/>
      <c r="AL23" s="205"/>
      <c r="AM23" s="206" t="n">
        <f aca="false">$X23</f>
        <v>0</v>
      </c>
      <c r="AN23" s="207" t="n">
        <f aca="false">ROUND(ORÇAMENTO.CustoUnitario*(1+$AH23),2)</f>
        <v>0</v>
      </c>
    </row>
    <row r="24" customFormat="false" ht="12.75" hidden="false" customHeight="false" outlineLevel="0" collapsed="false">
      <c r="A24" s="0" t="str">
        <f aca="false">CHOOSE(1+LOG(1+2*(ORÇAMENTO.Nivel="Meta")+4*(ORÇAMENTO.Nivel="Nível 2")+8*(ORÇAMENTO.Nivel="Nível 3")+16*(ORÇAMENTO.Nivel="Nível 4")+32*(ORÇAMENTO.Nivel="Serviço"),2),0,1,2,3,4,"S")</f>
        <v>S</v>
      </c>
      <c r="B24" s="0" t="n">
        <f aca="true">IF(OR(C24="s",C24=0),OFFSET(B24,-1,0),C24)</f>
        <v>2</v>
      </c>
      <c r="C24" s="0" t="str">
        <f aca="true">IF(OFFSET(C24,-1,0)="L",1,IF(OFFSET(C24,-1,0)=1,2,IF(OR(A24="s",A24=0),"S",IF(AND(OFFSET(C24,-1,0)=2,A24=4),3,IF(AND(OR(OFFSET(C24,-1,0)="s",OFFSET(C24,-1,0)=0),A24&lt;&gt;"s",A24&gt;OFFSET(B24,-1,0)),OFFSET(B24,-1,0),A24)))))</f>
        <v>S</v>
      </c>
      <c r="D24" s="0" t="n">
        <f aca="false">IF(OR(C24="S",C24=0),0,IF(ISERROR(K24),J24,SMALL(J24:K24,1)))</f>
        <v>0</v>
      </c>
      <c r="E24" s="0" t="n">
        <f aca="true">IF($C24=1,OFFSET(E24,-1,0)+MAX(1,COUNTIF(QCI!$A$13:$A$24,OFFSET(ORÇAMENTO!E24,-1,0))),OFFSET(E24,-1,0))</f>
        <v>1</v>
      </c>
      <c r="F24" s="0" t="n">
        <f aca="true">IF($C24=1,0,IF($C24=2,OFFSET(F24,-1,0)+1,OFFSET(F24,-1,0)))</f>
        <v>3</v>
      </c>
      <c r="G24" s="0" t="n">
        <f aca="true">IF(AND($C24&lt;=2,$C24&lt;&gt;0),0,IF($C24=3,OFFSET(G24,-1,0)+1,OFFSET(G24,-1,0)))</f>
        <v>0</v>
      </c>
      <c r="H24" s="0" t="n">
        <f aca="true">IF(AND($C24&lt;=3,$C24&lt;&gt;0),0,IF($C24=4,OFFSET(H24,-1,0)+1,OFFSET(H24,-1,0)))</f>
        <v>0</v>
      </c>
      <c r="I24" s="0" t="n">
        <f aca="true">IF(AND($C24&lt;=4,$C24&lt;&gt;0),0,IF(AND($C24="S",$X24&gt;0),OFFSET(I24,-1,0)+1,OFFSET(I24,-1,0)))</f>
        <v>0</v>
      </c>
      <c r="J24" s="0" t="n">
        <f aca="true">IF(OR($C24="S",$C24=0),0,MATCH(0,OFFSET($D24,1,$C24,ROW($C$59)-ROW($C24)),0))</f>
        <v>0</v>
      </c>
      <c r="K24" s="0" t="n">
        <f aca="true">IF(OR($C24="S",$C24=0),0,MATCH(OFFSET($D24,0,$C24)+IF($C24&lt;&gt;1,1,COUNTIF(QCI!$A$13:$A$24,ORÇAMENTO!E24)),OFFSET($D24,1,$C24,ROW($C$59)-ROW($C24)),0))</f>
        <v>0</v>
      </c>
      <c r="L24" s="185" t="str">
        <f aca="false">IF(OR($X24&gt;0,$C24=1,$C24=2,$C24=3,$C24=4),"F","")</f>
        <v/>
      </c>
      <c r="M24" s="186" t="s">
        <v>251</v>
      </c>
      <c r="N24" s="187" t="str">
        <f aca="false">CHOOSE(1+LOG(1+2*(C24=1)+4*(C24=2)+8*(C24=3)+16*(C24=4)+32*(C24="S"),2),"","Meta","Nível 2","Nível 3","Nível 4","Serviço")</f>
        <v>Serviço</v>
      </c>
      <c r="O24" s="188" t="str">
        <f aca="false">IF(OR($C24=0,$L24=""),"-",CONCATENATE(E24&amp;".",IF(AND($A$5&gt;=2,$C24&gt;=2),F24&amp;".",""),IF(AND($A$5&gt;=3,$C24&gt;=3),G24&amp;".",""),IF(AND($A$5&gt;=4,$C24&gt;=4),H24&amp;".",""),IF($C24="S",I24&amp;".","")))</f>
        <v>-</v>
      </c>
      <c r="P24" s="189" t="s">
        <v>301</v>
      </c>
      <c r="Q24" s="190" t="s">
        <v>309</v>
      </c>
      <c r="R24" s="191" t="str">
        <f aca="true">IF($C24="S",REFERENCIA.Descricao,"(digite a descrição aqui)")</f>
        <v>(abra o arquivo 'Referência 02-Thursday.xlsm)</v>
      </c>
      <c r="S24" s="192" t="str">
        <f aca="true">REFERENCIA.Unidade</f>
        <v>-</v>
      </c>
      <c r="T24" s="193" t="n">
        <f aca="true">OFFSET(CÁLCULO!H$15,ROW($T24)-ROW(T$15),0)</f>
        <v>3</v>
      </c>
      <c r="U24" s="194" t="n">
        <f aca="false">AG24</f>
        <v>0</v>
      </c>
      <c r="V24" s="195" t="s">
        <v>208</v>
      </c>
      <c r="W24" s="193" t="n">
        <f aca="false">IF($C24="S",ROUND(IF(TIPOORCAMENTO="Proposto",ORÇAMENTO.CustoUnitario*(1+$AH24),ORÇAMENTO.PrecoUnitarioLicitado),15-13*$AF$10),0)</f>
        <v>0</v>
      </c>
      <c r="X24" s="196" t="n">
        <f aca="true">IF($C24="S",IF(Import.TipoArredondamento&lt;&gt;"TransfereGOV",VTOTAL1,SUM(OFFSET(CÁLCULO!$AA$15,ROW($X24)-ROW($X$15),1):OFFSET(CÁLCULO!$AL$15,ROW($X24)-ROW($X$15),-1))),IF($C24=0,0,ROUND(SomaAgrup,15-13*$AF$11)))</f>
        <v>0</v>
      </c>
      <c r="Y24" s="197" t="s">
        <v>298</v>
      </c>
      <c r="Z24" s="0" t="str">
        <f aca="false">IF(AND($C24="S",$X24&gt;0),IF(ISBLANK($Y24),"RA",LEFT($Y24,2)),"")</f>
        <v/>
      </c>
      <c r="AA24" s="198" t="n">
        <f aca="true">IF($C24="S",IF($Z24="CP",$X24,IF($Z24="RA",(($X24)*QCI!$AA$3),0)),SomaAgrup)</f>
        <v>0</v>
      </c>
      <c r="AB24" s="199" t="n">
        <f aca="true">IF($C24="S",IF($Z24="OU",ROUND($X24,2),0),SomaAgrup)</f>
        <v>0</v>
      </c>
      <c r="AC24" s="200" t="str">
        <f aca="false">IF($N24="","",IF(ORÇAMENTO.Descricao="","DESCRIÇÃO",IF(AND($C24="S",ORÇAMENTO.Unidade=""),"UNIDADE",IF($X24&lt;0,"VALOR NEGATIVO",IF(OR(AND(TIPOORCAMENTO="Proposto",$AG24&lt;&gt;"",$AG24&gt;0,ORÇAMENTO.CustoUnitario&gt;$AG24),AND(TIPOORCAMENTO="LICITADO",ORÇAMENTO.PrecoUnitarioLicitado&gt;$AN24)),"ACIMA REF.","")))))</f>
        <v/>
      </c>
      <c r="AD24" s="0" t="str">
        <f aca="true">IF(C24&lt;=CRONO.NivelExibicao,MAX($AD$15:OFFSET(AD24,-1,0))+IF($C24&lt;&gt;1,1,MAX(1,COUNTIF(QCI!$A$13:$A$24,OFFSET($E24,-1,0)))),"")</f>
        <v/>
      </c>
      <c r="AE24" s="34" t="str">
        <f aca="false">IF(AND($C24="S",ORÇAMENTO.CodBarra&lt;&gt;""),IF(ORÇAMENTO.Fonte="",ORÇAMENTO.CodBarra,CONCATENATE(ORÇAMENTO.Fonte," ",ORÇAMENTO.CodBarra)))</f>
        <v>SICOR-MG ED-16350</v>
      </c>
      <c r="AF24" s="42" t="str">
        <f aca="true">IF(ISERROR(INDIRECT(ORÇAMENTO.BancoRef)),"(abra o arquivo 'Referência "&amp;Excel_BuiltIn_Database&amp;".xlsm)",IF(OR($C24&lt;&gt;"S",ORÇAMENTO.CodBarra=""),"(Sem Código)",IF(ISERROR(MATCH($AE24,INDIRECT(ORÇAMENTO.BancoRef),0)),"(Código não identificado nas referências)",MATCH($AE24,INDIRECT(ORÇAMENTO.BancoRef),0))))</f>
        <v>(abra o arquivo 'Referência 02-Thursday.xlsm)</v>
      </c>
      <c r="AG24" s="202" t="n">
        <f aca="true">ROUND(IF(DESONERACAO="sim",REFERENCIA.Desonerado,REFERENCIA.NaoDesonerado),2)</f>
        <v>0</v>
      </c>
      <c r="AH24" s="203" t="n">
        <f aca="false">ROUND(IF(ISNUMBER(ORÇAMENTO.OpcaoBDI),ORÇAMENTO.OpcaoBDI,IF(LEFT(ORÇAMENTO.OpcaoBDI,3)="BDI",HLOOKUP(ORÇAMENTO.OpcaoBDI,$F$4:$H$5,2,FALSE()),0)),15-11*$AF$9)</f>
        <v>0.22</v>
      </c>
      <c r="AJ24" s="204" t="n">
        <v>3</v>
      </c>
      <c r="AL24" s="205"/>
      <c r="AM24" s="206" t="n">
        <f aca="false">$X24</f>
        <v>0</v>
      </c>
      <c r="AN24" s="207" t="n">
        <f aca="false">ROUND(ORÇAMENTO.CustoUnitario*(1+$AH24),2)</f>
        <v>0</v>
      </c>
    </row>
    <row r="25" customFormat="false" ht="12.75" hidden="false" customHeight="false" outlineLevel="0" collapsed="false">
      <c r="A25" s="0" t="str">
        <f aca="false">CHOOSE(1+LOG(1+2*(ORÇAMENTO.Nivel="Meta")+4*(ORÇAMENTO.Nivel="Nível 2")+8*(ORÇAMENTO.Nivel="Nível 3")+16*(ORÇAMENTO.Nivel="Nível 4")+32*(ORÇAMENTO.Nivel="Serviço"),2),0,1,2,3,4,"S")</f>
        <v>S</v>
      </c>
      <c r="B25" s="0" t="n">
        <f aca="true">IF(OR(C25="s",C25=0),OFFSET(B25,-1,0),C25)</f>
        <v>2</v>
      </c>
      <c r="C25" s="0" t="str">
        <f aca="true">IF(OFFSET(C25,-1,0)="L",1,IF(OFFSET(C25,-1,0)=1,2,IF(OR(A25="s",A25=0),"S",IF(AND(OFFSET(C25,-1,0)=2,A25=4),3,IF(AND(OR(OFFSET(C25,-1,0)="s",OFFSET(C25,-1,0)=0),A25&lt;&gt;"s",A25&gt;OFFSET(B25,-1,0)),OFFSET(B25,-1,0),A25)))))</f>
        <v>S</v>
      </c>
      <c r="D25" s="0" t="n">
        <f aca="false">IF(OR(C25="S",C25=0),0,IF(ISERROR(K25),J25,SMALL(J25:K25,1)))</f>
        <v>0</v>
      </c>
      <c r="E25" s="0" t="n">
        <f aca="true">IF($C25=1,OFFSET(E25,-1,0)+MAX(1,COUNTIF(QCI!$A$13:$A$24,OFFSET(ORÇAMENTO!E25,-1,0))),OFFSET(E25,-1,0))</f>
        <v>1</v>
      </c>
      <c r="F25" s="0" t="n">
        <f aca="true">IF($C25=1,0,IF($C25=2,OFFSET(F25,-1,0)+1,OFFSET(F25,-1,0)))</f>
        <v>3</v>
      </c>
      <c r="G25" s="0" t="n">
        <f aca="true">IF(AND($C25&lt;=2,$C25&lt;&gt;0),0,IF($C25=3,OFFSET(G25,-1,0)+1,OFFSET(G25,-1,0)))</f>
        <v>0</v>
      </c>
      <c r="H25" s="0" t="n">
        <f aca="true">IF(AND($C25&lt;=3,$C25&lt;&gt;0),0,IF($C25=4,OFFSET(H25,-1,0)+1,OFFSET(H25,-1,0)))</f>
        <v>0</v>
      </c>
      <c r="I25" s="0" t="n">
        <f aca="true">IF(AND($C25&lt;=4,$C25&lt;&gt;0),0,IF(AND($C25="S",$X25&gt;0),OFFSET(I25,-1,0)+1,OFFSET(I25,-1,0)))</f>
        <v>0</v>
      </c>
      <c r="J25" s="0" t="n">
        <f aca="true">IF(OR($C25="S",$C25=0),0,MATCH(0,OFFSET($D25,1,$C25,ROW($C$59)-ROW($C25)),0))</f>
        <v>0</v>
      </c>
      <c r="K25" s="0" t="n">
        <f aca="true">IF(OR($C25="S",$C25=0),0,MATCH(OFFSET($D25,0,$C25)+IF($C25&lt;&gt;1,1,COUNTIF(QCI!$A$13:$A$24,ORÇAMENTO!E25)),OFFSET($D25,1,$C25,ROW($C$59)-ROW($C25)),0))</f>
        <v>0</v>
      </c>
      <c r="L25" s="185" t="str">
        <f aca="false">IF(OR($X25&gt;0,$C25=1,$C25=2,$C25=3,$C25=4),"F","")</f>
        <v/>
      </c>
      <c r="M25" s="186" t="s">
        <v>251</v>
      </c>
      <c r="N25" s="187" t="str">
        <f aca="false">CHOOSE(1+LOG(1+2*(C25=1)+4*(C25=2)+8*(C25=3)+16*(C25=4)+32*(C25="S"),2),"","Meta","Nível 2","Nível 3","Nível 4","Serviço")</f>
        <v>Serviço</v>
      </c>
      <c r="O25" s="188" t="str">
        <f aca="false">IF(OR($C25=0,$L25=""),"-",CONCATENATE(E25&amp;".",IF(AND($A$5&gt;=2,$C25&gt;=2),F25&amp;".",""),IF(AND($A$5&gt;=3,$C25&gt;=3),G25&amp;".",""),IF(AND($A$5&gt;=4,$C25&gt;=4),H25&amp;".",""),IF($C25="S",I25&amp;".","")))</f>
        <v>-</v>
      </c>
      <c r="P25" s="189" t="s">
        <v>301</v>
      </c>
      <c r="Q25" s="190" t="s">
        <v>310</v>
      </c>
      <c r="R25" s="191" t="str">
        <f aca="true">IF($C25="S",REFERENCIA.Descricao,"(digite a descrição aqui)")</f>
        <v>(abra o arquivo 'Referência 02-Thursday.xlsm)</v>
      </c>
      <c r="S25" s="192" t="str">
        <f aca="true">REFERENCIA.Unidade</f>
        <v>-</v>
      </c>
      <c r="T25" s="193" t="n">
        <f aca="true">OFFSET(CÁLCULO!H$15,ROW($T25)-ROW(T$15),0)</f>
        <v>1</v>
      </c>
      <c r="U25" s="194" t="n">
        <f aca="false">AG25</f>
        <v>0</v>
      </c>
      <c r="V25" s="195" t="s">
        <v>208</v>
      </c>
      <c r="W25" s="193" t="n">
        <f aca="false">IF($C25="S",ROUND(IF(TIPOORCAMENTO="Proposto",ORÇAMENTO.CustoUnitario*(1+$AH25),ORÇAMENTO.PrecoUnitarioLicitado),15-13*$AF$10),0)</f>
        <v>0</v>
      </c>
      <c r="X25" s="196" t="n">
        <f aca="true">IF($C25="S",IF(Import.TipoArredondamento&lt;&gt;"TransfereGOV",VTOTAL1,SUM(OFFSET(CÁLCULO!$AA$15,ROW($X25)-ROW($X$15),1):OFFSET(CÁLCULO!$AL$15,ROW($X25)-ROW($X$15),-1))),IF($C25=0,0,ROUND(SomaAgrup,15-13*$AF$11)))</f>
        <v>0</v>
      </c>
      <c r="Y25" s="197" t="s">
        <v>298</v>
      </c>
      <c r="Z25" s="0" t="str">
        <f aca="false">IF(AND($C25="S",$X25&gt;0),IF(ISBLANK($Y25),"RA",LEFT($Y25,2)),"")</f>
        <v/>
      </c>
      <c r="AA25" s="198" t="n">
        <f aca="true">IF($C25="S",IF($Z25="CP",$X25,IF($Z25="RA",(($X25)*QCI!$AA$3),0)),SomaAgrup)</f>
        <v>0</v>
      </c>
      <c r="AB25" s="199" t="n">
        <f aca="true">IF($C25="S",IF($Z25="OU",ROUND($X25,2),0),SomaAgrup)</f>
        <v>0</v>
      </c>
      <c r="AC25" s="200" t="str">
        <f aca="false">IF($N25="","",IF(ORÇAMENTO.Descricao="","DESCRIÇÃO",IF(AND($C25="S",ORÇAMENTO.Unidade=""),"UNIDADE",IF($X25&lt;0,"VALOR NEGATIVO",IF(OR(AND(TIPOORCAMENTO="Proposto",$AG25&lt;&gt;"",$AG25&gt;0,ORÇAMENTO.CustoUnitario&gt;$AG25),AND(TIPOORCAMENTO="LICITADO",ORÇAMENTO.PrecoUnitarioLicitado&gt;$AN25)),"ACIMA REF.","")))))</f>
        <v/>
      </c>
      <c r="AD25" s="0" t="str">
        <f aca="true">IF(C25&lt;=CRONO.NivelExibicao,MAX($AD$15:OFFSET(AD25,-1,0))+IF($C25&lt;&gt;1,1,MAX(1,COUNTIF(QCI!$A$13:$A$24,OFFSET($E25,-1,0)))),"")</f>
        <v/>
      </c>
      <c r="AE25" s="34" t="str">
        <f aca="false">IF(AND($C25="S",ORÇAMENTO.CodBarra&lt;&gt;""),IF(ORÇAMENTO.Fonte="",ORÇAMENTO.CodBarra,CONCATENATE(ORÇAMENTO.Fonte," ",ORÇAMENTO.CodBarra)))</f>
        <v>SICOR-MG ED-16358</v>
      </c>
      <c r="AF25" s="42" t="str">
        <f aca="true">IF(ISERROR(INDIRECT(ORÇAMENTO.BancoRef)),"(abra o arquivo 'Referência "&amp;Excel_BuiltIn_Database&amp;".xlsm)",IF(OR($C25&lt;&gt;"S",ORÇAMENTO.CodBarra=""),"(Sem Código)",IF(ISERROR(MATCH($AE25,INDIRECT(ORÇAMENTO.BancoRef),0)),"(Código não identificado nas referências)",MATCH($AE25,INDIRECT(ORÇAMENTO.BancoRef),0))))</f>
        <v>(abra o arquivo 'Referência 02-Thursday.xlsm)</v>
      </c>
      <c r="AG25" s="202" t="n">
        <f aca="true">ROUND(IF(DESONERACAO="sim",REFERENCIA.Desonerado,REFERENCIA.NaoDesonerado),2)</f>
        <v>0</v>
      </c>
      <c r="AH25" s="203" t="n">
        <f aca="false">ROUND(IF(ISNUMBER(ORÇAMENTO.OpcaoBDI),ORÇAMENTO.OpcaoBDI,IF(LEFT(ORÇAMENTO.OpcaoBDI,3)="BDI",HLOOKUP(ORÇAMENTO.OpcaoBDI,$F$4:$H$5,2,FALSE()),0)),15-11*$AF$9)</f>
        <v>0.22</v>
      </c>
      <c r="AJ25" s="204"/>
      <c r="AL25" s="205"/>
      <c r="AM25" s="206" t="n">
        <f aca="false">$X25</f>
        <v>0</v>
      </c>
      <c r="AN25" s="207" t="n">
        <f aca="false">ROUND(ORÇAMENTO.CustoUnitario*(1+$AH25),2)</f>
        <v>0</v>
      </c>
    </row>
    <row r="26" customFormat="false" ht="12.75" hidden="false" customHeight="false" outlineLevel="0" collapsed="false">
      <c r="A26" s="0" t="str">
        <f aca="false">CHOOSE(1+LOG(1+2*(ORÇAMENTO.Nivel="Meta")+4*(ORÇAMENTO.Nivel="Nível 2")+8*(ORÇAMENTO.Nivel="Nível 3")+16*(ORÇAMENTO.Nivel="Nível 4")+32*(ORÇAMENTO.Nivel="Serviço"),2),0,1,2,3,4,"S")</f>
        <v>S</v>
      </c>
      <c r="B26" s="0" t="n">
        <f aca="true">IF(OR(C26="s",C26=0),OFFSET(B26,-1,0),C26)</f>
        <v>2</v>
      </c>
      <c r="C26" s="0" t="str">
        <f aca="true">IF(OFFSET(C26,-1,0)="L",1,IF(OFFSET(C26,-1,0)=1,2,IF(OR(A26="s",A26=0),"S",IF(AND(OFFSET(C26,-1,0)=2,A26=4),3,IF(AND(OR(OFFSET(C26,-1,0)="s",OFFSET(C26,-1,0)=0),A26&lt;&gt;"s",A26&gt;OFFSET(B26,-1,0)),OFFSET(B26,-1,0),A26)))))</f>
        <v>S</v>
      </c>
      <c r="D26" s="0" t="n">
        <f aca="false">IF(OR(C26="S",C26=0),0,IF(ISERROR(K26),J26,SMALL(J26:K26,1)))</f>
        <v>0</v>
      </c>
      <c r="E26" s="0" t="n">
        <f aca="true">IF($C26=1,OFFSET(E26,-1,0)+MAX(1,COUNTIF(QCI!$A$13:$A$24,OFFSET(ORÇAMENTO!E26,-1,0))),OFFSET(E26,-1,0))</f>
        <v>1</v>
      </c>
      <c r="F26" s="0" t="n">
        <f aca="true">IF($C26=1,0,IF($C26=2,OFFSET(F26,-1,0)+1,OFFSET(F26,-1,0)))</f>
        <v>3</v>
      </c>
      <c r="G26" s="0" t="n">
        <f aca="true">IF(AND($C26&lt;=2,$C26&lt;&gt;0),0,IF($C26=3,OFFSET(G26,-1,0)+1,OFFSET(G26,-1,0)))</f>
        <v>0</v>
      </c>
      <c r="H26" s="0" t="n">
        <f aca="true">IF(AND($C26&lt;=3,$C26&lt;&gt;0),0,IF($C26=4,OFFSET(H26,-1,0)+1,OFFSET(H26,-1,0)))</f>
        <v>0</v>
      </c>
      <c r="I26" s="0" t="n">
        <f aca="true">IF(AND($C26&lt;=4,$C26&lt;&gt;0),0,IF(AND($C26="S",$X26&gt;0),OFFSET(I26,-1,0)+1,OFFSET(I26,-1,0)))</f>
        <v>0</v>
      </c>
      <c r="J26" s="0" t="n">
        <f aca="true">IF(OR($C26="S",$C26=0),0,MATCH(0,OFFSET($D26,1,$C26,ROW($C$59)-ROW($C26)),0))</f>
        <v>0</v>
      </c>
      <c r="K26" s="0" t="n">
        <f aca="true">IF(OR($C26="S",$C26=0),0,MATCH(OFFSET($D26,0,$C26)+IF($C26&lt;&gt;1,1,COUNTIF(QCI!$A$13:$A$24,ORÇAMENTO!E26)),OFFSET($D26,1,$C26,ROW($C$59)-ROW($C26)),0))</f>
        <v>0</v>
      </c>
      <c r="L26" s="185" t="str">
        <f aca="false">IF(OR($X26&gt;0,$C26=1,$C26=2,$C26=3,$C26=4),"F","")</f>
        <v/>
      </c>
      <c r="M26" s="186" t="s">
        <v>251</v>
      </c>
      <c r="N26" s="187" t="str">
        <f aca="false">CHOOSE(1+LOG(1+2*(C26=1)+4*(C26=2)+8*(C26=3)+16*(C26=4)+32*(C26="S"),2),"","Meta","Nível 2","Nível 3","Nível 4","Serviço")</f>
        <v>Serviço</v>
      </c>
      <c r="O26" s="188" t="str">
        <f aca="false">IF(OR($C26=0,$L26=""),"-",CONCATENATE(E26&amp;".",IF(AND($A$5&gt;=2,$C26&gt;=2),F26&amp;".",""),IF(AND($A$5&gt;=3,$C26&gt;=3),G26&amp;".",""),IF(AND($A$5&gt;=4,$C26&gt;=4),H26&amp;".",""),IF($C26="S",I26&amp;".","")))</f>
        <v>-</v>
      </c>
      <c r="P26" s="189" t="s">
        <v>301</v>
      </c>
      <c r="Q26" s="190" t="s">
        <v>311</v>
      </c>
      <c r="R26" s="191" t="str">
        <f aca="true">IF($C26="S",REFERENCIA.Descricao,"(digite a descrição aqui)")</f>
        <v>(abra o arquivo 'Referência 02-Thursday.xlsm)</v>
      </c>
      <c r="S26" s="192" t="str">
        <f aca="true">REFERENCIA.Unidade</f>
        <v>-</v>
      </c>
      <c r="T26" s="193" t="n">
        <f aca="true">OFFSET(CÁLCULO!H$15,ROW($T26)-ROW(T$15),0)</f>
        <v>3</v>
      </c>
      <c r="U26" s="194" t="n">
        <f aca="false">AG26</f>
        <v>0</v>
      </c>
      <c r="V26" s="195" t="s">
        <v>208</v>
      </c>
      <c r="W26" s="193" t="n">
        <f aca="false">IF($C26="S",ROUND(IF(TIPOORCAMENTO="Proposto",ORÇAMENTO.CustoUnitario*(1+$AH26),ORÇAMENTO.PrecoUnitarioLicitado),15-13*$AF$10),0)</f>
        <v>0</v>
      </c>
      <c r="X26" s="196" t="n">
        <f aca="true">IF($C26="S",IF(Import.TipoArredondamento&lt;&gt;"TransfereGOV",VTOTAL1,SUM(OFFSET(CÁLCULO!$AA$15,ROW($X26)-ROW($X$15),1):OFFSET(CÁLCULO!$AL$15,ROW($X26)-ROW($X$15),-1))),IF($C26=0,0,ROUND(SomaAgrup,15-13*$AF$11)))</f>
        <v>0</v>
      </c>
      <c r="Y26" s="197" t="s">
        <v>298</v>
      </c>
      <c r="Z26" s="0" t="str">
        <f aca="false">IF(AND($C26="S",$X26&gt;0),IF(ISBLANK($Y26),"RA",LEFT($Y26,2)),"")</f>
        <v/>
      </c>
      <c r="AA26" s="198" t="n">
        <f aca="true">IF($C26="S",IF($Z26="CP",$X26,IF($Z26="RA",(($X26)*QCI!$AA$3),0)),SomaAgrup)</f>
        <v>0</v>
      </c>
      <c r="AB26" s="199" t="n">
        <f aca="true">IF($C26="S",IF($Z26="OU",ROUND($X26,2),0),SomaAgrup)</f>
        <v>0</v>
      </c>
      <c r="AC26" s="200" t="str">
        <f aca="false">IF($N26="","",IF(ORÇAMENTO.Descricao="","DESCRIÇÃO",IF(AND($C26="S",ORÇAMENTO.Unidade=""),"UNIDADE",IF($X26&lt;0,"VALOR NEGATIVO",IF(OR(AND(TIPOORCAMENTO="Proposto",$AG26&lt;&gt;"",$AG26&gt;0,ORÇAMENTO.CustoUnitario&gt;$AG26),AND(TIPOORCAMENTO="LICITADO",ORÇAMENTO.PrecoUnitarioLicitado&gt;$AN26)),"ACIMA REF.","")))))</f>
        <v/>
      </c>
      <c r="AD26" s="0" t="str">
        <f aca="true">IF(C26&lt;=CRONO.NivelExibicao,MAX($AD$15:OFFSET(AD26,-1,0))+IF($C26&lt;&gt;1,1,MAX(1,COUNTIF(QCI!$A$13:$A$24,OFFSET($E26,-1,0)))),"")</f>
        <v/>
      </c>
      <c r="AE26" s="34" t="str">
        <f aca="false">IF(AND($C26="S",ORÇAMENTO.CodBarra&lt;&gt;""),IF(ORÇAMENTO.Fonte="",ORÇAMENTO.CodBarra,CONCATENATE(ORÇAMENTO.Fonte," ",ORÇAMENTO.CodBarra)))</f>
        <v>SICOR-MG ED-16352</v>
      </c>
      <c r="AF26" s="42" t="str">
        <f aca="true">IF(ISERROR(INDIRECT(ORÇAMENTO.BancoRef)),"(abra o arquivo 'Referência "&amp;Excel_BuiltIn_Database&amp;".xlsm)",IF(OR($C26&lt;&gt;"S",ORÇAMENTO.CodBarra=""),"(Sem Código)",IF(ISERROR(MATCH($AE26,INDIRECT(ORÇAMENTO.BancoRef),0)),"(Código não identificado nas referências)",MATCH($AE26,INDIRECT(ORÇAMENTO.BancoRef),0))))</f>
        <v>(abra o arquivo 'Referência 02-Thursday.xlsm)</v>
      </c>
      <c r="AG26" s="202" t="n">
        <f aca="true">ROUND(IF(DESONERACAO="sim",REFERENCIA.Desonerado,REFERENCIA.NaoDesonerado),2)</f>
        <v>0</v>
      </c>
      <c r="AH26" s="203" t="n">
        <f aca="false">ROUND(IF(ISNUMBER(ORÇAMENTO.OpcaoBDI),ORÇAMENTO.OpcaoBDI,IF(LEFT(ORÇAMENTO.OpcaoBDI,3)="BDI",HLOOKUP(ORÇAMENTO.OpcaoBDI,$F$4:$H$5,2,FALSE()),0)),15-11*$AF$9)</f>
        <v>0.22</v>
      </c>
      <c r="AJ26" s="204" t="n">
        <v>3</v>
      </c>
      <c r="AL26" s="205"/>
      <c r="AM26" s="206" t="n">
        <f aca="false">$X26</f>
        <v>0</v>
      </c>
      <c r="AN26" s="207" t="n">
        <f aca="false">ROUND(ORÇAMENTO.CustoUnitario*(1+$AH26),2)</f>
        <v>0</v>
      </c>
    </row>
    <row r="27" customFormat="false" ht="12.75" hidden="false" customHeight="false" outlineLevel="0" collapsed="false">
      <c r="A27" s="0" t="str">
        <f aca="false">CHOOSE(1+LOG(1+2*(ORÇAMENTO.Nivel="Meta")+4*(ORÇAMENTO.Nivel="Nível 2")+8*(ORÇAMENTO.Nivel="Nível 3")+16*(ORÇAMENTO.Nivel="Nível 4")+32*(ORÇAMENTO.Nivel="Serviço"),2),0,1,2,3,4,"S")</f>
        <v>S</v>
      </c>
      <c r="B27" s="0" t="n">
        <f aca="true">IF(OR(C27="s",C27=0),OFFSET(B27,-1,0),C27)</f>
        <v>2</v>
      </c>
      <c r="C27" s="0" t="str">
        <f aca="true">IF(OFFSET(C27,-1,0)="L",1,IF(OFFSET(C27,-1,0)=1,2,IF(OR(A27="s",A27=0),"S",IF(AND(OFFSET(C27,-1,0)=2,A27=4),3,IF(AND(OR(OFFSET(C27,-1,0)="s",OFFSET(C27,-1,0)=0),A27&lt;&gt;"s",A27&gt;OFFSET(B27,-1,0)),OFFSET(B27,-1,0),A27)))))</f>
        <v>S</v>
      </c>
      <c r="D27" s="0" t="n">
        <f aca="false">IF(OR(C27="S",C27=0),0,IF(ISERROR(K27),J27,SMALL(J27:K27,1)))</f>
        <v>0</v>
      </c>
      <c r="E27" s="0" t="n">
        <f aca="true">IF($C27=1,OFFSET(E27,-1,0)+MAX(1,COUNTIF(QCI!$A$13:$A$24,OFFSET(ORÇAMENTO!E27,-1,0))),OFFSET(E27,-1,0))</f>
        <v>1</v>
      </c>
      <c r="F27" s="0" t="n">
        <f aca="true">IF($C27=1,0,IF($C27=2,OFFSET(F27,-1,0)+1,OFFSET(F27,-1,0)))</f>
        <v>3</v>
      </c>
      <c r="G27" s="0" t="n">
        <f aca="true">IF(AND($C27&lt;=2,$C27&lt;&gt;0),0,IF($C27=3,OFFSET(G27,-1,0)+1,OFFSET(G27,-1,0)))</f>
        <v>0</v>
      </c>
      <c r="H27" s="0" t="n">
        <f aca="true">IF(AND($C27&lt;=3,$C27&lt;&gt;0),0,IF($C27=4,OFFSET(H27,-1,0)+1,OFFSET(H27,-1,0)))</f>
        <v>0</v>
      </c>
      <c r="I27" s="0" t="n">
        <f aca="true">IF(AND($C27&lt;=4,$C27&lt;&gt;0),0,IF(AND($C27="S",$X27&gt;0),OFFSET(I27,-1,0)+1,OFFSET(I27,-1,0)))</f>
        <v>0</v>
      </c>
      <c r="J27" s="0" t="n">
        <f aca="true">IF(OR($C27="S",$C27=0),0,MATCH(0,OFFSET($D27,1,$C27,ROW($C$59)-ROW($C27)),0))</f>
        <v>0</v>
      </c>
      <c r="K27" s="0" t="n">
        <f aca="true">IF(OR($C27="S",$C27=0),0,MATCH(OFFSET($D27,0,$C27)+IF($C27&lt;&gt;1,1,COUNTIF(QCI!$A$13:$A$24,ORÇAMENTO!E27)),OFFSET($D27,1,$C27,ROW($C$59)-ROW($C27)),0))</f>
        <v>0</v>
      </c>
      <c r="L27" s="185" t="str">
        <f aca="false">IF(OR($X27&gt;0,$C27=1,$C27=2,$C27=3,$C27=4),"F","")</f>
        <v/>
      </c>
      <c r="M27" s="186" t="s">
        <v>251</v>
      </c>
      <c r="N27" s="187" t="str">
        <f aca="false">CHOOSE(1+LOG(1+2*(C27=1)+4*(C27=2)+8*(C27=3)+16*(C27=4)+32*(C27="S"),2),"","Meta","Nível 2","Nível 3","Nível 4","Serviço")</f>
        <v>Serviço</v>
      </c>
      <c r="O27" s="188" t="str">
        <f aca="false">IF(OR($C27=0,$L27=""),"-",CONCATENATE(E27&amp;".",IF(AND($A$5&gt;=2,$C27&gt;=2),F27&amp;".",""),IF(AND($A$5&gt;=3,$C27&gt;=3),G27&amp;".",""),IF(AND($A$5&gt;=4,$C27&gt;=4),H27&amp;".",""),IF($C27="S",I27&amp;".","")))</f>
        <v>-</v>
      </c>
      <c r="P27" s="189" t="s">
        <v>301</v>
      </c>
      <c r="Q27" s="190" t="s">
        <v>312</v>
      </c>
      <c r="R27" s="191" t="str">
        <f aca="true">IF($C27="S",REFERENCIA.Descricao,"(digite a descrição aqui)")</f>
        <v>(abra o arquivo 'Referência 02-Thursday.xlsm)</v>
      </c>
      <c r="S27" s="192" t="str">
        <f aca="true">REFERENCIA.Unidade</f>
        <v>-</v>
      </c>
      <c r="T27" s="193" t="n">
        <f aca="true">OFFSET(CÁLCULO!H$15,ROW($T27)-ROW(T$15),0)</f>
        <v>1</v>
      </c>
      <c r="U27" s="194" t="n">
        <f aca="false">AG27</f>
        <v>0</v>
      </c>
      <c r="V27" s="195" t="s">
        <v>208</v>
      </c>
      <c r="W27" s="193" t="n">
        <f aca="false">IF($C27="S",ROUND(IF(TIPOORCAMENTO="Proposto",ORÇAMENTO.CustoUnitario*(1+$AH27),ORÇAMENTO.PrecoUnitarioLicitado),15-13*$AF$10),0)</f>
        <v>0</v>
      </c>
      <c r="X27" s="196" t="n">
        <f aca="true">IF($C27="S",IF(Import.TipoArredondamento&lt;&gt;"TransfereGOV",VTOTAL1,SUM(OFFSET(CÁLCULO!$AA$15,ROW($X27)-ROW($X$15),1):OFFSET(CÁLCULO!$AL$15,ROW($X27)-ROW($X$15),-1))),IF($C27=0,0,ROUND(SomaAgrup,15-13*$AF$11)))</f>
        <v>0</v>
      </c>
      <c r="Y27" s="197" t="s">
        <v>298</v>
      </c>
      <c r="Z27" s="0" t="str">
        <f aca="false">IF(AND($C27="S",$X27&gt;0),IF(ISBLANK($Y27),"RA",LEFT($Y27,2)),"")</f>
        <v/>
      </c>
      <c r="AA27" s="198" t="n">
        <f aca="true">IF($C27="S",IF($Z27="CP",$X27,IF($Z27="RA",(($X27)*QCI!$AA$3),0)),SomaAgrup)</f>
        <v>0</v>
      </c>
      <c r="AB27" s="199" t="n">
        <f aca="true">IF($C27="S",IF($Z27="OU",ROUND($X27,2),0),SomaAgrup)</f>
        <v>0</v>
      </c>
      <c r="AC27" s="200" t="str">
        <f aca="false">IF($N27="","",IF(ORÇAMENTO.Descricao="","DESCRIÇÃO",IF(AND($C27="S",ORÇAMENTO.Unidade=""),"UNIDADE",IF($X27&lt;0,"VALOR NEGATIVO",IF(OR(AND(TIPOORCAMENTO="Proposto",$AG27&lt;&gt;"",$AG27&gt;0,ORÇAMENTO.CustoUnitario&gt;$AG27),AND(TIPOORCAMENTO="LICITADO",ORÇAMENTO.PrecoUnitarioLicitado&gt;$AN27)),"ACIMA REF.","")))))</f>
        <v/>
      </c>
      <c r="AD27" s="0" t="str">
        <f aca="true">IF(C27&lt;=CRONO.NivelExibicao,MAX($AD$15:OFFSET(AD27,-1,0))+IF($C27&lt;&gt;1,1,MAX(1,COUNTIF(QCI!$A$13:$A$24,OFFSET($E27,-1,0)))),"")</f>
        <v/>
      </c>
      <c r="AE27" s="34" t="str">
        <f aca="false">IF(AND($C27="S",ORÇAMENTO.CodBarra&lt;&gt;""),IF(ORÇAMENTO.Fonte="",ORÇAMENTO.CodBarra,CONCATENATE(ORÇAMENTO.Fonte," ",ORÇAMENTO.CodBarra)))</f>
        <v>SICOR-MG ED-16360</v>
      </c>
      <c r="AF27" s="42" t="str">
        <f aca="true">IF(ISERROR(INDIRECT(ORÇAMENTO.BancoRef)),"(abra o arquivo 'Referência "&amp;Excel_BuiltIn_Database&amp;".xlsm)",IF(OR($C27&lt;&gt;"S",ORÇAMENTO.CodBarra=""),"(Sem Código)",IF(ISERROR(MATCH($AE27,INDIRECT(ORÇAMENTO.BancoRef),0)),"(Código não identificado nas referências)",MATCH($AE27,INDIRECT(ORÇAMENTO.BancoRef),0))))</f>
        <v>(abra o arquivo 'Referência 02-Thursday.xlsm)</v>
      </c>
      <c r="AG27" s="202" t="n">
        <f aca="true">ROUND(IF(DESONERACAO="sim",REFERENCIA.Desonerado,REFERENCIA.NaoDesonerado),2)</f>
        <v>0</v>
      </c>
      <c r="AH27" s="203" t="n">
        <f aca="false">ROUND(IF(ISNUMBER(ORÇAMENTO.OpcaoBDI),ORÇAMENTO.OpcaoBDI,IF(LEFT(ORÇAMENTO.OpcaoBDI,3)="BDI",HLOOKUP(ORÇAMENTO.OpcaoBDI,$F$4:$H$5,2,FALSE()),0)),15-11*$AF$9)</f>
        <v>0.22</v>
      </c>
      <c r="AJ27" s="204"/>
      <c r="AL27" s="205"/>
      <c r="AM27" s="206" t="n">
        <f aca="false">$X27</f>
        <v>0</v>
      </c>
      <c r="AN27" s="207" t="n">
        <f aca="false">ROUND(ORÇAMENTO.CustoUnitario*(1+$AH27),2)</f>
        <v>0</v>
      </c>
    </row>
    <row r="28" customFormat="false" ht="12.75" hidden="false" customHeight="false" outlineLevel="0" collapsed="false">
      <c r="A28" s="0" t="str">
        <f aca="false">CHOOSE(1+LOG(1+2*(ORÇAMENTO.Nivel="Meta")+4*(ORÇAMENTO.Nivel="Nível 2")+8*(ORÇAMENTO.Nivel="Nível 3")+16*(ORÇAMENTO.Nivel="Nível 4")+32*(ORÇAMENTO.Nivel="Serviço"),2),0,1,2,3,4,"S")</f>
        <v>S</v>
      </c>
      <c r="B28" s="0" t="n">
        <f aca="true">IF(OR(C28="s",C28=0),OFFSET(B28,-1,0),C28)</f>
        <v>2</v>
      </c>
      <c r="C28" s="0" t="str">
        <f aca="true">IF(OFFSET(C28,-1,0)="L",1,IF(OFFSET(C28,-1,0)=1,2,IF(OR(A28="s",A28=0),"S",IF(AND(OFFSET(C28,-1,0)=2,A28=4),3,IF(AND(OR(OFFSET(C28,-1,0)="s",OFFSET(C28,-1,0)=0),A28&lt;&gt;"s",A28&gt;OFFSET(B28,-1,0)),OFFSET(B28,-1,0),A28)))))</f>
        <v>S</v>
      </c>
      <c r="D28" s="0" t="n">
        <f aca="false">IF(OR(C28="S",C28=0),0,IF(ISERROR(K28),J28,SMALL(J28:K28,1)))</f>
        <v>0</v>
      </c>
      <c r="E28" s="0" t="n">
        <f aca="true">IF($C28=1,OFFSET(E28,-1,0)+MAX(1,COUNTIF(QCI!$A$13:$A$24,OFFSET(ORÇAMENTO!E28,-1,0))),OFFSET(E28,-1,0))</f>
        <v>1</v>
      </c>
      <c r="F28" s="0" t="n">
        <f aca="true">IF($C28=1,0,IF($C28=2,OFFSET(F28,-1,0)+1,OFFSET(F28,-1,0)))</f>
        <v>3</v>
      </c>
      <c r="G28" s="0" t="n">
        <f aca="true">IF(AND($C28&lt;=2,$C28&lt;&gt;0),0,IF($C28=3,OFFSET(G28,-1,0)+1,OFFSET(G28,-1,0)))</f>
        <v>0</v>
      </c>
      <c r="H28" s="0" t="n">
        <f aca="true">IF(AND($C28&lt;=3,$C28&lt;&gt;0),0,IF($C28=4,OFFSET(H28,-1,0)+1,OFFSET(H28,-1,0)))</f>
        <v>0</v>
      </c>
      <c r="I28" s="0" t="n">
        <f aca="true">IF(AND($C28&lt;=4,$C28&lt;&gt;0),0,IF(AND($C28="S",$X28&gt;0),OFFSET(I28,-1,0)+1,OFFSET(I28,-1,0)))</f>
        <v>0</v>
      </c>
      <c r="J28" s="0" t="n">
        <f aca="true">IF(OR($C28="S",$C28=0),0,MATCH(0,OFFSET($D28,1,$C28,ROW($C$59)-ROW($C28)),0))</f>
        <v>0</v>
      </c>
      <c r="K28" s="0" t="n">
        <f aca="true">IF(OR($C28="S",$C28=0),0,MATCH(OFFSET($D28,0,$C28)+IF($C28&lt;&gt;1,1,COUNTIF(QCI!$A$13:$A$24,ORÇAMENTO!E28)),OFFSET($D28,1,$C28,ROW($C$59)-ROW($C28)),0))</f>
        <v>0</v>
      </c>
      <c r="L28" s="185" t="str">
        <f aca="false">IF(OR($X28&gt;0,$C28=1,$C28=2,$C28=3,$C28=4),"F","")</f>
        <v/>
      </c>
      <c r="M28" s="186" t="s">
        <v>251</v>
      </c>
      <c r="N28" s="187" t="str">
        <f aca="false">CHOOSE(1+LOG(1+2*(C28=1)+4*(C28=2)+8*(C28=3)+16*(C28=4)+32*(C28="S"),2),"","Meta","Nível 2","Nível 3","Nível 4","Serviço")</f>
        <v>Serviço</v>
      </c>
      <c r="O28" s="188" t="str">
        <f aca="false">IF(OR($C28=0,$L28=""),"-",CONCATENATE(E28&amp;".",IF(AND($A$5&gt;=2,$C28&gt;=2),F28&amp;".",""),IF(AND($A$5&gt;=3,$C28&gt;=3),G28&amp;".",""),IF(AND($A$5&gt;=4,$C28&gt;=4),H28&amp;".",""),IF($C28="S",I28&amp;".","")))</f>
        <v>-</v>
      </c>
      <c r="P28" s="189" t="s">
        <v>301</v>
      </c>
      <c r="Q28" s="190" t="s">
        <v>313</v>
      </c>
      <c r="R28" s="191" t="str">
        <f aca="true">IF($C28="S",REFERENCIA.Descricao,"(digite a descrição aqui)")</f>
        <v>(abra o arquivo 'Referência 02-Thursday.xlsm)</v>
      </c>
      <c r="S28" s="192" t="str">
        <f aca="true">REFERENCIA.Unidade</f>
        <v>-</v>
      </c>
      <c r="T28" s="193" t="n">
        <f aca="true">OFFSET(CÁLCULO!H$15,ROW($T28)-ROW(T$15),0)</f>
        <v>3</v>
      </c>
      <c r="U28" s="194" t="n">
        <f aca="false">AG28</f>
        <v>0</v>
      </c>
      <c r="V28" s="195" t="s">
        <v>208</v>
      </c>
      <c r="W28" s="193" t="n">
        <f aca="false">IF($C28="S",ROUND(IF(TIPOORCAMENTO="Proposto",ORÇAMENTO.CustoUnitario*(1+$AH28),ORÇAMENTO.PrecoUnitarioLicitado),15-13*$AF$10),0)</f>
        <v>0</v>
      </c>
      <c r="X28" s="196" t="n">
        <f aca="true">IF($C28="S",IF(Import.TipoArredondamento&lt;&gt;"TransfereGOV",VTOTAL1,SUM(OFFSET(CÁLCULO!$AA$15,ROW($X28)-ROW($X$15),1):OFFSET(CÁLCULO!$AL$15,ROW($X28)-ROW($X$15),-1))),IF($C28=0,0,ROUND(SomaAgrup,15-13*$AF$11)))</f>
        <v>0</v>
      </c>
      <c r="Y28" s="197" t="s">
        <v>298</v>
      </c>
      <c r="Z28" s="0" t="str">
        <f aca="false">IF(AND($C28="S",$X28&gt;0),IF(ISBLANK($Y28),"RA",LEFT($Y28,2)),"")</f>
        <v/>
      </c>
      <c r="AA28" s="198" t="n">
        <f aca="true">IF($C28="S",IF($Z28="CP",$X28,IF($Z28="RA",(($X28)*QCI!$AA$3),0)),SomaAgrup)</f>
        <v>0</v>
      </c>
      <c r="AB28" s="199" t="n">
        <f aca="true">IF($C28="S",IF($Z28="OU",ROUND($X28,2),0),SomaAgrup)</f>
        <v>0</v>
      </c>
      <c r="AC28" s="200" t="str">
        <f aca="false">IF($N28="","",IF(ORÇAMENTO.Descricao="","DESCRIÇÃO",IF(AND($C28="S",ORÇAMENTO.Unidade=""),"UNIDADE",IF($X28&lt;0,"VALOR NEGATIVO",IF(OR(AND(TIPOORCAMENTO="Proposto",$AG28&lt;&gt;"",$AG28&gt;0,ORÇAMENTO.CustoUnitario&gt;$AG28),AND(TIPOORCAMENTO="LICITADO",ORÇAMENTO.PrecoUnitarioLicitado&gt;$AN28)),"ACIMA REF.","")))))</f>
        <v/>
      </c>
      <c r="AD28" s="0" t="str">
        <f aca="true">IF(C28&lt;=CRONO.NivelExibicao,MAX($AD$15:OFFSET(AD28,-1,0))+IF($C28&lt;&gt;1,1,MAX(1,COUNTIF(QCI!$A$13:$A$24,OFFSET($E28,-1,0)))),"")</f>
        <v/>
      </c>
      <c r="AE28" s="34" t="str">
        <f aca="false">IF(AND($C28="S",ORÇAMENTO.CodBarra&lt;&gt;""),IF(ORÇAMENTO.Fonte="",ORÇAMENTO.CodBarra,CONCATENATE(ORÇAMENTO.Fonte," ",ORÇAMENTO.CodBarra)))</f>
        <v>SICOR-MG ED-50137</v>
      </c>
      <c r="AF28" s="42" t="str">
        <f aca="true">IF(ISERROR(INDIRECT(ORÇAMENTO.BancoRef)),"(abra o arquivo 'Referência "&amp;Excel_BuiltIn_Database&amp;".xlsm)",IF(OR($C28&lt;&gt;"S",ORÇAMENTO.CodBarra=""),"(Sem Código)",IF(ISERROR(MATCH($AE28,INDIRECT(ORÇAMENTO.BancoRef),0)),"(Código não identificado nas referências)",MATCH($AE28,INDIRECT(ORÇAMENTO.BancoRef),0))))</f>
        <v>(abra o arquivo 'Referência 02-Thursday.xlsm)</v>
      </c>
      <c r="AG28" s="202" t="n">
        <f aca="true">ROUND(IF(DESONERACAO="sim",REFERENCIA.Desonerado,REFERENCIA.NaoDesonerado),2)</f>
        <v>0</v>
      </c>
      <c r="AH28" s="203" t="n">
        <f aca="false">ROUND(IF(ISNUMBER(ORÇAMENTO.OpcaoBDI),ORÇAMENTO.OpcaoBDI,IF(LEFT(ORÇAMENTO.OpcaoBDI,3)="BDI",HLOOKUP(ORÇAMENTO.OpcaoBDI,$F$4:$H$5,2,FALSE()),0)),15-11*$AF$9)</f>
        <v>0.22</v>
      </c>
      <c r="AJ28" s="204" t="n">
        <v>3</v>
      </c>
      <c r="AL28" s="205"/>
      <c r="AM28" s="206" t="n">
        <f aca="false">$X28</f>
        <v>0</v>
      </c>
      <c r="AN28" s="207" t="n">
        <f aca="false">ROUND(ORÇAMENTO.CustoUnitario*(1+$AH28),2)</f>
        <v>0</v>
      </c>
    </row>
    <row r="29" customFormat="false" ht="12.75" hidden="false" customHeight="false" outlineLevel="0" collapsed="false">
      <c r="A29" s="0" t="n">
        <f aca="false">CHOOSE(1+LOG(1+2*(ORÇAMENTO.Nivel="Meta")+4*(ORÇAMENTO.Nivel="Nível 2")+8*(ORÇAMENTO.Nivel="Nível 3")+16*(ORÇAMENTO.Nivel="Nível 4")+32*(ORÇAMENTO.Nivel="Serviço"),2),0,1,2,3,4,"S")</f>
        <v>2</v>
      </c>
      <c r="B29" s="0" t="n">
        <f aca="true">IF(OR(C29="s",C29=0),OFFSET(B29,-1,0),C29)</f>
        <v>2</v>
      </c>
      <c r="C29" s="0" t="n">
        <f aca="true">IF(OFFSET(C29,-1,0)="L",1,IF(OFFSET(C29,-1,0)=1,2,IF(OR(A29="s",A29=0),"S",IF(AND(OFFSET(C29,-1,0)=2,A29=4),3,IF(AND(OR(OFFSET(C29,-1,0)="s",OFFSET(C29,-1,0)=0),A29&lt;&gt;"s",A29&gt;OFFSET(B29,-1,0)),OFFSET(B29,-1,0),A29)))))</f>
        <v>2</v>
      </c>
      <c r="D29" s="0" t="n">
        <f aca="false">IF(OR(C29="S",C29=0),0,IF(ISERROR(K29),J29,SMALL(J29:K29,1)))</f>
        <v>2</v>
      </c>
      <c r="E29" s="0" t="n">
        <f aca="true">IF($C29=1,OFFSET(E29,-1,0)+MAX(1,COUNTIF(QCI!$A$13:$A$24,OFFSET(ORÇAMENTO!E29,-1,0))),OFFSET(E29,-1,0))</f>
        <v>1</v>
      </c>
      <c r="F29" s="0" t="n">
        <f aca="true">IF($C29=1,0,IF($C29=2,OFFSET(F29,-1,0)+1,OFFSET(F29,-1,0)))</f>
        <v>4</v>
      </c>
      <c r="G29" s="0" t="n">
        <f aca="true">IF(AND($C29&lt;=2,$C29&lt;&gt;0),0,IF($C29=3,OFFSET(G29,-1,0)+1,OFFSET(G29,-1,0)))</f>
        <v>0</v>
      </c>
      <c r="H29" s="0" t="n">
        <f aca="true">IF(AND($C29&lt;=3,$C29&lt;&gt;0),0,IF($C29=4,OFFSET(H29,-1,0)+1,OFFSET(H29,-1,0)))</f>
        <v>0</v>
      </c>
      <c r="I29" s="0" t="n">
        <f aca="true">IF(AND($C29&lt;=4,$C29&lt;&gt;0),0,IF(AND($C29="S",$X29&gt;0),OFFSET(I29,-1,0)+1,OFFSET(I29,-1,0)))</f>
        <v>0</v>
      </c>
      <c r="J29" s="0" t="n">
        <f aca="true">IF(OR($C29="S",$C29=0),0,MATCH(0,OFFSET($D29,1,$C29,ROW($C$59)-ROW($C29)),0))</f>
        <v>30</v>
      </c>
      <c r="K29" s="0" t="n">
        <f aca="true">IF(OR($C29="S",$C29=0),0,MATCH(OFFSET($D29,0,$C29)+IF($C29&lt;&gt;1,1,COUNTIF(QCI!$A$13:$A$24,ORÇAMENTO!E29)),OFFSET($D29,1,$C29,ROW($C$59)-ROW($C29)),0))</f>
        <v>2</v>
      </c>
      <c r="L29" s="185" t="str">
        <f aca="false">IF(OR($X29&gt;0,$C29=1,$C29=2,$C29=3,$C29=4),"F","")</f>
        <v>F</v>
      </c>
      <c r="M29" s="186" t="s">
        <v>248</v>
      </c>
      <c r="N29" s="187" t="str">
        <f aca="false">CHOOSE(1+LOG(1+2*(C29=1)+4*(C29=2)+8*(C29=3)+16*(C29=4)+32*(C29="S"),2),"","Meta","Nível 2","Nível 3","Nível 4","Serviço")</f>
        <v>Nível 2</v>
      </c>
      <c r="O29" s="188" t="str">
        <f aca="false">IF(OR($C29=0,$L29=""),"-",CONCATENATE(E29&amp;".",IF(AND($A$5&gt;=2,$C29&gt;=2),F29&amp;".",""),IF(AND($A$5&gt;=3,$C29&gt;=3),G29&amp;".",""),IF(AND($A$5&gt;=4,$C29&gt;=4),H29&amp;".",""),IF($C29="S",I29&amp;".","")))</f>
        <v>1.4.</v>
      </c>
      <c r="P29" s="189" t="s">
        <v>297</v>
      </c>
      <c r="Q29" s="190"/>
      <c r="R29" s="222" t="s">
        <v>314</v>
      </c>
      <c r="S29" s="192" t="str">
        <f aca="true">REFERENCIA.Unidade</f>
        <v>-</v>
      </c>
      <c r="T29" s="193" t="n">
        <f aca="true">OFFSET(CÁLCULO!H$15,ROW($T29)-ROW(T$15),0)</f>
        <v>0</v>
      </c>
      <c r="U29" s="194" t="n">
        <f aca="false">AG29</f>
        <v>0</v>
      </c>
      <c r="V29" s="195" t="s">
        <v>208</v>
      </c>
      <c r="W29" s="193" t="n">
        <f aca="false">IF($C29="S",ROUND(IF(TIPOORCAMENTO="Proposto",ORÇAMENTO.CustoUnitario*(1+$AH29),ORÇAMENTO.PrecoUnitarioLicitado),15-13*$AF$10),0)</f>
        <v>0</v>
      </c>
      <c r="X29" s="196" t="n">
        <f aca="true">IF($C29="S",IF(Import.TipoArredondamento&lt;&gt;"TransfereGOV",VTOTAL1,SUM(OFFSET(CÁLCULO!$AA$15,ROW($X29)-ROW($X$15),1):OFFSET(CÁLCULO!$AL$15,ROW($X29)-ROW($X$15),-1))),IF($C29=0,0,ROUND(SomaAgrup,15-13*$AF$11)))</f>
        <v>0</v>
      </c>
      <c r="Y29" s="197" t="s">
        <v>298</v>
      </c>
      <c r="Z29" s="0" t="str">
        <f aca="false">IF(AND($C29="S",$X29&gt;0),IF(ISBLANK($Y29),"RA",LEFT($Y29,2)),"")</f>
        <v/>
      </c>
      <c r="AA29" s="198" t="n">
        <f aca="true">IF($C29="S",IF($Z29="CP",$X29,IF($Z29="RA",(($X29)*QCI!$AA$3),0)),SomaAgrup)</f>
        <v>0</v>
      </c>
      <c r="AB29" s="199" t="n">
        <f aca="true">IF($C29="S",IF($Z29="OU",ROUND($X29,2),0),SomaAgrup)</f>
        <v>0</v>
      </c>
      <c r="AC29" s="200" t="str">
        <f aca="false">IF($N29="","",IF(ORÇAMENTO.Descricao="","DESCRIÇÃO",IF(AND($C29="S",ORÇAMENTO.Unidade=""),"UNIDADE",IF($X29&lt;0,"VALOR NEGATIVO",IF(OR(AND(TIPOORCAMENTO="Proposto",$AG29&lt;&gt;"",$AG29&gt;0,ORÇAMENTO.CustoUnitario&gt;$AG29),AND(TIPOORCAMENTO="LICITADO",ORÇAMENTO.PrecoUnitarioLicitado&gt;$AN29)),"ACIMA REF.","")))))</f>
        <v/>
      </c>
      <c r="AD29" s="0" t="n">
        <f aca="true">IF(C29&lt;=CRONO.NivelExibicao,MAX($AD$15:OFFSET(AD29,-1,0))+IF($C29&lt;&gt;1,1,MAX(1,COUNTIF(QCI!$A$13:$A$24,OFFSET($E29,-1,0)))),"")</f>
        <v>5</v>
      </c>
      <c r="AE29" s="201" t="b">
        <f aca="false">IF(AND($C29="S",ORÇAMENTO.CodBarra&lt;&gt;""),IF(ORÇAMENTO.Fonte="",ORÇAMENTO.CodBarra,CONCATENATE(ORÇAMENTO.Fonte," ",ORÇAMENTO.CodBarra)))</f>
        <v>0</v>
      </c>
      <c r="AF29" s="42" t="str">
        <f aca="true">IF(ISERROR(INDIRECT(ORÇAMENTO.BancoRef)),"(abra o arquivo 'Referência "&amp;Excel_BuiltIn_Database&amp;".xlsm)",IF(OR($C29&lt;&gt;"S",ORÇAMENTO.CodBarra=""),"(Sem Código)",IF(ISERROR(MATCH($AE29,INDIRECT(ORÇAMENTO.BancoRef),0)),"(Código não identificado nas referências)",MATCH($AE29,INDIRECT(ORÇAMENTO.BancoRef),0))))</f>
        <v>(abra o arquivo 'Referência 02-Thursday.xlsm)</v>
      </c>
      <c r="AG29" s="202" t="n">
        <f aca="true">ROUND(IF(DESONERACAO="sim",REFERENCIA.Desonerado,REFERENCIA.NaoDesonerado),2)</f>
        <v>0</v>
      </c>
      <c r="AH29" s="203" t="n">
        <f aca="false">ROUND(IF(ISNUMBER(ORÇAMENTO.OpcaoBDI),ORÇAMENTO.OpcaoBDI,IF(LEFT(ORÇAMENTO.OpcaoBDI,3)="BDI",HLOOKUP(ORÇAMENTO.OpcaoBDI,$F$4:$H$5,2,FALSE()),0)),15-11*$AF$9)</f>
        <v>0.22</v>
      </c>
      <c r="AJ29" s="204"/>
      <c r="AL29" s="205"/>
      <c r="AM29" s="206" t="n">
        <f aca="false">$X29</f>
        <v>0</v>
      </c>
      <c r="AN29" s="207" t="n">
        <f aca="false">ROUND(ORÇAMENTO.CustoUnitario*(1+$AH29),2)</f>
        <v>0</v>
      </c>
    </row>
    <row r="30" customFormat="false" ht="12.75" hidden="false" customHeight="false" outlineLevel="0" collapsed="false">
      <c r="A30" s="0" t="str">
        <f aca="false">CHOOSE(1+LOG(1+2*(ORÇAMENTO.Nivel="Meta")+4*(ORÇAMENTO.Nivel="Nível 2")+8*(ORÇAMENTO.Nivel="Nível 3")+16*(ORÇAMENTO.Nivel="Nível 4")+32*(ORÇAMENTO.Nivel="Serviço"),2),0,1,2,3,4,"S")</f>
        <v>S</v>
      </c>
      <c r="B30" s="0" t="n">
        <f aca="true">IF(OR(C30="s",C30=0),OFFSET(B30,-1,0),C30)</f>
        <v>2</v>
      </c>
      <c r="C30" s="0" t="str">
        <f aca="true">IF(OFFSET(C30,-1,0)="L",1,IF(OFFSET(C30,-1,0)=1,2,IF(OR(A30="s",A30=0),"S",IF(AND(OFFSET(C30,-1,0)=2,A30=4),3,IF(AND(OR(OFFSET(C30,-1,0)="s",OFFSET(C30,-1,0)=0),A30&lt;&gt;"s",A30&gt;OFFSET(B30,-1,0)),OFFSET(B30,-1,0),A30)))))</f>
        <v>S</v>
      </c>
      <c r="D30" s="0" t="n">
        <f aca="false">IF(OR(C30="S",C30=0),0,IF(ISERROR(K30),J30,SMALL(J30:K30,1)))</f>
        <v>0</v>
      </c>
      <c r="E30" s="0" t="n">
        <f aca="true">IF($C30=1,OFFSET(E30,-1,0)+MAX(1,COUNTIF(QCI!$A$13:$A$24,OFFSET(ORÇAMENTO!E30,-1,0))),OFFSET(E30,-1,0))</f>
        <v>1</v>
      </c>
      <c r="F30" s="0" t="n">
        <f aca="true">IF($C30=1,0,IF($C30=2,OFFSET(F30,-1,0)+1,OFFSET(F30,-1,0)))</f>
        <v>4</v>
      </c>
      <c r="G30" s="0" t="n">
        <f aca="true">IF(AND($C30&lt;=2,$C30&lt;&gt;0),0,IF($C30=3,OFFSET(G30,-1,0)+1,OFFSET(G30,-1,0)))</f>
        <v>0</v>
      </c>
      <c r="H30" s="0" t="n">
        <f aca="true">IF(AND($C30&lt;=3,$C30&lt;&gt;0),0,IF($C30=4,OFFSET(H30,-1,0)+1,OFFSET(H30,-1,0)))</f>
        <v>0</v>
      </c>
      <c r="I30" s="0" t="n">
        <f aca="true">IF(AND($C30&lt;=4,$C30&lt;&gt;0),0,IF(AND($C30="S",$X30&gt;0),OFFSET(I30,-1,0)+1,OFFSET(I30,-1,0)))</f>
        <v>0</v>
      </c>
      <c r="J30" s="0" t="n">
        <f aca="true">IF(OR($C30="S",$C30=0),0,MATCH(0,OFFSET($D30,1,$C30,ROW($C$59)-ROW($C30)),0))</f>
        <v>0</v>
      </c>
      <c r="K30" s="0" t="n">
        <f aca="true">IF(OR($C30="S",$C30=0),0,MATCH(OFFSET($D30,0,$C30)+IF($C30&lt;&gt;1,1,COUNTIF(QCI!$A$13:$A$24,ORÇAMENTO!E30)),OFFSET($D30,1,$C30,ROW($C$59)-ROW($C30)),0))</f>
        <v>0</v>
      </c>
      <c r="L30" s="185" t="str">
        <f aca="false">IF(OR($X30&gt;0,$C30=1,$C30=2,$C30=3,$C30=4),"F","")</f>
        <v/>
      </c>
      <c r="M30" s="186" t="s">
        <v>251</v>
      </c>
      <c r="N30" s="187" t="str">
        <f aca="false">CHOOSE(1+LOG(1+2*(C30=1)+4*(C30=2)+8*(C30=3)+16*(C30=4)+32*(C30="S"),2),"","Meta","Nível 2","Nível 3","Nível 4","Serviço")</f>
        <v>Serviço</v>
      </c>
      <c r="O30" s="188" t="str">
        <f aca="false">IF(OR($C30=0,$L30=""),"-",CONCATENATE(E30&amp;".",IF(AND($A$5&gt;=2,$C30&gt;=2),F30&amp;".",""),IF(AND($A$5&gt;=3,$C30&gt;=3),G30&amp;".",""),IF(AND($A$5&gt;=4,$C30&gt;=4),H30&amp;".",""),IF($C30="S",I30&amp;".","")))</f>
        <v>-</v>
      </c>
      <c r="P30" s="189" t="s">
        <v>304</v>
      </c>
      <c r="Q30" s="190" t="s">
        <v>315</v>
      </c>
      <c r="R30" s="222" t="str">
        <f aca="true">IF($C30="S",REFERENCIA.Descricao,"(digite a descrição aqui)")</f>
        <v>(abra o arquivo 'Referência 02-Thursday.xlsm)</v>
      </c>
      <c r="S30" s="192" t="str">
        <f aca="true">REFERENCIA.Unidade</f>
        <v>-</v>
      </c>
      <c r="T30" s="193" t="n">
        <f aca="true">OFFSET(CÁLCULO!H$15,ROW($T30)-ROW(T$15),0)</f>
        <v>2</v>
      </c>
      <c r="U30" s="194" t="n">
        <f aca="false">AG30</f>
        <v>0</v>
      </c>
      <c r="V30" s="195" t="s">
        <v>208</v>
      </c>
      <c r="W30" s="193" t="n">
        <f aca="false">IF($C30="S",ROUND(IF(TIPOORCAMENTO="Proposto",ORÇAMENTO.CustoUnitario*(1+$AH30),ORÇAMENTO.PrecoUnitarioLicitado),15-13*$AF$10),0)</f>
        <v>0</v>
      </c>
      <c r="X30" s="196" t="n">
        <f aca="true">IF($C30="S",IF(Import.TipoArredondamento&lt;&gt;"TransfereGOV",VTOTAL1,SUM(OFFSET(CÁLCULO!$AA$15,ROW($X30)-ROW($X$15),1):OFFSET(CÁLCULO!$AL$15,ROW($X30)-ROW($X$15),-1))),IF($C30=0,0,ROUND(SomaAgrup,15-13*$AF$11)))</f>
        <v>0</v>
      </c>
      <c r="Y30" s="197" t="s">
        <v>298</v>
      </c>
      <c r="Z30" s="0" t="str">
        <f aca="false">IF(AND($C30="S",$X30&gt;0),IF(ISBLANK($Y30),"RA",LEFT($Y30,2)),"")</f>
        <v/>
      </c>
      <c r="AA30" s="198" t="n">
        <f aca="true">IF($C30="S",IF($Z30="CP",$X30,IF($Z30="RA",(($X30)*QCI!$AA$3),0)),SomaAgrup)</f>
        <v>0</v>
      </c>
      <c r="AB30" s="199" t="n">
        <f aca="true">IF($C30="S",IF($Z30="OU",ROUND($X30,2),0),SomaAgrup)</f>
        <v>0</v>
      </c>
      <c r="AC30" s="200" t="str">
        <f aca="false">IF($N30="","",IF(ORÇAMENTO.Descricao="","DESCRIÇÃO",IF(AND($C30="S",ORÇAMENTO.Unidade=""),"UNIDADE",IF($X30&lt;0,"VALOR NEGATIVO",IF(OR(AND(TIPOORCAMENTO="Proposto",$AG30&lt;&gt;"",$AG30&gt;0,ORÇAMENTO.CustoUnitario&gt;$AG30),AND(TIPOORCAMENTO="LICITADO",ORÇAMENTO.PrecoUnitarioLicitado&gt;$AN30)),"ACIMA REF.","")))))</f>
        <v/>
      </c>
      <c r="AD30" s="0" t="str">
        <f aca="true">IF(C30&lt;=CRONO.NivelExibicao,MAX($AD$15:OFFSET(AD30,-1,0))+IF($C30&lt;&gt;1,1,MAX(1,COUNTIF(QCI!$A$13:$A$24,OFFSET($E30,-1,0)))),"")</f>
        <v/>
      </c>
      <c r="AE30" s="34" t="str">
        <f aca="false">IF(AND($C30="S",ORÇAMENTO.CodBarra&lt;&gt;""),IF(ORÇAMENTO.Fonte="",ORÇAMENTO.CodBarra,CONCATENATE(ORÇAMENTO.Fonte," ",ORÇAMENTO.CodBarra)))</f>
        <v>Composição CPU-028</v>
      </c>
      <c r="AF30" s="42" t="str">
        <f aca="true">IF(ISERROR(INDIRECT(ORÇAMENTO.BancoRef)),"(abra o arquivo 'Referência "&amp;Excel_BuiltIn_Database&amp;".xlsm)",IF(OR($C30&lt;&gt;"S",ORÇAMENTO.CodBarra=""),"(Sem Código)",IF(ISERROR(MATCH($AE30,INDIRECT(ORÇAMENTO.BancoRef),0)),"(Código não identificado nas referências)",MATCH($AE30,INDIRECT(ORÇAMENTO.BancoRef),0))))</f>
        <v>(abra o arquivo 'Referência 02-Thursday.xlsm)</v>
      </c>
      <c r="AG30" s="202" t="n">
        <f aca="true">ROUND(IF(DESONERACAO="sim",REFERENCIA.Desonerado,REFERENCIA.NaoDesonerado),2)</f>
        <v>0</v>
      </c>
      <c r="AH30" s="203" t="n">
        <f aca="false">ROUND(IF(ISNUMBER(ORÇAMENTO.OpcaoBDI),ORÇAMENTO.OpcaoBDI,IF(LEFT(ORÇAMENTO.OpcaoBDI,3)="BDI",HLOOKUP(ORÇAMENTO.OpcaoBDI,$F$4:$H$5,2,FALSE()),0)),15-11*$AF$9)</f>
        <v>0.22</v>
      </c>
      <c r="AJ30" s="204" t="n">
        <v>2</v>
      </c>
      <c r="AL30" s="205"/>
      <c r="AM30" s="206" t="n">
        <f aca="false">$X30</f>
        <v>0</v>
      </c>
      <c r="AN30" s="207" t="n">
        <f aca="false">ROUND(ORÇAMENTO.CustoUnitario*(1+$AH30),2)</f>
        <v>0</v>
      </c>
    </row>
    <row r="31" customFormat="false" ht="12.75" hidden="false" customHeight="false" outlineLevel="0" collapsed="false">
      <c r="A31" s="0" t="n">
        <f aca="false">CHOOSE(1+LOG(1+2*(ORÇAMENTO.Nivel="Meta")+4*(ORÇAMENTO.Nivel="Nível 2")+8*(ORÇAMENTO.Nivel="Nível 3")+16*(ORÇAMENTO.Nivel="Nível 4")+32*(ORÇAMENTO.Nivel="Serviço"),2),0,1,2,3,4,"S")</f>
        <v>2</v>
      </c>
      <c r="B31" s="0" t="n">
        <f aca="true">IF(OR(C31="s",C31=0),OFFSET(B31,-1,0),C31)</f>
        <v>2</v>
      </c>
      <c r="C31" s="0" t="n">
        <f aca="true">IF(OFFSET(C31,-1,0)="L",1,IF(OFFSET(C31,-1,0)=1,2,IF(OR(A31="s",A31=0),"S",IF(AND(OFFSET(C31,-1,0)=2,A31=4),3,IF(AND(OR(OFFSET(C31,-1,0)="s",OFFSET(C31,-1,0)=0),A31&lt;&gt;"s",A31&gt;OFFSET(B31,-1,0)),OFFSET(B31,-1,0),A31)))))</f>
        <v>2</v>
      </c>
      <c r="D31" s="0" t="n">
        <f aca="false">IF(OR(C31="S",C31=0),0,IF(ISERROR(K31),J31,SMALL(J31:K31,1)))</f>
        <v>4</v>
      </c>
      <c r="E31" s="0" t="n">
        <f aca="true">IF($C31=1,OFFSET(E31,-1,0)+MAX(1,COUNTIF(QCI!$A$13:$A$24,OFFSET(ORÇAMENTO!E31,-1,0))),OFFSET(E31,-1,0))</f>
        <v>1</v>
      </c>
      <c r="F31" s="0" t="n">
        <f aca="true">IF($C31=1,0,IF($C31=2,OFFSET(F31,-1,0)+1,OFFSET(F31,-1,0)))</f>
        <v>5</v>
      </c>
      <c r="G31" s="0" t="n">
        <f aca="true">IF(AND($C31&lt;=2,$C31&lt;&gt;0),0,IF($C31=3,OFFSET(G31,-1,0)+1,OFFSET(G31,-1,0)))</f>
        <v>0</v>
      </c>
      <c r="H31" s="0" t="n">
        <f aca="true">IF(AND($C31&lt;=3,$C31&lt;&gt;0),0,IF($C31=4,OFFSET(H31,-1,0)+1,OFFSET(H31,-1,0)))</f>
        <v>0</v>
      </c>
      <c r="I31" s="0" t="n">
        <f aca="true">IF(AND($C31&lt;=4,$C31&lt;&gt;0),0,IF(AND($C31="S",$X31&gt;0),OFFSET(I31,-1,0)+1,OFFSET(I31,-1,0)))</f>
        <v>0</v>
      </c>
      <c r="J31" s="0" t="n">
        <f aca="true">IF(OR($C31="S",$C31=0),0,MATCH(0,OFFSET($D31,1,$C31,ROW($C$59)-ROW($C31)),0))</f>
        <v>28</v>
      </c>
      <c r="K31" s="0" t="n">
        <f aca="true">IF(OR($C31="S",$C31=0),0,MATCH(OFFSET($D31,0,$C31)+IF($C31&lt;&gt;1,1,COUNTIF(QCI!$A$13:$A$24,ORÇAMENTO!E31)),OFFSET($D31,1,$C31,ROW($C$59)-ROW($C31)),0))</f>
        <v>4</v>
      </c>
      <c r="L31" s="185" t="str">
        <f aca="false">IF(OR($X31&gt;0,$C31=1,$C31=2,$C31=3,$C31=4),"F","")</f>
        <v>F</v>
      </c>
      <c r="M31" s="186" t="s">
        <v>248</v>
      </c>
      <c r="N31" s="187" t="str">
        <f aca="false">CHOOSE(1+LOG(1+2*(C31=1)+4*(C31=2)+8*(C31=3)+16*(C31=4)+32*(C31="S"),2),"","Meta","Nível 2","Nível 3","Nível 4","Serviço")</f>
        <v>Nível 2</v>
      </c>
      <c r="O31" s="188" t="str">
        <f aca="false">IF(OR($C31=0,$L31=""),"-",CONCATENATE(E31&amp;".",IF(AND($A$5&gt;=2,$C31&gt;=2),F31&amp;".",""),IF(AND($A$5&gt;=3,$C31&gt;=3),G31&amp;".",""),IF(AND($A$5&gt;=4,$C31&gt;=4),H31&amp;".",""),IF($C31="S",I31&amp;".","")))</f>
        <v>1.5.</v>
      </c>
      <c r="P31" s="189" t="s">
        <v>297</v>
      </c>
      <c r="Q31" s="190"/>
      <c r="R31" s="222" t="s">
        <v>316</v>
      </c>
      <c r="S31" s="192" t="str">
        <f aca="true">REFERENCIA.Unidade</f>
        <v>-</v>
      </c>
      <c r="T31" s="193" t="n">
        <f aca="true">OFFSET(CÁLCULO!H$15,ROW($T31)-ROW(T$15),0)</f>
        <v>0</v>
      </c>
      <c r="U31" s="194" t="n">
        <f aca="false">AG31</f>
        <v>0</v>
      </c>
      <c r="V31" s="195" t="s">
        <v>208</v>
      </c>
      <c r="W31" s="193" t="n">
        <f aca="false">IF($C31="S",ROUND(IF(TIPOORCAMENTO="Proposto",ORÇAMENTO.CustoUnitario*(1+$AH31),ORÇAMENTO.PrecoUnitarioLicitado),15-13*$AF$10),0)</f>
        <v>0</v>
      </c>
      <c r="X31" s="196" t="n">
        <f aca="true">IF($C31="S",IF(Import.TipoArredondamento&lt;&gt;"TransfereGOV",VTOTAL1,SUM(OFFSET(CÁLCULO!$AA$15,ROW($X31)-ROW($X$15),1):OFFSET(CÁLCULO!$AL$15,ROW($X31)-ROW($X$15),-1))),IF($C31=0,0,ROUND(SomaAgrup,15-13*$AF$11)))</f>
        <v>0</v>
      </c>
      <c r="Y31" s="197" t="s">
        <v>298</v>
      </c>
      <c r="Z31" s="0" t="str">
        <f aca="false">IF(AND($C31="S",$X31&gt;0),IF(ISBLANK($Y31),"RA",LEFT($Y31,2)),"")</f>
        <v/>
      </c>
      <c r="AA31" s="198" t="n">
        <f aca="true">IF($C31="S",IF($Z31="CP",$X31,IF($Z31="RA",(($X31)*QCI!$AA$3),0)),SomaAgrup)</f>
        <v>0</v>
      </c>
      <c r="AB31" s="199" t="n">
        <f aca="true">IF($C31="S",IF($Z31="OU",ROUND($X31,2),0),SomaAgrup)</f>
        <v>0</v>
      </c>
      <c r="AC31" s="200" t="str">
        <f aca="false">IF($N31="","",IF(ORÇAMENTO.Descricao="","DESCRIÇÃO",IF(AND($C31="S",ORÇAMENTO.Unidade=""),"UNIDADE",IF($X31&lt;0,"VALOR NEGATIVO",IF(OR(AND(TIPOORCAMENTO="Proposto",$AG31&lt;&gt;"",$AG31&gt;0,ORÇAMENTO.CustoUnitario&gt;$AG31),AND(TIPOORCAMENTO="LICITADO",ORÇAMENTO.PrecoUnitarioLicitado&gt;$AN31)),"ACIMA REF.","")))))</f>
        <v/>
      </c>
      <c r="AD31" s="0" t="n">
        <f aca="true">IF(C31&lt;=CRONO.NivelExibicao,MAX($AD$15:OFFSET(AD31,-1,0))+IF($C31&lt;&gt;1,1,MAX(1,COUNTIF(QCI!$A$13:$A$24,OFFSET($E31,-1,0)))),"")</f>
        <v>6</v>
      </c>
      <c r="AE31" s="201" t="b">
        <f aca="false">IF(AND($C31="S",ORÇAMENTO.CodBarra&lt;&gt;""),IF(ORÇAMENTO.Fonte="",ORÇAMENTO.CodBarra,CONCATENATE(ORÇAMENTO.Fonte," ",ORÇAMENTO.CodBarra)))</f>
        <v>0</v>
      </c>
      <c r="AF31" s="42" t="str">
        <f aca="true">IF(ISERROR(INDIRECT(ORÇAMENTO.BancoRef)),"(abra o arquivo 'Referência "&amp;Excel_BuiltIn_Database&amp;".xlsm)",IF(OR($C31&lt;&gt;"S",ORÇAMENTO.CodBarra=""),"(Sem Código)",IF(ISERROR(MATCH($AE31,INDIRECT(ORÇAMENTO.BancoRef),0)),"(Código não identificado nas referências)",MATCH($AE31,INDIRECT(ORÇAMENTO.BancoRef),0))))</f>
        <v>(abra o arquivo 'Referência 02-Thursday.xlsm)</v>
      </c>
      <c r="AG31" s="202" t="n">
        <f aca="true">ROUND(IF(DESONERACAO="sim",REFERENCIA.Desonerado,REFERENCIA.NaoDesonerado),2)</f>
        <v>0</v>
      </c>
      <c r="AH31" s="203" t="n">
        <f aca="false">ROUND(IF(ISNUMBER(ORÇAMENTO.OpcaoBDI),ORÇAMENTO.OpcaoBDI,IF(LEFT(ORÇAMENTO.OpcaoBDI,3)="BDI",HLOOKUP(ORÇAMENTO.OpcaoBDI,$F$4:$H$5,2,FALSE()),0)),15-11*$AF$9)</f>
        <v>0.22</v>
      </c>
      <c r="AJ31" s="204"/>
      <c r="AL31" s="205"/>
      <c r="AM31" s="206" t="n">
        <f aca="false">$X31</f>
        <v>0</v>
      </c>
      <c r="AN31" s="207" t="n">
        <f aca="false">ROUND(ORÇAMENTO.CustoUnitario*(1+$AH31),2)</f>
        <v>0</v>
      </c>
    </row>
    <row r="32" customFormat="false" ht="12.75" hidden="false" customHeight="false" outlineLevel="0" collapsed="false">
      <c r="A32" s="0" t="str">
        <f aca="false">CHOOSE(1+LOG(1+2*(ORÇAMENTO.Nivel="Meta")+4*(ORÇAMENTO.Nivel="Nível 2")+8*(ORÇAMENTO.Nivel="Nível 3")+16*(ORÇAMENTO.Nivel="Nível 4")+32*(ORÇAMENTO.Nivel="Serviço"),2),0,1,2,3,4,"S")</f>
        <v>S</v>
      </c>
      <c r="B32" s="0" t="n">
        <f aca="true">IF(OR(C32="s",C32=0),OFFSET(B32,-1,0),C32)</f>
        <v>2</v>
      </c>
      <c r="C32" s="0" t="str">
        <f aca="true">IF(OFFSET(C32,-1,0)="L",1,IF(OFFSET(C32,-1,0)=1,2,IF(OR(A32="s",A32=0),"S",IF(AND(OFFSET(C32,-1,0)=2,A32=4),3,IF(AND(OR(OFFSET(C32,-1,0)="s",OFFSET(C32,-1,0)=0),A32&lt;&gt;"s",A32&gt;OFFSET(B32,-1,0)),OFFSET(B32,-1,0),A32)))))</f>
        <v>S</v>
      </c>
      <c r="D32" s="0" t="n">
        <f aca="false">IF(OR(C32="S",C32=0),0,IF(ISERROR(K32),J32,SMALL(J32:K32,1)))</f>
        <v>0</v>
      </c>
      <c r="E32" s="0" t="n">
        <f aca="true">IF($C32=1,OFFSET(E32,-1,0)+MAX(1,COUNTIF(QCI!$A$13:$A$24,OFFSET(ORÇAMENTO!E32,-1,0))),OFFSET(E32,-1,0))</f>
        <v>1</v>
      </c>
      <c r="F32" s="0" t="n">
        <f aca="true">IF($C32=1,0,IF($C32=2,OFFSET(F32,-1,0)+1,OFFSET(F32,-1,0)))</f>
        <v>5</v>
      </c>
      <c r="G32" s="0" t="n">
        <f aca="true">IF(AND($C32&lt;=2,$C32&lt;&gt;0),0,IF($C32=3,OFFSET(G32,-1,0)+1,OFFSET(G32,-1,0)))</f>
        <v>0</v>
      </c>
      <c r="H32" s="0" t="n">
        <f aca="true">IF(AND($C32&lt;=3,$C32&lt;&gt;0),0,IF($C32=4,OFFSET(H32,-1,0)+1,OFFSET(H32,-1,0)))</f>
        <v>0</v>
      </c>
      <c r="I32" s="0" t="n">
        <f aca="true">IF(AND($C32&lt;=4,$C32&lt;&gt;0),0,IF(AND($C32="S",$X32&gt;0),OFFSET(I32,-1,0)+1,OFFSET(I32,-1,0)))</f>
        <v>0</v>
      </c>
      <c r="J32" s="0" t="n">
        <f aca="true">IF(OR($C32="S",$C32=0),0,MATCH(0,OFFSET($D32,1,$C32,ROW($C$59)-ROW($C32)),0))</f>
        <v>0</v>
      </c>
      <c r="K32" s="0" t="n">
        <f aca="true">IF(OR($C32="S",$C32=0),0,MATCH(OFFSET($D32,0,$C32)+IF($C32&lt;&gt;1,1,COUNTIF(QCI!$A$13:$A$24,ORÇAMENTO!E32)),OFFSET($D32,1,$C32,ROW($C$59)-ROW($C32)),0))</f>
        <v>0</v>
      </c>
      <c r="L32" s="185" t="str">
        <f aca="false">IF(OR($X32&gt;0,$C32=1,$C32=2,$C32=3,$C32=4),"F","")</f>
        <v/>
      </c>
      <c r="M32" s="186" t="s">
        <v>251</v>
      </c>
      <c r="N32" s="187" t="str">
        <f aca="false">CHOOSE(1+LOG(1+2*(C32=1)+4*(C32=2)+8*(C32=3)+16*(C32=4)+32*(C32="S"),2),"","Meta","Nível 2","Nível 3","Nível 4","Serviço")</f>
        <v>Serviço</v>
      </c>
      <c r="O32" s="188" t="str">
        <f aca="false">IF(OR($C32=0,$L32=""),"-",CONCATENATE(E32&amp;".",IF(AND($A$5&gt;=2,$C32&gt;=2),F32&amp;".",""),IF(AND($A$5&gt;=3,$C32&gt;=3),G32&amp;".",""),IF(AND($A$5&gt;=4,$C32&gt;=4),H32&amp;".",""),IF($C32="S",I32&amp;".","")))</f>
        <v>-</v>
      </c>
      <c r="P32" s="189" t="s">
        <v>317</v>
      </c>
      <c r="Q32" s="190" t="s">
        <v>318</v>
      </c>
      <c r="R32" s="191" t="str">
        <f aca="true">IF($C32="S",REFERENCIA.Descricao,"(digite a descrição aqui)")</f>
        <v>(abra o arquivo 'Referência 02-Thursday.xlsm)</v>
      </c>
      <c r="S32" s="192" t="str">
        <f aca="true">REFERENCIA.Unidade</f>
        <v>-</v>
      </c>
      <c r="T32" s="193" t="n">
        <f aca="true">OFFSET(CÁLCULO!H$15,ROW($T32)-ROW(T$15),0)</f>
        <v>5860.76</v>
      </c>
      <c r="U32" s="194" t="n">
        <f aca="false">AG32</f>
        <v>0</v>
      </c>
      <c r="V32" s="195" t="s">
        <v>208</v>
      </c>
      <c r="W32" s="193" t="n">
        <f aca="false">IF($C32="S",ROUND(IF(TIPOORCAMENTO="Proposto",ORÇAMENTO.CustoUnitario*(1+$AH32),ORÇAMENTO.PrecoUnitarioLicitado),15-13*$AF$10),0)</f>
        <v>0</v>
      </c>
      <c r="X32" s="196" t="n">
        <f aca="true">IF($C32="S",IF(Import.TipoArredondamento&lt;&gt;"TransfereGOV",VTOTAL1,SUM(OFFSET(CÁLCULO!$AA$15,ROW($X32)-ROW($X$15),1):OFFSET(CÁLCULO!$AL$15,ROW($X32)-ROW($X$15),-1))),IF($C32=0,0,ROUND(SomaAgrup,15-13*$AF$11)))</f>
        <v>0</v>
      </c>
      <c r="Y32" s="197" t="s">
        <v>298</v>
      </c>
      <c r="Z32" s="0" t="str">
        <f aca="false">IF(AND($C32="S",$X32&gt;0),IF(ISBLANK($Y32),"RA",LEFT($Y32,2)),"")</f>
        <v/>
      </c>
      <c r="AA32" s="198" t="n">
        <f aca="true">IF($C32="S",IF($Z32="CP",$X32,IF($Z32="RA",(($X32)*QCI!$AA$3),0)),SomaAgrup)</f>
        <v>0</v>
      </c>
      <c r="AB32" s="199" t="n">
        <f aca="true">IF($C32="S",IF($Z32="OU",ROUND($X32,2),0),SomaAgrup)</f>
        <v>0</v>
      </c>
      <c r="AC32" s="200" t="str">
        <f aca="false">IF($N32="","",IF(ORÇAMENTO.Descricao="","DESCRIÇÃO",IF(AND($C32="S",ORÇAMENTO.Unidade=""),"UNIDADE",IF($X32&lt;0,"VALOR NEGATIVO",IF(OR(AND(TIPOORCAMENTO="Proposto",$AG32&lt;&gt;"",$AG32&gt;0,ORÇAMENTO.CustoUnitario&gt;$AG32),AND(TIPOORCAMENTO="LICITADO",ORÇAMENTO.PrecoUnitarioLicitado&gt;$AN32)),"ACIMA REF.","")))))</f>
        <v/>
      </c>
      <c r="AD32" s="0" t="str">
        <f aca="true">IF(C32&lt;=CRONO.NivelExibicao,MAX($AD$15:OFFSET(AD32,-1,0))+IF($C32&lt;&gt;1,1,MAX(1,COUNTIF(QCI!$A$13:$A$24,OFFSET($E32,-1,0)))),"")</f>
        <v/>
      </c>
      <c r="AE32" s="34" t="str">
        <f aca="false">IF(AND($C32="S",ORÇAMENTO.CodBarra&lt;&gt;""),IF(ORÇAMENTO.Fonte="",ORÇAMENTO.CodBarra,CONCATENATE(ORÇAMENTO.Fonte," ",ORÇAMENTO.CodBarra)))</f>
        <v>SICRO 5502110</v>
      </c>
      <c r="AF32" s="42" t="str">
        <f aca="true">IF(ISERROR(INDIRECT(ORÇAMENTO.BancoRef)),"(abra o arquivo 'Referência "&amp;Excel_BuiltIn_Database&amp;".xlsm)",IF(OR($C32&lt;&gt;"S",ORÇAMENTO.CodBarra=""),"(Sem Código)",IF(ISERROR(MATCH($AE32,INDIRECT(ORÇAMENTO.BancoRef),0)),"(Código não identificado nas referências)",MATCH($AE32,INDIRECT(ORÇAMENTO.BancoRef),0))))</f>
        <v>(abra o arquivo 'Referência 02-Thursday.xlsm)</v>
      </c>
      <c r="AG32" s="202" t="n">
        <f aca="true">ROUND(IF(DESONERACAO="sim",REFERENCIA.Desonerado,REFERENCIA.NaoDesonerado),2)</f>
        <v>0</v>
      </c>
      <c r="AH32" s="203" t="n">
        <f aca="false">ROUND(IF(ISNUMBER(ORÇAMENTO.OpcaoBDI),ORÇAMENTO.OpcaoBDI,IF(LEFT(ORÇAMENTO.OpcaoBDI,3)="BDI",HLOOKUP(ORÇAMENTO.OpcaoBDI,$F$4:$H$5,2,FALSE()),0)),15-11*$AF$9)</f>
        <v>0.22</v>
      </c>
      <c r="AJ32" s="204" t="n">
        <v>5860.76</v>
      </c>
      <c r="AL32" s="205"/>
      <c r="AM32" s="206" t="n">
        <f aca="false">$X32</f>
        <v>0</v>
      </c>
      <c r="AN32" s="207" t="n">
        <f aca="false">ROUND(ORÇAMENTO.CustoUnitario*(1+$AH32),2)</f>
        <v>0</v>
      </c>
    </row>
    <row r="33" customFormat="false" ht="12.75" hidden="false" customHeight="false" outlineLevel="0" collapsed="false">
      <c r="A33" s="0" t="str">
        <f aca="false">CHOOSE(1+LOG(1+2*(ORÇAMENTO.Nivel="Meta")+4*(ORÇAMENTO.Nivel="Nível 2")+8*(ORÇAMENTO.Nivel="Nível 3")+16*(ORÇAMENTO.Nivel="Nível 4")+32*(ORÇAMENTO.Nivel="Serviço"),2),0,1,2,3,4,"S")</f>
        <v>S</v>
      </c>
      <c r="B33" s="0" t="n">
        <f aca="true">IF(OR(C33="s",C33=0),OFFSET(B33,-1,0),C33)</f>
        <v>2</v>
      </c>
      <c r="C33" s="0" t="str">
        <f aca="true">IF(OFFSET(C33,-1,0)="L",1,IF(OFFSET(C33,-1,0)=1,2,IF(OR(A33="s",A33=0),"S",IF(AND(OFFSET(C33,-1,0)=2,A33=4),3,IF(AND(OR(OFFSET(C33,-1,0)="s",OFFSET(C33,-1,0)=0),A33&lt;&gt;"s",A33&gt;OFFSET(B33,-1,0)),OFFSET(B33,-1,0),A33)))))</f>
        <v>S</v>
      </c>
      <c r="D33" s="0" t="n">
        <f aca="false">IF(OR(C33="S",C33=0),0,IF(ISERROR(K33),J33,SMALL(J33:K33,1)))</f>
        <v>0</v>
      </c>
      <c r="E33" s="0" t="n">
        <f aca="true">IF($C33=1,OFFSET(E33,-1,0)+MAX(1,COUNTIF(QCI!$A$13:$A$24,OFFSET(ORÇAMENTO!E33,-1,0))),OFFSET(E33,-1,0))</f>
        <v>1</v>
      </c>
      <c r="F33" s="0" t="n">
        <f aca="true">IF($C33=1,0,IF($C33=2,OFFSET(F33,-1,0)+1,OFFSET(F33,-1,0)))</f>
        <v>5</v>
      </c>
      <c r="G33" s="0" t="n">
        <f aca="true">IF(AND($C33&lt;=2,$C33&lt;&gt;0),0,IF($C33=3,OFFSET(G33,-1,0)+1,OFFSET(G33,-1,0)))</f>
        <v>0</v>
      </c>
      <c r="H33" s="0" t="n">
        <f aca="true">IF(AND($C33&lt;=3,$C33&lt;&gt;0),0,IF($C33=4,OFFSET(H33,-1,0)+1,OFFSET(H33,-1,0)))</f>
        <v>0</v>
      </c>
      <c r="I33" s="0" t="n">
        <f aca="true">IF(AND($C33&lt;=4,$C33&lt;&gt;0),0,IF(AND($C33="S",$X33&gt;0),OFFSET(I33,-1,0)+1,OFFSET(I33,-1,0)))</f>
        <v>0</v>
      </c>
      <c r="J33" s="0" t="n">
        <f aca="true">IF(OR($C33="S",$C33=0),0,MATCH(0,OFFSET($D33,1,$C33,ROW($C$59)-ROW($C33)),0))</f>
        <v>0</v>
      </c>
      <c r="K33" s="0" t="n">
        <f aca="true">IF(OR($C33="S",$C33=0),0,MATCH(OFFSET($D33,0,$C33)+IF($C33&lt;&gt;1,1,COUNTIF(QCI!$A$13:$A$24,ORÇAMENTO!E33)),OFFSET($D33,1,$C33,ROW($C$59)-ROW($C33)),0))</f>
        <v>0</v>
      </c>
      <c r="L33" s="185" t="str">
        <f aca="false">IF(OR($X33&gt;0,$C33=1,$C33=2,$C33=3,$C33=4),"F","")</f>
        <v/>
      </c>
      <c r="M33" s="186" t="s">
        <v>251</v>
      </c>
      <c r="N33" s="187" t="str">
        <f aca="false">CHOOSE(1+LOG(1+2*(C33=1)+4*(C33=2)+8*(C33=3)+16*(C33=4)+32*(C33="S"),2),"","Meta","Nível 2","Nível 3","Nível 4","Serviço")</f>
        <v>Serviço</v>
      </c>
      <c r="O33" s="188" t="str">
        <f aca="false">IF(OR($C33=0,$L33=""),"-",CONCATENATE(E33&amp;".",IF(AND($A$5&gt;=2,$C33&gt;=2),F33&amp;".",""),IF(AND($A$5&gt;=3,$C33&gt;=3),G33&amp;".",""),IF(AND($A$5&gt;=4,$C33&gt;=4),H33&amp;".",""),IF($C33="S",I33&amp;".","")))</f>
        <v>-</v>
      </c>
      <c r="P33" s="189" t="s">
        <v>317</v>
      </c>
      <c r="Q33" s="223" t="s">
        <v>319</v>
      </c>
      <c r="R33" s="191" t="str">
        <f aca="true">IF($C33="S",REFERENCIA.Descricao,"(digite a descrição aqui)")</f>
        <v>(abra o arquivo 'Referência 02-Thursday.xlsm)</v>
      </c>
      <c r="S33" s="192" t="str">
        <f aca="true">REFERENCIA.Unidade</f>
        <v>-</v>
      </c>
      <c r="T33" s="193" t="n">
        <f aca="true">OFFSET(CÁLCULO!H$15,ROW($T33)-ROW(T$15),0)</f>
        <v>1464.31</v>
      </c>
      <c r="U33" s="194" t="n">
        <f aca="false">AG33</f>
        <v>0</v>
      </c>
      <c r="V33" s="195" t="s">
        <v>208</v>
      </c>
      <c r="W33" s="193" t="n">
        <f aca="false">IF($C33="S",ROUND(IF(TIPOORCAMENTO="Proposto",ORÇAMENTO.CustoUnitario*(1+$AH33),ORÇAMENTO.PrecoUnitarioLicitado),15-13*$AF$10),0)</f>
        <v>0</v>
      </c>
      <c r="X33" s="196" t="n">
        <f aca="true">IF($C33="S",IF(Import.TipoArredondamento&lt;&gt;"TransfereGOV",VTOTAL1,SUM(OFFSET(CÁLCULO!$AA$15,ROW($X33)-ROW($X$15),1):OFFSET(CÁLCULO!$AL$15,ROW($X33)-ROW($X$15),-1))),IF($C33=0,0,ROUND(SomaAgrup,15-13*$AF$11)))</f>
        <v>0</v>
      </c>
      <c r="Y33" s="197" t="s">
        <v>298</v>
      </c>
      <c r="Z33" s="0" t="str">
        <f aca="false">IF(AND($C33="S",$X33&gt;0),IF(ISBLANK($Y33),"RA",LEFT($Y33,2)),"")</f>
        <v/>
      </c>
      <c r="AA33" s="198" t="n">
        <f aca="true">IF($C33="S",IF($Z33="CP",$X33,IF($Z33="RA",(($X33)*QCI!$AA$3),0)),SomaAgrup)</f>
        <v>0</v>
      </c>
      <c r="AB33" s="199" t="n">
        <f aca="true">IF($C33="S",IF($Z33="OU",ROUND($X33,2),0),SomaAgrup)</f>
        <v>0</v>
      </c>
      <c r="AC33" s="200" t="str">
        <f aca="false">IF($N33="","",IF(ORÇAMENTO.Descricao="","DESCRIÇÃO",IF(AND($C33="S",ORÇAMENTO.Unidade=""),"UNIDADE",IF($X33&lt;0,"VALOR NEGATIVO",IF(OR(AND(TIPOORCAMENTO="Proposto",$AG33&lt;&gt;"",$AG33&gt;0,ORÇAMENTO.CustoUnitario&gt;$AG33),AND(TIPOORCAMENTO="LICITADO",ORÇAMENTO.PrecoUnitarioLicitado&gt;$AN33)),"ACIMA REF.","")))))</f>
        <v/>
      </c>
      <c r="AD33" s="0" t="str">
        <f aca="true">IF(C33&lt;=CRONO.NivelExibicao,MAX($AD$15:OFFSET(AD33,-1,0))+IF($C33&lt;&gt;1,1,MAX(1,COUNTIF(QCI!$A$13:$A$24,OFFSET($E33,-1,0)))),"")</f>
        <v/>
      </c>
      <c r="AE33" s="34" t="str">
        <f aca="false">IF(AND($C33="S",ORÇAMENTO.CodBarra&lt;&gt;""),IF(ORÇAMENTO.Fonte="",ORÇAMENTO.CodBarra,CONCATENATE(ORÇAMENTO.Fonte," ",ORÇAMENTO.CodBarra)))</f>
        <v>SICRO 5503041</v>
      </c>
      <c r="AF33" s="42" t="str">
        <f aca="true">IF(ISERROR(INDIRECT(ORÇAMENTO.BancoRef)),"(abra o arquivo 'Referência "&amp;Excel_BuiltIn_Database&amp;".xlsm)",IF(OR($C33&lt;&gt;"S",ORÇAMENTO.CodBarra=""),"(Sem Código)",IF(ISERROR(MATCH($AE33,INDIRECT(ORÇAMENTO.BancoRef),0)),"(Código não identificado nas referências)",MATCH($AE33,INDIRECT(ORÇAMENTO.BancoRef),0))))</f>
        <v>(abra o arquivo 'Referência 02-Thursday.xlsm)</v>
      </c>
      <c r="AG33" s="202" t="n">
        <f aca="true">ROUND(IF(DESONERACAO="sim",REFERENCIA.Desonerado,REFERENCIA.NaoDesonerado),2)</f>
        <v>0</v>
      </c>
      <c r="AH33" s="203" t="n">
        <f aca="false">ROUND(IF(ISNUMBER(ORÇAMENTO.OpcaoBDI),ORÇAMENTO.OpcaoBDI,IF(LEFT(ORÇAMENTO.OpcaoBDI,3)="BDI",HLOOKUP(ORÇAMENTO.OpcaoBDI,$F$4:$H$5,2,FALSE()),0)),15-11*$AF$9)</f>
        <v>0.22</v>
      </c>
      <c r="AJ33" s="204" t="n">
        <v>1464.31</v>
      </c>
      <c r="AL33" s="205"/>
      <c r="AM33" s="206" t="n">
        <f aca="false">$X33</f>
        <v>0</v>
      </c>
      <c r="AN33" s="207" t="n">
        <f aca="false">ROUND(ORÇAMENTO.CustoUnitario*(1+$AH33),2)</f>
        <v>0</v>
      </c>
    </row>
    <row r="34" customFormat="false" ht="12.75" hidden="false" customHeight="false" outlineLevel="0" collapsed="false">
      <c r="A34" s="0" t="str">
        <f aca="false">CHOOSE(1+LOG(1+2*(ORÇAMENTO.Nivel="Meta")+4*(ORÇAMENTO.Nivel="Nível 2")+8*(ORÇAMENTO.Nivel="Nível 3")+16*(ORÇAMENTO.Nivel="Nível 4")+32*(ORÇAMENTO.Nivel="Serviço"),2),0,1,2,3,4,"S")</f>
        <v>S</v>
      </c>
      <c r="B34" s="0" t="n">
        <f aca="true">IF(OR(C34="s",C34=0),OFFSET(B34,-1,0),C34)</f>
        <v>2</v>
      </c>
      <c r="C34" s="0" t="str">
        <f aca="true">IF(OFFSET(C34,-1,0)="L",1,IF(OFFSET(C34,-1,0)=1,2,IF(OR(A34="s",A34=0),"S",IF(AND(OFFSET(C34,-1,0)=2,A34=4),3,IF(AND(OR(OFFSET(C34,-1,0)="s",OFFSET(C34,-1,0)=0),A34&lt;&gt;"s",A34&gt;OFFSET(B34,-1,0)),OFFSET(B34,-1,0),A34)))))</f>
        <v>S</v>
      </c>
      <c r="D34" s="0" t="n">
        <f aca="false">IF(OR(C34="S",C34=0),0,IF(ISERROR(K34),J34,SMALL(J34:K34,1)))</f>
        <v>0</v>
      </c>
      <c r="E34" s="0" t="n">
        <f aca="true">IF($C34=1,OFFSET(E34,-1,0)+MAX(1,COUNTIF(QCI!$A$13:$A$24,OFFSET(ORÇAMENTO!E34,-1,0))),OFFSET(E34,-1,0))</f>
        <v>1</v>
      </c>
      <c r="F34" s="0" t="n">
        <f aca="true">IF($C34=1,0,IF($C34=2,OFFSET(F34,-1,0)+1,OFFSET(F34,-1,0)))</f>
        <v>5</v>
      </c>
      <c r="G34" s="0" t="n">
        <f aca="true">IF(AND($C34&lt;=2,$C34&lt;&gt;0),0,IF($C34=3,OFFSET(G34,-1,0)+1,OFFSET(G34,-1,0)))</f>
        <v>0</v>
      </c>
      <c r="H34" s="0" t="n">
        <f aca="true">IF(AND($C34&lt;=3,$C34&lt;&gt;0),0,IF($C34=4,OFFSET(H34,-1,0)+1,OFFSET(H34,-1,0)))</f>
        <v>0</v>
      </c>
      <c r="I34" s="0" t="n">
        <f aca="true">IF(AND($C34&lt;=4,$C34&lt;&gt;0),0,IF(AND($C34="S",$X34&gt;0),OFFSET(I34,-1,0)+1,OFFSET(I34,-1,0)))</f>
        <v>0</v>
      </c>
      <c r="J34" s="0" t="n">
        <f aca="true">IF(OR($C34="S",$C34=0),0,MATCH(0,OFFSET($D34,1,$C34,ROW($C$59)-ROW($C34)),0))</f>
        <v>0</v>
      </c>
      <c r="K34" s="0" t="n">
        <f aca="true">IF(OR($C34="S",$C34=0),0,MATCH(OFFSET($D34,0,$C34)+IF($C34&lt;&gt;1,1,COUNTIF(QCI!$A$13:$A$24,ORÇAMENTO!E34)),OFFSET($D34,1,$C34,ROW($C$59)-ROW($C34)),0))</f>
        <v>0</v>
      </c>
      <c r="L34" s="185" t="str">
        <f aca="false">IF(OR($X34&gt;0,$C34=1,$C34=2,$C34=3,$C34=4),"F","")</f>
        <v/>
      </c>
      <c r="M34" s="186" t="s">
        <v>251</v>
      </c>
      <c r="N34" s="187" t="str">
        <f aca="false">CHOOSE(1+LOG(1+2*(C34=1)+4*(C34=2)+8*(C34=3)+16*(C34=4)+32*(C34="S"),2),"","Meta","Nível 2","Nível 3","Nível 4","Serviço")</f>
        <v>Serviço</v>
      </c>
      <c r="O34" s="188" t="str">
        <f aca="false">IF(OR($C34=0,$L34=""),"-",CONCATENATE(E34&amp;".",IF(AND($A$5&gt;=2,$C34&gt;=2),F34&amp;".",""),IF(AND($A$5&gt;=3,$C34&gt;=3),G34&amp;".",""),IF(AND($A$5&gt;=4,$C34&gt;=4),H34&amp;".",""),IF($C34="S",I34&amp;".","")))</f>
        <v>-</v>
      </c>
      <c r="P34" s="189" t="s">
        <v>317</v>
      </c>
      <c r="Q34" s="223" t="s">
        <v>320</v>
      </c>
      <c r="R34" s="191" t="str">
        <f aca="true">IF($C34="S",REFERENCIA.Descricao,"(digite a descrição aqui)")</f>
        <v>(abra o arquivo 'Referência 02-Thursday.xlsm)</v>
      </c>
      <c r="S34" s="192" t="str">
        <f aca="true">REFERENCIA.Unidade</f>
        <v>-</v>
      </c>
      <c r="T34" s="193" t="n">
        <f aca="true">OFFSET(CÁLCULO!H$15,ROW($T34)-ROW(T$15),0)</f>
        <v>4500</v>
      </c>
      <c r="U34" s="194" t="n">
        <f aca="false">AG34</f>
        <v>0</v>
      </c>
      <c r="V34" s="195" t="s">
        <v>208</v>
      </c>
      <c r="W34" s="193" t="n">
        <f aca="false">IF($C34="S",ROUND(IF(TIPOORCAMENTO="Proposto",ORÇAMENTO.CustoUnitario*(1+$AH34),ORÇAMENTO.PrecoUnitarioLicitado),15-13*$AF$10),0)</f>
        <v>0</v>
      </c>
      <c r="X34" s="196" t="n">
        <f aca="true">IF($C34="S",IF(Import.TipoArredondamento&lt;&gt;"TransfereGOV",VTOTAL1,SUM(OFFSET(CÁLCULO!$AA$15,ROW($X34)-ROW($X$15),1):OFFSET(CÁLCULO!$AL$15,ROW($X34)-ROW($X$15),-1))),IF($C34=0,0,ROUND(SomaAgrup,15-13*$AF$11)))</f>
        <v>0</v>
      </c>
      <c r="Y34" s="197" t="s">
        <v>298</v>
      </c>
      <c r="Z34" s="0" t="str">
        <f aca="false">IF(AND($C34="S",$X34&gt;0),IF(ISBLANK($Y34),"RA",LEFT($Y34,2)),"")</f>
        <v/>
      </c>
      <c r="AA34" s="198" t="n">
        <f aca="true">IF($C34="S",IF($Z34="CP",$X34,IF($Z34="RA",(($X34)*QCI!$AA$3),0)),SomaAgrup)</f>
        <v>0</v>
      </c>
      <c r="AB34" s="199" t="n">
        <f aca="true">IF($C34="S",IF($Z34="OU",ROUND($X34,2),0),SomaAgrup)</f>
        <v>0</v>
      </c>
      <c r="AC34" s="200" t="str">
        <f aca="false">IF($N34="","",IF(ORÇAMENTO.Descricao="","DESCRIÇÃO",IF(AND($C34="S",ORÇAMENTO.Unidade=""),"UNIDADE",IF($X34&lt;0,"VALOR NEGATIVO",IF(OR(AND(TIPOORCAMENTO="Proposto",$AG34&lt;&gt;"",$AG34&gt;0,ORÇAMENTO.CustoUnitario&gt;$AG34),AND(TIPOORCAMENTO="LICITADO",ORÇAMENTO.PrecoUnitarioLicitado&gt;$AN34)),"ACIMA REF.","")))))</f>
        <v/>
      </c>
      <c r="AD34" s="0" t="str">
        <f aca="true">IF(C34&lt;=CRONO.NivelExibicao,MAX($AD$15:OFFSET(AD34,-1,0))+IF($C34&lt;&gt;1,1,MAX(1,COUNTIF(QCI!$A$13:$A$24,OFFSET($E34,-1,0)))),"")</f>
        <v/>
      </c>
      <c r="AE34" s="34" t="str">
        <f aca="false">IF(AND($C34="S",ORÇAMENTO.CodBarra&lt;&gt;""),IF(ORÇAMENTO.Fonte="",ORÇAMENTO.CodBarra,CONCATENATE(ORÇAMENTO.Fonte," ",ORÇAMENTO.CodBarra)))</f>
        <v>SICRO 4011210</v>
      </c>
      <c r="AF34" s="42" t="str">
        <f aca="true">IF(ISERROR(INDIRECT(ORÇAMENTO.BancoRef)),"(abra o arquivo 'Referência "&amp;Excel_BuiltIn_Database&amp;".xlsm)",IF(OR($C34&lt;&gt;"S",ORÇAMENTO.CodBarra=""),"(Sem Código)",IF(ISERROR(MATCH($AE34,INDIRECT(ORÇAMENTO.BancoRef),0)),"(Código não identificado nas referências)",MATCH($AE34,INDIRECT(ORÇAMENTO.BancoRef),0))))</f>
        <v>(abra o arquivo 'Referência 02-Thursday.xlsm)</v>
      </c>
      <c r="AG34" s="202" t="n">
        <f aca="true">ROUND(IF(DESONERACAO="sim",REFERENCIA.Desonerado,REFERENCIA.NaoDesonerado),2)</f>
        <v>0</v>
      </c>
      <c r="AH34" s="203" t="n">
        <f aca="false">ROUND(IF(ISNUMBER(ORÇAMENTO.OpcaoBDI),ORÇAMENTO.OpcaoBDI,IF(LEFT(ORÇAMENTO.OpcaoBDI,3)="BDI",HLOOKUP(ORÇAMENTO.OpcaoBDI,$F$4:$H$5,2,FALSE()),0)),15-11*$AF$9)</f>
        <v>0.22</v>
      </c>
      <c r="AJ34" s="204" t="n">
        <f aca="false">AJ36/0.15</f>
        <v>4500</v>
      </c>
      <c r="AL34" s="205"/>
      <c r="AM34" s="206" t="n">
        <f aca="false">$X34</f>
        <v>0</v>
      </c>
      <c r="AN34" s="207" t="n">
        <f aca="false">ROUND(ORÇAMENTO.CustoUnitario*(1+$AH34),2)</f>
        <v>0</v>
      </c>
    </row>
    <row r="35" customFormat="false" ht="12.75" hidden="false" customHeight="false" outlineLevel="0" collapsed="false">
      <c r="A35" s="0" t="n">
        <f aca="false">CHOOSE(1+LOG(1+2*(ORÇAMENTO.Nivel="Meta")+4*(ORÇAMENTO.Nivel="Nível 2")+8*(ORÇAMENTO.Nivel="Nível 3")+16*(ORÇAMENTO.Nivel="Nível 4")+32*(ORÇAMENTO.Nivel="Serviço"),2),0,1,2,3,4,"S")</f>
        <v>2</v>
      </c>
      <c r="B35" s="0" t="n">
        <f aca="true">IF(OR(C35="s",C35=0),OFFSET(B35,-1,0),C35)</f>
        <v>2</v>
      </c>
      <c r="C35" s="0" t="n">
        <f aca="true">IF(OFFSET(C35,-1,0)="L",1,IF(OFFSET(C35,-1,0)=1,2,IF(OR(A35="s",A35=0),"S",IF(AND(OFFSET(C35,-1,0)=2,A35=4),3,IF(AND(OR(OFFSET(C35,-1,0)="s",OFFSET(C35,-1,0)=0),A35&lt;&gt;"s",A35&gt;OFFSET(B35,-1,0)),OFFSET(B35,-1,0),A35)))))</f>
        <v>2</v>
      </c>
      <c r="D35" s="0" t="n">
        <f aca="false">IF(OR(C35="S",C35=0),0,IF(ISERROR(K35),J35,SMALL(J35:K35,1)))</f>
        <v>3</v>
      </c>
      <c r="E35" s="0" t="n">
        <f aca="true">IF($C35=1,OFFSET(E35,-1,0)+MAX(1,COUNTIF(QCI!$A$13:$A$24,OFFSET(ORÇAMENTO!E35,-1,0))),OFFSET(E35,-1,0))</f>
        <v>1</v>
      </c>
      <c r="F35" s="0" t="n">
        <f aca="true">IF($C35=1,0,IF($C35=2,OFFSET(F35,-1,0)+1,OFFSET(F35,-1,0)))</f>
        <v>6</v>
      </c>
      <c r="G35" s="0" t="n">
        <f aca="true">IF(AND($C35&lt;=2,$C35&lt;&gt;0),0,IF($C35=3,OFFSET(G35,-1,0)+1,OFFSET(G35,-1,0)))</f>
        <v>0</v>
      </c>
      <c r="H35" s="0" t="n">
        <f aca="true">IF(AND($C35&lt;=3,$C35&lt;&gt;0),0,IF($C35=4,OFFSET(H35,-1,0)+1,OFFSET(H35,-1,0)))</f>
        <v>0</v>
      </c>
      <c r="I35" s="0" t="n">
        <f aca="true">IF(AND($C35&lt;=4,$C35&lt;&gt;0),0,IF(AND($C35="S",$X35&gt;0),OFFSET(I35,-1,0)+1,OFFSET(I35,-1,0)))</f>
        <v>0</v>
      </c>
      <c r="J35" s="0" t="n">
        <f aca="true">IF(OR($C35="S",$C35=0),0,MATCH(0,OFFSET($D35,1,$C35,ROW($C$59)-ROW($C35)),0))</f>
        <v>24</v>
      </c>
      <c r="K35" s="0" t="n">
        <f aca="true">IF(OR($C35="S",$C35=0),0,MATCH(OFFSET($D35,0,$C35)+IF($C35&lt;&gt;1,1,COUNTIF(QCI!$A$13:$A$24,ORÇAMENTO!E35)),OFFSET($D35,1,$C35,ROW($C$59)-ROW($C35)),0))</f>
        <v>3</v>
      </c>
      <c r="L35" s="185" t="str">
        <f aca="false">IF(OR($X35&gt;0,$C35=1,$C35=2,$C35=3,$C35=4),"F","")</f>
        <v>F</v>
      </c>
      <c r="M35" s="186" t="s">
        <v>248</v>
      </c>
      <c r="N35" s="187" t="str">
        <f aca="false">CHOOSE(1+LOG(1+2*(C35=1)+4*(C35=2)+8*(C35=3)+16*(C35=4)+32*(C35="S"),2),"","Meta","Nível 2","Nível 3","Nível 4","Serviço")</f>
        <v>Nível 2</v>
      </c>
      <c r="O35" s="188" t="str">
        <f aca="false">IF(OR($C35=0,$L35=""),"-",CONCATENATE(E35&amp;".",IF(AND($A$5&gt;=2,$C35&gt;=2),F35&amp;".",""),IF(AND($A$5&gt;=3,$C35&gt;=3),G35&amp;".",""),IF(AND($A$5&gt;=4,$C35&gt;=4),H35&amp;".",""),IF($C35="S",I35&amp;".","")))</f>
        <v>1.6.</v>
      </c>
      <c r="P35" s="189" t="s">
        <v>297</v>
      </c>
      <c r="Q35" s="223"/>
      <c r="R35" s="191" t="s">
        <v>321</v>
      </c>
      <c r="S35" s="192" t="str">
        <f aca="true">REFERENCIA.Unidade</f>
        <v>-</v>
      </c>
      <c r="T35" s="193" t="n">
        <f aca="true">OFFSET(CÁLCULO!H$15,ROW($T35)-ROW(T$15),0)</f>
        <v>0</v>
      </c>
      <c r="U35" s="194" t="n">
        <f aca="false">AG35</f>
        <v>0</v>
      </c>
      <c r="V35" s="195" t="s">
        <v>208</v>
      </c>
      <c r="W35" s="193" t="n">
        <f aca="false">IF($C35="S",ROUND(IF(TIPOORCAMENTO="Proposto",ORÇAMENTO.CustoUnitario*(1+$AH35),ORÇAMENTO.PrecoUnitarioLicitado),15-13*$AF$10),0)</f>
        <v>0</v>
      </c>
      <c r="X35" s="196" t="n">
        <f aca="true">IF($C35="S",IF(Import.TipoArredondamento&lt;&gt;"TransfereGOV",VTOTAL1,SUM(OFFSET(CÁLCULO!$AA$15,ROW($X35)-ROW($X$15),1):OFFSET(CÁLCULO!$AL$15,ROW($X35)-ROW($X$15),-1))),IF($C35=0,0,ROUND(SomaAgrup,15-13*$AF$11)))</f>
        <v>0</v>
      </c>
      <c r="Y35" s="197" t="s">
        <v>298</v>
      </c>
      <c r="Z35" s="0" t="str">
        <f aca="false">IF(AND($C35="S",$X35&gt;0),IF(ISBLANK($Y35),"RA",LEFT($Y35,2)),"")</f>
        <v/>
      </c>
      <c r="AA35" s="198" t="n">
        <f aca="true">IF($C35="S",IF($Z35="CP",$X35,IF($Z35="RA",(($X35)*QCI!$AA$3),0)),SomaAgrup)</f>
        <v>0</v>
      </c>
      <c r="AB35" s="199" t="n">
        <f aca="true">IF($C35="S",IF($Z35="OU",ROUND($X35,2),0),SomaAgrup)</f>
        <v>0</v>
      </c>
      <c r="AC35" s="200" t="str">
        <f aca="false">IF($N35="","",IF(ORÇAMENTO.Descricao="","DESCRIÇÃO",IF(AND($C35="S",ORÇAMENTO.Unidade=""),"UNIDADE",IF($X35&lt;0,"VALOR NEGATIVO",IF(OR(AND(TIPOORCAMENTO="Proposto",$AG35&lt;&gt;"",$AG35&gt;0,ORÇAMENTO.CustoUnitario&gt;$AG35),AND(TIPOORCAMENTO="LICITADO",ORÇAMENTO.PrecoUnitarioLicitado&gt;$AN35)),"ACIMA REF.","")))))</f>
        <v/>
      </c>
      <c r="AD35" s="0" t="n">
        <f aca="true">IF(C35&lt;=CRONO.NivelExibicao,MAX($AD$15:OFFSET(AD35,-1,0))+IF($C35&lt;&gt;1,1,MAX(1,COUNTIF(QCI!$A$13:$A$24,OFFSET($E35,-1,0)))),"")</f>
        <v>7</v>
      </c>
      <c r="AE35" s="201" t="b">
        <f aca="false">IF(AND($C35="S",ORÇAMENTO.CodBarra&lt;&gt;""),IF(ORÇAMENTO.Fonte="",ORÇAMENTO.CodBarra,CONCATENATE(ORÇAMENTO.Fonte," ",ORÇAMENTO.CodBarra)))</f>
        <v>0</v>
      </c>
      <c r="AF35" s="42" t="str">
        <f aca="true">IF(ISERROR(INDIRECT(ORÇAMENTO.BancoRef)),"(abra o arquivo 'Referência "&amp;Excel_BuiltIn_Database&amp;".xlsm)",IF(OR($C35&lt;&gt;"S",ORÇAMENTO.CodBarra=""),"(Sem Código)",IF(ISERROR(MATCH($AE35,INDIRECT(ORÇAMENTO.BancoRef),0)),"(Código não identificado nas referências)",MATCH($AE35,INDIRECT(ORÇAMENTO.BancoRef),0))))</f>
        <v>(abra o arquivo 'Referência 02-Thursday.xlsm)</v>
      </c>
      <c r="AG35" s="202" t="n">
        <f aca="true">ROUND(IF(DESONERACAO="sim",REFERENCIA.Desonerado,REFERENCIA.NaoDesonerado),2)</f>
        <v>0</v>
      </c>
      <c r="AH35" s="203" t="n">
        <f aca="false">ROUND(IF(ISNUMBER(ORÇAMENTO.OpcaoBDI),ORÇAMENTO.OpcaoBDI,IF(LEFT(ORÇAMENTO.OpcaoBDI,3)="BDI",HLOOKUP(ORÇAMENTO.OpcaoBDI,$F$4:$H$5,2,FALSE()),0)),15-11*$AF$9)</f>
        <v>0.22</v>
      </c>
      <c r="AJ35" s="204"/>
      <c r="AL35" s="205"/>
      <c r="AM35" s="206" t="n">
        <f aca="false">$X35</f>
        <v>0</v>
      </c>
      <c r="AN35" s="207" t="n">
        <f aca="false">ROUND(ORÇAMENTO.CustoUnitario*(1+$AH35),2)</f>
        <v>0</v>
      </c>
    </row>
    <row r="36" customFormat="false" ht="12.75" hidden="false" customHeight="false" outlineLevel="0" collapsed="false">
      <c r="A36" s="0" t="str">
        <f aca="false">CHOOSE(1+LOG(1+2*(ORÇAMENTO.Nivel="Meta")+4*(ORÇAMENTO.Nivel="Nível 2")+8*(ORÇAMENTO.Nivel="Nível 3")+16*(ORÇAMENTO.Nivel="Nível 4")+32*(ORÇAMENTO.Nivel="Serviço"),2),0,1,2,3,4,"S")</f>
        <v>S</v>
      </c>
      <c r="B36" s="0" t="n">
        <f aca="true">IF(OR(C36="s",C36=0),OFFSET(B36,-1,0),C36)</f>
        <v>2</v>
      </c>
      <c r="C36" s="0" t="str">
        <f aca="true">IF(OFFSET(C36,-1,0)="L",1,IF(OFFSET(C36,-1,0)=1,2,IF(OR(A36="s",A36=0),"S",IF(AND(OFFSET(C36,-1,0)=2,A36=4),3,IF(AND(OR(OFFSET(C36,-1,0)="s",OFFSET(C36,-1,0)=0),A36&lt;&gt;"s",A36&gt;OFFSET(B36,-1,0)),OFFSET(B36,-1,0),A36)))))</f>
        <v>S</v>
      </c>
      <c r="D36" s="0" t="n">
        <f aca="false">IF(OR(C36="S",C36=0),0,IF(ISERROR(K36),J36,SMALL(J36:K36,1)))</f>
        <v>0</v>
      </c>
      <c r="E36" s="0" t="n">
        <f aca="true">IF($C36=1,OFFSET(E36,-1,0)+MAX(1,COUNTIF(QCI!$A$13:$A$24,OFFSET(ORÇAMENTO!E36,-1,0))),OFFSET(E36,-1,0))</f>
        <v>1</v>
      </c>
      <c r="F36" s="0" t="n">
        <f aca="true">IF($C36=1,0,IF($C36=2,OFFSET(F36,-1,0)+1,OFFSET(F36,-1,0)))</f>
        <v>6</v>
      </c>
      <c r="G36" s="0" t="n">
        <f aca="true">IF(AND($C36&lt;=2,$C36&lt;&gt;0),0,IF($C36=3,OFFSET(G36,-1,0)+1,OFFSET(G36,-1,0)))</f>
        <v>0</v>
      </c>
      <c r="H36" s="0" t="n">
        <f aca="true">IF(AND($C36&lt;=3,$C36&lt;&gt;0),0,IF($C36=4,OFFSET(H36,-1,0)+1,OFFSET(H36,-1,0)))</f>
        <v>0</v>
      </c>
      <c r="I36" s="0" t="n">
        <f aca="true">IF(AND($C36&lt;=4,$C36&lt;&gt;0),0,IF(AND($C36="S",$X36&gt;0),OFFSET(I36,-1,0)+1,OFFSET(I36,-1,0)))</f>
        <v>0</v>
      </c>
      <c r="J36" s="0" t="n">
        <f aca="true">IF(OR($C36="S",$C36=0),0,MATCH(0,OFFSET($D36,1,$C36,ROW($C$59)-ROW($C36)),0))</f>
        <v>0</v>
      </c>
      <c r="K36" s="0" t="n">
        <f aca="true">IF(OR($C36="S",$C36=0),0,MATCH(OFFSET($D36,0,$C36)+IF($C36&lt;&gt;1,1,COUNTIF(QCI!$A$13:$A$24,ORÇAMENTO!E36)),OFFSET($D36,1,$C36,ROW($C$59)-ROW($C36)),0))</f>
        <v>0</v>
      </c>
      <c r="L36" s="185" t="str">
        <f aca="false">IF(OR($X36&gt;0,$C36=1,$C36=2,$C36=3,$C36=4),"F","")</f>
        <v/>
      </c>
      <c r="M36" s="186" t="s">
        <v>251</v>
      </c>
      <c r="N36" s="187" t="str">
        <f aca="false">CHOOSE(1+LOG(1+2*(C36=1)+4*(C36=2)+8*(C36=3)+16*(C36=4)+32*(C36="S"),2),"","Meta","Nível 2","Nível 3","Nível 4","Serviço")</f>
        <v>Serviço</v>
      </c>
      <c r="O36" s="188" t="str">
        <f aca="false">IF(OR($C36=0,$L36=""),"-",CONCATENATE(E36&amp;".",IF(AND($A$5&gt;=2,$C36&gt;=2),F36&amp;".",""),IF(AND($A$5&gt;=3,$C36&gt;=3),G36&amp;".",""),IF(AND($A$5&gt;=4,$C36&gt;=4),H36&amp;".",""),IF($C36="S",I36&amp;".","")))</f>
        <v>-</v>
      </c>
      <c r="P36" s="189" t="s">
        <v>317</v>
      </c>
      <c r="Q36" s="223" t="s">
        <v>322</v>
      </c>
      <c r="R36" s="191" t="str">
        <f aca="true">IF($C36="S",REFERENCIA.Descricao,"(digite a descrição aqui)")</f>
        <v>(abra o arquivo 'Referência 02-Thursday.xlsm)</v>
      </c>
      <c r="S36" s="192" t="str">
        <f aca="true">REFERENCIA.Unidade</f>
        <v>-</v>
      </c>
      <c r="T36" s="193" t="n">
        <f aca="true">OFFSET(CÁLCULO!H$15,ROW($T36)-ROW(T$15),0)</f>
        <v>675</v>
      </c>
      <c r="U36" s="194" t="n">
        <f aca="false">AG36</f>
        <v>0</v>
      </c>
      <c r="V36" s="195" t="s">
        <v>208</v>
      </c>
      <c r="W36" s="193" t="n">
        <f aca="false">IF($C36="S",ROUND(IF(TIPOORCAMENTO="Proposto",ORÇAMENTO.CustoUnitario*(1+$AH36),ORÇAMENTO.PrecoUnitarioLicitado),15-13*$AF$10),0)</f>
        <v>0</v>
      </c>
      <c r="X36" s="196" t="n">
        <f aca="true">IF($C36="S",IF(Import.TipoArredondamento&lt;&gt;"TransfereGOV",VTOTAL1,SUM(OFFSET(CÁLCULO!$AA$15,ROW($X36)-ROW($X$15),1):OFFSET(CÁLCULO!$AL$15,ROW($X36)-ROW($X$15),-1))),IF($C36=0,0,ROUND(SomaAgrup,15-13*$AF$11)))</f>
        <v>0</v>
      </c>
      <c r="Y36" s="197" t="s">
        <v>298</v>
      </c>
      <c r="Z36" s="0" t="str">
        <f aca="false">IF(AND($C36="S",$X36&gt;0),IF(ISBLANK($Y36),"RA",LEFT($Y36,2)),"")</f>
        <v/>
      </c>
      <c r="AA36" s="198" t="n">
        <f aca="true">IF($C36="S",IF($Z36="CP",$X36,IF($Z36="RA",(($X36)*QCI!$AA$3),0)),SomaAgrup)</f>
        <v>0</v>
      </c>
      <c r="AB36" s="199" t="n">
        <f aca="true">IF($C36="S",IF($Z36="OU",ROUND($X36,2),0),SomaAgrup)</f>
        <v>0</v>
      </c>
      <c r="AC36" s="200" t="str">
        <f aca="false">IF($N36="","",IF(ORÇAMENTO.Descricao="","DESCRIÇÃO",IF(AND($C36="S",ORÇAMENTO.Unidade=""),"UNIDADE",IF($X36&lt;0,"VALOR NEGATIVO",IF(OR(AND(TIPOORCAMENTO="Proposto",$AG36&lt;&gt;"",$AG36&gt;0,ORÇAMENTO.CustoUnitario&gt;$AG36),AND(TIPOORCAMENTO="LICITADO",ORÇAMENTO.PrecoUnitarioLicitado&gt;$AN36)),"ACIMA REF.","")))))</f>
        <v/>
      </c>
      <c r="AD36" s="0" t="str">
        <f aca="true">IF(C36&lt;=CRONO.NivelExibicao,MAX($AD$15:OFFSET(AD36,-1,0))+IF($C36&lt;&gt;1,1,MAX(1,COUNTIF(QCI!$A$13:$A$24,OFFSET($E36,-1,0)))),"")</f>
        <v/>
      </c>
      <c r="AE36" s="34" t="str">
        <f aca="false">IF(AND($C36="S",ORÇAMENTO.CodBarra&lt;&gt;""),IF(ORÇAMENTO.Fonte="",ORÇAMENTO.CodBarra,CONCATENATE(ORÇAMENTO.Fonte," ",ORÇAMENTO.CodBarra)))</f>
        <v>SICRO 4011276B</v>
      </c>
      <c r="AF36" s="42" t="str">
        <f aca="true">IF(ISERROR(INDIRECT(ORÇAMENTO.BancoRef)),"(abra o arquivo 'Referência "&amp;Excel_BuiltIn_Database&amp;".xlsm)",IF(OR($C36&lt;&gt;"S",ORÇAMENTO.CodBarra=""),"(Sem Código)",IF(ISERROR(MATCH($AE36,INDIRECT(ORÇAMENTO.BancoRef),0)),"(Código não identificado nas referências)",MATCH($AE36,INDIRECT(ORÇAMENTO.BancoRef),0))))</f>
        <v>(abra o arquivo 'Referência 02-Thursday.xlsm)</v>
      </c>
      <c r="AG36" s="202" t="n">
        <f aca="true">ROUND(IF(DESONERACAO="sim",REFERENCIA.Desonerado,REFERENCIA.NaoDesonerado),2)</f>
        <v>0</v>
      </c>
      <c r="AH36" s="203" t="n">
        <f aca="false">ROUND(IF(ISNUMBER(ORÇAMENTO.OpcaoBDI),ORÇAMENTO.OpcaoBDI,IF(LEFT(ORÇAMENTO.OpcaoBDI,3)="BDI",HLOOKUP(ORÇAMENTO.OpcaoBDI,$F$4:$H$5,2,FALSE()),0)),15-11*$AF$9)</f>
        <v>0.22</v>
      </c>
      <c r="AJ36" s="204" t="n">
        <v>675</v>
      </c>
      <c r="AL36" s="205"/>
      <c r="AM36" s="206" t="n">
        <f aca="false">$X36</f>
        <v>0</v>
      </c>
      <c r="AN36" s="207" t="n">
        <f aca="false">ROUND(ORÇAMENTO.CustoUnitario*(1+$AH36),2)</f>
        <v>0</v>
      </c>
    </row>
    <row r="37" customFormat="false" ht="12.75" hidden="false" customHeight="false" outlineLevel="0" collapsed="false">
      <c r="A37" s="0" t="str">
        <f aca="false">CHOOSE(1+LOG(1+2*(ORÇAMENTO.Nivel="Meta")+4*(ORÇAMENTO.Nivel="Nível 2")+8*(ORÇAMENTO.Nivel="Nível 3")+16*(ORÇAMENTO.Nivel="Nível 4")+32*(ORÇAMENTO.Nivel="Serviço"),2),0,1,2,3,4,"S")</f>
        <v>S</v>
      </c>
      <c r="B37" s="0" t="n">
        <f aca="true">IF(OR(C37="s",C37=0),OFFSET(B37,-1,0),C37)</f>
        <v>2</v>
      </c>
      <c r="C37" s="0" t="str">
        <f aca="true">IF(OFFSET(C37,-1,0)="L",1,IF(OFFSET(C37,-1,0)=1,2,IF(OR(A37="s",A37=0),"S",IF(AND(OFFSET(C37,-1,0)=2,A37=4),3,IF(AND(OR(OFFSET(C37,-1,0)="s",OFFSET(C37,-1,0)=0),A37&lt;&gt;"s",A37&gt;OFFSET(B37,-1,0)),OFFSET(B37,-1,0),A37)))))</f>
        <v>S</v>
      </c>
      <c r="D37" s="0" t="n">
        <f aca="false">IF(OR(C37="S",C37=0),0,IF(ISERROR(K37),J37,SMALL(J37:K37,1)))</f>
        <v>0</v>
      </c>
      <c r="E37" s="0" t="n">
        <f aca="true">IF($C37=1,OFFSET(E37,-1,0)+MAX(1,COUNTIF(QCI!$A$13:$A$24,OFFSET(ORÇAMENTO!E37,-1,0))),OFFSET(E37,-1,0))</f>
        <v>1</v>
      </c>
      <c r="F37" s="0" t="n">
        <f aca="true">IF($C37=1,0,IF($C37=2,OFFSET(F37,-1,0)+1,OFFSET(F37,-1,0)))</f>
        <v>6</v>
      </c>
      <c r="G37" s="0" t="n">
        <f aca="true">IF(AND($C37&lt;=2,$C37&lt;&gt;0),0,IF($C37=3,OFFSET(G37,-1,0)+1,OFFSET(G37,-1,0)))</f>
        <v>0</v>
      </c>
      <c r="H37" s="0" t="n">
        <f aca="true">IF(AND($C37&lt;=3,$C37&lt;&gt;0),0,IF($C37=4,OFFSET(H37,-1,0)+1,OFFSET(H37,-1,0)))</f>
        <v>0</v>
      </c>
      <c r="I37" s="0" t="n">
        <f aca="true">IF(AND($C37&lt;=4,$C37&lt;&gt;0),0,IF(AND($C37="S",$X37&gt;0),OFFSET(I37,-1,0)+1,OFFSET(I37,-1,0)))</f>
        <v>0</v>
      </c>
      <c r="J37" s="0" t="n">
        <f aca="true">IF(OR($C37="S",$C37=0),0,MATCH(0,OFFSET($D37,1,$C37,ROW($C$59)-ROW($C37)),0))</f>
        <v>0</v>
      </c>
      <c r="K37" s="0" t="n">
        <f aca="true">IF(OR($C37="S",$C37=0),0,MATCH(OFFSET($D37,0,$C37)+IF($C37&lt;&gt;1,1,COUNTIF(QCI!$A$13:$A$24,ORÇAMENTO!E37)),OFFSET($D37,1,$C37,ROW($C$59)-ROW($C37)),0))</f>
        <v>0</v>
      </c>
      <c r="L37" s="185" t="str">
        <f aca="false">IF(OR($X37&gt;0,$C37=1,$C37=2,$C37=3,$C37=4),"F","")</f>
        <v/>
      </c>
      <c r="M37" s="186" t="s">
        <v>251</v>
      </c>
      <c r="N37" s="187" t="str">
        <f aca="false">CHOOSE(1+LOG(1+2*(C37=1)+4*(C37=2)+8*(C37=3)+16*(C37=4)+32*(C37="S"),2),"","Meta","Nível 2","Nível 3","Nível 4","Serviço")</f>
        <v>Serviço</v>
      </c>
      <c r="O37" s="188" t="str">
        <f aca="false">IF(OR($C37=0,$L37=""),"-",CONCATENATE(E37&amp;".",IF(AND($A$5&gt;=2,$C37&gt;=2),F37&amp;".",""),IF(AND($A$5&gt;=3,$C37&gt;=3),G37&amp;".",""),IF(AND($A$5&gt;=4,$C37&gt;=4),H37&amp;".",""),IF($C37="S",I37&amp;".","")))</f>
        <v>-</v>
      </c>
      <c r="P37" s="189" t="s">
        <v>317</v>
      </c>
      <c r="Q37" s="223" t="s">
        <v>323</v>
      </c>
      <c r="R37" s="191" t="str">
        <f aca="true">IF($C37="S",REFERENCIA.Descricao,"(digite a descrição aqui)")</f>
        <v>(abra o arquivo 'Referência 02-Thursday.xlsm)</v>
      </c>
      <c r="S37" s="192" t="str">
        <f aca="true">REFERENCIA.Unidade</f>
        <v>-</v>
      </c>
      <c r="T37" s="193" t="n">
        <f aca="true">OFFSET(CÁLCULO!H$15,ROW($T37)-ROW(T$15),0)</f>
        <v>121975.88</v>
      </c>
      <c r="U37" s="194" t="n">
        <f aca="false">AG37</f>
        <v>0</v>
      </c>
      <c r="V37" s="195" t="s">
        <v>208</v>
      </c>
      <c r="W37" s="193" t="n">
        <f aca="false">IF($C37="S",ROUND(IF(TIPOORCAMENTO="Proposto",ORÇAMENTO.CustoUnitario*(1+$AH37),ORÇAMENTO.PrecoUnitarioLicitado),15-13*$AF$10),0)</f>
        <v>0</v>
      </c>
      <c r="X37" s="196" t="n">
        <f aca="true">IF($C37="S",IF(Import.TipoArredondamento&lt;&gt;"TransfereGOV",VTOTAL1,SUM(OFFSET(CÁLCULO!$AA$15,ROW($X37)-ROW($X$15),1):OFFSET(CÁLCULO!$AL$15,ROW($X37)-ROW($X$15),-1))),IF($C37=0,0,ROUND(SomaAgrup,15-13*$AF$11)))</f>
        <v>0</v>
      </c>
      <c r="Y37" s="197" t="s">
        <v>298</v>
      </c>
      <c r="Z37" s="0" t="str">
        <f aca="false">IF(AND($C37="S",$X37&gt;0),IF(ISBLANK($Y37),"RA",LEFT($Y37,2)),"")</f>
        <v/>
      </c>
      <c r="AA37" s="198" t="n">
        <f aca="true">IF($C37="S",IF($Z37="CP",$X37,IF($Z37="RA",(($X37)*QCI!$AA$3),0)),SomaAgrup)</f>
        <v>0</v>
      </c>
      <c r="AB37" s="199" t="n">
        <f aca="true">IF($C37="S",IF($Z37="OU",ROUND($X37,2),0),SomaAgrup)</f>
        <v>0</v>
      </c>
      <c r="AC37" s="200" t="str">
        <f aca="false">IF($N37="","",IF(ORÇAMENTO.Descricao="","DESCRIÇÃO",IF(AND($C37="S",ORÇAMENTO.Unidade=""),"UNIDADE",IF($X37&lt;0,"VALOR NEGATIVO",IF(OR(AND(TIPOORCAMENTO="Proposto",$AG37&lt;&gt;"",$AG37&gt;0,ORÇAMENTO.CustoUnitario&gt;$AG37),AND(TIPOORCAMENTO="LICITADO",ORÇAMENTO.PrecoUnitarioLicitado&gt;$AN37)),"ACIMA REF.","")))))</f>
        <v/>
      </c>
      <c r="AD37" s="0" t="str">
        <f aca="true">IF(C37&lt;=CRONO.NivelExibicao,MAX($AD$15:OFFSET(AD37,-1,0))+IF($C37&lt;&gt;1,1,MAX(1,COUNTIF(QCI!$A$13:$A$24,OFFSET($E37,-1,0)))),"")</f>
        <v/>
      </c>
      <c r="AE37" s="34" t="str">
        <f aca="false">IF(AND($C37="S",ORÇAMENTO.CodBarra&lt;&gt;""),IF(ORÇAMENTO.Fonte="",ORÇAMENTO.CodBarra,CONCATENATE(ORÇAMENTO.Fonte," ",ORÇAMENTO.CodBarra)))</f>
        <v>SICRO 5915321</v>
      </c>
      <c r="AF37" s="42" t="str">
        <f aca="true">IF(ISERROR(INDIRECT(ORÇAMENTO.BancoRef)),"(abra o arquivo 'Referência "&amp;Excel_BuiltIn_Database&amp;".xlsm)",IF(OR($C37&lt;&gt;"S",ORÇAMENTO.CodBarra=""),"(Sem Código)",IF(ISERROR(MATCH($AE37,INDIRECT(ORÇAMENTO.BancoRef),0)),"(Código não identificado nas referências)",MATCH($AE37,INDIRECT(ORÇAMENTO.BancoRef),0))))</f>
        <v>(abra o arquivo 'Referência 02-Thursday.xlsm)</v>
      </c>
      <c r="AG37" s="202" t="n">
        <f aca="true">ROUND(IF(DESONERACAO="sim",REFERENCIA.Desonerado,REFERENCIA.NaoDesonerado),2)</f>
        <v>0</v>
      </c>
      <c r="AH37" s="203" t="n">
        <f aca="false">ROUND(IF(ISNUMBER(ORÇAMENTO.OpcaoBDI),ORÇAMENTO.OpcaoBDI,IF(LEFT(ORÇAMENTO.OpcaoBDI,3)="BDI",HLOOKUP(ORÇAMENTO.OpcaoBDI,$F$4:$H$5,2,FALSE()),0)),15-11*$AF$9)</f>
        <v>0.22</v>
      </c>
      <c r="AJ37" s="204" t="n">
        <f aca="false">AJ36*1.6*86.05</f>
        <v>92934</v>
      </c>
      <c r="AL37" s="205"/>
      <c r="AM37" s="206" t="n">
        <f aca="false">$X37</f>
        <v>0</v>
      </c>
      <c r="AN37" s="207" t="n">
        <f aca="false">ROUND(ORÇAMENTO.CustoUnitario*(1+$AH37),2)</f>
        <v>0</v>
      </c>
    </row>
    <row r="38" customFormat="false" ht="12.75" hidden="false" customHeight="false" outlineLevel="0" collapsed="false">
      <c r="A38" s="0" t="n">
        <f aca="false">CHOOSE(1+LOG(1+2*(ORÇAMENTO.Nivel="Meta")+4*(ORÇAMENTO.Nivel="Nível 2")+8*(ORÇAMENTO.Nivel="Nível 3")+16*(ORÇAMENTO.Nivel="Nível 4")+32*(ORÇAMENTO.Nivel="Serviço"),2),0,1,2,3,4,"S")</f>
        <v>2</v>
      </c>
      <c r="B38" s="0" t="n">
        <f aca="true">IF(OR(C38="s",C38=0),OFFSET(B38,-1,0),C38)</f>
        <v>2</v>
      </c>
      <c r="C38" s="0" t="n">
        <f aca="true">IF(OFFSET(C38,-1,0)="L",1,IF(OFFSET(C38,-1,0)=1,2,IF(OR(A38="s",A38=0),"S",IF(AND(OFFSET(C38,-1,0)=2,A38=4),3,IF(AND(OR(OFFSET(C38,-1,0)="s",OFFSET(C38,-1,0)=0),A38&lt;&gt;"s",A38&gt;OFFSET(B38,-1,0)),OFFSET(B38,-1,0),A38)))))</f>
        <v>2</v>
      </c>
      <c r="D38" s="0" t="n">
        <f aca="false">IF(OR(C38="S",C38=0),0,IF(ISERROR(K38),J38,SMALL(J38:K38,1)))</f>
        <v>9</v>
      </c>
      <c r="E38" s="0" t="n">
        <f aca="true">IF($C38=1,OFFSET(E38,-1,0)+MAX(1,COUNTIF(QCI!$A$13:$A$24,OFFSET(ORÇAMENTO!E38,-1,0))),OFFSET(E38,-1,0))</f>
        <v>1</v>
      </c>
      <c r="F38" s="0" t="n">
        <f aca="true">IF($C38=1,0,IF($C38=2,OFFSET(F38,-1,0)+1,OFFSET(F38,-1,0)))</f>
        <v>7</v>
      </c>
      <c r="G38" s="0" t="n">
        <f aca="true">IF(AND($C38&lt;=2,$C38&lt;&gt;0),0,IF($C38=3,OFFSET(G38,-1,0)+1,OFFSET(G38,-1,0)))</f>
        <v>0</v>
      </c>
      <c r="H38" s="0" t="n">
        <f aca="true">IF(AND($C38&lt;=3,$C38&lt;&gt;0),0,IF($C38=4,OFFSET(H38,-1,0)+1,OFFSET(H38,-1,0)))</f>
        <v>0</v>
      </c>
      <c r="I38" s="0" t="n">
        <f aca="true">IF(AND($C38&lt;=4,$C38&lt;&gt;0),0,IF(AND($C38="S",$X38&gt;0),OFFSET(I38,-1,0)+1,OFFSET(I38,-1,0)))</f>
        <v>0</v>
      </c>
      <c r="J38" s="0" t="n">
        <f aca="true">IF(OR($C38="S",$C38=0),0,MATCH(0,OFFSET($D38,1,$C38,ROW($C$59)-ROW($C38)),0))</f>
        <v>21</v>
      </c>
      <c r="K38" s="0" t="n">
        <f aca="true">IF(OR($C38="S",$C38=0),0,MATCH(OFFSET($D38,0,$C38)+IF($C38&lt;&gt;1,1,COUNTIF(QCI!$A$13:$A$24,ORÇAMENTO!E38)),OFFSET($D38,1,$C38,ROW($C$59)-ROW($C38)),0))</f>
        <v>9</v>
      </c>
      <c r="L38" s="185" t="str">
        <f aca="false">IF(OR($X38&gt;0,$C38=1,$C38=2,$C38=3,$C38=4),"F","")</f>
        <v>F</v>
      </c>
      <c r="M38" s="186" t="s">
        <v>248</v>
      </c>
      <c r="N38" s="187" t="str">
        <f aca="false">CHOOSE(1+LOG(1+2*(C38=1)+4*(C38=2)+8*(C38=3)+16*(C38=4)+32*(C38="S"),2),"","Meta","Nível 2","Nível 3","Nível 4","Serviço")</f>
        <v>Nível 2</v>
      </c>
      <c r="O38" s="188" t="str">
        <f aca="false">IF(OR($C38=0,$L38=""),"-",CONCATENATE(E38&amp;".",IF(AND($A$5&gt;=2,$C38&gt;=2),F38&amp;".",""),IF(AND($A$5&gt;=3,$C38&gt;=3),G38&amp;".",""),IF(AND($A$5&gt;=4,$C38&gt;=4),H38&amp;".",""),IF($C38="S",I38&amp;".","")))</f>
        <v>1.7.</v>
      </c>
      <c r="P38" s="189" t="s">
        <v>297</v>
      </c>
      <c r="Q38" s="223"/>
      <c r="R38" s="191" t="s">
        <v>324</v>
      </c>
      <c r="S38" s="192" t="str">
        <f aca="true">REFERENCIA.Unidade</f>
        <v>-</v>
      </c>
      <c r="T38" s="193" t="n">
        <f aca="true">OFFSET(CÁLCULO!H$15,ROW($T38)-ROW(T$15),0)</f>
        <v>0</v>
      </c>
      <c r="U38" s="194" t="n">
        <f aca="false">AG38</f>
        <v>0</v>
      </c>
      <c r="V38" s="195" t="s">
        <v>208</v>
      </c>
      <c r="W38" s="193" t="n">
        <f aca="false">IF($C38="S",ROUND(IF(TIPOORCAMENTO="Proposto",ORÇAMENTO.CustoUnitario*(1+$AH38),ORÇAMENTO.PrecoUnitarioLicitado),15-13*$AF$10),0)</f>
        <v>0</v>
      </c>
      <c r="X38" s="196" t="n">
        <f aca="true">IF($C38="S",IF(Import.TipoArredondamento&lt;&gt;"TransfereGOV",VTOTAL1,SUM(OFFSET(CÁLCULO!$AA$15,ROW($X38)-ROW($X$15),1):OFFSET(CÁLCULO!$AL$15,ROW($X38)-ROW($X$15),-1))),IF($C38=0,0,ROUND(SomaAgrup,15-13*$AF$11)))</f>
        <v>0</v>
      </c>
      <c r="Y38" s="197" t="s">
        <v>298</v>
      </c>
      <c r="Z38" s="0" t="str">
        <f aca="false">IF(AND($C38="S",$X38&gt;0),IF(ISBLANK($Y38),"RA",LEFT($Y38,2)),"")</f>
        <v/>
      </c>
      <c r="AA38" s="198" t="n">
        <f aca="true">IF($C38="S",IF($Z38="CP",$X38,IF($Z38="RA",(($X38)*QCI!$AA$3),0)),SomaAgrup)</f>
        <v>0</v>
      </c>
      <c r="AB38" s="199" t="n">
        <f aca="true">IF($C38="S",IF($Z38="OU",ROUND($X38,2),0),SomaAgrup)</f>
        <v>0</v>
      </c>
      <c r="AC38" s="200" t="str">
        <f aca="false">IF($N38="","",IF(ORÇAMENTO.Descricao="","DESCRIÇÃO",IF(AND($C38="S",ORÇAMENTO.Unidade=""),"UNIDADE",IF($X38&lt;0,"VALOR NEGATIVO",IF(OR(AND(TIPOORCAMENTO="Proposto",$AG38&lt;&gt;"",$AG38&gt;0,ORÇAMENTO.CustoUnitario&gt;$AG38),AND(TIPOORCAMENTO="LICITADO",ORÇAMENTO.PrecoUnitarioLicitado&gt;$AN38)),"ACIMA REF.","")))))</f>
        <v/>
      </c>
      <c r="AD38" s="0" t="n">
        <f aca="true">IF(C38&lt;=CRONO.NivelExibicao,MAX($AD$15:OFFSET(AD38,-1,0))+IF($C38&lt;&gt;1,1,MAX(1,COUNTIF(QCI!$A$13:$A$24,OFFSET($E38,-1,0)))),"")</f>
        <v>8</v>
      </c>
      <c r="AE38" s="201" t="b">
        <f aca="false">IF(AND($C38="S",ORÇAMENTO.CodBarra&lt;&gt;""),IF(ORÇAMENTO.Fonte="",ORÇAMENTO.CodBarra,CONCATENATE(ORÇAMENTO.Fonte," ",ORÇAMENTO.CodBarra)))</f>
        <v>0</v>
      </c>
      <c r="AF38" s="42" t="str">
        <f aca="true">IF(ISERROR(INDIRECT(ORÇAMENTO.BancoRef)),"(abra o arquivo 'Referência "&amp;Excel_BuiltIn_Database&amp;".xlsm)",IF(OR($C38&lt;&gt;"S",ORÇAMENTO.CodBarra=""),"(Sem Código)",IF(ISERROR(MATCH($AE38,INDIRECT(ORÇAMENTO.BancoRef),0)),"(Código não identificado nas referências)",MATCH($AE38,INDIRECT(ORÇAMENTO.BancoRef),0))))</f>
        <v>(abra o arquivo 'Referência 02-Thursday.xlsm)</v>
      </c>
      <c r="AG38" s="202" t="n">
        <f aca="true">ROUND(IF(DESONERACAO="sim",REFERENCIA.Desonerado,REFERENCIA.NaoDesonerado),2)</f>
        <v>0</v>
      </c>
      <c r="AH38" s="203" t="n">
        <f aca="false">ROUND(IF(ISNUMBER(ORÇAMENTO.OpcaoBDI),ORÇAMENTO.OpcaoBDI,IF(LEFT(ORÇAMENTO.OpcaoBDI,3)="BDI",HLOOKUP(ORÇAMENTO.OpcaoBDI,$F$4:$H$5,2,FALSE()),0)),15-11*$AF$9)</f>
        <v>0.22</v>
      </c>
      <c r="AJ38" s="204"/>
      <c r="AL38" s="205"/>
      <c r="AM38" s="206" t="n">
        <f aca="false">$X38</f>
        <v>0</v>
      </c>
      <c r="AN38" s="207" t="n">
        <f aca="false">ROUND(ORÇAMENTO.CustoUnitario*(1+$AH38),2)</f>
        <v>0</v>
      </c>
    </row>
    <row r="39" customFormat="false" ht="12.75" hidden="false" customHeight="false" outlineLevel="0" collapsed="false">
      <c r="A39" s="0" t="str">
        <f aca="false">CHOOSE(1+LOG(1+2*(ORÇAMENTO.Nivel="Meta")+4*(ORÇAMENTO.Nivel="Nível 2")+8*(ORÇAMENTO.Nivel="Nível 3")+16*(ORÇAMENTO.Nivel="Nível 4")+32*(ORÇAMENTO.Nivel="Serviço"),2),0,1,2,3,4,"S")</f>
        <v>S</v>
      </c>
      <c r="B39" s="0" t="n">
        <f aca="true">IF(OR(C39="s",C39=0),OFFSET(B39,-1,0),C39)</f>
        <v>2</v>
      </c>
      <c r="C39" s="0" t="str">
        <f aca="true">IF(OFFSET(C39,-1,0)="L",1,IF(OFFSET(C39,-1,0)=1,2,IF(OR(A39="s",A39=0),"S",IF(AND(OFFSET(C39,-1,0)=2,A39=4),3,IF(AND(OR(OFFSET(C39,-1,0)="s",OFFSET(C39,-1,0)=0),A39&lt;&gt;"s",A39&gt;OFFSET(B39,-1,0)),OFFSET(B39,-1,0),A39)))))</f>
        <v>S</v>
      </c>
      <c r="D39" s="0" t="n">
        <f aca="false">IF(OR(C39="S",C39=0),0,IF(ISERROR(K39),J39,SMALL(J39:K39,1)))</f>
        <v>0</v>
      </c>
      <c r="E39" s="0" t="n">
        <f aca="true">IF($C39=1,OFFSET(E39,-1,0)+MAX(1,COUNTIF(QCI!$A$13:$A$24,OFFSET(ORÇAMENTO!E39,-1,0))),OFFSET(E39,-1,0))</f>
        <v>1</v>
      </c>
      <c r="F39" s="0" t="n">
        <f aca="true">IF($C39=1,0,IF($C39=2,OFFSET(F39,-1,0)+1,OFFSET(F39,-1,0)))</f>
        <v>7</v>
      </c>
      <c r="G39" s="0" t="n">
        <f aca="true">IF(AND($C39&lt;=2,$C39&lt;&gt;0),0,IF($C39=3,OFFSET(G39,-1,0)+1,OFFSET(G39,-1,0)))</f>
        <v>0</v>
      </c>
      <c r="H39" s="0" t="n">
        <f aca="true">IF(AND($C39&lt;=3,$C39&lt;&gt;0),0,IF($C39=4,OFFSET(H39,-1,0)+1,OFFSET(H39,-1,0)))</f>
        <v>0</v>
      </c>
      <c r="I39" s="0" t="n">
        <f aca="true">IF(AND($C39&lt;=4,$C39&lt;&gt;0),0,IF(AND($C39="S",$X39&gt;0),OFFSET(I39,-1,0)+1,OFFSET(I39,-1,0)))</f>
        <v>0</v>
      </c>
      <c r="J39" s="0" t="n">
        <f aca="true">IF(OR($C39="S",$C39=0),0,MATCH(0,OFFSET($D39,1,$C39,ROW($C$59)-ROW($C39)),0))</f>
        <v>0</v>
      </c>
      <c r="K39" s="0" t="n">
        <f aca="true">IF(OR($C39="S",$C39=0),0,MATCH(OFFSET($D39,0,$C39)+IF($C39&lt;&gt;1,1,COUNTIF(QCI!$A$13:$A$24,ORÇAMENTO!E39)),OFFSET($D39,1,$C39,ROW($C$59)-ROW($C39)),0))</f>
        <v>0</v>
      </c>
      <c r="L39" s="185" t="str">
        <f aca="false">IF(OR($X39&gt;0,$C39=1,$C39=2,$C39=3,$C39=4),"F","")</f>
        <v/>
      </c>
      <c r="M39" s="186" t="s">
        <v>251</v>
      </c>
      <c r="N39" s="187" t="str">
        <f aca="false">CHOOSE(1+LOG(1+2*(C39=1)+4*(C39=2)+8*(C39=3)+16*(C39=4)+32*(C39="S"),2),"","Meta","Nível 2","Nível 3","Nível 4","Serviço")</f>
        <v>Serviço</v>
      </c>
      <c r="O39" s="188" t="str">
        <f aca="false">IF(OR($C39=0,$L39=""),"-",CONCATENATE(E39&amp;".",IF(AND($A$5&gt;=2,$C39&gt;=2),F39&amp;".",""),IF(AND($A$5&gt;=3,$C39&gt;=3),G39&amp;".",""),IF(AND($A$5&gt;=4,$C39&gt;=4),H39&amp;".",""),IF($C39="S",I39&amp;".","")))</f>
        <v>-</v>
      </c>
      <c r="P39" s="189" t="s">
        <v>317</v>
      </c>
      <c r="Q39" s="223" t="s">
        <v>322</v>
      </c>
      <c r="R39" s="191" t="str">
        <f aca="true">IF($C39="S",REFERENCIA.Descricao,"(digite a descrição aqui)")</f>
        <v>(abra o arquivo 'Referência 02-Thursday.xlsm)</v>
      </c>
      <c r="S39" s="192" t="str">
        <f aca="true">REFERENCIA.Unidade</f>
        <v>-</v>
      </c>
      <c r="T39" s="193" t="n">
        <f aca="true">OFFSET(CÁLCULO!H$15,ROW($T39)-ROW(T$15),0)</f>
        <v>675</v>
      </c>
      <c r="U39" s="194" t="n">
        <f aca="false">AG39</f>
        <v>0</v>
      </c>
      <c r="V39" s="195" t="s">
        <v>208</v>
      </c>
      <c r="W39" s="193" t="n">
        <f aca="false">IF($C39="S",ROUND(IF(TIPOORCAMENTO="Proposto",ORÇAMENTO.CustoUnitario*(1+$AH39),ORÇAMENTO.PrecoUnitarioLicitado),15-13*$AF$10),0)</f>
        <v>0</v>
      </c>
      <c r="X39" s="196" t="n">
        <f aca="true">IF($C39="S",IF(Import.TipoArredondamento&lt;&gt;"TransfereGOV",VTOTAL1,SUM(OFFSET(CÁLCULO!$AA$15,ROW($X39)-ROW($X$15),1):OFFSET(CÁLCULO!$AL$15,ROW($X39)-ROW($X$15),-1))),IF($C39=0,0,ROUND(SomaAgrup,15-13*$AF$11)))</f>
        <v>0</v>
      </c>
      <c r="Y39" s="197" t="s">
        <v>298</v>
      </c>
      <c r="Z39" s="0" t="str">
        <f aca="false">IF(AND($C39="S",$X39&gt;0),IF(ISBLANK($Y39),"RA",LEFT($Y39,2)),"")</f>
        <v/>
      </c>
      <c r="AA39" s="198" t="n">
        <f aca="true">IF($C39="S",IF($Z39="CP",$X39,IF($Z39="RA",(($X39)*QCI!$AA$3),0)),SomaAgrup)</f>
        <v>0</v>
      </c>
      <c r="AB39" s="199" t="n">
        <f aca="true">IF($C39="S",IF($Z39="OU",ROUND($X39,2),0),SomaAgrup)</f>
        <v>0</v>
      </c>
      <c r="AC39" s="200" t="str">
        <f aca="false">IF($N39="","",IF(ORÇAMENTO.Descricao="","DESCRIÇÃO",IF(AND($C39="S",ORÇAMENTO.Unidade=""),"UNIDADE",IF($X39&lt;0,"VALOR NEGATIVO",IF(OR(AND(TIPOORCAMENTO="Proposto",$AG39&lt;&gt;"",$AG39&gt;0,ORÇAMENTO.CustoUnitario&gt;$AG39),AND(TIPOORCAMENTO="LICITADO",ORÇAMENTO.PrecoUnitarioLicitado&gt;$AN39)),"ACIMA REF.","")))))</f>
        <v/>
      </c>
      <c r="AD39" s="0" t="str">
        <f aca="true">IF(C39&lt;=CRONO.NivelExibicao,MAX($AD$15:OFFSET(AD39,-1,0))+IF($C39&lt;&gt;1,1,MAX(1,COUNTIF(QCI!$A$13:$A$24,OFFSET($E39,-1,0)))),"")</f>
        <v/>
      </c>
      <c r="AE39" s="34" t="str">
        <f aca="false">IF(AND($C39="S",ORÇAMENTO.CodBarra&lt;&gt;""),IF(ORÇAMENTO.Fonte="",ORÇAMENTO.CodBarra,CONCATENATE(ORÇAMENTO.Fonte," ",ORÇAMENTO.CodBarra)))</f>
        <v>SICRO 4011276B</v>
      </c>
      <c r="AF39" s="42" t="str">
        <f aca="true">IF(ISERROR(INDIRECT(ORÇAMENTO.BancoRef)),"(abra o arquivo 'Referência "&amp;Excel_BuiltIn_Database&amp;".xlsm)",IF(OR($C39&lt;&gt;"S",ORÇAMENTO.CodBarra=""),"(Sem Código)",IF(ISERROR(MATCH($AE39,INDIRECT(ORÇAMENTO.BancoRef),0)),"(Código não identificado nas referências)",MATCH($AE39,INDIRECT(ORÇAMENTO.BancoRef),0))))</f>
        <v>(abra o arquivo 'Referência 02-Thursday.xlsm)</v>
      </c>
      <c r="AG39" s="202" t="n">
        <f aca="true">ROUND(IF(DESONERACAO="sim",REFERENCIA.Desonerado,REFERENCIA.NaoDesonerado),2)</f>
        <v>0</v>
      </c>
      <c r="AH39" s="203" t="n">
        <f aca="false">ROUND(IF(ISNUMBER(ORÇAMENTO.OpcaoBDI),ORÇAMENTO.OpcaoBDI,IF(LEFT(ORÇAMENTO.OpcaoBDI,3)="BDI",HLOOKUP(ORÇAMENTO.OpcaoBDI,$F$4:$H$5,2,FALSE()),0)),15-11*$AF$9)</f>
        <v>0.22</v>
      </c>
      <c r="AJ39" s="204" t="n">
        <f aca="false">AJ36</f>
        <v>675</v>
      </c>
      <c r="AL39" s="205"/>
      <c r="AM39" s="206" t="n">
        <f aca="false">$X39</f>
        <v>0</v>
      </c>
      <c r="AN39" s="207" t="n">
        <f aca="false">ROUND(ORÇAMENTO.CustoUnitario*(1+$AH39),2)</f>
        <v>0</v>
      </c>
    </row>
    <row r="40" customFormat="false" ht="12.75" hidden="false" customHeight="false" outlineLevel="0" collapsed="false">
      <c r="A40" s="0" t="str">
        <f aca="false">CHOOSE(1+LOG(1+2*(ORÇAMENTO.Nivel="Meta")+4*(ORÇAMENTO.Nivel="Nível 2")+8*(ORÇAMENTO.Nivel="Nível 3")+16*(ORÇAMENTO.Nivel="Nível 4")+32*(ORÇAMENTO.Nivel="Serviço"),2),0,1,2,3,4,"S")</f>
        <v>S</v>
      </c>
      <c r="B40" s="0" t="n">
        <f aca="true">IF(OR(C40="s",C40=0),OFFSET(B40,-1,0),C40)</f>
        <v>2</v>
      </c>
      <c r="C40" s="0" t="str">
        <f aca="true">IF(OFFSET(C40,-1,0)="L",1,IF(OFFSET(C40,-1,0)=1,2,IF(OR(A40="s",A40=0),"S",IF(AND(OFFSET(C40,-1,0)=2,A40=4),3,IF(AND(OR(OFFSET(C40,-1,0)="s",OFFSET(C40,-1,0)=0),A40&lt;&gt;"s",A40&gt;OFFSET(B40,-1,0)),OFFSET(B40,-1,0),A40)))))</f>
        <v>S</v>
      </c>
      <c r="D40" s="0" t="n">
        <f aca="false">IF(OR(C40="S",C40=0),0,IF(ISERROR(K40),J40,SMALL(J40:K40,1)))</f>
        <v>0</v>
      </c>
      <c r="E40" s="0" t="n">
        <f aca="true">IF($C40=1,OFFSET(E40,-1,0)+MAX(1,COUNTIF(QCI!$A$13:$A$24,OFFSET(ORÇAMENTO!E40,-1,0))),OFFSET(E40,-1,0))</f>
        <v>1</v>
      </c>
      <c r="F40" s="0" t="n">
        <f aca="true">IF($C40=1,0,IF($C40=2,OFFSET(F40,-1,0)+1,OFFSET(F40,-1,0)))</f>
        <v>7</v>
      </c>
      <c r="G40" s="0" t="n">
        <f aca="true">IF(AND($C40&lt;=2,$C40&lt;&gt;0),0,IF($C40=3,OFFSET(G40,-1,0)+1,OFFSET(G40,-1,0)))</f>
        <v>0</v>
      </c>
      <c r="H40" s="0" t="n">
        <f aca="true">IF(AND($C40&lt;=3,$C40&lt;&gt;0),0,IF($C40=4,OFFSET(H40,-1,0)+1,OFFSET(H40,-1,0)))</f>
        <v>0</v>
      </c>
      <c r="I40" s="0" t="n">
        <f aca="true">IF(AND($C40&lt;=4,$C40&lt;&gt;0),0,IF(AND($C40="S",$X40&gt;0),OFFSET(I40,-1,0)+1,OFFSET(I40,-1,0)))</f>
        <v>0</v>
      </c>
      <c r="J40" s="0" t="n">
        <f aca="true">IF(OR($C40="S",$C40=0),0,MATCH(0,OFFSET($D40,1,$C40,ROW($C$59)-ROW($C40)),0))</f>
        <v>0</v>
      </c>
      <c r="K40" s="0" t="n">
        <f aca="true">IF(OR($C40="S",$C40=0),0,MATCH(OFFSET($D40,0,$C40)+IF($C40&lt;&gt;1,1,COUNTIF(QCI!$A$13:$A$24,ORÇAMENTO!E40)),OFFSET($D40,1,$C40,ROW($C$59)-ROW($C40)),0))</f>
        <v>0</v>
      </c>
      <c r="L40" s="185" t="str">
        <f aca="false">IF(OR($X40&gt;0,$C40=1,$C40=2,$C40=3,$C40=4),"F","")</f>
        <v/>
      </c>
      <c r="M40" s="186" t="s">
        <v>251</v>
      </c>
      <c r="N40" s="187" t="str">
        <f aca="false">CHOOSE(1+LOG(1+2*(C40=1)+4*(C40=2)+8*(C40=3)+16*(C40=4)+32*(C40="S"),2),"","Meta","Nível 2","Nível 3","Nível 4","Serviço")</f>
        <v>Serviço</v>
      </c>
      <c r="O40" s="188" t="str">
        <f aca="false">IF(OR($C40=0,$L40=""),"-",CONCATENATE(E40&amp;".",IF(AND($A$5&gt;=2,$C40&gt;=2),F40&amp;".",""),IF(AND($A$5&gt;=3,$C40&gt;=3),G40&amp;".",""),IF(AND($A$5&gt;=4,$C40&gt;=4),H40&amp;".",""),IF($C40="S",I40&amp;".","")))</f>
        <v>-</v>
      </c>
      <c r="P40" s="189" t="s">
        <v>317</v>
      </c>
      <c r="Q40" s="223" t="s">
        <v>323</v>
      </c>
      <c r="R40" s="191" t="str">
        <f aca="true">IF($C40="S",REFERENCIA.Descricao,"(digite a descrição aqui)")</f>
        <v>(abra o arquivo 'Referência 02-Thursday.xlsm)</v>
      </c>
      <c r="S40" s="192" t="str">
        <f aca="true">REFERENCIA.Unidade</f>
        <v>-</v>
      </c>
      <c r="T40" s="193" t="n">
        <f aca="true">OFFSET(CÁLCULO!H$15,ROW($T40)-ROW(T$15),0)</f>
        <v>121975.88</v>
      </c>
      <c r="U40" s="194" t="n">
        <f aca="false">AG40</f>
        <v>0</v>
      </c>
      <c r="V40" s="195" t="s">
        <v>208</v>
      </c>
      <c r="W40" s="193" t="n">
        <f aca="false">IF($C40="S",ROUND(IF(TIPOORCAMENTO="Proposto",ORÇAMENTO.CustoUnitario*(1+$AH40),ORÇAMENTO.PrecoUnitarioLicitado),15-13*$AF$10),0)</f>
        <v>0</v>
      </c>
      <c r="X40" s="196" t="n">
        <f aca="true">IF($C40="S",IF(Import.TipoArredondamento&lt;&gt;"TransfereGOV",VTOTAL1,SUM(OFFSET(CÁLCULO!$AA$15,ROW($X40)-ROW($X$15),1):OFFSET(CÁLCULO!$AL$15,ROW($X40)-ROW($X$15),-1))),IF($C40=0,0,ROUND(SomaAgrup,15-13*$AF$11)))</f>
        <v>0</v>
      </c>
      <c r="Y40" s="197" t="s">
        <v>298</v>
      </c>
      <c r="Z40" s="0" t="str">
        <f aca="false">IF(AND($C40="S",$X40&gt;0),IF(ISBLANK($Y40),"RA",LEFT($Y40,2)),"")</f>
        <v/>
      </c>
      <c r="AA40" s="198" t="n">
        <f aca="true">IF($C40="S",IF($Z40="CP",$X40,IF($Z40="RA",(($X40)*QCI!$AA$3),0)),SomaAgrup)</f>
        <v>0</v>
      </c>
      <c r="AB40" s="199" t="n">
        <f aca="true">IF($C40="S",IF($Z40="OU",ROUND($X40,2),0),SomaAgrup)</f>
        <v>0</v>
      </c>
      <c r="AC40" s="200" t="str">
        <f aca="false">IF($N40="","",IF(ORÇAMENTO.Descricao="","DESCRIÇÃO",IF(AND($C40="S",ORÇAMENTO.Unidade=""),"UNIDADE",IF($X40&lt;0,"VALOR NEGATIVO",IF(OR(AND(TIPOORCAMENTO="Proposto",$AG40&lt;&gt;"",$AG40&gt;0,ORÇAMENTO.CustoUnitario&gt;$AG40),AND(TIPOORCAMENTO="LICITADO",ORÇAMENTO.PrecoUnitarioLicitado&gt;$AN40)),"ACIMA REF.","")))))</f>
        <v/>
      </c>
      <c r="AD40" s="0" t="str">
        <f aca="true">IF(C40&lt;=CRONO.NivelExibicao,MAX($AD$15:OFFSET(AD40,-1,0))+IF($C40&lt;&gt;1,1,MAX(1,COUNTIF(QCI!$A$13:$A$24,OFFSET($E40,-1,0)))),"")</f>
        <v/>
      </c>
      <c r="AE40" s="34" t="str">
        <f aca="false">IF(AND($C40="S",ORÇAMENTO.CodBarra&lt;&gt;""),IF(ORÇAMENTO.Fonte="",ORÇAMENTO.CodBarra,CONCATENATE(ORÇAMENTO.Fonte," ",ORÇAMENTO.CodBarra)))</f>
        <v>SICRO 5915321</v>
      </c>
      <c r="AF40" s="42" t="str">
        <f aca="true">IF(ISERROR(INDIRECT(ORÇAMENTO.BancoRef)),"(abra o arquivo 'Referência "&amp;Excel_BuiltIn_Database&amp;".xlsm)",IF(OR($C40&lt;&gt;"S",ORÇAMENTO.CodBarra=""),"(Sem Código)",IF(ISERROR(MATCH($AE40,INDIRECT(ORÇAMENTO.BancoRef),0)),"(Código não identificado nas referências)",MATCH($AE40,INDIRECT(ORÇAMENTO.BancoRef),0))))</f>
        <v>(abra o arquivo 'Referência 02-Thursday.xlsm)</v>
      </c>
      <c r="AG40" s="202" t="n">
        <f aca="true">ROUND(IF(DESONERACAO="sim",REFERENCIA.Desonerado,REFERENCIA.NaoDesonerado),2)</f>
        <v>0</v>
      </c>
      <c r="AH40" s="203" t="n">
        <f aca="false">ROUND(IF(ISNUMBER(ORÇAMENTO.OpcaoBDI),ORÇAMENTO.OpcaoBDI,IF(LEFT(ORÇAMENTO.OpcaoBDI,3)="BDI",HLOOKUP(ORÇAMENTO.OpcaoBDI,$F$4:$H$5,2,FALSE()),0)),15-11*$AF$9)</f>
        <v>0.22</v>
      </c>
      <c r="AJ40" s="204" t="n">
        <f aca="false">AJ39*1.6*86.05</f>
        <v>92934</v>
      </c>
      <c r="AL40" s="205"/>
      <c r="AM40" s="206" t="n">
        <f aca="false">$X40</f>
        <v>0</v>
      </c>
      <c r="AN40" s="207" t="n">
        <f aca="false">ROUND(ORÇAMENTO.CustoUnitario*(1+$AH40),2)</f>
        <v>0</v>
      </c>
    </row>
    <row r="41" customFormat="false" ht="12.75" hidden="false" customHeight="false" outlineLevel="0" collapsed="false">
      <c r="A41" s="0" t="str">
        <f aca="false">CHOOSE(1+LOG(1+2*(ORÇAMENTO.Nivel="Meta")+4*(ORÇAMENTO.Nivel="Nível 2")+8*(ORÇAMENTO.Nivel="Nível 3")+16*(ORÇAMENTO.Nivel="Nível 4")+32*(ORÇAMENTO.Nivel="Serviço"),2),0,1,2,3,4,"S")</f>
        <v>S</v>
      </c>
      <c r="B41" s="0" t="n">
        <f aca="true">IF(OR(C41="s",C41=0),OFFSET(B41,-1,0),C41)</f>
        <v>2</v>
      </c>
      <c r="C41" s="0" t="str">
        <f aca="true">IF(OFFSET(C41,-1,0)="L",1,IF(OFFSET(C41,-1,0)=1,2,IF(OR(A41="s",A41=0),"S",IF(AND(OFFSET(C41,-1,0)=2,A41=4),3,IF(AND(OR(OFFSET(C41,-1,0)="s",OFFSET(C41,-1,0)=0),A41&lt;&gt;"s",A41&gt;OFFSET(B41,-1,0)),OFFSET(B41,-1,0),A41)))))</f>
        <v>S</v>
      </c>
      <c r="D41" s="0" t="n">
        <f aca="false">IF(OR(C41="S",C41=0),0,IF(ISERROR(K41),J41,SMALL(J41:K41,1)))</f>
        <v>0</v>
      </c>
      <c r="E41" s="0" t="n">
        <f aca="true">IF($C41=1,OFFSET(E41,-1,0)+MAX(1,COUNTIF(QCI!$A$13:$A$24,OFFSET(ORÇAMENTO!E41,-1,0))),OFFSET(E41,-1,0))</f>
        <v>1</v>
      </c>
      <c r="F41" s="0" t="n">
        <f aca="true">IF($C41=1,0,IF($C41=2,OFFSET(F41,-1,0)+1,OFFSET(F41,-1,0)))</f>
        <v>7</v>
      </c>
      <c r="G41" s="0" t="n">
        <f aca="true">IF(AND($C41&lt;=2,$C41&lt;&gt;0),0,IF($C41=3,OFFSET(G41,-1,0)+1,OFFSET(G41,-1,0)))</f>
        <v>0</v>
      </c>
      <c r="H41" s="0" t="n">
        <f aca="true">IF(AND($C41&lt;=3,$C41&lt;&gt;0),0,IF($C41=4,OFFSET(H41,-1,0)+1,OFFSET(H41,-1,0)))</f>
        <v>0</v>
      </c>
      <c r="I41" s="0" t="n">
        <f aca="true">IF(AND($C41&lt;=4,$C41&lt;&gt;0),0,IF(AND($C41="S",$X41&gt;0),OFFSET(I41,-1,0)+1,OFFSET(I41,-1,0)))</f>
        <v>0</v>
      </c>
      <c r="J41" s="0" t="n">
        <f aca="true">IF(OR($C41="S",$C41=0),0,MATCH(0,OFFSET($D41,1,$C41,ROW($C$59)-ROW($C41)),0))</f>
        <v>0</v>
      </c>
      <c r="K41" s="0" t="n">
        <f aca="true">IF(OR($C41="S",$C41=0),0,MATCH(OFFSET($D41,0,$C41)+IF($C41&lt;&gt;1,1,COUNTIF(QCI!$A$13:$A$24,ORÇAMENTO!E41)),OFFSET($D41,1,$C41,ROW($C$59)-ROW($C41)),0))</f>
        <v>0</v>
      </c>
      <c r="L41" s="185" t="str">
        <f aca="false">IF(OR($X41&gt;0,$C41=1,$C41=2,$C41=3,$C41=4),"F","")</f>
        <v/>
      </c>
      <c r="M41" s="186" t="s">
        <v>251</v>
      </c>
      <c r="N41" s="187" t="str">
        <f aca="false">CHOOSE(1+LOG(1+2*(C41=1)+4*(C41=2)+8*(C41=3)+16*(C41=4)+32*(C41="S"),2),"","Meta","Nível 2","Nível 3","Nível 4","Serviço")</f>
        <v>Serviço</v>
      </c>
      <c r="O41" s="188" t="str">
        <f aca="false">IF(OR($C41=0,$L41=""),"-",CONCATENATE(E41&amp;".",IF(AND($A$5&gt;=2,$C41&gt;=2),F41&amp;".",""),IF(AND($A$5&gt;=3,$C41&gt;=3),G41&amp;".",""),IF(AND($A$5&gt;=4,$C41&gt;=4),H41&amp;".",""),IF($C41="S",I41&amp;".","")))</f>
        <v>-</v>
      </c>
      <c r="P41" s="189" t="s">
        <v>304</v>
      </c>
      <c r="Q41" s="223" t="s">
        <v>325</v>
      </c>
      <c r="R41" s="191" t="str">
        <f aca="true">IF($C41="S",REFERENCIA.Descricao,"(digite a descrição aqui)")</f>
        <v>(abra o arquivo 'Referência 02-Thursday.xlsm)</v>
      </c>
      <c r="S41" s="192" t="str">
        <f aca="true">REFERENCIA.Unidade</f>
        <v>-</v>
      </c>
      <c r="T41" s="193" t="n">
        <f aca="true">OFFSET(CÁLCULO!H$15,ROW($T41)-ROW(T$15),0)</f>
        <v>3375</v>
      </c>
      <c r="U41" s="194" t="n">
        <f aca="false">AG41</f>
        <v>0</v>
      </c>
      <c r="V41" s="195" t="s">
        <v>208</v>
      </c>
      <c r="W41" s="193" t="n">
        <f aca="false">IF($C41="S",ROUND(IF(TIPOORCAMENTO="Proposto",ORÇAMENTO.CustoUnitario*(1+$AH41),ORÇAMENTO.PrecoUnitarioLicitado),15-13*$AF$10),0)</f>
        <v>0</v>
      </c>
      <c r="X41" s="196" t="n">
        <f aca="true">IF($C41="S",IF(Import.TipoArredondamento&lt;&gt;"TransfereGOV",VTOTAL1,SUM(OFFSET(CÁLCULO!$AA$15,ROW($X41)-ROW($X$15),1):OFFSET(CÁLCULO!$AL$15,ROW($X41)-ROW($X$15),-1))),IF($C41=0,0,ROUND(SomaAgrup,15-13*$AF$11)))</f>
        <v>0</v>
      </c>
      <c r="Y41" s="197" t="s">
        <v>298</v>
      </c>
      <c r="Z41" s="0" t="str">
        <f aca="false">IF(AND($C41="S",$X41&gt;0),IF(ISBLANK($Y41),"RA",LEFT($Y41,2)),"")</f>
        <v/>
      </c>
      <c r="AA41" s="198" t="n">
        <f aca="true">IF($C41="S",IF($Z41="CP",$X41,IF($Z41="RA",(($X41)*QCI!$AA$3),0)),SomaAgrup)</f>
        <v>0</v>
      </c>
      <c r="AB41" s="199" t="n">
        <f aca="true">IF($C41="S",IF($Z41="OU",ROUND($X41,2),0),SomaAgrup)</f>
        <v>0</v>
      </c>
      <c r="AC41" s="200" t="str">
        <f aca="false">IF($N41="","",IF(ORÇAMENTO.Descricao="","DESCRIÇÃO",IF(AND($C41="S",ORÇAMENTO.Unidade=""),"UNIDADE",IF($X41&lt;0,"VALOR NEGATIVO",IF(OR(AND(TIPOORCAMENTO="Proposto",$AG41&lt;&gt;"",$AG41&gt;0,ORÇAMENTO.CustoUnitario&gt;$AG41),AND(TIPOORCAMENTO="LICITADO",ORÇAMENTO.PrecoUnitarioLicitado&gt;$AN41)),"ACIMA REF.","")))))</f>
        <v/>
      </c>
      <c r="AD41" s="0" t="str">
        <f aca="true">IF(C41&lt;=CRONO.NivelExibicao,MAX($AD$15:OFFSET(AD41,-1,0))+IF($C41&lt;&gt;1,1,MAX(1,COUNTIF(QCI!$A$13:$A$24,OFFSET($E41,-1,0)))),"")</f>
        <v/>
      </c>
      <c r="AE41" s="34" t="str">
        <f aca="false">IF(AND($C41="S",ORÇAMENTO.CodBarra&lt;&gt;""),IF(ORÇAMENTO.Fonte="",ORÇAMENTO.CodBarra,CONCATENATE(ORÇAMENTO.Fonte," ",ORÇAMENTO.CodBarra)))</f>
        <v>Composição CPU-025</v>
      </c>
      <c r="AF41" s="42" t="str">
        <f aca="true">IF(ISERROR(INDIRECT(ORÇAMENTO.BancoRef)),"(abra o arquivo 'Referência "&amp;Excel_BuiltIn_Database&amp;".xlsm)",IF(OR($C41&lt;&gt;"S",ORÇAMENTO.CodBarra=""),"(Sem Código)",IF(ISERROR(MATCH($AE41,INDIRECT(ORÇAMENTO.BancoRef),0)),"(Código não identificado nas referências)",MATCH($AE41,INDIRECT(ORÇAMENTO.BancoRef),0))))</f>
        <v>(abra o arquivo 'Referência 02-Thursday.xlsm)</v>
      </c>
      <c r="AG41" s="202" t="n">
        <f aca="true">ROUND(IF(DESONERACAO="sim",REFERENCIA.Desonerado,REFERENCIA.NaoDesonerado),2)</f>
        <v>0</v>
      </c>
      <c r="AH41" s="203" t="n">
        <f aca="false">ROUND(IF(ISNUMBER(ORÇAMENTO.OpcaoBDI),ORÇAMENTO.OpcaoBDI,IF(LEFT(ORÇAMENTO.OpcaoBDI,3)="BDI",HLOOKUP(ORÇAMENTO.OpcaoBDI,$F$4:$H$5,2,FALSE()),0)),15-11*$AF$9)</f>
        <v>0.22</v>
      </c>
      <c r="AJ41" s="204" t="n">
        <f aca="false">AJ39/0.2</f>
        <v>3375</v>
      </c>
      <c r="AL41" s="205"/>
      <c r="AM41" s="206" t="n">
        <f aca="false">$X41</f>
        <v>0</v>
      </c>
      <c r="AN41" s="207" t="n">
        <f aca="false">ROUND(ORÇAMENTO.CustoUnitario*(1+$AH41),2)</f>
        <v>0</v>
      </c>
    </row>
    <row r="42" customFormat="false" ht="12.75" hidden="false" customHeight="false" outlineLevel="0" collapsed="false">
      <c r="A42" s="0" t="str">
        <f aca="false">CHOOSE(1+LOG(1+2*(ORÇAMENTO.Nivel="Meta")+4*(ORÇAMENTO.Nivel="Nível 2")+8*(ORÇAMENTO.Nivel="Nível 3")+16*(ORÇAMENTO.Nivel="Nível 4")+32*(ORÇAMENTO.Nivel="Serviço"),2),0,1,2,3,4,"S")</f>
        <v>S</v>
      </c>
      <c r="B42" s="0" t="n">
        <f aca="true">IF(OR(C42="s",C42=0),OFFSET(B42,-1,0),C42)</f>
        <v>2</v>
      </c>
      <c r="C42" s="0" t="str">
        <f aca="true">IF(OFFSET(C42,-1,0)="L",1,IF(OFFSET(C42,-1,0)=1,2,IF(OR(A42="s",A42=0),"S",IF(AND(OFFSET(C42,-1,0)=2,A42=4),3,IF(AND(OR(OFFSET(C42,-1,0)="s",OFFSET(C42,-1,0)=0),A42&lt;&gt;"s",A42&gt;OFFSET(B42,-1,0)),OFFSET(B42,-1,0),A42)))))</f>
        <v>S</v>
      </c>
      <c r="D42" s="0" t="n">
        <f aca="false">IF(OR(C42="S",C42=0),0,IF(ISERROR(K42),J42,SMALL(J42:K42,1)))</f>
        <v>0</v>
      </c>
      <c r="E42" s="0" t="n">
        <f aca="true">IF($C42=1,OFFSET(E42,-1,0)+MAX(1,COUNTIF(QCI!$A$13:$A$24,OFFSET(ORÇAMENTO!E42,-1,0))),OFFSET(E42,-1,0))</f>
        <v>1</v>
      </c>
      <c r="F42" s="0" t="n">
        <f aca="true">IF($C42=1,0,IF($C42=2,OFFSET(F42,-1,0)+1,OFFSET(F42,-1,0)))</f>
        <v>7</v>
      </c>
      <c r="G42" s="0" t="n">
        <f aca="true">IF(AND($C42&lt;=2,$C42&lt;&gt;0),0,IF($C42=3,OFFSET(G42,-1,0)+1,OFFSET(G42,-1,0)))</f>
        <v>0</v>
      </c>
      <c r="H42" s="0" t="n">
        <f aca="true">IF(AND($C42&lt;=3,$C42&lt;&gt;0),0,IF($C42=4,OFFSET(H42,-1,0)+1,OFFSET(H42,-1,0)))</f>
        <v>0</v>
      </c>
      <c r="I42" s="0" t="n">
        <f aca="true">IF(AND($C42&lt;=4,$C42&lt;&gt;0),0,IF(AND($C42="S",$X42&gt;0),OFFSET(I42,-1,0)+1,OFFSET(I42,-1,0)))</f>
        <v>0</v>
      </c>
      <c r="J42" s="0" t="n">
        <f aca="true">IF(OR($C42="S",$C42=0),0,MATCH(0,OFFSET($D42,1,$C42,ROW($C$59)-ROW($C42)),0))</f>
        <v>0</v>
      </c>
      <c r="K42" s="0" t="n">
        <f aca="true">IF(OR($C42="S",$C42=0),0,MATCH(OFFSET($D42,0,$C42)+IF($C42&lt;&gt;1,1,COUNTIF(QCI!$A$13:$A$24,ORÇAMENTO!E42)),OFFSET($D42,1,$C42,ROW($C$59)-ROW($C42)),0))</f>
        <v>0</v>
      </c>
      <c r="L42" s="185" t="str">
        <f aca="false">IF(OR($X42&gt;0,$C42=1,$C42=2,$C42=3,$C42=4),"F","")</f>
        <v/>
      </c>
      <c r="M42" s="186" t="s">
        <v>251</v>
      </c>
      <c r="N42" s="187" t="str">
        <f aca="false">CHOOSE(1+LOG(1+2*(C42=1)+4*(C42=2)+8*(C42=3)+16*(C42=4)+32*(C42="S"),2),"","Meta","Nível 2","Nível 3","Nível 4","Serviço")</f>
        <v>Serviço</v>
      </c>
      <c r="O42" s="188" t="str">
        <f aca="false">IF(OR($C42=0,$L42=""),"-",CONCATENATE(E42&amp;".",IF(AND($A$5&gt;=2,$C42&gt;=2),F42&amp;".",""),IF(AND($A$5&gt;=3,$C42&gt;=3),G42&amp;".",""),IF(AND($A$5&gt;=4,$C42&gt;=4),H42&amp;".",""),IF($C42="S",I42&amp;".","")))</f>
        <v>-</v>
      </c>
      <c r="P42" s="189" t="s">
        <v>297</v>
      </c>
      <c r="Q42" s="223" t="s">
        <v>326</v>
      </c>
      <c r="R42" s="191" t="str">
        <f aca="true">IF($C42="S",REFERENCIA.Descricao,"(digite a descrição aqui)")</f>
        <v>(abra o arquivo 'Referência 02-Thursday.xlsm)</v>
      </c>
      <c r="S42" s="192" t="str">
        <f aca="true">REFERENCIA.Unidade</f>
        <v>-</v>
      </c>
      <c r="T42" s="193" t="n">
        <f aca="true">OFFSET(CÁLCULO!H$15,ROW($T42)-ROW(T$15),0)</f>
        <v>121.5</v>
      </c>
      <c r="U42" s="194" t="n">
        <f aca="false">AG42</f>
        <v>0</v>
      </c>
      <c r="V42" s="195" t="s">
        <v>208</v>
      </c>
      <c r="W42" s="193" t="n">
        <f aca="false">IF($C42="S",ROUND(IF(TIPOORCAMENTO="Proposto",ORÇAMENTO.CustoUnitario*(1+$AH42),ORÇAMENTO.PrecoUnitarioLicitado),15-13*$AF$10),0)</f>
        <v>0</v>
      </c>
      <c r="X42" s="196" t="n">
        <f aca="true">IF($C42="S",IF(Import.TipoArredondamento&lt;&gt;"TransfereGOV",VTOTAL1,SUM(OFFSET(CÁLCULO!$AA$15,ROW($X42)-ROW($X$15),1):OFFSET(CÁLCULO!$AL$15,ROW($X42)-ROW($X$15),-1))),IF($C42=0,0,ROUND(SomaAgrup,15-13*$AF$11)))</f>
        <v>0</v>
      </c>
      <c r="Y42" s="197" t="s">
        <v>298</v>
      </c>
      <c r="Z42" s="0" t="str">
        <f aca="false">IF(AND($C42="S",$X42&gt;0),IF(ISBLANK($Y42),"RA",LEFT($Y42,2)),"")</f>
        <v/>
      </c>
      <c r="AA42" s="198" t="n">
        <f aca="true">IF($C42="S",IF($Z42="CP",$X42,IF($Z42="RA",(($X42)*QCI!$AA$3),0)),SomaAgrup)</f>
        <v>0</v>
      </c>
      <c r="AB42" s="199" t="n">
        <f aca="true">IF($C42="S",IF($Z42="OU",ROUND($X42,2),0),SomaAgrup)</f>
        <v>0</v>
      </c>
      <c r="AC42" s="200" t="str">
        <f aca="false">IF($N42="","",IF(ORÇAMENTO.Descricao="","DESCRIÇÃO",IF(AND($C42="S",ORÇAMENTO.Unidade=""),"UNIDADE",IF($X42&lt;0,"VALOR NEGATIVO",IF(OR(AND(TIPOORCAMENTO="Proposto",$AG42&lt;&gt;"",$AG42&gt;0,ORÇAMENTO.CustoUnitario&gt;$AG42),AND(TIPOORCAMENTO="LICITADO",ORÇAMENTO.PrecoUnitarioLicitado&gt;$AN42)),"ACIMA REF.","")))))</f>
        <v/>
      </c>
      <c r="AD42" s="0" t="str">
        <f aca="true">IF(C42&lt;=CRONO.NivelExibicao,MAX($AD$15:OFFSET(AD42,-1,0))+IF($C42&lt;&gt;1,1,MAX(1,COUNTIF(QCI!$A$13:$A$24,OFFSET($E42,-1,0)))),"")</f>
        <v/>
      </c>
      <c r="AE42" s="34" t="str">
        <f aca="false">IF(AND($C42="S",ORÇAMENTO.CodBarra&lt;&gt;""),IF(ORÇAMENTO.Fonte="",ORÇAMENTO.CodBarra,CONCATENATE(ORÇAMENTO.Fonte," ",ORÇAMENTO.CodBarra)))</f>
        <v>SINAPI 102332</v>
      </c>
      <c r="AF42" s="42" t="str">
        <f aca="true">IF(ISERROR(INDIRECT(ORÇAMENTO.BancoRef)),"(abra o arquivo 'Referência "&amp;Excel_BuiltIn_Database&amp;".xlsm)",IF(OR($C42&lt;&gt;"S",ORÇAMENTO.CodBarra=""),"(Sem Código)",IF(ISERROR(MATCH($AE42,INDIRECT(ORÇAMENTO.BancoRef),0)),"(Código não identificado nas referências)",MATCH($AE42,INDIRECT(ORÇAMENTO.BancoRef),0))))</f>
        <v>(abra o arquivo 'Referência 02-Thursday.xlsm)</v>
      </c>
      <c r="AG42" s="202" t="n">
        <f aca="true">ROUND(IF(DESONERACAO="sim",REFERENCIA.Desonerado,REFERENCIA.NaoDesonerado),2)</f>
        <v>0</v>
      </c>
      <c r="AH42" s="203" t="n">
        <f aca="false">ROUND(IF(ISNUMBER(ORÇAMENTO.OpcaoBDI),ORÇAMENTO.OpcaoBDI,IF(LEFT(ORÇAMENTO.OpcaoBDI,3)="BDI",HLOOKUP(ORÇAMENTO.OpcaoBDI,$F$4:$H$5,2,FALSE()),0)),15-11*$AF$9)</f>
        <v>0.22</v>
      </c>
      <c r="AJ42" s="204" t="n">
        <f aca="false">AJ41*0.0012*30</f>
        <v>121.5</v>
      </c>
      <c r="AL42" s="205"/>
      <c r="AM42" s="206" t="n">
        <f aca="false">$X42</f>
        <v>0</v>
      </c>
      <c r="AN42" s="207" t="n">
        <f aca="false">ROUND(ORÇAMENTO.CustoUnitario*(1+$AH42),2)</f>
        <v>0</v>
      </c>
    </row>
    <row r="43" customFormat="false" ht="12.75" hidden="false" customHeight="false" outlineLevel="0" collapsed="false">
      <c r="A43" s="0" t="str">
        <f aca="false">CHOOSE(1+LOG(1+2*(ORÇAMENTO.Nivel="Meta")+4*(ORÇAMENTO.Nivel="Nível 2")+8*(ORÇAMENTO.Nivel="Nível 3")+16*(ORÇAMENTO.Nivel="Nível 4")+32*(ORÇAMENTO.Nivel="Serviço"),2),0,1,2,3,4,"S")</f>
        <v>S</v>
      </c>
      <c r="B43" s="0" t="n">
        <f aca="true">IF(OR(C43="s",C43=0),OFFSET(B43,-1,0),C43)</f>
        <v>2</v>
      </c>
      <c r="C43" s="0" t="str">
        <f aca="true">IF(OFFSET(C43,-1,0)="L",1,IF(OFFSET(C43,-1,0)=1,2,IF(OR(A43="s",A43=0),"S",IF(AND(OFFSET(C43,-1,0)=2,A43=4),3,IF(AND(OR(OFFSET(C43,-1,0)="s",OFFSET(C43,-1,0)=0),A43&lt;&gt;"s",A43&gt;OFFSET(B43,-1,0)),OFFSET(B43,-1,0),A43)))))</f>
        <v>S</v>
      </c>
      <c r="D43" s="0" t="n">
        <f aca="false">IF(OR(C43="S",C43=0),0,IF(ISERROR(K43),J43,SMALL(J43:K43,1)))</f>
        <v>0</v>
      </c>
      <c r="E43" s="0" t="n">
        <f aca="true">IF($C43=1,OFFSET(E43,-1,0)+MAX(1,COUNTIF(QCI!$A$13:$A$24,OFFSET(ORÇAMENTO!E43,-1,0))),OFFSET(E43,-1,0))</f>
        <v>1</v>
      </c>
      <c r="F43" s="0" t="n">
        <f aca="true">IF($C43=1,0,IF($C43=2,OFFSET(F43,-1,0)+1,OFFSET(F43,-1,0)))</f>
        <v>7</v>
      </c>
      <c r="G43" s="0" t="n">
        <f aca="true">IF(AND($C43&lt;=2,$C43&lt;&gt;0),0,IF($C43=3,OFFSET(G43,-1,0)+1,OFFSET(G43,-1,0)))</f>
        <v>0</v>
      </c>
      <c r="H43" s="0" t="n">
        <f aca="true">IF(AND($C43&lt;=3,$C43&lt;&gt;0),0,IF($C43=4,OFFSET(H43,-1,0)+1,OFFSET(H43,-1,0)))</f>
        <v>0</v>
      </c>
      <c r="I43" s="0" t="n">
        <f aca="true">IF(AND($C43&lt;=4,$C43&lt;&gt;0),0,IF(AND($C43="S",$X43&gt;0),OFFSET(I43,-1,0)+1,OFFSET(I43,-1,0)))</f>
        <v>0</v>
      </c>
      <c r="J43" s="0" t="n">
        <f aca="true">IF(OR($C43="S",$C43=0),0,MATCH(0,OFFSET($D43,1,$C43,ROW($C$59)-ROW($C43)),0))</f>
        <v>0</v>
      </c>
      <c r="K43" s="0" t="n">
        <f aca="true">IF(OR($C43="S",$C43=0),0,MATCH(OFFSET($D43,0,$C43)+IF($C43&lt;&gt;1,1,COUNTIF(QCI!$A$13:$A$24,ORÇAMENTO!E43)),OFFSET($D43,1,$C43,ROW($C$59)-ROW($C43)),0))</f>
        <v>0</v>
      </c>
      <c r="L43" s="185" t="str">
        <f aca="false">IF(OR($X43&gt;0,$C43=1,$C43=2,$C43=3,$C43=4),"F","")</f>
        <v/>
      </c>
      <c r="M43" s="186" t="s">
        <v>251</v>
      </c>
      <c r="N43" s="187" t="str">
        <f aca="false">CHOOSE(1+LOG(1+2*(C43=1)+4*(C43=2)+8*(C43=3)+16*(C43=4)+32*(C43="S"),2),"","Meta","Nível 2","Nível 3","Nível 4","Serviço")</f>
        <v>Serviço</v>
      </c>
      <c r="O43" s="188" t="str">
        <f aca="false">IF(OR($C43=0,$L43=""),"-",CONCATENATE(E43&amp;".",IF(AND($A$5&gt;=2,$C43&gt;=2),F43&amp;".",""),IF(AND($A$5&gt;=3,$C43&gt;=3),G43&amp;".",""),IF(AND($A$5&gt;=4,$C43&gt;=4),H43&amp;".",""),IF($C43="S",I43&amp;".","")))</f>
        <v>-</v>
      </c>
      <c r="P43" s="189" t="s">
        <v>297</v>
      </c>
      <c r="Q43" s="223" t="s">
        <v>327</v>
      </c>
      <c r="R43" s="191" t="str">
        <f aca="true">IF($C43="S",REFERENCIA.Descricao,"(digite a descrição aqui)")</f>
        <v>(abra o arquivo 'Referência 02-Thursday.xlsm)</v>
      </c>
      <c r="S43" s="192" t="str">
        <f aca="true">REFERENCIA.Unidade</f>
        <v>-</v>
      </c>
      <c r="T43" s="193" t="n">
        <f aca="true">OFFSET(CÁLCULO!H$15,ROW($T43)-ROW(T$15),0)</f>
        <v>1255.5</v>
      </c>
      <c r="U43" s="194" t="n">
        <f aca="false">AG43</f>
        <v>0</v>
      </c>
      <c r="V43" s="195" t="s">
        <v>208</v>
      </c>
      <c r="W43" s="193" t="n">
        <f aca="false">IF($C43="S",ROUND(IF(TIPOORCAMENTO="Proposto",ORÇAMENTO.CustoUnitario*(1+$AH43),ORÇAMENTO.PrecoUnitarioLicitado),15-13*$AF$10),0)</f>
        <v>0</v>
      </c>
      <c r="X43" s="196" t="n">
        <f aca="true">IF($C43="S",IF(Import.TipoArredondamento&lt;&gt;"TransfereGOV",VTOTAL1,SUM(OFFSET(CÁLCULO!$AA$15,ROW($X43)-ROW($X$15),1):OFFSET(CÁLCULO!$AL$15,ROW($X43)-ROW($X$15),-1))),IF($C43=0,0,ROUND(SomaAgrup,15-13*$AF$11)))</f>
        <v>0</v>
      </c>
      <c r="Y43" s="197" t="s">
        <v>298</v>
      </c>
      <c r="Z43" s="0" t="str">
        <f aca="false">IF(AND($C43="S",$X43&gt;0),IF(ISBLANK($Y43),"RA",LEFT($Y43,2)),"")</f>
        <v/>
      </c>
      <c r="AA43" s="198" t="n">
        <f aca="true">IF($C43="S",IF($Z43="CP",$X43,IF($Z43="RA",(($X43)*QCI!$AA$3),0)),SomaAgrup)</f>
        <v>0</v>
      </c>
      <c r="AB43" s="199" t="n">
        <f aca="true">IF($C43="S",IF($Z43="OU",ROUND($X43,2),0),SomaAgrup)</f>
        <v>0</v>
      </c>
      <c r="AC43" s="200" t="str">
        <f aca="false">IF($N43="","",IF(ORÇAMENTO.Descricao="","DESCRIÇÃO",IF(AND($C43="S",ORÇAMENTO.Unidade=""),"UNIDADE",IF($X43&lt;0,"VALOR NEGATIVO",IF(OR(AND(TIPOORCAMENTO="Proposto",$AG43&lt;&gt;"",$AG43&gt;0,ORÇAMENTO.CustoUnitario&gt;$AG43),AND(TIPOORCAMENTO="LICITADO",ORÇAMENTO.PrecoUnitarioLicitado&gt;$AN43)),"ACIMA REF.","")))))</f>
        <v/>
      </c>
      <c r="AD43" s="0" t="str">
        <f aca="true">IF(C43&lt;=CRONO.NivelExibicao,MAX($AD$15:OFFSET(AD43,-1,0))+IF($C43&lt;&gt;1,1,MAX(1,COUNTIF(QCI!$A$13:$A$24,OFFSET($E43,-1,0)))),"")</f>
        <v/>
      </c>
      <c r="AE43" s="34" t="str">
        <f aca="false">IF(AND($C43="S",ORÇAMENTO.CodBarra&lt;&gt;""),IF(ORÇAMENTO.Fonte="",ORÇAMENTO.CodBarra,CONCATENATE(ORÇAMENTO.Fonte," ",ORÇAMENTO.CodBarra)))</f>
        <v>SINAPI 102333</v>
      </c>
      <c r="AF43" s="42" t="str">
        <f aca="true">IF(ISERROR(INDIRECT(ORÇAMENTO.BancoRef)),"(abra o arquivo 'Referência "&amp;Excel_BuiltIn_Database&amp;".xlsm)",IF(OR($C43&lt;&gt;"S",ORÇAMENTO.CodBarra=""),"(Sem Código)",IF(ISERROR(MATCH($AE43,INDIRECT(ORÇAMENTO.BancoRef),0)),"(Código não identificado nas referências)",MATCH($AE43,INDIRECT(ORÇAMENTO.BancoRef),0))))</f>
        <v>(abra o arquivo 'Referência 02-Thursday.xlsm)</v>
      </c>
      <c r="AG43" s="202" t="n">
        <f aca="true">ROUND(IF(DESONERACAO="sim",REFERENCIA.Desonerado,REFERENCIA.NaoDesonerado),2)</f>
        <v>0</v>
      </c>
      <c r="AH43" s="203" t="n">
        <f aca="false">ROUND(IF(ISNUMBER(ORÇAMENTO.OpcaoBDI),ORÇAMENTO.OpcaoBDI,IF(LEFT(ORÇAMENTO.OpcaoBDI,3)="BDI",HLOOKUP(ORÇAMENTO.OpcaoBDI,$F$4:$H$5,2,FALSE()),0)),15-11*$AF$9)</f>
        <v>0.22</v>
      </c>
      <c r="AJ43" s="204" t="n">
        <f aca="false">AJ41*0.0012*(340-30)</f>
        <v>1255.5</v>
      </c>
      <c r="AL43" s="205"/>
      <c r="AM43" s="206" t="n">
        <f aca="false">$X43</f>
        <v>0</v>
      </c>
      <c r="AN43" s="207" t="n">
        <f aca="false">ROUND(ORÇAMENTO.CustoUnitario*(1+$AH43),2)</f>
        <v>0</v>
      </c>
    </row>
    <row r="44" customFormat="false" ht="12.75" hidden="false" customHeight="false" outlineLevel="0" collapsed="false">
      <c r="A44" s="0" t="str">
        <f aca="false">CHOOSE(1+LOG(1+2*(ORÇAMENTO.Nivel="Meta")+4*(ORÇAMENTO.Nivel="Nível 2")+8*(ORÇAMENTO.Nivel="Nível 3")+16*(ORÇAMENTO.Nivel="Nível 4")+32*(ORÇAMENTO.Nivel="Serviço"),2),0,1,2,3,4,"S")</f>
        <v>S</v>
      </c>
      <c r="B44" s="0" t="n">
        <f aca="true">IF(OR(C44="s",C44=0),OFFSET(B44,-1,0),C44)</f>
        <v>2</v>
      </c>
      <c r="C44" s="0" t="str">
        <f aca="true">IF(OFFSET(C44,-1,0)="L",1,IF(OFFSET(C44,-1,0)=1,2,IF(OR(A44="s",A44=0),"S",IF(AND(OFFSET(C44,-1,0)=2,A44=4),3,IF(AND(OR(OFFSET(C44,-1,0)="s",OFFSET(C44,-1,0)=0),A44&lt;&gt;"s",A44&gt;OFFSET(B44,-1,0)),OFFSET(B44,-1,0),A44)))))</f>
        <v>S</v>
      </c>
      <c r="D44" s="0" t="n">
        <f aca="false">IF(OR(C44="S",C44=0),0,IF(ISERROR(K44),J44,SMALL(J44:K44,1)))</f>
        <v>0</v>
      </c>
      <c r="E44" s="0" t="n">
        <f aca="true">IF($C44=1,OFFSET(E44,-1,0)+MAX(1,COUNTIF(QCI!$A$13:$A$24,OFFSET(ORÇAMENTO!E44,-1,0))),OFFSET(E44,-1,0))</f>
        <v>1</v>
      </c>
      <c r="F44" s="0" t="n">
        <f aca="true">IF($C44=1,0,IF($C44=2,OFFSET(F44,-1,0)+1,OFFSET(F44,-1,0)))</f>
        <v>7</v>
      </c>
      <c r="G44" s="0" t="n">
        <f aca="true">IF(AND($C44&lt;=2,$C44&lt;&gt;0),0,IF($C44=3,OFFSET(G44,-1,0)+1,OFFSET(G44,-1,0)))</f>
        <v>0</v>
      </c>
      <c r="H44" s="0" t="n">
        <f aca="true">IF(AND($C44&lt;=3,$C44&lt;&gt;0),0,IF($C44=4,OFFSET(H44,-1,0)+1,OFFSET(H44,-1,0)))</f>
        <v>0</v>
      </c>
      <c r="I44" s="0" t="n">
        <f aca="true">IF(AND($C44&lt;=4,$C44&lt;&gt;0),0,IF(AND($C44="S",$X44&gt;0),OFFSET(I44,-1,0)+1,OFFSET(I44,-1,0)))</f>
        <v>0</v>
      </c>
      <c r="J44" s="0" t="n">
        <f aca="true">IF(OR($C44="S",$C44=0),0,MATCH(0,OFFSET($D44,1,$C44,ROW($C$59)-ROW($C44)),0))</f>
        <v>0</v>
      </c>
      <c r="K44" s="0" t="n">
        <f aca="true">IF(OR($C44="S",$C44=0),0,MATCH(OFFSET($D44,0,$C44)+IF($C44&lt;&gt;1,1,COUNTIF(QCI!$A$13:$A$24,ORÇAMENTO!E44)),OFFSET($D44,1,$C44,ROW($C$59)-ROW($C44)),0))</f>
        <v>0</v>
      </c>
      <c r="L44" s="185" t="str">
        <f aca="false">IF(OR($X44&gt;0,$C44=1,$C44=2,$C44=3,$C44=4),"F","")</f>
        <v/>
      </c>
      <c r="M44" s="186" t="s">
        <v>251</v>
      </c>
      <c r="N44" s="187" t="str">
        <f aca="false">CHOOSE(1+LOG(1+2*(C44=1)+4*(C44=2)+8*(C44=3)+16*(C44=4)+32*(C44="S"),2),"","Meta","Nível 2","Nível 3","Nível 4","Serviço")</f>
        <v>Serviço</v>
      </c>
      <c r="O44" s="188" t="str">
        <f aca="false">IF(OR($C44=0,$L44=""),"-",CONCATENATE(E44&amp;".",IF(AND($A$5&gt;=2,$C44&gt;=2),F44&amp;".",""),IF(AND($A$5&gt;=3,$C44&gt;=3),G44&amp;".",""),IF(AND($A$5&gt;=4,$C44&gt;=4),H44&amp;".",""),IF($C44="S",I44&amp;".","")))</f>
        <v>-</v>
      </c>
      <c r="P44" s="189" t="s">
        <v>304</v>
      </c>
      <c r="Q44" s="223" t="s">
        <v>328</v>
      </c>
      <c r="R44" s="191" t="str">
        <f aca="true">IF($C44="S",REFERENCIA.Descricao,"(digite a descrição aqui)")</f>
        <v>(abra o arquivo 'Referência 02-Thursday.xlsm)</v>
      </c>
      <c r="S44" s="192" t="str">
        <f aca="true">REFERENCIA.Unidade</f>
        <v>-</v>
      </c>
      <c r="T44" s="193" t="n">
        <f aca="true">OFFSET(CÁLCULO!H$15,ROW($T44)-ROW(T$15),0)</f>
        <v>3375</v>
      </c>
      <c r="U44" s="194" t="n">
        <f aca="false">AG44</f>
        <v>0</v>
      </c>
      <c r="V44" s="195" t="s">
        <v>208</v>
      </c>
      <c r="W44" s="193" t="n">
        <f aca="false">IF($C44="S",ROUND(IF(TIPOORCAMENTO="Proposto",ORÇAMENTO.CustoUnitario*(1+$AH44),ORÇAMENTO.PrecoUnitarioLicitado),15-13*$AF$10),0)</f>
        <v>0</v>
      </c>
      <c r="X44" s="196" t="n">
        <f aca="true">IF($C44="S",IF(Import.TipoArredondamento&lt;&gt;"TransfereGOV",VTOTAL1,SUM(OFFSET(CÁLCULO!$AA$15,ROW($X44)-ROW($X$15),1):OFFSET(CÁLCULO!$AL$15,ROW($X44)-ROW($X$15),-1))),IF($C44=0,0,ROUND(SomaAgrup,15-13*$AF$11)))</f>
        <v>0</v>
      </c>
      <c r="Y44" s="197" t="s">
        <v>298</v>
      </c>
      <c r="Z44" s="0" t="str">
        <f aca="false">IF(AND($C44="S",$X44&gt;0),IF(ISBLANK($Y44),"RA",LEFT($Y44,2)),"")</f>
        <v/>
      </c>
      <c r="AA44" s="198" t="n">
        <f aca="true">IF($C44="S",IF($Z44="CP",$X44,IF($Z44="RA",(($X44)*QCI!$AA$3),0)),SomaAgrup)</f>
        <v>0</v>
      </c>
      <c r="AB44" s="199" t="n">
        <f aca="true">IF($C44="S",IF($Z44="OU",ROUND($X44,2),0),SomaAgrup)</f>
        <v>0</v>
      </c>
      <c r="AC44" s="200" t="str">
        <f aca="false">IF($N44="","",IF(ORÇAMENTO.Descricao="","DESCRIÇÃO",IF(AND($C44="S",ORÇAMENTO.Unidade=""),"UNIDADE",IF($X44&lt;0,"VALOR NEGATIVO",IF(OR(AND(TIPOORCAMENTO="Proposto",$AG44&lt;&gt;"",$AG44&gt;0,ORÇAMENTO.CustoUnitario&gt;$AG44),AND(TIPOORCAMENTO="LICITADO",ORÇAMENTO.PrecoUnitarioLicitado&gt;$AN44)),"ACIMA REF.","")))))</f>
        <v/>
      </c>
      <c r="AD44" s="0" t="str">
        <f aca="true">IF(C44&lt;=CRONO.NivelExibicao,MAX($AD$15:OFFSET(AD44,-1,0))+IF($C44&lt;&gt;1,1,MAX(1,COUNTIF(QCI!$A$13:$A$24,OFFSET($E44,-1,0)))),"")</f>
        <v/>
      </c>
      <c r="AE44" s="34" t="str">
        <f aca="false">IF(AND($C44="S",ORÇAMENTO.CodBarra&lt;&gt;""),IF(ORÇAMENTO.Fonte="",ORÇAMENTO.CodBarra,CONCATENATE(ORÇAMENTO.Fonte," ",ORÇAMENTO.CodBarra)))</f>
        <v>Composição CPU-026</v>
      </c>
      <c r="AF44" s="42" t="str">
        <f aca="true">IF(ISERROR(INDIRECT(ORÇAMENTO.BancoRef)),"(abra o arquivo 'Referência "&amp;Excel_BuiltIn_Database&amp;".xlsm)",IF(OR($C44&lt;&gt;"S",ORÇAMENTO.CodBarra=""),"(Sem Código)",IF(ISERROR(MATCH($AE44,INDIRECT(ORÇAMENTO.BancoRef),0)),"(Código não identificado nas referências)",MATCH($AE44,INDIRECT(ORÇAMENTO.BancoRef),0))))</f>
        <v>(abra o arquivo 'Referência 02-Thursday.xlsm)</v>
      </c>
      <c r="AG44" s="202" t="n">
        <f aca="true">ROUND(IF(DESONERACAO="sim",REFERENCIA.Desonerado,REFERENCIA.NaoDesonerado),2)</f>
        <v>0</v>
      </c>
      <c r="AH44" s="203" t="n">
        <f aca="false">ROUND(IF(ISNUMBER(ORÇAMENTO.OpcaoBDI),ORÇAMENTO.OpcaoBDI,IF(LEFT(ORÇAMENTO.OpcaoBDI,3)="BDI",HLOOKUP(ORÇAMENTO.OpcaoBDI,$F$4:$H$5,2,FALSE()),0)),15-11*$AF$9)</f>
        <v>0.22</v>
      </c>
      <c r="AJ44" s="204" t="n">
        <f aca="false">AJ41</f>
        <v>3375</v>
      </c>
      <c r="AL44" s="205"/>
      <c r="AM44" s="206" t="n">
        <f aca="false">$X44</f>
        <v>0</v>
      </c>
      <c r="AN44" s="207" t="n">
        <f aca="false">ROUND(ORÇAMENTO.CustoUnitario*(1+$AH44),2)</f>
        <v>0</v>
      </c>
    </row>
    <row r="45" customFormat="false" ht="12.75" hidden="false" customHeight="false" outlineLevel="0" collapsed="false">
      <c r="A45" s="0" t="str">
        <f aca="false">CHOOSE(1+LOG(1+2*(ORÇAMENTO.Nivel="Meta")+4*(ORÇAMENTO.Nivel="Nível 2")+8*(ORÇAMENTO.Nivel="Nível 3")+16*(ORÇAMENTO.Nivel="Nível 4")+32*(ORÇAMENTO.Nivel="Serviço"),2),0,1,2,3,4,"S")</f>
        <v>S</v>
      </c>
      <c r="B45" s="0" t="n">
        <f aca="true">IF(OR(C45="s",C45=0),OFFSET(B45,-1,0),C45)</f>
        <v>2</v>
      </c>
      <c r="C45" s="0" t="str">
        <f aca="true">IF(OFFSET(C45,-1,0)="L",1,IF(OFFSET(C45,-1,0)=1,2,IF(OR(A45="s",A45=0),"S",IF(AND(OFFSET(C45,-1,0)=2,A45=4),3,IF(AND(OR(OFFSET(C45,-1,0)="s",OFFSET(C45,-1,0)=0),A45&lt;&gt;"s",A45&gt;OFFSET(B45,-1,0)),OFFSET(B45,-1,0),A45)))))</f>
        <v>S</v>
      </c>
      <c r="D45" s="0" t="n">
        <f aca="false">IF(OR(C45="S",C45=0),0,IF(ISERROR(K45),J45,SMALL(J45:K45,1)))</f>
        <v>0</v>
      </c>
      <c r="E45" s="0" t="n">
        <f aca="true">IF($C45=1,OFFSET(E45,-1,0)+MAX(1,COUNTIF(QCI!$A$13:$A$24,OFFSET(ORÇAMENTO!E45,-1,0))),OFFSET(E45,-1,0))</f>
        <v>1</v>
      </c>
      <c r="F45" s="0" t="n">
        <f aca="true">IF($C45=1,0,IF($C45=2,OFFSET(F45,-1,0)+1,OFFSET(F45,-1,0)))</f>
        <v>7</v>
      </c>
      <c r="G45" s="0" t="n">
        <f aca="true">IF(AND($C45&lt;=2,$C45&lt;&gt;0),0,IF($C45=3,OFFSET(G45,-1,0)+1,OFFSET(G45,-1,0)))</f>
        <v>0</v>
      </c>
      <c r="H45" s="0" t="n">
        <f aca="true">IF(AND($C45&lt;=3,$C45&lt;&gt;0),0,IF($C45=4,OFFSET(H45,-1,0)+1,OFFSET(H45,-1,0)))</f>
        <v>0</v>
      </c>
      <c r="I45" s="0" t="n">
        <f aca="true">IF(AND($C45&lt;=4,$C45&lt;&gt;0),0,IF(AND($C45="S",$X45&gt;0),OFFSET(I45,-1,0)+1,OFFSET(I45,-1,0)))</f>
        <v>0</v>
      </c>
      <c r="J45" s="0" t="n">
        <f aca="true">IF(OR($C45="S",$C45=0),0,MATCH(0,OFFSET($D45,1,$C45,ROW($C$59)-ROW($C45)),0))</f>
        <v>0</v>
      </c>
      <c r="K45" s="0" t="n">
        <f aca="true">IF(OR($C45="S",$C45=0),0,MATCH(OFFSET($D45,0,$C45)+IF($C45&lt;&gt;1,1,COUNTIF(QCI!$A$13:$A$24,ORÇAMENTO!E45)),OFFSET($D45,1,$C45,ROW($C$59)-ROW($C45)),0))</f>
        <v>0</v>
      </c>
      <c r="L45" s="185" t="str">
        <f aca="false">IF(OR($X45&gt;0,$C45=1,$C45=2,$C45=3,$C45=4),"F","")</f>
        <v/>
      </c>
      <c r="M45" s="186" t="s">
        <v>251</v>
      </c>
      <c r="N45" s="187" t="str">
        <f aca="false">CHOOSE(1+LOG(1+2*(C45=1)+4*(C45=2)+8*(C45=3)+16*(C45=4)+32*(C45="S"),2),"","Meta","Nível 2","Nível 3","Nível 4","Serviço")</f>
        <v>Serviço</v>
      </c>
      <c r="O45" s="188" t="str">
        <f aca="false">IF(OR($C45=0,$L45=""),"-",CONCATENATE(E45&amp;".",IF(AND($A$5&gt;=2,$C45&gt;=2),F45&amp;".",""),IF(AND($A$5&gt;=3,$C45&gt;=3),G45&amp;".",""),IF(AND($A$5&gt;=4,$C45&gt;=4),H45&amp;".",""),IF($C45="S",I45&amp;".","")))</f>
        <v>-</v>
      </c>
      <c r="P45" s="189" t="s">
        <v>297</v>
      </c>
      <c r="Q45" s="223" t="s">
        <v>326</v>
      </c>
      <c r="R45" s="191" t="str">
        <f aca="true">IF($C45="S",REFERENCIA.Descricao,"(digite a descrição aqui)")</f>
        <v>(abra o arquivo 'Referência 02-Thursday.xlsm)</v>
      </c>
      <c r="S45" s="192" t="str">
        <f aca="true">REFERENCIA.Unidade</f>
        <v>-</v>
      </c>
      <c r="T45" s="193" t="n">
        <f aca="true">OFFSET(CÁLCULO!H$15,ROW($T45)-ROW(T$15),0)</f>
        <v>50.63</v>
      </c>
      <c r="U45" s="194" t="n">
        <f aca="false">AG45</f>
        <v>0</v>
      </c>
      <c r="V45" s="195" t="s">
        <v>208</v>
      </c>
      <c r="W45" s="193" t="n">
        <f aca="false">IF($C45="S",ROUND(IF(TIPOORCAMENTO="Proposto",ORÇAMENTO.CustoUnitario*(1+$AH45),ORÇAMENTO.PrecoUnitarioLicitado),15-13*$AF$10),0)</f>
        <v>0</v>
      </c>
      <c r="X45" s="196" t="n">
        <f aca="true">IF($C45="S",IF(Import.TipoArredondamento&lt;&gt;"TransfereGOV",VTOTAL1,SUM(OFFSET(CÁLCULO!$AA$15,ROW($X45)-ROW($X$15),1):OFFSET(CÁLCULO!$AL$15,ROW($X45)-ROW($X$15),-1))),IF($C45=0,0,ROUND(SomaAgrup,15-13*$AF$11)))</f>
        <v>0</v>
      </c>
      <c r="Y45" s="197" t="s">
        <v>298</v>
      </c>
      <c r="Z45" s="0" t="str">
        <f aca="false">IF(AND($C45="S",$X45&gt;0),IF(ISBLANK($Y45),"RA",LEFT($Y45,2)),"")</f>
        <v/>
      </c>
      <c r="AA45" s="198" t="n">
        <f aca="true">IF($C45="S",IF($Z45="CP",$X45,IF($Z45="RA",(($X45)*QCI!$AA$3),0)),SomaAgrup)</f>
        <v>0</v>
      </c>
      <c r="AB45" s="199" t="n">
        <f aca="true">IF($C45="S",IF($Z45="OU",ROUND($X45,2),0),SomaAgrup)</f>
        <v>0</v>
      </c>
      <c r="AC45" s="200" t="str">
        <f aca="false">IF($N45="","",IF(ORÇAMENTO.Descricao="","DESCRIÇÃO",IF(AND($C45="S",ORÇAMENTO.Unidade=""),"UNIDADE",IF($X45&lt;0,"VALOR NEGATIVO",IF(OR(AND(TIPOORCAMENTO="Proposto",$AG45&lt;&gt;"",$AG45&gt;0,ORÇAMENTO.CustoUnitario&gt;$AG45),AND(TIPOORCAMENTO="LICITADO",ORÇAMENTO.PrecoUnitarioLicitado&gt;$AN45)),"ACIMA REF.","")))))</f>
        <v/>
      </c>
      <c r="AD45" s="0" t="str">
        <f aca="true">IF(C45&lt;=CRONO.NivelExibicao,MAX($AD$15:OFFSET(AD45,-1,0))+IF($C45&lt;&gt;1,1,MAX(1,COUNTIF(QCI!$A$13:$A$24,OFFSET($E45,-1,0)))),"")</f>
        <v/>
      </c>
      <c r="AE45" s="34" t="str">
        <f aca="false">IF(AND($C45="S",ORÇAMENTO.CodBarra&lt;&gt;""),IF(ORÇAMENTO.Fonte="",ORÇAMENTO.CodBarra,CONCATENATE(ORÇAMENTO.Fonte," ",ORÇAMENTO.CodBarra)))</f>
        <v>SINAPI 102332</v>
      </c>
      <c r="AF45" s="42" t="str">
        <f aca="true">IF(ISERROR(INDIRECT(ORÇAMENTO.BancoRef)),"(abra o arquivo 'Referência "&amp;Excel_BuiltIn_Database&amp;".xlsm)",IF(OR($C45&lt;&gt;"S",ORÇAMENTO.CodBarra=""),"(Sem Código)",IF(ISERROR(MATCH($AE45,INDIRECT(ORÇAMENTO.BancoRef),0)),"(Código não identificado nas referências)",MATCH($AE45,INDIRECT(ORÇAMENTO.BancoRef),0))))</f>
        <v>(abra o arquivo 'Referência 02-Thursday.xlsm)</v>
      </c>
      <c r="AG45" s="202" t="n">
        <f aca="true">ROUND(IF(DESONERACAO="sim",REFERENCIA.Desonerado,REFERENCIA.NaoDesonerado),2)</f>
        <v>0</v>
      </c>
      <c r="AH45" s="203" t="n">
        <f aca="false">ROUND(IF(ISNUMBER(ORÇAMENTO.OpcaoBDI),ORÇAMENTO.OpcaoBDI,IF(LEFT(ORÇAMENTO.OpcaoBDI,3)="BDI",HLOOKUP(ORÇAMENTO.OpcaoBDI,$F$4:$H$5,2,FALSE()),0)),15-11*$AF$9)</f>
        <v>0.22</v>
      </c>
      <c r="AJ45" s="204" t="n">
        <f aca="false">AJ44*0.0005*30</f>
        <v>50.625</v>
      </c>
      <c r="AL45" s="205"/>
      <c r="AM45" s="206" t="n">
        <f aca="false">$X45</f>
        <v>0</v>
      </c>
      <c r="AN45" s="207" t="n">
        <f aca="false">ROUND(ORÇAMENTO.CustoUnitario*(1+$AH45),2)</f>
        <v>0</v>
      </c>
    </row>
    <row r="46" customFormat="false" ht="12.75" hidden="false" customHeight="false" outlineLevel="0" collapsed="false">
      <c r="A46" s="0" t="str">
        <f aca="false">CHOOSE(1+LOG(1+2*(ORÇAMENTO.Nivel="Meta")+4*(ORÇAMENTO.Nivel="Nível 2")+8*(ORÇAMENTO.Nivel="Nível 3")+16*(ORÇAMENTO.Nivel="Nível 4")+32*(ORÇAMENTO.Nivel="Serviço"),2),0,1,2,3,4,"S")</f>
        <v>S</v>
      </c>
      <c r="B46" s="0" t="n">
        <f aca="true">IF(OR(C46="s",C46=0),OFFSET(B46,-1,0),C46)</f>
        <v>2</v>
      </c>
      <c r="C46" s="0" t="str">
        <f aca="true">IF(OFFSET(C46,-1,0)="L",1,IF(OFFSET(C46,-1,0)=1,2,IF(OR(A46="s",A46=0),"S",IF(AND(OFFSET(C46,-1,0)=2,A46=4),3,IF(AND(OR(OFFSET(C46,-1,0)="s",OFFSET(C46,-1,0)=0),A46&lt;&gt;"s",A46&gt;OFFSET(B46,-1,0)),OFFSET(B46,-1,0),A46)))))</f>
        <v>S</v>
      </c>
      <c r="D46" s="0" t="n">
        <f aca="false">IF(OR(C46="S",C46=0),0,IF(ISERROR(K46),J46,SMALL(J46:K46,1)))</f>
        <v>0</v>
      </c>
      <c r="E46" s="0" t="n">
        <f aca="true">IF($C46=1,OFFSET(E46,-1,0)+MAX(1,COUNTIF(QCI!$A$13:$A$24,OFFSET(ORÇAMENTO!E46,-1,0))),OFFSET(E46,-1,0))</f>
        <v>1</v>
      </c>
      <c r="F46" s="0" t="n">
        <f aca="true">IF($C46=1,0,IF($C46=2,OFFSET(F46,-1,0)+1,OFFSET(F46,-1,0)))</f>
        <v>7</v>
      </c>
      <c r="G46" s="0" t="n">
        <f aca="true">IF(AND($C46&lt;=2,$C46&lt;&gt;0),0,IF($C46=3,OFFSET(G46,-1,0)+1,OFFSET(G46,-1,0)))</f>
        <v>0</v>
      </c>
      <c r="H46" s="0" t="n">
        <f aca="true">IF(AND($C46&lt;=3,$C46&lt;&gt;0),0,IF($C46=4,OFFSET(H46,-1,0)+1,OFFSET(H46,-1,0)))</f>
        <v>0</v>
      </c>
      <c r="I46" s="0" t="n">
        <f aca="true">IF(AND($C46&lt;=4,$C46&lt;&gt;0),0,IF(AND($C46="S",$X46&gt;0),OFFSET(I46,-1,0)+1,OFFSET(I46,-1,0)))</f>
        <v>0</v>
      </c>
      <c r="J46" s="0" t="n">
        <f aca="true">IF(OR($C46="S",$C46=0),0,MATCH(0,OFFSET($D46,1,$C46,ROW($C$59)-ROW($C46)),0))</f>
        <v>0</v>
      </c>
      <c r="K46" s="0" t="n">
        <f aca="true">IF(OR($C46="S",$C46=0),0,MATCH(OFFSET($D46,0,$C46)+IF($C46&lt;&gt;1,1,COUNTIF(QCI!$A$13:$A$24,ORÇAMENTO!E46)),OFFSET($D46,1,$C46,ROW($C$59)-ROW($C46)),0))</f>
        <v>0</v>
      </c>
      <c r="L46" s="185" t="str">
        <f aca="false">IF(OR($X46&gt;0,$C46=1,$C46=2,$C46=3,$C46=4),"F","")</f>
        <v/>
      </c>
      <c r="M46" s="186" t="s">
        <v>251</v>
      </c>
      <c r="N46" s="187" t="str">
        <f aca="false">CHOOSE(1+LOG(1+2*(C46=1)+4*(C46=2)+8*(C46=3)+16*(C46=4)+32*(C46="S"),2),"","Meta","Nível 2","Nível 3","Nível 4","Serviço")</f>
        <v>Serviço</v>
      </c>
      <c r="O46" s="188" t="str">
        <f aca="false">IF(OR($C46=0,$L46=""),"-",CONCATENATE(E46&amp;".",IF(AND($A$5&gt;=2,$C46&gt;=2),F46&amp;".",""),IF(AND($A$5&gt;=3,$C46&gt;=3),G46&amp;".",""),IF(AND($A$5&gt;=4,$C46&gt;=4),H46&amp;".",""),IF($C46="S",I46&amp;".","")))</f>
        <v>-</v>
      </c>
      <c r="P46" s="189" t="s">
        <v>297</v>
      </c>
      <c r="Q46" s="223" t="s">
        <v>327</v>
      </c>
      <c r="R46" s="191" t="str">
        <f aca="true">IF($C46="S",REFERENCIA.Descricao,"(digite a descrição aqui)")</f>
        <v>(abra o arquivo 'Referência 02-Thursday.xlsm)</v>
      </c>
      <c r="S46" s="192" t="str">
        <f aca="true">REFERENCIA.Unidade</f>
        <v>-</v>
      </c>
      <c r="T46" s="193" t="n">
        <f aca="true">OFFSET(CÁLCULO!H$15,ROW($T46)-ROW(T$15),0)</f>
        <v>523.13</v>
      </c>
      <c r="U46" s="194" t="n">
        <f aca="false">AG46</f>
        <v>0</v>
      </c>
      <c r="V46" s="195" t="s">
        <v>208</v>
      </c>
      <c r="W46" s="193" t="n">
        <f aca="false">IF($C46="S",ROUND(IF(TIPOORCAMENTO="Proposto",ORÇAMENTO.CustoUnitario*(1+$AH46),ORÇAMENTO.PrecoUnitarioLicitado),15-13*$AF$10),0)</f>
        <v>0</v>
      </c>
      <c r="X46" s="196" t="n">
        <f aca="true">IF($C46="S",IF(Import.TipoArredondamento&lt;&gt;"TransfereGOV",VTOTAL1,SUM(OFFSET(CÁLCULO!$AA$15,ROW($X46)-ROW($X$15),1):OFFSET(CÁLCULO!$AL$15,ROW($X46)-ROW($X$15),-1))),IF($C46=0,0,ROUND(SomaAgrup,15-13*$AF$11)))</f>
        <v>0</v>
      </c>
      <c r="Y46" s="197" t="s">
        <v>298</v>
      </c>
      <c r="Z46" s="0" t="str">
        <f aca="false">IF(AND($C46="S",$X46&gt;0),IF(ISBLANK($Y46),"RA",LEFT($Y46,2)),"")</f>
        <v/>
      </c>
      <c r="AA46" s="198" t="n">
        <f aca="true">IF($C46="S",IF($Z46="CP",$X46,IF($Z46="RA",(($X46)*QCI!$AA$3),0)),SomaAgrup)</f>
        <v>0</v>
      </c>
      <c r="AB46" s="199" t="n">
        <f aca="true">IF($C46="S",IF($Z46="OU",ROUND($X46,2),0),SomaAgrup)</f>
        <v>0</v>
      </c>
      <c r="AC46" s="200" t="str">
        <f aca="false">IF($N46="","",IF(ORÇAMENTO.Descricao="","DESCRIÇÃO",IF(AND($C46="S",ORÇAMENTO.Unidade=""),"UNIDADE",IF($X46&lt;0,"VALOR NEGATIVO",IF(OR(AND(TIPOORCAMENTO="Proposto",$AG46&lt;&gt;"",$AG46&gt;0,ORÇAMENTO.CustoUnitario&gt;$AG46),AND(TIPOORCAMENTO="LICITADO",ORÇAMENTO.PrecoUnitarioLicitado&gt;$AN46)),"ACIMA REF.","")))))</f>
        <v/>
      </c>
      <c r="AD46" s="0" t="str">
        <f aca="true">IF(C46&lt;=CRONO.NivelExibicao,MAX($AD$15:OFFSET(AD46,-1,0))+IF($C46&lt;&gt;1,1,MAX(1,COUNTIF(QCI!$A$13:$A$24,OFFSET($E46,-1,0)))),"")</f>
        <v/>
      </c>
      <c r="AE46" s="34" t="str">
        <f aca="false">IF(AND($C46="S",ORÇAMENTO.CodBarra&lt;&gt;""),IF(ORÇAMENTO.Fonte="",ORÇAMENTO.CodBarra,CONCATENATE(ORÇAMENTO.Fonte," ",ORÇAMENTO.CodBarra)))</f>
        <v>SINAPI 102333</v>
      </c>
      <c r="AF46" s="42" t="str">
        <f aca="true">IF(ISERROR(INDIRECT(ORÇAMENTO.BancoRef)),"(abra o arquivo 'Referência "&amp;Excel_BuiltIn_Database&amp;".xlsm)",IF(OR($C46&lt;&gt;"S",ORÇAMENTO.CodBarra=""),"(Sem Código)",IF(ISERROR(MATCH($AE46,INDIRECT(ORÇAMENTO.BancoRef),0)),"(Código não identificado nas referências)",MATCH($AE46,INDIRECT(ORÇAMENTO.BancoRef),0))))</f>
        <v>(abra o arquivo 'Referência 02-Thursday.xlsm)</v>
      </c>
      <c r="AG46" s="202" t="n">
        <f aca="true">ROUND(IF(DESONERACAO="sim",REFERENCIA.Desonerado,REFERENCIA.NaoDesonerado),2)</f>
        <v>0</v>
      </c>
      <c r="AH46" s="203" t="n">
        <f aca="false">ROUND(IF(ISNUMBER(ORÇAMENTO.OpcaoBDI),ORÇAMENTO.OpcaoBDI,IF(LEFT(ORÇAMENTO.OpcaoBDI,3)="BDI",HLOOKUP(ORÇAMENTO.OpcaoBDI,$F$4:$H$5,2,FALSE()),0)),15-11*$AF$9)</f>
        <v>0.22</v>
      </c>
      <c r="AJ46" s="204" t="n">
        <f aca="false">AJ44*0.0005*(340-30)</f>
        <v>523.125</v>
      </c>
      <c r="AL46" s="205"/>
      <c r="AM46" s="206" t="n">
        <f aca="false">$X46</f>
        <v>0</v>
      </c>
      <c r="AN46" s="207" t="n">
        <f aca="false">ROUND(ORÇAMENTO.CustoUnitario*(1+$AH46),2)</f>
        <v>0</v>
      </c>
    </row>
    <row r="47" customFormat="false" ht="12.75" hidden="false" customHeight="false" outlineLevel="0" collapsed="false">
      <c r="A47" s="0" t="n">
        <f aca="false">CHOOSE(1+LOG(1+2*(ORÇAMENTO.Nivel="Meta")+4*(ORÇAMENTO.Nivel="Nível 2")+8*(ORÇAMENTO.Nivel="Nível 3")+16*(ORÇAMENTO.Nivel="Nível 4")+32*(ORÇAMENTO.Nivel="Serviço"),2),0,1,2,3,4,"S")</f>
        <v>2</v>
      </c>
      <c r="B47" s="0" t="n">
        <f aca="true">IF(OR(C47="s",C47=0),OFFSET(B47,-1,0),C47)</f>
        <v>2</v>
      </c>
      <c r="C47" s="0" t="n">
        <f aca="true">IF(OFFSET(C47,-1,0)="L",1,IF(OFFSET(C47,-1,0)=1,2,IF(OR(A47="s",A47=0),"S",IF(AND(OFFSET(C47,-1,0)=2,A47=4),3,IF(AND(OR(OFFSET(C47,-1,0)="s",OFFSET(C47,-1,0)=0),A47&lt;&gt;"s",A47&gt;OFFSET(B47,-1,0)),OFFSET(B47,-1,0),A47)))))</f>
        <v>2</v>
      </c>
      <c r="D47" s="0" t="n">
        <f aca="false">IF(OR(C47="S",C47=0),0,IF(ISERROR(K47),J47,SMALL(J47:K47,1)))</f>
        <v>4</v>
      </c>
      <c r="E47" s="0" t="n">
        <f aca="true">IF($C47=1,OFFSET(E47,-1,0)+MAX(1,COUNTIF(QCI!$A$13:$A$24,OFFSET(ORÇAMENTO!E47,-1,0))),OFFSET(E47,-1,0))</f>
        <v>1</v>
      </c>
      <c r="F47" s="0" t="n">
        <f aca="true">IF($C47=1,0,IF($C47=2,OFFSET(F47,-1,0)+1,OFFSET(F47,-1,0)))</f>
        <v>8</v>
      </c>
      <c r="G47" s="0" t="n">
        <f aca="true">IF(AND($C47&lt;=2,$C47&lt;&gt;0),0,IF($C47=3,OFFSET(G47,-1,0)+1,OFFSET(G47,-1,0)))</f>
        <v>0</v>
      </c>
      <c r="H47" s="0" t="n">
        <f aca="true">IF(AND($C47&lt;=3,$C47&lt;&gt;0),0,IF($C47=4,OFFSET(H47,-1,0)+1,OFFSET(H47,-1,0)))</f>
        <v>0</v>
      </c>
      <c r="I47" s="0" t="n">
        <f aca="true">IF(AND($C47&lt;=4,$C47&lt;&gt;0),0,IF(AND($C47="S",$X47&gt;0),OFFSET(I47,-1,0)+1,OFFSET(I47,-1,0)))</f>
        <v>0</v>
      </c>
      <c r="J47" s="0" t="n">
        <f aca="true">IF(OR($C47="S",$C47=0),0,MATCH(0,OFFSET($D47,1,$C47,ROW($C$59)-ROW($C47)),0))</f>
        <v>12</v>
      </c>
      <c r="K47" s="0" t="n">
        <f aca="true">IF(OR($C47="S",$C47=0),0,MATCH(OFFSET($D47,0,$C47)+IF($C47&lt;&gt;1,1,COUNTIF(QCI!$A$13:$A$24,ORÇAMENTO!E47)),OFFSET($D47,1,$C47,ROW($C$59)-ROW($C47)),0))</f>
        <v>4</v>
      </c>
      <c r="L47" s="185" t="str">
        <f aca="false">IF(OR($X47&gt;0,$C47=1,$C47=2,$C47=3,$C47=4),"F","")</f>
        <v>F</v>
      </c>
      <c r="M47" s="186" t="s">
        <v>248</v>
      </c>
      <c r="N47" s="187" t="str">
        <f aca="false">CHOOSE(1+LOG(1+2*(C47=1)+4*(C47=2)+8*(C47=3)+16*(C47=4)+32*(C47="S"),2),"","Meta","Nível 2","Nível 3","Nível 4","Serviço")</f>
        <v>Nível 2</v>
      </c>
      <c r="O47" s="188" t="str">
        <f aca="false">IF(OR($C47=0,$L47=""),"-",CONCATENATE(E47&amp;".",IF(AND($A$5&gt;=2,$C47&gt;=2),F47&amp;".",""),IF(AND($A$5&gt;=3,$C47&gt;=3),G47&amp;".",""),IF(AND($A$5&gt;=4,$C47&gt;=4),H47&amp;".",""),IF($C47="S",I47&amp;".","")))</f>
        <v>1.8.</v>
      </c>
      <c r="P47" s="189" t="s">
        <v>297</v>
      </c>
      <c r="Q47" s="223"/>
      <c r="R47" s="191" t="s">
        <v>329</v>
      </c>
      <c r="S47" s="192" t="str">
        <f aca="true">REFERENCIA.Unidade</f>
        <v>-</v>
      </c>
      <c r="T47" s="193" t="n">
        <f aca="true">OFFSET(CÁLCULO!H$15,ROW($T47)-ROW(T$15),0)</f>
        <v>0</v>
      </c>
      <c r="U47" s="194" t="n">
        <f aca="false">AG47</f>
        <v>0</v>
      </c>
      <c r="V47" s="195" t="s">
        <v>208</v>
      </c>
      <c r="W47" s="193" t="n">
        <f aca="false">IF($C47="S",ROUND(IF(TIPOORCAMENTO="Proposto",ORÇAMENTO.CustoUnitario*(1+$AH47),ORÇAMENTO.PrecoUnitarioLicitado),15-13*$AF$10),0)</f>
        <v>0</v>
      </c>
      <c r="X47" s="196" t="n">
        <f aca="true">IF($C47="S",IF(Import.TipoArredondamento&lt;&gt;"TransfereGOV",VTOTAL1,SUM(OFFSET(CÁLCULO!$AA$15,ROW($X47)-ROW($X$15),1):OFFSET(CÁLCULO!$AL$15,ROW($X47)-ROW($X$15),-1))),IF($C47=0,0,ROUND(SomaAgrup,15-13*$AF$11)))</f>
        <v>0</v>
      </c>
      <c r="Y47" s="197" t="s">
        <v>298</v>
      </c>
      <c r="Z47" s="0" t="str">
        <f aca="false">IF(AND($C47="S",$X47&gt;0),IF(ISBLANK($Y47),"RA",LEFT($Y47,2)),"")</f>
        <v/>
      </c>
      <c r="AA47" s="198" t="n">
        <f aca="true">IF($C47="S",IF($Z47="CP",$X47,IF($Z47="RA",(($X47)*QCI!$AA$3),0)),SomaAgrup)</f>
        <v>0</v>
      </c>
      <c r="AB47" s="199" t="n">
        <f aca="true">IF($C47="S",IF($Z47="OU",ROUND($X47,2),0),SomaAgrup)</f>
        <v>0</v>
      </c>
      <c r="AC47" s="200" t="str">
        <f aca="false">IF($N47="","",IF(ORÇAMENTO.Descricao="","DESCRIÇÃO",IF(AND($C47="S",ORÇAMENTO.Unidade=""),"UNIDADE",IF($X47&lt;0,"VALOR NEGATIVO",IF(OR(AND(TIPOORCAMENTO="Proposto",$AG47&lt;&gt;"",$AG47&gt;0,ORÇAMENTO.CustoUnitario&gt;$AG47),AND(TIPOORCAMENTO="LICITADO",ORÇAMENTO.PrecoUnitarioLicitado&gt;$AN47)),"ACIMA REF.","")))))</f>
        <v/>
      </c>
      <c r="AD47" s="0" t="n">
        <f aca="true">IF(C47&lt;=CRONO.NivelExibicao,MAX($AD$15:OFFSET(AD47,-1,0))+IF($C47&lt;&gt;1,1,MAX(1,COUNTIF(QCI!$A$13:$A$24,OFFSET($E47,-1,0)))),"")</f>
        <v>9</v>
      </c>
      <c r="AE47" s="201" t="b">
        <f aca="false">IF(AND($C47="S",ORÇAMENTO.CodBarra&lt;&gt;""),IF(ORÇAMENTO.Fonte="",ORÇAMENTO.CodBarra,CONCATENATE(ORÇAMENTO.Fonte," ",ORÇAMENTO.CodBarra)))</f>
        <v>0</v>
      </c>
      <c r="AF47" s="42" t="str">
        <f aca="true">IF(ISERROR(INDIRECT(ORÇAMENTO.BancoRef)),"(abra o arquivo 'Referência "&amp;Excel_BuiltIn_Database&amp;".xlsm)",IF(OR($C47&lt;&gt;"S",ORÇAMENTO.CodBarra=""),"(Sem Código)",IF(ISERROR(MATCH($AE47,INDIRECT(ORÇAMENTO.BancoRef),0)),"(Código não identificado nas referências)",MATCH($AE47,INDIRECT(ORÇAMENTO.BancoRef),0))))</f>
        <v>(abra o arquivo 'Referência 02-Thursday.xlsm)</v>
      </c>
      <c r="AG47" s="202" t="n">
        <f aca="true">ROUND(IF(DESONERACAO="sim",REFERENCIA.Desonerado,REFERENCIA.NaoDesonerado),2)</f>
        <v>0</v>
      </c>
      <c r="AH47" s="203" t="n">
        <f aca="false">ROUND(IF(ISNUMBER(ORÇAMENTO.OpcaoBDI),ORÇAMENTO.OpcaoBDI,IF(LEFT(ORÇAMENTO.OpcaoBDI,3)="BDI",HLOOKUP(ORÇAMENTO.OpcaoBDI,$F$4:$H$5,2,FALSE()),0)),15-11*$AF$9)</f>
        <v>0.22</v>
      </c>
      <c r="AJ47" s="204"/>
      <c r="AL47" s="205"/>
      <c r="AM47" s="206" t="n">
        <f aca="false">$X47</f>
        <v>0</v>
      </c>
      <c r="AN47" s="207" t="n">
        <f aca="false">ROUND(ORÇAMENTO.CustoUnitario*(1+$AH47),2)</f>
        <v>0</v>
      </c>
    </row>
    <row r="48" customFormat="false" ht="12.75" hidden="false" customHeight="false" outlineLevel="0" collapsed="false">
      <c r="A48" s="0" t="str">
        <f aca="false">CHOOSE(1+LOG(1+2*(ORÇAMENTO.Nivel="Meta")+4*(ORÇAMENTO.Nivel="Nível 2")+8*(ORÇAMENTO.Nivel="Nível 3")+16*(ORÇAMENTO.Nivel="Nível 4")+32*(ORÇAMENTO.Nivel="Serviço"),2),0,1,2,3,4,"S")</f>
        <v>S</v>
      </c>
      <c r="B48" s="0" t="n">
        <f aca="true">IF(OR(C48="s",C48=0),OFFSET(B48,-1,0),C48)</f>
        <v>2</v>
      </c>
      <c r="C48" s="0" t="str">
        <f aca="true">IF(OFFSET(C48,-1,0)="L",1,IF(OFFSET(C48,-1,0)=1,2,IF(OR(A48="s",A48=0),"S",IF(AND(OFFSET(C48,-1,0)=2,A48=4),3,IF(AND(OR(OFFSET(C48,-1,0)="s",OFFSET(C48,-1,0)=0),A48&lt;&gt;"s",A48&gt;OFFSET(B48,-1,0)),OFFSET(B48,-1,0),A48)))))</f>
        <v>S</v>
      </c>
      <c r="D48" s="0" t="n">
        <f aca="false">IF(OR(C48="S",C48=0),0,IF(ISERROR(K48),J48,SMALL(J48:K48,1)))</f>
        <v>0</v>
      </c>
      <c r="E48" s="0" t="n">
        <f aca="true">IF($C48=1,OFFSET(E48,-1,0)+MAX(1,COUNTIF(QCI!$A$13:$A$24,OFFSET(ORÇAMENTO!E48,-1,0))),OFFSET(E48,-1,0))</f>
        <v>1</v>
      </c>
      <c r="F48" s="0" t="n">
        <f aca="true">IF($C48=1,0,IF($C48=2,OFFSET(F48,-1,0)+1,OFFSET(F48,-1,0)))</f>
        <v>8</v>
      </c>
      <c r="G48" s="0" t="n">
        <f aca="true">IF(AND($C48&lt;=2,$C48&lt;&gt;0),0,IF($C48=3,OFFSET(G48,-1,0)+1,OFFSET(G48,-1,0)))</f>
        <v>0</v>
      </c>
      <c r="H48" s="0" t="n">
        <f aca="true">IF(AND($C48&lt;=3,$C48&lt;&gt;0),0,IF($C48=4,OFFSET(H48,-1,0)+1,OFFSET(H48,-1,0)))</f>
        <v>0</v>
      </c>
      <c r="I48" s="0" t="n">
        <f aca="true">IF(AND($C48&lt;=4,$C48&lt;&gt;0),0,IF(AND($C48="S",$X48&gt;0),OFFSET(I48,-1,0)+1,OFFSET(I48,-1,0)))</f>
        <v>0</v>
      </c>
      <c r="J48" s="0" t="n">
        <f aca="true">IF(OR($C48="S",$C48=0),0,MATCH(0,OFFSET($D48,1,$C48,ROW($C$59)-ROW($C48)),0))</f>
        <v>0</v>
      </c>
      <c r="K48" s="0" t="n">
        <f aca="true">IF(OR($C48="S",$C48=0),0,MATCH(OFFSET($D48,0,$C48)+IF($C48&lt;&gt;1,1,COUNTIF(QCI!$A$13:$A$24,ORÇAMENTO!E48)),OFFSET($D48,1,$C48,ROW($C$59)-ROW($C48)),0))</f>
        <v>0</v>
      </c>
      <c r="L48" s="185" t="str">
        <f aca="false">IF(OR($X48&gt;0,$C48=1,$C48=2,$C48=3,$C48=4),"F","")</f>
        <v/>
      </c>
      <c r="M48" s="186" t="s">
        <v>251</v>
      </c>
      <c r="N48" s="187" t="str">
        <f aca="false">CHOOSE(1+LOG(1+2*(C48=1)+4*(C48=2)+8*(C48=3)+16*(C48=4)+32*(C48="S"),2),"","Meta","Nível 2","Nível 3","Nível 4","Serviço")</f>
        <v>Serviço</v>
      </c>
      <c r="O48" s="188" t="str">
        <f aca="false">IF(OR($C48=0,$L48=""),"-",CONCATENATE(E48&amp;".",IF(AND($A$5&gt;=2,$C48&gt;=2),F48&amp;".",""),IF(AND($A$5&gt;=3,$C48&gt;=3),G48&amp;".",""),IF(AND($A$5&gt;=4,$C48&gt;=4),H48&amp;".",""),IF($C48="S",I48&amp;".","")))</f>
        <v>-</v>
      </c>
      <c r="P48" s="189" t="s">
        <v>297</v>
      </c>
      <c r="Q48" s="223" t="s">
        <v>330</v>
      </c>
      <c r="R48" s="191" t="str">
        <f aca="true">IF($C48="S",REFERENCIA.Descricao,"(digite a descrição aqui)")</f>
        <v>(abra o arquivo 'Referência 02-Thursday.xlsm)</v>
      </c>
      <c r="S48" s="192" t="str">
        <f aca="true">REFERENCIA.Unidade</f>
        <v>-</v>
      </c>
      <c r="T48" s="193" t="n">
        <f aca="true">OFFSET(CÁLCULO!H$15,ROW($T48)-ROW(T$15),0)</f>
        <v>225</v>
      </c>
      <c r="U48" s="194" t="n">
        <f aca="false">AG48</f>
        <v>0</v>
      </c>
      <c r="V48" s="195" t="s">
        <v>208</v>
      </c>
      <c r="W48" s="193" t="n">
        <f aca="false">IF($C48="S",ROUND(IF(TIPOORCAMENTO="Proposto",ORÇAMENTO.CustoUnitario*(1+$AH48),ORÇAMENTO.PrecoUnitarioLicitado),15-13*$AF$10),0)</f>
        <v>0</v>
      </c>
      <c r="X48" s="196" t="n">
        <f aca="true">IF($C48="S",IF(Import.TipoArredondamento&lt;&gt;"TransfereGOV",VTOTAL1,SUM(OFFSET(CÁLCULO!$AA$15,ROW($X48)-ROW($X$15),1):OFFSET(CÁLCULO!$AL$15,ROW($X48)-ROW($X$15),-1))),IF($C48=0,0,ROUND(SomaAgrup,15-13*$AF$11)))</f>
        <v>0</v>
      </c>
      <c r="Y48" s="197" t="s">
        <v>298</v>
      </c>
      <c r="Z48" s="0" t="str">
        <f aca="false">IF(AND($C48="S",$X48&gt;0),IF(ISBLANK($Y48),"RA",LEFT($Y48,2)),"")</f>
        <v/>
      </c>
      <c r="AA48" s="198" t="n">
        <f aca="true">IF($C48="S",IF($Z48="CP",$X48,IF($Z48="RA",(($X48)*QCI!$AA$3),0)),SomaAgrup)</f>
        <v>0</v>
      </c>
      <c r="AB48" s="199" t="n">
        <f aca="true">IF($C48="S",IF($Z48="OU",ROUND($X48,2),0),SomaAgrup)</f>
        <v>0</v>
      </c>
      <c r="AC48" s="200" t="str">
        <f aca="false">IF($N48="","",IF(ORÇAMENTO.Descricao="","DESCRIÇÃO",IF(AND($C48="S",ORÇAMENTO.Unidade=""),"UNIDADE",IF($X48&lt;0,"VALOR NEGATIVO",IF(OR(AND(TIPOORCAMENTO="Proposto",$AG48&lt;&gt;"",$AG48&gt;0,ORÇAMENTO.CustoUnitario&gt;$AG48),AND(TIPOORCAMENTO="LICITADO",ORÇAMENTO.PrecoUnitarioLicitado&gt;$AN48)),"ACIMA REF.","")))))</f>
        <v/>
      </c>
      <c r="AD48" s="0" t="str">
        <f aca="true">IF(C48&lt;=CRONO.NivelExibicao,MAX($AD$15:OFFSET(AD48,-1,0))+IF($C48&lt;&gt;1,1,MAX(1,COUNTIF(QCI!$A$13:$A$24,OFFSET($E48,-1,0)))),"")</f>
        <v/>
      </c>
      <c r="AE48" s="34" t="str">
        <f aca="false">IF(AND($C48="S",ORÇAMENTO.CodBarra&lt;&gt;""),IF(ORÇAMENTO.Fonte="",ORÇAMENTO.CodBarra,CONCATENATE(ORÇAMENTO.Fonte," ",ORÇAMENTO.CodBarra)))</f>
        <v>SINAPI 95995</v>
      </c>
      <c r="AF48" s="42" t="str">
        <f aca="true">IF(ISERROR(INDIRECT(ORÇAMENTO.BancoRef)),"(abra o arquivo 'Referência "&amp;Excel_BuiltIn_Database&amp;".xlsm)",IF(OR($C48&lt;&gt;"S",ORÇAMENTO.CodBarra=""),"(Sem Código)",IF(ISERROR(MATCH($AE48,INDIRECT(ORÇAMENTO.BancoRef),0)),"(Código não identificado nas referências)",MATCH($AE48,INDIRECT(ORÇAMENTO.BancoRef),0))))</f>
        <v>(abra o arquivo 'Referência 02-Thursday.xlsm)</v>
      </c>
      <c r="AG48" s="202" t="n">
        <f aca="true">ROUND(IF(DESONERACAO="sim",REFERENCIA.Desonerado,REFERENCIA.NaoDesonerado),2)</f>
        <v>0</v>
      </c>
      <c r="AH48" s="203" t="n">
        <f aca="false">ROUND(IF(ISNUMBER(ORÇAMENTO.OpcaoBDI),ORÇAMENTO.OpcaoBDI,IF(LEFT(ORÇAMENTO.OpcaoBDI,3)="BDI",HLOOKUP(ORÇAMENTO.OpcaoBDI,$F$4:$H$5,2,FALSE()),0)),15-11*$AF$9)</f>
        <v>0.22</v>
      </c>
      <c r="AJ48" s="204" t="n">
        <f aca="false">AJ36/0.15*0.05</f>
        <v>225</v>
      </c>
      <c r="AL48" s="205"/>
      <c r="AM48" s="206" t="n">
        <f aca="false">$X48</f>
        <v>0</v>
      </c>
      <c r="AN48" s="207" t="n">
        <f aca="false">ROUND(ORÇAMENTO.CustoUnitario*(1+$AH48),2)</f>
        <v>0</v>
      </c>
    </row>
    <row r="49" customFormat="false" ht="12.75" hidden="false" customHeight="false" outlineLevel="0" collapsed="false">
      <c r="A49" s="0" t="str">
        <f aca="false">CHOOSE(1+LOG(1+2*(ORÇAMENTO.Nivel="Meta")+4*(ORÇAMENTO.Nivel="Nível 2")+8*(ORÇAMENTO.Nivel="Nível 3")+16*(ORÇAMENTO.Nivel="Nível 4")+32*(ORÇAMENTO.Nivel="Serviço"),2),0,1,2,3,4,"S")</f>
        <v>S</v>
      </c>
      <c r="B49" s="0" t="n">
        <f aca="true">IF(OR(C49="s",C49=0),OFFSET(B49,-1,0),C49)</f>
        <v>2</v>
      </c>
      <c r="C49" s="0" t="str">
        <f aca="true">IF(OFFSET(C49,-1,0)="L",1,IF(OFFSET(C49,-1,0)=1,2,IF(OR(A49="s",A49=0),"S",IF(AND(OFFSET(C49,-1,0)=2,A49=4),3,IF(AND(OR(OFFSET(C49,-1,0)="s",OFFSET(C49,-1,0)=0),A49&lt;&gt;"s",A49&gt;OFFSET(B49,-1,0)),OFFSET(B49,-1,0),A49)))))</f>
        <v>S</v>
      </c>
      <c r="D49" s="0" t="n">
        <f aca="false">IF(OR(C49="S",C49=0),0,IF(ISERROR(K49),J49,SMALL(J49:K49,1)))</f>
        <v>0</v>
      </c>
      <c r="E49" s="0" t="n">
        <f aca="true">IF($C49=1,OFFSET(E49,-1,0)+MAX(1,COUNTIF(QCI!$A$13:$A$24,OFFSET(ORÇAMENTO!E49,-1,0))),OFFSET(E49,-1,0))</f>
        <v>1</v>
      </c>
      <c r="F49" s="0" t="n">
        <f aca="true">IF($C49=1,0,IF($C49=2,OFFSET(F49,-1,0)+1,OFFSET(F49,-1,0)))</f>
        <v>8</v>
      </c>
      <c r="G49" s="0" t="n">
        <f aca="true">IF(AND($C49&lt;=2,$C49&lt;&gt;0),0,IF($C49=3,OFFSET(G49,-1,0)+1,OFFSET(G49,-1,0)))</f>
        <v>0</v>
      </c>
      <c r="H49" s="0" t="n">
        <f aca="true">IF(AND($C49&lt;=3,$C49&lt;&gt;0),0,IF($C49=4,OFFSET(H49,-1,0)+1,OFFSET(H49,-1,0)))</f>
        <v>0</v>
      </c>
      <c r="I49" s="0" t="n">
        <f aca="true">IF(AND($C49&lt;=4,$C49&lt;&gt;0),0,IF(AND($C49="S",$X49&gt;0),OFFSET(I49,-1,0)+1,OFFSET(I49,-1,0)))</f>
        <v>0</v>
      </c>
      <c r="J49" s="0" t="n">
        <f aca="true">IF(OR($C49="S",$C49=0),0,MATCH(0,OFFSET($D49,1,$C49,ROW($C$59)-ROW($C49)),0))</f>
        <v>0</v>
      </c>
      <c r="K49" s="0" t="n">
        <f aca="true">IF(OR($C49="S",$C49=0),0,MATCH(OFFSET($D49,0,$C49)+IF($C49&lt;&gt;1,1,COUNTIF(QCI!$A$13:$A$24,ORÇAMENTO!E49)),OFFSET($D49,1,$C49,ROW($C$59)-ROW($C49)),0))</f>
        <v>0</v>
      </c>
      <c r="L49" s="185" t="str">
        <f aca="false">IF(OR($X49&gt;0,$C49=1,$C49=2,$C49=3,$C49=4),"F","")</f>
        <v/>
      </c>
      <c r="M49" s="186" t="s">
        <v>251</v>
      </c>
      <c r="N49" s="187" t="str">
        <f aca="false">CHOOSE(1+LOG(1+2*(C49=1)+4*(C49=2)+8*(C49=3)+16*(C49=4)+32*(C49="S"),2),"","Meta","Nível 2","Nível 3","Nível 4","Serviço")</f>
        <v>Serviço</v>
      </c>
      <c r="O49" s="188" t="str">
        <f aca="false">IF(OR($C49=0,$L49=""),"-",CONCATENATE(E49&amp;".",IF(AND($A$5&gt;=2,$C49&gt;=2),F49&amp;".",""),IF(AND($A$5&gt;=3,$C49&gt;=3),G49&amp;".",""),IF(AND($A$5&gt;=4,$C49&gt;=4),H49&amp;".",""),IF($C49="S",I49&amp;".","")))</f>
        <v>-</v>
      </c>
      <c r="P49" s="189" t="s">
        <v>297</v>
      </c>
      <c r="Q49" s="223" t="s">
        <v>331</v>
      </c>
      <c r="R49" s="191" t="str">
        <f aca="true">IF($C49="S",REFERENCIA.Descricao,"(digite a descrição aqui)")</f>
        <v>(abra o arquivo 'Referência 02-Thursday.xlsm)</v>
      </c>
      <c r="S49" s="192" t="str">
        <f aca="true">REFERENCIA.Unidade</f>
        <v>-</v>
      </c>
      <c r="T49" s="193" t="n">
        <f aca="true">OFFSET(CÁLCULO!H$15,ROW($T49)-ROW(T$15),0)</f>
        <v>6750</v>
      </c>
      <c r="U49" s="194" t="n">
        <f aca="false">AG49</f>
        <v>0</v>
      </c>
      <c r="V49" s="195" t="s">
        <v>208</v>
      </c>
      <c r="W49" s="193" t="n">
        <f aca="false">IF($C49="S",ROUND(IF(TIPOORCAMENTO="Proposto",ORÇAMENTO.CustoUnitario*(1+$AH49),ORÇAMENTO.PrecoUnitarioLicitado),15-13*$AF$10),0)</f>
        <v>0</v>
      </c>
      <c r="X49" s="196" t="n">
        <f aca="true">IF($C49="S",IF(Import.TipoArredondamento&lt;&gt;"TransfereGOV",VTOTAL1,SUM(OFFSET(CÁLCULO!$AA$15,ROW($X49)-ROW($X$15),1):OFFSET(CÁLCULO!$AL$15,ROW($X49)-ROW($X$15),-1))),IF($C49=0,0,ROUND(SomaAgrup,15-13*$AF$11)))</f>
        <v>0</v>
      </c>
      <c r="Y49" s="197" t="s">
        <v>298</v>
      </c>
      <c r="Z49" s="0" t="str">
        <f aca="false">IF(AND($C49="S",$X49&gt;0),IF(ISBLANK($Y49),"RA",LEFT($Y49,2)),"")</f>
        <v/>
      </c>
      <c r="AA49" s="198" t="n">
        <f aca="true">IF($C49="S",IF($Z49="CP",$X49,IF($Z49="RA",(($X49)*QCI!$AA$3),0)),SomaAgrup)</f>
        <v>0</v>
      </c>
      <c r="AB49" s="199" t="n">
        <f aca="true">IF($C49="S",IF($Z49="OU",ROUND($X49,2),0),SomaAgrup)</f>
        <v>0</v>
      </c>
      <c r="AC49" s="200" t="str">
        <f aca="false">IF($N49="","",IF(ORÇAMENTO.Descricao="","DESCRIÇÃO",IF(AND($C49="S",ORÇAMENTO.Unidade=""),"UNIDADE",IF($X49&lt;0,"VALOR NEGATIVO",IF(OR(AND(TIPOORCAMENTO="Proposto",$AG49&lt;&gt;"",$AG49&gt;0,ORÇAMENTO.CustoUnitario&gt;$AG49),AND(TIPOORCAMENTO="LICITADO",ORÇAMENTO.PrecoUnitarioLicitado&gt;$AN49)),"ACIMA REF.","")))))</f>
        <v/>
      </c>
      <c r="AD49" s="0" t="str">
        <f aca="true">IF(C49&lt;=CRONO.NivelExibicao,MAX($AD$15:OFFSET(AD49,-1,0))+IF($C49&lt;&gt;1,1,MAX(1,COUNTIF(QCI!$A$13:$A$24,OFFSET($E49,-1,0)))),"")</f>
        <v/>
      </c>
      <c r="AE49" s="34" t="str">
        <f aca="false">IF(AND($C49="S",ORÇAMENTO.CodBarra&lt;&gt;""),IF(ORÇAMENTO.Fonte="",ORÇAMENTO.CodBarra,CONCATENATE(ORÇAMENTO.Fonte," ",ORÇAMENTO.CodBarra)))</f>
        <v>SINAPI 95875</v>
      </c>
      <c r="AF49" s="42" t="str">
        <f aca="true">IF(ISERROR(INDIRECT(ORÇAMENTO.BancoRef)),"(abra o arquivo 'Referência "&amp;Excel_BuiltIn_Database&amp;".xlsm)",IF(OR($C49&lt;&gt;"S",ORÇAMENTO.CodBarra=""),"(Sem Código)",IF(ISERROR(MATCH($AE49,INDIRECT(ORÇAMENTO.BancoRef),0)),"(Código não identificado nas referências)",MATCH($AE49,INDIRECT(ORÇAMENTO.BancoRef),0))))</f>
        <v>(abra o arquivo 'Referência 02-Thursday.xlsm)</v>
      </c>
      <c r="AG49" s="202" t="n">
        <f aca="true">ROUND(IF(DESONERACAO="sim",REFERENCIA.Desonerado,REFERENCIA.NaoDesonerado),2)</f>
        <v>0</v>
      </c>
      <c r="AH49" s="203" t="n">
        <f aca="false">ROUND(IF(ISNUMBER(ORÇAMENTO.OpcaoBDI),ORÇAMENTO.OpcaoBDI,IF(LEFT(ORÇAMENTO.OpcaoBDI,3)="BDI",HLOOKUP(ORÇAMENTO.OpcaoBDI,$F$4:$H$5,2,FALSE()),0)),15-11*$AF$9)</f>
        <v>0.22</v>
      </c>
      <c r="AJ49" s="204" t="n">
        <f aca="false">AJ48*30</f>
        <v>6750</v>
      </c>
      <c r="AL49" s="205"/>
      <c r="AM49" s="206" t="n">
        <f aca="false">$X49</f>
        <v>0</v>
      </c>
      <c r="AN49" s="207" t="n">
        <f aca="false">ROUND(ORÇAMENTO.CustoUnitario*(1+$AH49),2)</f>
        <v>0</v>
      </c>
    </row>
    <row r="50" customFormat="false" ht="12.75" hidden="false" customHeight="false" outlineLevel="0" collapsed="false">
      <c r="A50" s="0" t="str">
        <f aca="false">CHOOSE(1+LOG(1+2*(ORÇAMENTO.Nivel="Meta")+4*(ORÇAMENTO.Nivel="Nível 2")+8*(ORÇAMENTO.Nivel="Nível 3")+16*(ORÇAMENTO.Nivel="Nível 4")+32*(ORÇAMENTO.Nivel="Serviço"),2),0,1,2,3,4,"S")</f>
        <v>S</v>
      </c>
      <c r="B50" s="0" t="n">
        <f aca="true">IF(OR(C50="s",C50=0),OFFSET(B50,-1,0),C50)</f>
        <v>2</v>
      </c>
      <c r="C50" s="0" t="str">
        <f aca="true">IF(OFFSET(C50,-1,0)="L",1,IF(OFFSET(C50,-1,0)=1,2,IF(OR(A50="s",A50=0),"S",IF(AND(OFFSET(C50,-1,0)=2,A50=4),3,IF(AND(OR(OFFSET(C50,-1,0)="s",OFFSET(C50,-1,0)=0),A50&lt;&gt;"s",A50&gt;OFFSET(B50,-1,0)),OFFSET(B50,-1,0),A50)))))</f>
        <v>S</v>
      </c>
      <c r="D50" s="0" t="n">
        <f aca="false">IF(OR(C50="S",C50=0),0,IF(ISERROR(K50),J50,SMALL(J50:K50,1)))</f>
        <v>0</v>
      </c>
      <c r="E50" s="0" t="n">
        <f aca="true">IF($C50=1,OFFSET(E50,-1,0)+MAX(1,COUNTIF(QCI!$A$13:$A$24,OFFSET(ORÇAMENTO!E50,-1,0))),OFFSET(E50,-1,0))</f>
        <v>1</v>
      </c>
      <c r="F50" s="0" t="n">
        <f aca="true">IF($C50=1,0,IF($C50=2,OFFSET(F50,-1,0)+1,OFFSET(F50,-1,0)))</f>
        <v>8</v>
      </c>
      <c r="G50" s="0" t="n">
        <f aca="true">IF(AND($C50&lt;=2,$C50&lt;&gt;0),0,IF($C50=3,OFFSET(G50,-1,0)+1,OFFSET(G50,-1,0)))</f>
        <v>0</v>
      </c>
      <c r="H50" s="0" t="n">
        <f aca="true">IF(AND($C50&lt;=3,$C50&lt;&gt;0),0,IF($C50=4,OFFSET(H50,-1,0)+1,OFFSET(H50,-1,0)))</f>
        <v>0</v>
      </c>
      <c r="I50" s="0" t="n">
        <f aca="true">IF(AND($C50&lt;=4,$C50&lt;&gt;0),0,IF(AND($C50="S",$X50&gt;0),OFFSET(I50,-1,0)+1,OFFSET(I50,-1,0)))</f>
        <v>0</v>
      </c>
      <c r="J50" s="0" t="n">
        <f aca="true">IF(OR($C50="S",$C50=0),0,MATCH(0,OFFSET($D50,1,$C50,ROW($C$59)-ROW($C50)),0))</f>
        <v>0</v>
      </c>
      <c r="K50" s="0" t="n">
        <f aca="true">IF(OR($C50="S",$C50=0),0,MATCH(OFFSET($D50,0,$C50)+IF($C50&lt;&gt;1,1,COUNTIF(QCI!$A$13:$A$24,ORÇAMENTO!E50)),OFFSET($D50,1,$C50,ROW($C$59)-ROW($C50)),0))</f>
        <v>0</v>
      </c>
      <c r="L50" s="185" t="str">
        <f aca="false">IF(OR($X50&gt;0,$C50=1,$C50=2,$C50=3,$C50=4),"F","")</f>
        <v/>
      </c>
      <c r="M50" s="186" t="s">
        <v>251</v>
      </c>
      <c r="N50" s="187" t="str">
        <f aca="false">CHOOSE(1+LOG(1+2*(C50=1)+4*(C50=2)+8*(C50=3)+16*(C50=4)+32*(C50="S"),2),"","Meta","Nível 2","Nível 3","Nível 4","Serviço")</f>
        <v>Serviço</v>
      </c>
      <c r="O50" s="188" t="str">
        <f aca="false">IF(OR($C50=0,$L50=""),"-",CONCATENATE(E50&amp;".",IF(AND($A$5&gt;=2,$C50&gt;=2),F50&amp;".",""),IF(AND($A$5&gt;=3,$C50&gt;=3),G50&amp;".",""),IF(AND($A$5&gt;=4,$C50&gt;=4),H50&amp;".",""),IF($C50="S",I50&amp;".","")))</f>
        <v>-</v>
      </c>
      <c r="P50" s="189" t="s">
        <v>297</v>
      </c>
      <c r="Q50" s="223" t="s">
        <v>332</v>
      </c>
      <c r="R50" s="191" t="str">
        <f aca="true">IF($C50="S",REFERENCIA.Descricao,"(digite a descrição aqui)")</f>
        <v>(abra o arquivo 'Referência 02-Thursday.xlsm)</v>
      </c>
      <c r="S50" s="192" t="str">
        <f aca="true">REFERENCIA.Unidade</f>
        <v>-</v>
      </c>
      <c r="T50" s="193" t="n">
        <f aca="true">OFFSET(CÁLCULO!H$15,ROW($T50)-ROW(T$15),0)</f>
        <v>9573.75</v>
      </c>
      <c r="U50" s="194" t="n">
        <f aca="false">AG50</f>
        <v>0</v>
      </c>
      <c r="V50" s="195" t="s">
        <v>208</v>
      </c>
      <c r="W50" s="193" t="n">
        <f aca="false">IF($C50="S",ROUND(IF(TIPOORCAMENTO="Proposto",ORÇAMENTO.CustoUnitario*(1+$AH50),ORÇAMENTO.PrecoUnitarioLicitado),15-13*$AF$10),0)</f>
        <v>0</v>
      </c>
      <c r="X50" s="196" t="n">
        <f aca="true">IF($C50="S",IF(Import.TipoArredondamento&lt;&gt;"TransfereGOV",VTOTAL1,SUM(OFFSET(CÁLCULO!$AA$15,ROW($X50)-ROW($X$15),1):OFFSET(CÁLCULO!$AL$15,ROW($X50)-ROW($X$15),-1))),IF($C50=0,0,ROUND(SomaAgrup,15-13*$AF$11)))</f>
        <v>0</v>
      </c>
      <c r="Y50" s="197" t="s">
        <v>298</v>
      </c>
      <c r="Z50" s="0" t="str">
        <f aca="false">IF(AND($C50="S",$X50&gt;0),IF(ISBLANK($Y50),"RA",LEFT($Y50,2)),"")</f>
        <v/>
      </c>
      <c r="AA50" s="198" t="n">
        <f aca="true">IF($C50="S",IF($Z50="CP",$X50,IF($Z50="RA",(($X50)*QCI!$AA$3),0)),SomaAgrup)</f>
        <v>0</v>
      </c>
      <c r="AB50" s="199" t="n">
        <f aca="true">IF($C50="S",IF($Z50="OU",ROUND($X50,2),0),SomaAgrup)</f>
        <v>0</v>
      </c>
      <c r="AC50" s="200" t="str">
        <f aca="false">IF($N50="","",IF(ORÇAMENTO.Descricao="","DESCRIÇÃO",IF(AND($C50="S",ORÇAMENTO.Unidade=""),"UNIDADE",IF($X50&lt;0,"VALOR NEGATIVO",IF(OR(AND(TIPOORCAMENTO="Proposto",$AG50&lt;&gt;"",$AG50&gt;0,ORÇAMENTO.CustoUnitario&gt;$AG50),AND(TIPOORCAMENTO="LICITADO",ORÇAMENTO.PrecoUnitarioLicitado&gt;$AN50)),"ACIMA REF.","")))))</f>
        <v/>
      </c>
      <c r="AD50" s="0" t="str">
        <f aca="true">IF(C50&lt;=CRONO.NivelExibicao,MAX($AD$15:OFFSET(AD50,-1,0))+IF($C50&lt;&gt;1,1,MAX(1,COUNTIF(QCI!$A$13:$A$24,OFFSET($E50,-1,0)))),"")</f>
        <v/>
      </c>
      <c r="AE50" s="34" t="str">
        <f aca="false">IF(AND($C50="S",ORÇAMENTO.CodBarra&lt;&gt;""),IF(ORÇAMENTO.Fonte="",ORÇAMENTO.CodBarra,CONCATENATE(ORÇAMENTO.Fonte," ",ORÇAMENTO.CodBarra)))</f>
        <v>SINAPI 93590</v>
      </c>
      <c r="AF50" s="42" t="str">
        <f aca="true">IF(ISERROR(INDIRECT(ORÇAMENTO.BancoRef)),"(abra o arquivo 'Referência "&amp;Excel_BuiltIn_Database&amp;".xlsm)",IF(OR($C50&lt;&gt;"S",ORÇAMENTO.CodBarra=""),"(Sem Código)",IF(ISERROR(MATCH($AE50,INDIRECT(ORÇAMENTO.BancoRef),0)),"(Código não identificado nas referências)",MATCH($AE50,INDIRECT(ORÇAMENTO.BancoRef),0))))</f>
        <v>(abra o arquivo 'Referência 02-Thursday.xlsm)</v>
      </c>
      <c r="AG50" s="202" t="n">
        <f aca="true">ROUND(IF(DESONERACAO="sim",REFERENCIA.Desonerado,REFERENCIA.NaoDesonerado),2)</f>
        <v>0</v>
      </c>
      <c r="AH50" s="203" t="n">
        <f aca="false">ROUND(IF(ISNUMBER(ORÇAMENTO.OpcaoBDI),ORÇAMENTO.OpcaoBDI,IF(LEFT(ORÇAMENTO.OpcaoBDI,3)="BDI",HLOOKUP(ORÇAMENTO.OpcaoBDI,$F$4:$H$5,2,FALSE()),0)),15-11*$AF$9)</f>
        <v>0.22</v>
      </c>
      <c r="AJ50" s="204" t="n">
        <f aca="false">AJ48*(72.55-30)</f>
        <v>9573.75</v>
      </c>
      <c r="AL50" s="205"/>
      <c r="AM50" s="206" t="n">
        <f aca="false">$X50</f>
        <v>0</v>
      </c>
      <c r="AN50" s="207" t="n">
        <f aca="false">ROUND(ORÇAMENTO.CustoUnitario*(1+$AH50),2)</f>
        <v>0</v>
      </c>
    </row>
    <row r="51" customFormat="false" ht="12.75" hidden="false" customHeight="false" outlineLevel="0" collapsed="false">
      <c r="A51" s="0" t="n">
        <f aca="false">CHOOSE(1+LOG(1+2*(ORÇAMENTO.Nivel="Meta")+4*(ORÇAMENTO.Nivel="Nível 2")+8*(ORÇAMENTO.Nivel="Nível 3")+16*(ORÇAMENTO.Nivel="Nível 4")+32*(ORÇAMENTO.Nivel="Serviço"),2),0,1,2,3,4,"S")</f>
        <v>2</v>
      </c>
      <c r="B51" s="0" t="n">
        <f aca="true">IF(OR(C51="s",C51=0),OFFSET(B51,-1,0),C51)</f>
        <v>2</v>
      </c>
      <c r="C51" s="0" t="n">
        <f aca="true">IF(OFFSET(C51,-1,0)="L",1,IF(OFFSET(C51,-1,0)=1,2,IF(OR(A51="s",A51=0),"S",IF(AND(OFFSET(C51,-1,0)=2,A51=4),3,IF(AND(OR(OFFSET(C51,-1,0)="s",OFFSET(C51,-1,0)=0),A51&lt;&gt;"s",A51&gt;OFFSET(B51,-1,0)),OFFSET(B51,-1,0),A51)))))</f>
        <v>2</v>
      </c>
      <c r="D51" s="0" t="n">
        <f aca="false">IF(OR(C51="S",C51=0),0,IF(ISERROR(K51),J51,SMALL(J51:K51,1)))</f>
        <v>3</v>
      </c>
      <c r="E51" s="0" t="n">
        <f aca="true">IF($C51=1,OFFSET(E51,-1,0)+MAX(1,COUNTIF(QCI!$A$13:$A$24,OFFSET(ORÇAMENTO!E51,-1,0))),OFFSET(E51,-1,0))</f>
        <v>1</v>
      </c>
      <c r="F51" s="0" t="n">
        <f aca="true">IF($C51=1,0,IF($C51=2,OFFSET(F51,-1,0)+1,OFFSET(F51,-1,0)))</f>
        <v>9</v>
      </c>
      <c r="G51" s="0" t="n">
        <f aca="true">IF(AND($C51&lt;=2,$C51&lt;&gt;0),0,IF($C51=3,OFFSET(G51,-1,0)+1,OFFSET(G51,-1,0)))</f>
        <v>0</v>
      </c>
      <c r="H51" s="0" t="n">
        <f aca="true">IF(AND($C51&lt;=3,$C51&lt;&gt;0),0,IF($C51=4,OFFSET(H51,-1,0)+1,OFFSET(H51,-1,0)))</f>
        <v>0</v>
      </c>
      <c r="I51" s="0" t="n">
        <f aca="true">IF(AND($C51&lt;=4,$C51&lt;&gt;0),0,IF(AND($C51="S",$X51&gt;0),OFFSET(I51,-1,0)+1,OFFSET(I51,-1,0)))</f>
        <v>0</v>
      </c>
      <c r="J51" s="0" t="n">
        <f aca="true">IF(OR($C51="S",$C51=0),0,MATCH(0,OFFSET($D51,1,$C51,ROW($C$59)-ROW($C51)),0))</f>
        <v>8</v>
      </c>
      <c r="K51" s="0" t="n">
        <f aca="true">IF(OR($C51="S",$C51=0),0,MATCH(OFFSET($D51,0,$C51)+IF($C51&lt;&gt;1,1,COUNTIF(QCI!$A$13:$A$24,ORÇAMENTO!E51)),OFFSET($D51,1,$C51,ROW($C$59)-ROW($C51)),0))</f>
        <v>3</v>
      </c>
      <c r="L51" s="185" t="str">
        <f aca="false">IF(OR($X51&gt;0,$C51=1,$C51=2,$C51=3,$C51=4),"F","")</f>
        <v>F</v>
      </c>
      <c r="M51" s="186" t="s">
        <v>248</v>
      </c>
      <c r="N51" s="187" t="str">
        <f aca="false">CHOOSE(1+LOG(1+2*(C51=1)+4*(C51=2)+8*(C51=3)+16*(C51=4)+32*(C51="S"),2),"","Meta","Nível 2","Nível 3","Nível 4","Serviço")</f>
        <v>Nível 2</v>
      </c>
      <c r="O51" s="188" t="str">
        <f aca="false">IF(OR($C51=0,$L51=""),"-",CONCATENATE(E51&amp;".",IF(AND($A$5&gt;=2,$C51&gt;=2),F51&amp;".",""),IF(AND($A$5&gt;=3,$C51&gt;=3),G51&amp;".",""),IF(AND($A$5&gt;=4,$C51&gt;=4),H51&amp;".",""),IF($C51="S",I51&amp;".","")))</f>
        <v>1.9.</v>
      </c>
      <c r="P51" s="189" t="s">
        <v>297</v>
      </c>
      <c r="Q51" s="190"/>
      <c r="R51" s="191" t="s">
        <v>333</v>
      </c>
      <c r="S51" s="192" t="str">
        <f aca="true">REFERENCIA.Unidade</f>
        <v>-</v>
      </c>
      <c r="T51" s="193" t="n">
        <f aca="true">OFFSET(CÁLCULO!H$15,ROW($T51)-ROW(T$15),0)</f>
        <v>0</v>
      </c>
      <c r="U51" s="194" t="n">
        <f aca="false">AG51</f>
        <v>0</v>
      </c>
      <c r="V51" s="195" t="s">
        <v>208</v>
      </c>
      <c r="W51" s="193" t="n">
        <f aca="false">IF($C51="S",ROUND(IF(TIPOORCAMENTO="Proposto",ORÇAMENTO.CustoUnitario*(1+$AH51),ORÇAMENTO.PrecoUnitarioLicitado),15-13*$AF$10),0)</f>
        <v>0</v>
      </c>
      <c r="X51" s="196" t="n">
        <f aca="true">IF($C51="S",IF(Import.TipoArredondamento&lt;&gt;"TransfereGOV",VTOTAL1,SUM(OFFSET(CÁLCULO!$AA$15,ROW($X51)-ROW($X$15),1):OFFSET(CÁLCULO!$AL$15,ROW($X51)-ROW($X$15),-1))),IF($C51=0,0,ROUND(SomaAgrup,15-13*$AF$11)))</f>
        <v>0</v>
      </c>
      <c r="Y51" s="197" t="s">
        <v>298</v>
      </c>
      <c r="Z51" s="0" t="str">
        <f aca="false">IF(AND($C51="S",$X51&gt;0),IF(ISBLANK($Y51),"RA",LEFT($Y51,2)),"")</f>
        <v/>
      </c>
      <c r="AA51" s="198" t="n">
        <f aca="true">IF($C51="S",IF($Z51="CP",$X51,IF($Z51="RA",(($X51)*QCI!$AA$3),0)),SomaAgrup)</f>
        <v>0</v>
      </c>
      <c r="AB51" s="199" t="n">
        <f aca="true">IF($C51="S",IF($Z51="OU",ROUND($X51,2),0),SomaAgrup)</f>
        <v>0</v>
      </c>
      <c r="AC51" s="200" t="str">
        <f aca="false">IF($N51="","",IF(ORÇAMENTO.Descricao="","DESCRIÇÃO",IF(AND($C51="S",ORÇAMENTO.Unidade=""),"UNIDADE",IF($X51&lt;0,"VALOR NEGATIVO",IF(OR(AND(TIPOORCAMENTO="Proposto",$AG51&lt;&gt;"",$AG51&gt;0,ORÇAMENTO.CustoUnitario&gt;$AG51),AND(TIPOORCAMENTO="LICITADO",ORÇAMENTO.PrecoUnitarioLicitado&gt;$AN51)),"ACIMA REF.","")))))</f>
        <v/>
      </c>
      <c r="AD51" s="0" t="n">
        <f aca="true">IF(C51&lt;=CRONO.NivelExibicao,MAX($AD$15:OFFSET(AD51,-1,0))+IF($C51&lt;&gt;1,1,MAX(1,COUNTIF(QCI!$A$13:$A$24,OFFSET($E51,-1,0)))),"")</f>
        <v>10</v>
      </c>
      <c r="AE51" s="201" t="b">
        <f aca="false">IF(AND($C51="S",ORÇAMENTO.CodBarra&lt;&gt;""),IF(ORÇAMENTO.Fonte="",ORÇAMENTO.CodBarra,CONCATENATE(ORÇAMENTO.Fonte," ",ORÇAMENTO.CodBarra)))</f>
        <v>0</v>
      </c>
      <c r="AF51" s="42" t="str">
        <f aca="true">IF(ISERROR(INDIRECT(ORÇAMENTO.BancoRef)),"(abra o arquivo 'Referência "&amp;Excel_BuiltIn_Database&amp;".xlsm)",IF(OR($C51&lt;&gt;"S",ORÇAMENTO.CodBarra=""),"(Sem Código)",IF(ISERROR(MATCH($AE51,INDIRECT(ORÇAMENTO.BancoRef),0)),"(Código não identificado nas referências)",MATCH($AE51,INDIRECT(ORÇAMENTO.BancoRef),0))))</f>
        <v>(abra o arquivo 'Referência 02-Thursday.xlsm)</v>
      </c>
      <c r="AG51" s="202" t="n">
        <f aca="true">ROUND(IF(DESONERACAO="sim",REFERENCIA.Desonerado,REFERENCIA.NaoDesonerado),2)</f>
        <v>0</v>
      </c>
      <c r="AH51" s="203" t="n">
        <f aca="false">ROUND(IF(ISNUMBER(ORÇAMENTO.OpcaoBDI),ORÇAMENTO.OpcaoBDI,IF(LEFT(ORÇAMENTO.OpcaoBDI,3)="BDI",HLOOKUP(ORÇAMENTO.OpcaoBDI,$F$4:$H$5,2,FALSE()),0)),15-11*$AF$9)</f>
        <v>0.22</v>
      </c>
      <c r="AJ51" s="204"/>
      <c r="AL51" s="205"/>
      <c r="AM51" s="206" t="n">
        <f aca="false">$X51</f>
        <v>0</v>
      </c>
      <c r="AN51" s="207" t="n">
        <f aca="false">ROUND(ORÇAMENTO.CustoUnitario*(1+$AH51),2)</f>
        <v>0</v>
      </c>
    </row>
    <row r="52" customFormat="false" ht="12.75" hidden="false" customHeight="false" outlineLevel="0" collapsed="false">
      <c r="A52" s="0" t="str">
        <f aca="false">CHOOSE(1+LOG(1+2*(ORÇAMENTO.Nivel="Meta")+4*(ORÇAMENTO.Nivel="Nível 2")+8*(ORÇAMENTO.Nivel="Nível 3")+16*(ORÇAMENTO.Nivel="Nível 4")+32*(ORÇAMENTO.Nivel="Serviço"),2),0,1,2,3,4,"S")</f>
        <v>S</v>
      </c>
      <c r="B52" s="0" t="n">
        <f aca="true">IF(OR(C52="s",C52=0),OFFSET(B52,-1,0),C52)</f>
        <v>2</v>
      </c>
      <c r="C52" s="0" t="str">
        <f aca="true">IF(OFFSET(C52,-1,0)="L",1,IF(OFFSET(C52,-1,0)=1,2,IF(OR(A52="s",A52=0),"S",IF(AND(OFFSET(C52,-1,0)=2,A52=4),3,IF(AND(OR(OFFSET(C52,-1,0)="s",OFFSET(C52,-1,0)=0),A52&lt;&gt;"s",A52&gt;OFFSET(B52,-1,0)),OFFSET(B52,-1,0),A52)))))</f>
        <v>S</v>
      </c>
      <c r="D52" s="0" t="n">
        <f aca="false">IF(OR(C52="S",C52=0),0,IF(ISERROR(K52),J52,SMALL(J52:K52,1)))</f>
        <v>0</v>
      </c>
      <c r="E52" s="0" t="n">
        <f aca="true">IF($C52=1,OFFSET(E52,-1,0)+MAX(1,COUNTIF(QCI!$A$13:$A$24,OFFSET(ORÇAMENTO!E52,-1,0))),OFFSET(E52,-1,0))</f>
        <v>1</v>
      </c>
      <c r="F52" s="0" t="n">
        <f aca="true">IF($C52=1,0,IF($C52=2,OFFSET(F52,-1,0)+1,OFFSET(F52,-1,0)))</f>
        <v>9</v>
      </c>
      <c r="G52" s="0" t="n">
        <f aca="true">IF(AND($C52&lt;=2,$C52&lt;&gt;0),0,IF($C52=3,OFFSET(G52,-1,0)+1,OFFSET(G52,-1,0)))</f>
        <v>0</v>
      </c>
      <c r="H52" s="0" t="n">
        <f aca="true">IF(AND($C52&lt;=3,$C52&lt;&gt;0),0,IF($C52=4,OFFSET(H52,-1,0)+1,OFFSET(H52,-1,0)))</f>
        <v>0</v>
      </c>
      <c r="I52" s="0" t="n">
        <f aca="true">IF(AND($C52&lt;=4,$C52&lt;&gt;0),0,IF(AND($C52="S",$X52&gt;0),OFFSET(I52,-1,0)+1,OFFSET(I52,-1,0)))</f>
        <v>0</v>
      </c>
      <c r="J52" s="0" t="n">
        <f aca="true">IF(OR($C52="S",$C52=0),0,MATCH(0,OFFSET($D52,1,$C52,ROW($C$59)-ROW($C52)),0))</f>
        <v>0</v>
      </c>
      <c r="K52" s="0" t="n">
        <f aca="true">IF(OR($C52="S",$C52=0),0,MATCH(OFFSET($D52,0,$C52)+IF($C52&lt;&gt;1,1,COUNTIF(QCI!$A$13:$A$24,ORÇAMENTO!E52)),OFFSET($D52,1,$C52,ROW($C$59)-ROW($C52)),0))</f>
        <v>0</v>
      </c>
      <c r="L52" s="185" t="str">
        <f aca="false">IF(OR($X52&gt;0,$C52=1,$C52=2,$C52=3,$C52=4),"F","")</f>
        <v/>
      </c>
      <c r="M52" s="186" t="s">
        <v>251</v>
      </c>
      <c r="N52" s="187" t="str">
        <f aca="false">CHOOSE(1+LOG(1+2*(C52=1)+4*(C52=2)+8*(C52=3)+16*(C52=4)+32*(C52="S"),2),"","Meta","Nível 2","Nível 3","Nível 4","Serviço")</f>
        <v>Serviço</v>
      </c>
      <c r="O52" s="188" t="str">
        <f aca="false">IF(OR($C52=0,$L52=""),"-",CONCATENATE(E52&amp;".",IF(AND($A$5&gt;=2,$C52&gt;=2),F52&amp;".",""),IF(AND($A$5&gt;=3,$C52&gt;=3),G52&amp;".",""),IF(AND($A$5&gt;=4,$C52&gt;=4),H52&amp;".",""),IF($C52="S",I52&amp;".","")))</f>
        <v>-</v>
      </c>
      <c r="P52" s="189" t="s">
        <v>317</v>
      </c>
      <c r="Q52" s="190" t="s">
        <v>334</v>
      </c>
      <c r="R52" s="191" t="str">
        <f aca="true">IF($C52="S",REFERENCIA.Descricao,"(digite a descrição aqui)")</f>
        <v>(abra o arquivo 'Referência 02-Thursday.xlsm)</v>
      </c>
      <c r="S52" s="192" t="str">
        <f aca="true">REFERENCIA.Unidade</f>
        <v>-</v>
      </c>
      <c r="T52" s="193" t="n">
        <f aca="true">OFFSET(CÁLCULO!H$15,ROW($T52)-ROW(T$15),0)</f>
        <v>680</v>
      </c>
      <c r="U52" s="194" t="n">
        <f aca="false">AG52</f>
        <v>0</v>
      </c>
      <c r="V52" s="195" t="s">
        <v>208</v>
      </c>
      <c r="W52" s="193" t="n">
        <f aca="false">IF($C52="S",ROUND(IF(TIPOORCAMENTO="Proposto",ORÇAMENTO.CustoUnitario*(1+$AH52),ORÇAMENTO.PrecoUnitarioLicitado),15-13*$AF$10),0)</f>
        <v>0</v>
      </c>
      <c r="X52" s="196" t="n">
        <f aca="true">IF($C52="S",IF(Import.TipoArredondamento&lt;&gt;"TransfereGOV",VTOTAL1,SUM(OFFSET(CÁLCULO!$AA$15,ROW($X52)-ROW($X$15),1):OFFSET(CÁLCULO!$AL$15,ROW($X52)-ROW($X$15),-1))),IF($C52=0,0,ROUND(SomaAgrup,15-13*$AF$11)))</f>
        <v>0</v>
      </c>
      <c r="Y52" s="197" t="s">
        <v>298</v>
      </c>
      <c r="Z52" s="0" t="str">
        <f aca="false">IF(AND($C52="S",$X52&gt;0),IF(ISBLANK($Y52),"RA",LEFT($Y52,2)),"")</f>
        <v/>
      </c>
      <c r="AA52" s="198" t="n">
        <f aca="true">IF($C52="S",IF($Z52="CP",$X52,IF($Z52="RA",(($X52)*QCI!$AA$3),0)),SomaAgrup)</f>
        <v>0</v>
      </c>
      <c r="AB52" s="199" t="n">
        <f aca="true">IF($C52="S",IF($Z52="OU",ROUND($X52,2),0),SomaAgrup)</f>
        <v>0</v>
      </c>
      <c r="AC52" s="200" t="str">
        <f aca="false">IF($N52="","",IF(ORÇAMENTO.Descricao="","DESCRIÇÃO",IF(AND($C52="S",ORÇAMENTO.Unidade=""),"UNIDADE",IF($X52&lt;0,"VALOR NEGATIVO",IF(OR(AND(TIPOORCAMENTO="Proposto",$AG52&lt;&gt;"",$AG52&gt;0,ORÇAMENTO.CustoUnitario&gt;$AG52),AND(TIPOORCAMENTO="LICITADO",ORÇAMENTO.PrecoUnitarioLicitado&gt;$AN52)),"ACIMA REF.","")))))</f>
        <v/>
      </c>
      <c r="AD52" s="0" t="str">
        <f aca="true">IF(C52&lt;=CRONO.NivelExibicao,MAX($AD$15:OFFSET(AD52,-1,0))+IF($C52&lt;&gt;1,1,MAX(1,COUNTIF(QCI!$A$13:$A$24,OFFSET($E52,-1,0)))),"")</f>
        <v/>
      </c>
      <c r="AE52" s="34" t="str">
        <f aca="false">IF(AND($C52="S",ORÇAMENTO.CodBarra&lt;&gt;""),IF(ORÇAMENTO.Fonte="",ORÇAMENTO.CodBarra,CONCATENATE(ORÇAMENTO.Fonte," ",ORÇAMENTO.CodBarra)))</f>
        <v>SICRO 2003285</v>
      </c>
      <c r="AF52" s="42" t="str">
        <f aca="true">IF(ISERROR(INDIRECT(ORÇAMENTO.BancoRef)),"(abra o arquivo 'Referência "&amp;Excel_BuiltIn_Database&amp;".xlsm)",IF(OR($C52&lt;&gt;"S",ORÇAMENTO.CodBarra=""),"(Sem Código)",IF(ISERROR(MATCH($AE52,INDIRECT(ORÇAMENTO.BancoRef),0)),"(Código não identificado nas referências)",MATCH($AE52,INDIRECT(ORÇAMENTO.BancoRef),0))))</f>
        <v>(abra o arquivo 'Referência 02-Thursday.xlsm)</v>
      </c>
      <c r="AG52" s="202" t="n">
        <f aca="true">ROUND(IF(DESONERACAO="sim",REFERENCIA.Desonerado,REFERENCIA.NaoDesonerado),2)</f>
        <v>0</v>
      </c>
      <c r="AH52" s="203" t="n">
        <f aca="false">ROUND(IF(ISNUMBER(ORÇAMENTO.OpcaoBDI),ORÇAMENTO.OpcaoBDI,IF(LEFT(ORÇAMENTO.OpcaoBDI,3)="BDI",HLOOKUP(ORÇAMENTO.OpcaoBDI,$F$4:$H$5,2,FALSE()),0)),15-11*$AF$9)</f>
        <v>0.22</v>
      </c>
      <c r="AJ52" s="204" t="n">
        <f aca="false">220+260+200</f>
        <v>680</v>
      </c>
      <c r="AL52" s="205"/>
      <c r="AM52" s="206" t="n">
        <f aca="false">$X52</f>
        <v>0</v>
      </c>
      <c r="AN52" s="207" t="n">
        <f aca="false">ROUND(ORÇAMENTO.CustoUnitario*(1+$AH52),2)</f>
        <v>0</v>
      </c>
    </row>
    <row r="53" customFormat="false" ht="12.75" hidden="false" customHeight="false" outlineLevel="0" collapsed="false">
      <c r="A53" s="0" t="str">
        <f aca="false">CHOOSE(1+LOG(1+2*(ORÇAMENTO.Nivel="Meta")+4*(ORÇAMENTO.Nivel="Nível 2")+8*(ORÇAMENTO.Nivel="Nível 3")+16*(ORÇAMENTO.Nivel="Nível 4")+32*(ORÇAMENTO.Nivel="Serviço"),2),0,1,2,3,4,"S")</f>
        <v>S</v>
      </c>
      <c r="B53" s="0" t="n">
        <f aca="true">IF(OR(C53="s",C53=0),OFFSET(B53,-1,0),C53)</f>
        <v>2</v>
      </c>
      <c r="C53" s="0" t="str">
        <f aca="true">IF(OFFSET(C53,-1,0)="L",1,IF(OFFSET(C53,-1,0)=1,2,IF(OR(A53="s",A53=0),"S",IF(AND(OFFSET(C53,-1,0)=2,A53=4),3,IF(AND(OR(OFFSET(C53,-1,0)="s",OFFSET(C53,-1,0)=0),A53&lt;&gt;"s",A53&gt;OFFSET(B53,-1,0)),OFFSET(B53,-1,0),A53)))))</f>
        <v>S</v>
      </c>
      <c r="D53" s="0" t="n">
        <f aca="false">IF(OR(C53="S",C53=0),0,IF(ISERROR(K53),J53,SMALL(J53:K53,1)))</f>
        <v>0</v>
      </c>
      <c r="E53" s="0" t="n">
        <f aca="true">IF($C53=1,OFFSET(E53,-1,0)+MAX(1,COUNTIF(QCI!$A$13:$A$24,OFFSET(ORÇAMENTO!E53,-1,0))),OFFSET(E53,-1,0))</f>
        <v>1</v>
      </c>
      <c r="F53" s="0" t="n">
        <f aca="true">IF($C53=1,0,IF($C53=2,OFFSET(F53,-1,0)+1,OFFSET(F53,-1,0)))</f>
        <v>9</v>
      </c>
      <c r="G53" s="0" t="n">
        <f aca="true">IF(AND($C53&lt;=2,$C53&lt;&gt;0),0,IF($C53=3,OFFSET(G53,-1,0)+1,OFFSET(G53,-1,0)))</f>
        <v>0</v>
      </c>
      <c r="H53" s="0" t="n">
        <f aca="true">IF(AND($C53&lt;=3,$C53&lt;&gt;0),0,IF($C53=4,OFFSET(H53,-1,0)+1,OFFSET(H53,-1,0)))</f>
        <v>0</v>
      </c>
      <c r="I53" s="0" t="n">
        <f aca="true">IF(AND($C53&lt;=4,$C53&lt;&gt;0),0,IF(AND($C53="S",$X53&gt;0),OFFSET(I53,-1,0)+1,OFFSET(I53,-1,0)))</f>
        <v>0</v>
      </c>
      <c r="J53" s="0" t="n">
        <f aca="true">IF(OR($C53="S",$C53=0),0,MATCH(0,OFFSET($D53,1,$C53,ROW($C$59)-ROW($C53)),0))</f>
        <v>0</v>
      </c>
      <c r="K53" s="0" t="n">
        <f aca="true">IF(OR($C53="S",$C53=0),0,MATCH(OFFSET($D53,0,$C53)+IF($C53&lt;&gt;1,1,COUNTIF(QCI!$A$13:$A$24,ORÇAMENTO!E53)),OFFSET($D53,1,$C53,ROW($C$59)-ROW($C53)),0))</f>
        <v>0</v>
      </c>
      <c r="L53" s="185" t="str">
        <f aca="false">IF(OR($X53&gt;0,$C53=1,$C53=2,$C53=3,$C53=4),"F","")</f>
        <v/>
      </c>
      <c r="M53" s="186" t="s">
        <v>251</v>
      </c>
      <c r="N53" s="187" t="str">
        <f aca="false">CHOOSE(1+LOG(1+2*(C53=1)+4*(C53=2)+8*(C53=3)+16*(C53=4)+32*(C53="S"),2),"","Meta","Nível 2","Nível 3","Nível 4","Serviço")</f>
        <v>Serviço</v>
      </c>
      <c r="O53" s="188" t="str">
        <f aca="false">IF(OR($C53=0,$L53=""),"-",CONCATENATE(E53&amp;".",IF(AND($A$5&gt;=2,$C53&gt;=2),F53&amp;".",""),IF(AND($A$5&gt;=3,$C53&gt;=3),G53&amp;".",""),IF(AND($A$5&gt;=4,$C53&gt;=4),H53&amp;".",""),IF($C53="S",I53&amp;".","")))</f>
        <v>-</v>
      </c>
      <c r="P53" s="189" t="s">
        <v>317</v>
      </c>
      <c r="Q53" s="190" t="s">
        <v>335</v>
      </c>
      <c r="R53" s="191" t="str">
        <f aca="true">IF($C53="S",REFERENCIA.Descricao,"(digite a descrição aqui)")</f>
        <v>(abra o arquivo 'Referência 02-Thursday.xlsm)</v>
      </c>
      <c r="S53" s="192" t="str">
        <f aca="true">REFERENCIA.Unidade</f>
        <v>-</v>
      </c>
      <c r="T53" s="193" t="n">
        <f aca="true">OFFSET(CÁLCULO!H$15,ROW($T53)-ROW(T$15),0)</f>
        <v>2</v>
      </c>
      <c r="U53" s="194" t="n">
        <f aca="false">AG53</f>
        <v>0</v>
      </c>
      <c r="V53" s="195" t="s">
        <v>208</v>
      </c>
      <c r="W53" s="193" t="n">
        <f aca="false">IF($C53="S",ROUND(IF(TIPOORCAMENTO="Proposto",ORÇAMENTO.CustoUnitario*(1+$AH53),ORÇAMENTO.PrecoUnitarioLicitado),15-13*$AF$10),0)</f>
        <v>0</v>
      </c>
      <c r="X53" s="196" t="n">
        <f aca="true">IF($C53="S",IF(Import.TipoArredondamento&lt;&gt;"TransfereGOV",VTOTAL1,SUM(OFFSET(CÁLCULO!$AA$15,ROW($X53)-ROW($X$15),1):OFFSET(CÁLCULO!$AL$15,ROW($X53)-ROW($X$15),-1))),IF($C53=0,0,ROUND(SomaAgrup,15-13*$AF$11)))</f>
        <v>0</v>
      </c>
      <c r="Y53" s="197" t="s">
        <v>298</v>
      </c>
      <c r="Z53" s="0" t="str">
        <f aca="false">IF(AND($C53="S",$X53&gt;0),IF(ISBLANK($Y53),"RA",LEFT($Y53,2)),"")</f>
        <v/>
      </c>
      <c r="AA53" s="198" t="n">
        <f aca="true">IF($C53="S",IF($Z53="CP",$X53,IF($Z53="RA",(($X53)*QCI!$AA$3),0)),SomaAgrup)</f>
        <v>0</v>
      </c>
      <c r="AB53" s="199" t="n">
        <f aca="true">IF($C53="S",IF($Z53="OU",ROUND($X53,2),0),SomaAgrup)</f>
        <v>0</v>
      </c>
      <c r="AC53" s="200" t="str">
        <f aca="false">IF($N53="","",IF(ORÇAMENTO.Descricao="","DESCRIÇÃO",IF(AND($C53="S",ORÇAMENTO.Unidade=""),"UNIDADE",IF($X53&lt;0,"VALOR NEGATIVO",IF(OR(AND(TIPOORCAMENTO="Proposto",$AG53&lt;&gt;"",$AG53&gt;0,ORÇAMENTO.CustoUnitario&gt;$AG53),AND(TIPOORCAMENTO="LICITADO",ORÇAMENTO.PrecoUnitarioLicitado&gt;$AN53)),"ACIMA REF.","")))))</f>
        <v/>
      </c>
      <c r="AD53" s="0" t="str">
        <f aca="true">IF(C53&lt;=CRONO.NivelExibicao,MAX($AD$15:OFFSET(AD53,-1,0))+IF($C53&lt;&gt;1,1,MAX(1,COUNTIF(QCI!$A$13:$A$24,OFFSET($E53,-1,0)))),"")</f>
        <v/>
      </c>
      <c r="AE53" s="34" t="str">
        <f aca="false">IF(AND($C53="S",ORÇAMENTO.CodBarra&lt;&gt;""),IF(ORÇAMENTO.Fonte="",ORÇAMENTO.CodBarra,CONCATENATE(ORÇAMENTO.Fonte," ",ORÇAMENTO.CodBarra)))</f>
        <v>SICRO 2003103</v>
      </c>
      <c r="AF53" s="42" t="str">
        <f aca="true">IF(ISERROR(INDIRECT(ORÇAMENTO.BancoRef)),"(abra o arquivo 'Referência "&amp;Excel_BuiltIn_Database&amp;".xlsm)",IF(OR($C53&lt;&gt;"S",ORÇAMENTO.CodBarra=""),"(Sem Código)",IF(ISERROR(MATCH($AE53,INDIRECT(ORÇAMENTO.BancoRef),0)),"(Código não identificado nas referências)",MATCH($AE53,INDIRECT(ORÇAMENTO.BancoRef),0))))</f>
        <v>(abra o arquivo 'Referência 02-Thursday.xlsm)</v>
      </c>
      <c r="AG53" s="202" t="n">
        <f aca="true">ROUND(IF(DESONERACAO="sim",REFERENCIA.Desonerado,REFERENCIA.NaoDesonerado),2)</f>
        <v>0</v>
      </c>
      <c r="AH53" s="203" t="n">
        <f aca="false">ROUND(IF(ISNUMBER(ORÇAMENTO.OpcaoBDI),ORÇAMENTO.OpcaoBDI,IF(LEFT(ORÇAMENTO.OpcaoBDI,3)="BDI",HLOOKUP(ORÇAMENTO.OpcaoBDI,$F$4:$H$5,2,FALSE()),0)),15-11*$AF$9)</f>
        <v>0.22</v>
      </c>
      <c r="AJ53" s="204" t="n">
        <v>2</v>
      </c>
      <c r="AL53" s="205"/>
      <c r="AM53" s="206" t="n">
        <f aca="false">$X53</f>
        <v>0</v>
      </c>
      <c r="AN53" s="207" t="n">
        <f aca="false">ROUND(ORÇAMENTO.CustoUnitario*(1+$AH53),2)</f>
        <v>0</v>
      </c>
    </row>
    <row r="54" customFormat="false" ht="12.75" hidden="false" customHeight="false" outlineLevel="0" collapsed="false">
      <c r="A54" s="0" t="n">
        <f aca="false">CHOOSE(1+LOG(1+2*(ORÇAMENTO.Nivel="Meta")+4*(ORÇAMENTO.Nivel="Nível 2")+8*(ORÇAMENTO.Nivel="Nível 3")+16*(ORÇAMENTO.Nivel="Nível 4")+32*(ORÇAMENTO.Nivel="Serviço"),2),0,1,2,3,4,"S")</f>
        <v>2</v>
      </c>
      <c r="B54" s="0" t="n">
        <f aca="true">IF(OR(C54="s",C54=0),OFFSET(B54,-1,0),C54)</f>
        <v>2</v>
      </c>
      <c r="C54" s="0" t="n">
        <f aca="true">IF(OFFSET(C54,-1,0)="L",1,IF(OFFSET(C54,-1,0)=1,2,IF(OR(A54="s",A54=0),"S",IF(AND(OFFSET(C54,-1,0)=2,A54=4),3,IF(AND(OR(OFFSET(C54,-1,0)="s",OFFSET(C54,-1,0)=0),A54&lt;&gt;"s",A54&gt;OFFSET(B54,-1,0)),OFFSET(B54,-1,0),A54)))))</f>
        <v>2</v>
      </c>
      <c r="D54" s="0" t="n">
        <f aca="false">IF(OR(C54="S",C54=0),0,IF(ISERROR(K54),J54,SMALL(J54:K54,1)))</f>
        <v>5</v>
      </c>
      <c r="E54" s="0" t="n">
        <f aca="true">IF($C54=1,OFFSET(E54,-1,0)+MAX(1,COUNTIF(QCI!$A$13:$A$24,OFFSET(ORÇAMENTO!E54,-1,0))),OFFSET(E54,-1,0))</f>
        <v>1</v>
      </c>
      <c r="F54" s="0" t="n">
        <f aca="true">IF($C54=1,0,IF($C54=2,OFFSET(F54,-1,0)+1,OFFSET(F54,-1,0)))</f>
        <v>10</v>
      </c>
      <c r="G54" s="0" t="n">
        <f aca="true">IF(AND($C54&lt;=2,$C54&lt;&gt;0),0,IF($C54=3,OFFSET(G54,-1,0)+1,OFFSET(G54,-1,0)))</f>
        <v>0</v>
      </c>
      <c r="H54" s="0" t="n">
        <f aca="true">IF(AND($C54&lt;=3,$C54&lt;&gt;0),0,IF($C54=4,OFFSET(H54,-1,0)+1,OFFSET(H54,-1,0)))</f>
        <v>0</v>
      </c>
      <c r="I54" s="0" t="n">
        <f aca="true">IF(AND($C54&lt;=4,$C54&lt;&gt;0),0,IF(AND($C54="S",$X54&gt;0),OFFSET(I54,-1,0)+1,OFFSET(I54,-1,0)))</f>
        <v>0</v>
      </c>
      <c r="J54" s="0" t="n">
        <f aca="true">IF(OR($C54="S",$C54=0),0,MATCH(0,OFFSET($D54,1,$C54,ROW($C$59)-ROW($C54)),0))</f>
        <v>5</v>
      </c>
      <c r="K54" s="0" t="e">
        <f aca="true">IF(OR($C54="S",$C54=0),0,MATCH(OFFSET($D54,0,$C54)+IF($C54&lt;&gt;1,1,COUNTIF(QCI!$A$13:$A$24,ORÇAMENTO!E54)),OFFSET($D54,1,$C54,ROW($C$59)-ROW($C54)),0))</f>
        <v>#N/A</v>
      </c>
      <c r="L54" s="185" t="str">
        <f aca="false">IF(OR($X54&gt;0,$C54=1,$C54=2,$C54=3,$C54=4),"F","")</f>
        <v>F</v>
      </c>
      <c r="M54" s="186" t="s">
        <v>248</v>
      </c>
      <c r="N54" s="187" t="str">
        <f aca="false">CHOOSE(1+LOG(1+2*(C54=1)+4*(C54=2)+8*(C54=3)+16*(C54=4)+32*(C54="S"),2),"","Meta","Nível 2","Nível 3","Nível 4","Serviço")</f>
        <v>Nível 2</v>
      </c>
      <c r="O54" s="188" t="str">
        <f aca="false">IF(OR($C54=0,$L54=""),"-",CONCATENATE(E54&amp;".",IF(AND($A$5&gt;=2,$C54&gt;=2),F54&amp;".",""),IF(AND($A$5&gt;=3,$C54&gt;=3),G54&amp;".",""),IF(AND($A$5&gt;=4,$C54&gt;=4),H54&amp;".",""),IF($C54="S",I54&amp;".","")))</f>
        <v>1.10.</v>
      </c>
      <c r="P54" s="189" t="s">
        <v>297</v>
      </c>
      <c r="Q54" s="190"/>
      <c r="R54" s="222" t="s">
        <v>100</v>
      </c>
      <c r="S54" s="192" t="str">
        <f aca="true">REFERENCIA.Unidade</f>
        <v>-</v>
      </c>
      <c r="T54" s="193" t="n">
        <f aca="true">OFFSET(CÁLCULO!H$15,ROW($T54)-ROW(T$15),0)</f>
        <v>0</v>
      </c>
      <c r="U54" s="194" t="n">
        <f aca="false">AG54</f>
        <v>0</v>
      </c>
      <c r="V54" s="195" t="s">
        <v>208</v>
      </c>
      <c r="W54" s="193" t="n">
        <f aca="false">IF($C54="S",ROUND(IF(TIPOORCAMENTO="Proposto",ORÇAMENTO.CustoUnitario*(1+$AH54),ORÇAMENTO.PrecoUnitarioLicitado),15-13*$AF$10),0)</f>
        <v>0</v>
      </c>
      <c r="X54" s="196" t="n">
        <f aca="true">IF($C54="S",IF(Import.TipoArredondamento&lt;&gt;"TransfereGOV",VTOTAL1,SUM(OFFSET(CÁLCULO!$AA$15,ROW($X54)-ROW($X$15),1):OFFSET(CÁLCULO!$AL$15,ROW($X54)-ROW($X$15),-1))),IF($C54=0,0,ROUND(SomaAgrup,15-13*$AF$11)))</f>
        <v>0</v>
      </c>
      <c r="Y54" s="197" t="s">
        <v>298</v>
      </c>
      <c r="Z54" s="0" t="str">
        <f aca="false">IF(AND($C54="S",$X54&gt;0),IF(ISBLANK($Y54),"RA",LEFT($Y54,2)),"")</f>
        <v/>
      </c>
      <c r="AA54" s="198" t="n">
        <f aca="true">IF($C54="S",IF($Z54="CP",$X54,IF($Z54="RA",(($X54)*QCI!$AA$3),0)),SomaAgrup)</f>
        <v>0</v>
      </c>
      <c r="AB54" s="199" t="n">
        <f aca="true">IF($C54="S",IF($Z54="OU",ROUND($X54,2),0),SomaAgrup)</f>
        <v>0</v>
      </c>
      <c r="AC54" s="200" t="str">
        <f aca="false">IF($N54="","",IF(ORÇAMENTO.Descricao="","DESCRIÇÃO",IF(AND($C54="S",ORÇAMENTO.Unidade=""),"UNIDADE",IF($X54&lt;0,"VALOR NEGATIVO",IF(OR(AND(TIPOORCAMENTO="Proposto",$AG54&lt;&gt;"",$AG54&gt;0,ORÇAMENTO.CustoUnitario&gt;$AG54),AND(TIPOORCAMENTO="LICITADO",ORÇAMENTO.PrecoUnitarioLicitado&gt;$AN54)),"ACIMA REF.","")))))</f>
        <v/>
      </c>
      <c r="AD54" s="0" t="n">
        <f aca="true">IF(C54&lt;=CRONO.NivelExibicao,MAX($AD$15:OFFSET(AD54,-1,0))+IF($C54&lt;&gt;1,1,MAX(1,COUNTIF(QCI!$A$13:$A$24,OFFSET($E54,-1,0)))),"")</f>
        <v>11</v>
      </c>
      <c r="AE54" s="201" t="b">
        <f aca="false">IF(AND($C54="S",ORÇAMENTO.CodBarra&lt;&gt;""),IF(ORÇAMENTO.Fonte="",ORÇAMENTO.CodBarra,CONCATENATE(ORÇAMENTO.Fonte," ",ORÇAMENTO.CodBarra)))</f>
        <v>0</v>
      </c>
      <c r="AF54" s="42" t="str">
        <f aca="true">IF(ISERROR(INDIRECT(ORÇAMENTO.BancoRef)),"(abra o arquivo 'Referência "&amp;Excel_BuiltIn_Database&amp;".xlsm)",IF(OR($C54&lt;&gt;"S",ORÇAMENTO.CodBarra=""),"(Sem Código)",IF(ISERROR(MATCH($AE54,INDIRECT(ORÇAMENTO.BancoRef),0)),"(Código não identificado nas referências)",MATCH($AE54,INDIRECT(ORÇAMENTO.BancoRef),0))))</f>
        <v>(abra o arquivo 'Referência 02-Thursday.xlsm)</v>
      </c>
      <c r="AG54" s="202" t="n">
        <f aca="true">ROUND(IF(DESONERACAO="sim",REFERENCIA.Desonerado,REFERENCIA.NaoDesonerado),2)</f>
        <v>0</v>
      </c>
      <c r="AH54" s="203" t="n">
        <f aca="false">ROUND(IF(ISNUMBER(ORÇAMENTO.OpcaoBDI),ORÇAMENTO.OpcaoBDI,IF(LEFT(ORÇAMENTO.OpcaoBDI,3)="BDI",HLOOKUP(ORÇAMENTO.OpcaoBDI,$F$4:$H$5,2,FALSE()),0)),15-11*$AF$9)</f>
        <v>0.22</v>
      </c>
      <c r="AJ54" s="204"/>
      <c r="AL54" s="205"/>
      <c r="AM54" s="206" t="n">
        <f aca="false">$X54</f>
        <v>0</v>
      </c>
      <c r="AN54" s="207" t="n">
        <f aca="false">ROUND(ORÇAMENTO.CustoUnitario*(1+$AH54),2)</f>
        <v>0</v>
      </c>
    </row>
    <row r="55" customFormat="false" ht="12.75" hidden="false" customHeight="false" outlineLevel="0" collapsed="false">
      <c r="A55" s="0" t="str">
        <f aca="false">CHOOSE(1+LOG(1+2*(ORÇAMENTO.Nivel="Meta")+4*(ORÇAMENTO.Nivel="Nível 2")+8*(ORÇAMENTO.Nivel="Nível 3")+16*(ORÇAMENTO.Nivel="Nível 4")+32*(ORÇAMENTO.Nivel="Serviço"),2),0,1,2,3,4,"S")</f>
        <v>S</v>
      </c>
      <c r="B55" s="0" t="n">
        <f aca="true">IF(OR(C55="s",C55=0),OFFSET(B55,-1,0),C55)</f>
        <v>2</v>
      </c>
      <c r="C55" s="0" t="str">
        <f aca="true">IF(OFFSET(C55,-1,0)="L",1,IF(OFFSET(C55,-1,0)=1,2,IF(OR(A55="s",A55=0),"S",IF(AND(OFFSET(C55,-1,0)=2,A55=4),3,IF(AND(OR(OFFSET(C55,-1,0)="s",OFFSET(C55,-1,0)=0),A55&lt;&gt;"s",A55&gt;OFFSET(B55,-1,0)),OFFSET(B55,-1,0),A55)))))</f>
        <v>S</v>
      </c>
      <c r="D55" s="0" t="n">
        <f aca="false">IF(OR(C55="S",C55=0),0,IF(ISERROR(K55),J55,SMALL(J55:K55,1)))</f>
        <v>0</v>
      </c>
      <c r="E55" s="0" t="n">
        <f aca="true">IF($C55=1,OFFSET(E55,-1,0)+MAX(1,COUNTIF(QCI!$A$13:$A$24,OFFSET(ORÇAMENTO!E55,-1,0))),OFFSET(E55,-1,0))</f>
        <v>1</v>
      </c>
      <c r="F55" s="0" t="n">
        <f aca="true">IF($C55=1,0,IF($C55=2,OFFSET(F55,-1,0)+1,OFFSET(F55,-1,0)))</f>
        <v>10</v>
      </c>
      <c r="G55" s="0" t="n">
        <f aca="true">IF(AND($C55&lt;=2,$C55&lt;&gt;0),0,IF($C55=3,OFFSET(G55,-1,0)+1,OFFSET(G55,-1,0)))</f>
        <v>0</v>
      </c>
      <c r="H55" s="0" t="n">
        <f aca="true">IF(AND($C55&lt;=3,$C55&lt;&gt;0),0,IF($C55=4,OFFSET(H55,-1,0)+1,OFFSET(H55,-1,0)))</f>
        <v>0</v>
      </c>
      <c r="I55" s="0" t="n">
        <f aca="true">IF(AND($C55&lt;=4,$C55&lt;&gt;0),0,IF(AND($C55="S",$X55&gt;0),OFFSET(I55,-1,0)+1,OFFSET(I55,-1,0)))</f>
        <v>0</v>
      </c>
      <c r="J55" s="0" t="n">
        <f aca="true">IF(OR($C55="S",$C55=0),0,MATCH(0,OFFSET($D55,1,$C55,ROW($C$59)-ROW($C55)),0))</f>
        <v>0</v>
      </c>
      <c r="K55" s="0" t="n">
        <f aca="true">IF(OR($C55="S",$C55=0),0,MATCH(OFFSET($D55,0,$C55)+IF($C55&lt;&gt;1,1,COUNTIF(QCI!$A$13:$A$24,ORÇAMENTO!E55)),OFFSET($D55,1,$C55,ROW($C$59)-ROW($C55)),0))</f>
        <v>0</v>
      </c>
      <c r="L55" s="185" t="str">
        <f aca="false">IF(OR($X55&gt;0,$C55=1,$C55=2,$C55=3,$C55=4),"F","")</f>
        <v/>
      </c>
      <c r="M55" s="186" t="s">
        <v>251</v>
      </c>
      <c r="N55" s="187" t="str">
        <f aca="false">CHOOSE(1+LOG(1+2*(C55=1)+4*(C55=2)+8*(C55=3)+16*(C55=4)+32*(C55="S"),2),"","Meta","Nível 2","Nível 3","Nível 4","Serviço")</f>
        <v>Serviço</v>
      </c>
      <c r="O55" s="188" t="str">
        <f aca="false">IF(OR($C55=0,$L55=""),"-",CONCATENATE(E55&amp;".",IF(AND($A$5&gt;=2,$C55&gt;=2),F55&amp;".",""),IF(AND($A$5&gt;=3,$C55&gt;=3),G55&amp;".",""),IF(AND($A$5&gt;=4,$C55&gt;=4),H55&amp;".",""),IF($C55="S",I55&amp;".","")))</f>
        <v>-</v>
      </c>
      <c r="P55" s="189" t="s">
        <v>317</v>
      </c>
      <c r="Q55" s="190" t="s">
        <v>336</v>
      </c>
      <c r="R55" s="222" t="str">
        <f aca="true">IF($C55="S",REFERENCIA.Descricao,"(digite a descrição aqui)")</f>
        <v>(abra o arquivo 'Referência 02-Thursday.xlsm)</v>
      </c>
      <c r="S55" s="192" t="str">
        <f aca="true">REFERENCIA.Unidade</f>
        <v>-</v>
      </c>
      <c r="T55" s="193" t="n">
        <f aca="true">OFFSET(CÁLCULO!H$15,ROW($T55)-ROW(T$15),0)</f>
        <v>150</v>
      </c>
      <c r="U55" s="194" t="n">
        <f aca="false">AG55</f>
        <v>0</v>
      </c>
      <c r="V55" s="195" t="s">
        <v>208</v>
      </c>
      <c r="W55" s="193" t="n">
        <f aca="false">IF($C55="S",ROUND(IF(TIPOORCAMENTO="Proposto",ORÇAMENTO.CustoUnitario*(1+$AH55),ORÇAMENTO.PrecoUnitarioLicitado),15-13*$AF$10),0)</f>
        <v>0</v>
      </c>
      <c r="X55" s="196" t="n">
        <f aca="true">IF($C55="S",IF(Import.TipoArredondamento&lt;&gt;"TransfereGOV",VTOTAL1,SUM(OFFSET(CÁLCULO!$AA$15,ROW($X55)-ROW($X$15),1):OFFSET(CÁLCULO!$AL$15,ROW($X55)-ROW($X$15),-1))),IF($C55=0,0,ROUND(SomaAgrup,15-13*$AF$11)))</f>
        <v>0</v>
      </c>
      <c r="Y55" s="197" t="s">
        <v>298</v>
      </c>
      <c r="Z55" s="0" t="str">
        <f aca="false">IF(AND($C55="S",$X55&gt;0),IF(ISBLANK($Y55),"RA",LEFT($Y55,2)),"")</f>
        <v/>
      </c>
      <c r="AA55" s="198" t="n">
        <f aca="true">IF($C55="S",IF($Z55="CP",$X55,IF($Z55="RA",(($X55)*QCI!$AA$3),0)),SomaAgrup)</f>
        <v>0</v>
      </c>
      <c r="AB55" s="199" t="n">
        <f aca="true">IF($C55="S",IF($Z55="OU",ROUND($X55,2),0),SomaAgrup)</f>
        <v>0</v>
      </c>
      <c r="AC55" s="200" t="str">
        <f aca="false">IF($N55="","",IF(ORÇAMENTO.Descricao="","DESCRIÇÃO",IF(AND($C55="S",ORÇAMENTO.Unidade=""),"UNIDADE",IF($X55&lt;0,"VALOR NEGATIVO",IF(OR(AND(TIPOORCAMENTO="Proposto",$AG55&lt;&gt;"",$AG55&gt;0,ORÇAMENTO.CustoUnitario&gt;$AG55),AND(TIPOORCAMENTO="LICITADO",ORÇAMENTO.PrecoUnitarioLicitado&gt;$AN55)),"ACIMA REF.","")))))</f>
        <v/>
      </c>
      <c r="AD55" s="0" t="str">
        <f aca="true">IF(C55&lt;=CRONO.NivelExibicao,MAX($AD$15:OFFSET(AD55,-1,0))+IF($C55&lt;&gt;1,1,MAX(1,COUNTIF(QCI!$A$13:$A$24,OFFSET($E55,-1,0)))),"")</f>
        <v/>
      </c>
      <c r="AE55" s="34" t="str">
        <f aca="false">IF(AND($C55="S",ORÇAMENTO.CodBarra&lt;&gt;""),IF(ORÇAMENTO.Fonte="",ORÇAMENTO.CodBarra,CONCATENATE(ORÇAMENTO.Fonte," ",ORÇAMENTO.CodBarra)))</f>
        <v>SICRO 5214001</v>
      </c>
      <c r="AF55" s="42" t="str">
        <f aca="true">IF(ISERROR(INDIRECT(ORÇAMENTO.BancoRef)),"(abra o arquivo 'Referência "&amp;Excel_BuiltIn_Database&amp;".xlsm)",IF(OR($C55&lt;&gt;"S",ORÇAMENTO.CodBarra=""),"(Sem Código)",IF(ISERROR(MATCH($AE55,INDIRECT(ORÇAMENTO.BancoRef),0)),"(Código não identificado nas referências)",MATCH($AE55,INDIRECT(ORÇAMENTO.BancoRef),0))))</f>
        <v>(abra o arquivo 'Referência 02-Thursday.xlsm)</v>
      </c>
      <c r="AG55" s="202" t="n">
        <f aca="true">ROUND(IF(DESONERACAO="sim",REFERENCIA.Desonerado,REFERENCIA.NaoDesonerado),2)</f>
        <v>0</v>
      </c>
      <c r="AH55" s="203" t="n">
        <f aca="false">ROUND(IF(ISNUMBER(ORÇAMENTO.OpcaoBDI),ORÇAMENTO.OpcaoBDI,IF(LEFT(ORÇAMENTO.OpcaoBDI,3)="BDI",HLOOKUP(ORÇAMENTO.OpcaoBDI,$F$4:$H$5,2,FALSE()),0)),15-11*$AF$9)</f>
        <v>0.22</v>
      </c>
      <c r="AJ55" s="204" t="n">
        <f aca="false">250*4*0.15</f>
        <v>150</v>
      </c>
      <c r="AL55" s="205"/>
      <c r="AM55" s="206" t="n">
        <f aca="false">$X55</f>
        <v>0</v>
      </c>
      <c r="AN55" s="207" t="n">
        <f aca="false">ROUND(ORÇAMENTO.CustoUnitario*(1+$AH55),2)</f>
        <v>0</v>
      </c>
    </row>
    <row r="56" customFormat="false" ht="12.75" hidden="false" customHeight="false" outlineLevel="0" collapsed="false">
      <c r="A56" s="0" t="str">
        <f aca="false">CHOOSE(1+LOG(1+2*(ORÇAMENTO.Nivel="Meta")+4*(ORÇAMENTO.Nivel="Nível 2")+8*(ORÇAMENTO.Nivel="Nível 3")+16*(ORÇAMENTO.Nivel="Nível 4")+32*(ORÇAMENTO.Nivel="Serviço"),2),0,1,2,3,4,"S")</f>
        <v>S</v>
      </c>
      <c r="B56" s="0" t="n">
        <f aca="true">IF(OR(C56="s",C56=0),OFFSET(B56,-1,0),C56)</f>
        <v>2</v>
      </c>
      <c r="C56" s="0" t="str">
        <f aca="true">IF(OFFSET(C56,-1,0)="L",1,IF(OFFSET(C56,-1,0)=1,2,IF(OR(A56="s",A56=0),"S",IF(AND(OFFSET(C56,-1,0)=2,A56=4),3,IF(AND(OR(OFFSET(C56,-1,0)="s",OFFSET(C56,-1,0)=0),A56&lt;&gt;"s",A56&gt;OFFSET(B56,-1,0)),OFFSET(B56,-1,0),A56)))))</f>
        <v>S</v>
      </c>
      <c r="D56" s="0" t="n">
        <f aca="false">IF(OR(C56="S",C56=0),0,IF(ISERROR(K56),J56,SMALL(J56:K56,1)))</f>
        <v>0</v>
      </c>
      <c r="E56" s="0" t="n">
        <f aca="true">IF($C56=1,OFFSET(E56,-1,0)+MAX(1,COUNTIF(QCI!$A$13:$A$24,OFFSET(ORÇAMENTO!E56,-1,0))),OFFSET(E56,-1,0))</f>
        <v>1</v>
      </c>
      <c r="F56" s="0" t="n">
        <f aca="true">IF($C56=1,0,IF($C56=2,OFFSET(F56,-1,0)+1,OFFSET(F56,-1,0)))</f>
        <v>10</v>
      </c>
      <c r="G56" s="0" t="n">
        <f aca="true">IF(AND($C56&lt;=2,$C56&lt;&gt;0),0,IF($C56=3,OFFSET(G56,-1,0)+1,OFFSET(G56,-1,0)))</f>
        <v>0</v>
      </c>
      <c r="H56" s="0" t="n">
        <f aca="true">IF(AND($C56&lt;=3,$C56&lt;&gt;0),0,IF($C56=4,OFFSET(H56,-1,0)+1,OFFSET(H56,-1,0)))</f>
        <v>0</v>
      </c>
      <c r="I56" s="0" t="n">
        <f aca="true">IF(AND($C56&lt;=4,$C56&lt;&gt;0),0,IF(AND($C56="S",$X56&gt;0),OFFSET(I56,-1,0)+1,OFFSET(I56,-1,0)))</f>
        <v>0</v>
      </c>
      <c r="J56" s="0" t="n">
        <f aca="true">IF(OR($C56="S",$C56=0),0,MATCH(0,OFFSET($D56,1,$C56,ROW($C$59)-ROW($C56)),0))</f>
        <v>0</v>
      </c>
      <c r="K56" s="0" t="n">
        <f aca="true">IF(OR($C56="S",$C56=0),0,MATCH(OFFSET($D56,0,$C56)+IF($C56&lt;&gt;1,1,COUNTIF(QCI!$A$13:$A$24,ORÇAMENTO!E56)),OFFSET($D56,1,$C56,ROW($C$59)-ROW($C56)),0))</f>
        <v>0</v>
      </c>
      <c r="L56" s="185" t="str">
        <f aca="false">IF(OR($X56&gt;0,$C56=1,$C56=2,$C56=3,$C56=4),"F","")</f>
        <v/>
      </c>
      <c r="M56" s="186" t="s">
        <v>251</v>
      </c>
      <c r="N56" s="187" t="str">
        <f aca="false">CHOOSE(1+LOG(1+2*(C56=1)+4*(C56=2)+8*(C56=3)+16*(C56=4)+32*(C56="S"),2),"","Meta","Nível 2","Nível 3","Nível 4","Serviço")</f>
        <v>Serviço</v>
      </c>
      <c r="O56" s="188" t="str">
        <f aca="false">IF(OR($C56=0,$L56=""),"-",CONCATENATE(E56&amp;".",IF(AND($A$5&gt;=2,$C56&gt;=2),F56&amp;".",""),IF(AND($A$5&gt;=3,$C56&gt;=3),G56&amp;".",""),IF(AND($A$5&gt;=4,$C56&gt;=4),H56&amp;".",""),IF($C56="S",I56&amp;".","")))</f>
        <v>-</v>
      </c>
      <c r="P56" s="189" t="s">
        <v>317</v>
      </c>
      <c r="Q56" s="190" t="s">
        <v>337</v>
      </c>
      <c r="R56" s="222" t="str">
        <f aca="true">IF($C56="S",REFERENCIA.Descricao,"(digite a descrição aqui)")</f>
        <v>(abra o arquivo 'Referência 02-Thursday.xlsm)</v>
      </c>
      <c r="S56" s="192" t="str">
        <f aca="true">REFERENCIA.Unidade</f>
        <v>-</v>
      </c>
      <c r="T56" s="193" t="n">
        <f aca="true">OFFSET(CÁLCULO!H$15,ROW($T56)-ROW(T$15),0)</f>
        <v>3</v>
      </c>
      <c r="U56" s="194" t="n">
        <f aca="false">AG56</f>
        <v>0</v>
      </c>
      <c r="V56" s="195" t="s">
        <v>208</v>
      </c>
      <c r="W56" s="193" t="n">
        <f aca="false">IF($C56="S",ROUND(IF(TIPOORCAMENTO="Proposto",ORÇAMENTO.CustoUnitario*(1+$AH56),ORÇAMENTO.PrecoUnitarioLicitado),15-13*$AF$10),0)</f>
        <v>0</v>
      </c>
      <c r="X56" s="196" t="n">
        <f aca="true">IF($C56="S",IF(Import.TipoArredondamento&lt;&gt;"TransfereGOV",VTOTAL1,SUM(OFFSET(CÁLCULO!$AA$15,ROW($X56)-ROW($X$15),1):OFFSET(CÁLCULO!$AL$15,ROW($X56)-ROW($X$15),-1))),IF($C56=0,0,ROUND(SomaAgrup,15-13*$AF$11)))</f>
        <v>0</v>
      </c>
      <c r="Y56" s="197" t="s">
        <v>298</v>
      </c>
      <c r="Z56" s="0" t="str">
        <f aca="false">IF(AND($C56="S",$X56&gt;0),IF(ISBLANK($Y56),"RA",LEFT($Y56,2)),"")</f>
        <v/>
      </c>
      <c r="AA56" s="198" t="n">
        <f aca="true">IF($C56="S",IF($Z56="CP",$X56,IF($Z56="RA",(($X56)*QCI!$AA$3),0)),SomaAgrup)</f>
        <v>0</v>
      </c>
      <c r="AB56" s="199" t="n">
        <f aca="true">IF($C56="S",IF($Z56="OU",ROUND($X56,2),0),SomaAgrup)</f>
        <v>0</v>
      </c>
      <c r="AC56" s="200" t="str">
        <f aca="false">IF($N56="","",IF(ORÇAMENTO.Descricao="","DESCRIÇÃO",IF(AND($C56="S",ORÇAMENTO.Unidade=""),"UNIDADE",IF($X56&lt;0,"VALOR NEGATIVO",IF(OR(AND(TIPOORCAMENTO="Proposto",$AG56&lt;&gt;"",$AG56&gt;0,ORÇAMENTO.CustoUnitario&gt;$AG56),AND(TIPOORCAMENTO="LICITADO",ORÇAMENTO.PrecoUnitarioLicitado&gt;$AN56)),"ACIMA REF.","")))))</f>
        <v/>
      </c>
      <c r="AD56" s="0" t="str">
        <f aca="true">IF(C56&lt;=CRONO.NivelExibicao,MAX($AD$15:OFFSET(AD56,-1,0))+IF($C56&lt;&gt;1,1,MAX(1,COUNTIF(QCI!$A$13:$A$24,OFFSET($E56,-1,0)))),"")</f>
        <v/>
      </c>
      <c r="AE56" s="34" t="str">
        <f aca="false">IF(AND($C56="S",ORÇAMENTO.CodBarra&lt;&gt;""),IF(ORÇAMENTO.Fonte="",ORÇAMENTO.CodBarra,CONCATENATE(ORÇAMENTO.Fonte," ",ORÇAMENTO.CodBarra)))</f>
        <v>SICRO 5213442</v>
      </c>
      <c r="AF56" s="42" t="str">
        <f aca="true">IF(ISERROR(INDIRECT(ORÇAMENTO.BancoRef)),"(abra o arquivo 'Referência "&amp;Excel_BuiltIn_Database&amp;".xlsm)",IF(OR($C56&lt;&gt;"S",ORÇAMENTO.CodBarra=""),"(Sem Código)",IF(ISERROR(MATCH($AE56,INDIRECT(ORÇAMENTO.BancoRef),0)),"(Código não identificado nas referências)",MATCH($AE56,INDIRECT(ORÇAMENTO.BancoRef),0))))</f>
        <v>(abra o arquivo 'Referência 02-Thursday.xlsm)</v>
      </c>
      <c r="AG56" s="202" t="n">
        <f aca="true">ROUND(IF(DESONERACAO="sim",REFERENCIA.Desonerado,REFERENCIA.NaoDesonerado),2)</f>
        <v>0</v>
      </c>
      <c r="AH56" s="203" t="n">
        <f aca="false">ROUND(IF(ISNUMBER(ORÇAMENTO.OpcaoBDI),ORÇAMENTO.OpcaoBDI,IF(LEFT(ORÇAMENTO.OpcaoBDI,3)="BDI",HLOOKUP(ORÇAMENTO.OpcaoBDI,$F$4:$H$5,2,FALSE()),0)),15-11*$AF$9)</f>
        <v>0.22</v>
      </c>
      <c r="AJ56" s="204" t="n">
        <v>3</v>
      </c>
      <c r="AL56" s="205"/>
      <c r="AM56" s="206" t="n">
        <f aca="false">$X56</f>
        <v>0</v>
      </c>
      <c r="AN56" s="207" t="n">
        <f aca="false">ROUND(ORÇAMENTO.CustoUnitario*(1+$AH56),2)</f>
        <v>0</v>
      </c>
    </row>
    <row r="57" customFormat="false" ht="12.75" hidden="false" customHeight="false" outlineLevel="0" collapsed="false">
      <c r="A57" s="0" t="str">
        <f aca="false">CHOOSE(1+LOG(1+2*(ORÇAMENTO.Nivel="Meta")+4*(ORÇAMENTO.Nivel="Nível 2")+8*(ORÇAMENTO.Nivel="Nível 3")+16*(ORÇAMENTO.Nivel="Nível 4")+32*(ORÇAMENTO.Nivel="Serviço"),2),0,1,2,3,4,"S")</f>
        <v>S</v>
      </c>
      <c r="B57" s="0" t="n">
        <f aca="true">IF(OR(C57="s",C57=0),OFFSET(B57,-1,0),C57)</f>
        <v>2</v>
      </c>
      <c r="C57" s="0" t="str">
        <f aca="true">IF(OFFSET(C57,-1,0)="L",1,IF(OFFSET(C57,-1,0)=1,2,IF(OR(A57="s",A57=0),"S",IF(AND(OFFSET(C57,-1,0)=2,A57=4),3,IF(AND(OR(OFFSET(C57,-1,0)="s",OFFSET(C57,-1,0)=0),A57&lt;&gt;"s",A57&gt;OFFSET(B57,-1,0)),OFFSET(B57,-1,0),A57)))))</f>
        <v>S</v>
      </c>
      <c r="D57" s="0" t="n">
        <f aca="false">IF(OR(C57="S",C57=0),0,IF(ISERROR(K57),J57,SMALL(J57:K57,1)))</f>
        <v>0</v>
      </c>
      <c r="E57" s="0" t="n">
        <f aca="true">IF($C57=1,OFFSET(E57,-1,0)+MAX(1,COUNTIF(QCI!$A$13:$A$24,OFFSET(ORÇAMENTO!E57,-1,0))),OFFSET(E57,-1,0))</f>
        <v>1</v>
      </c>
      <c r="F57" s="0" t="n">
        <f aca="true">IF($C57=1,0,IF($C57=2,OFFSET(F57,-1,0)+1,OFFSET(F57,-1,0)))</f>
        <v>10</v>
      </c>
      <c r="G57" s="0" t="n">
        <f aca="true">IF(AND($C57&lt;=2,$C57&lt;&gt;0),0,IF($C57=3,OFFSET(G57,-1,0)+1,OFFSET(G57,-1,0)))</f>
        <v>0</v>
      </c>
      <c r="H57" s="0" t="n">
        <f aca="true">IF(AND($C57&lt;=3,$C57&lt;&gt;0),0,IF($C57=4,OFFSET(H57,-1,0)+1,OFFSET(H57,-1,0)))</f>
        <v>0</v>
      </c>
      <c r="I57" s="0" t="n">
        <f aca="true">IF(AND($C57&lt;=4,$C57&lt;&gt;0),0,IF(AND($C57="S",$X57&gt;0),OFFSET(I57,-1,0)+1,OFFSET(I57,-1,0)))</f>
        <v>0</v>
      </c>
      <c r="J57" s="0" t="n">
        <f aca="true">IF(OR($C57="S",$C57=0),0,MATCH(0,OFFSET($D57,1,$C57,ROW($C$59)-ROW($C57)),0))</f>
        <v>0</v>
      </c>
      <c r="K57" s="0" t="n">
        <f aca="true">IF(OR($C57="S",$C57=0),0,MATCH(OFFSET($D57,0,$C57)+IF($C57&lt;&gt;1,1,COUNTIF(QCI!$A$13:$A$24,ORÇAMENTO!E57)),OFFSET($D57,1,$C57,ROW($C$59)-ROW($C57)),0))</f>
        <v>0</v>
      </c>
      <c r="L57" s="185" t="str">
        <f aca="false">IF(OR($X57&gt;0,$C57=1,$C57=2,$C57=3,$C57=4),"F","")</f>
        <v/>
      </c>
      <c r="M57" s="186" t="s">
        <v>251</v>
      </c>
      <c r="N57" s="187" t="str">
        <f aca="false">CHOOSE(1+LOG(1+2*(C57=1)+4*(C57=2)+8*(C57=3)+16*(C57=4)+32*(C57="S"),2),"","Meta","Nível 2","Nível 3","Nível 4","Serviço")</f>
        <v>Serviço</v>
      </c>
      <c r="O57" s="188" t="str">
        <f aca="false">IF(OR($C57=0,$L57=""),"-",CONCATENATE(E57&amp;".",IF(AND($A$5&gt;=2,$C57&gt;=2),F57&amp;".",""),IF(AND($A$5&gt;=3,$C57&gt;=3),G57&amp;".",""),IF(AND($A$5&gt;=4,$C57&gt;=4),H57&amp;".",""),IF($C57="S",I57&amp;".","")))</f>
        <v>-</v>
      </c>
      <c r="P57" s="189" t="s">
        <v>317</v>
      </c>
      <c r="Q57" s="190" t="s">
        <v>338</v>
      </c>
      <c r="R57" s="222" t="str">
        <f aca="true">IF($C57="S",REFERENCIA.Descricao,"(digite a descrição aqui)")</f>
        <v>(abra o arquivo 'Referência 02-Thursday.xlsm)</v>
      </c>
      <c r="S57" s="192" t="str">
        <f aca="true">REFERENCIA.Unidade</f>
        <v>-</v>
      </c>
      <c r="T57" s="193" t="n">
        <f aca="true">OFFSET(CÁLCULO!H$15,ROW($T57)-ROW(T$15),0)</f>
        <v>4</v>
      </c>
      <c r="U57" s="194" t="n">
        <f aca="false">AG57</f>
        <v>0</v>
      </c>
      <c r="V57" s="195" t="s">
        <v>208</v>
      </c>
      <c r="W57" s="193" t="n">
        <f aca="false">IF($C57="S",ROUND(IF(TIPOORCAMENTO="Proposto",ORÇAMENTO.CustoUnitario*(1+$AH57),ORÇAMENTO.PrecoUnitarioLicitado),15-13*$AF$10),0)</f>
        <v>0</v>
      </c>
      <c r="X57" s="196" t="n">
        <f aca="true">IF($C57="S",IF(Import.TipoArredondamento&lt;&gt;"TransfereGOV",VTOTAL1,SUM(OFFSET(CÁLCULO!$AA$15,ROW($X57)-ROW($X$15),1):OFFSET(CÁLCULO!$AL$15,ROW($X57)-ROW($X$15),-1))),IF($C57=0,0,ROUND(SomaAgrup,15-13*$AF$11)))</f>
        <v>0</v>
      </c>
      <c r="Y57" s="197" t="s">
        <v>298</v>
      </c>
      <c r="Z57" s="0" t="str">
        <f aca="false">IF(AND($C57="S",$X57&gt;0),IF(ISBLANK($Y57),"RA",LEFT($Y57,2)),"")</f>
        <v/>
      </c>
      <c r="AA57" s="198" t="n">
        <f aca="true">IF($C57="S",IF($Z57="CP",$X57,IF($Z57="RA",(($X57)*QCI!$AA$3),0)),SomaAgrup)</f>
        <v>0</v>
      </c>
      <c r="AB57" s="199" t="n">
        <f aca="true">IF($C57="S",IF($Z57="OU",ROUND($X57,2),0),SomaAgrup)</f>
        <v>0</v>
      </c>
      <c r="AC57" s="200" t="str">
        <f aca="false">IF($N57="","",IF(ORÇAMENTO.Descricao="","DESCRIÇÃO",IF(AND($C57="S",ORÇAMENTO.Unidade=""),"UNIDADE",IF($X57&lt;0,"VALOR NEGATIVO",IF(OR(AND(TIPOORCAMENTO="Proposto",$AG57&lt;&gt;"",$AG57&gt;0,ORÇAMENTO.CustoUnitario&gt;$AG57),AND(TIPOORCAMENTO="LICITADO",ORÇAMENTO.PrecoUnitarioLicitado&gt;$AN57)),"ACIMA REF.","")))))</f>
        <v/>
      </c>
      <c r="AD57" s="0" t="str">
        <f aca="true">IF(C57&lt;=CRONO.NivelExibicao,MAX($AD$15:OFFSET(AD57,-1,0))+IF($C57&lt;&gt;1,1,MAX(1,COUNTIF(QCI!$A$13:$A$24,OFFSET($E57,-1,0)))),"")</f>
        <v/>
      </c>
      <c r="AE57" s="34" t="str">
        <f aca="false">IF(AND($C57="S",ORÇAMENTO.CodBarra&lt;&gt;""),IF(ORÇAMENTO.Fonte="",ORÇAMENTO.CodBarra,CONCATENATE(ORÇAMENTO.Fonte," ",ORÇAMENTO.CodBarra)))</f>
        <v>SICRO 5213466</v>
      </c>
      <c r="AF57" s="42" t="str">
        <f aca="true">IF(ISERROR(INDIRECT(ORÇAMENTO.BancoRef)),"(abra o arquivo 'Referência "&amp;Excel_BuiltIn_Database&amp;".xlsm)",IF(OR($C57&lt;&gt;"S",ORÇAMENTO.CodBarra=""),"(Sem Código)",IF(ISERROR(MATCH($AE57,INDIRECT(ORÇAMENTO.BancoRef),0)),"(Código não identificado nas referências)",MATCH($AE57,INDIRECT(ORÇAMENTO.BancoRef),0))))</f>
        <v>(abra o arquivo 'Referência 02-Thursday.xlsm)</v>
      </c>
      <c r="AG57" s="202" t="n">
        <f aca="true">ROUND(IF(DESONERACAO="sim",REFERENCIA.Desonerado,REFERENCIA.NaoDesonerado),2)</f>
        <v>0</v>
      </c>
      <c r="AH57" s="203" t="n">
        <f aca="false">ROUND(IF(ISNUMBER(ORÇAMENTO.OpcaoBDI),ORÇAMENTO.OpcaoBDI,IF(LEFT(ORÇAMENTO.OpcaoBDI,3)="BDI",HLOOKUP(ORÇAMENTO.OpcaoBDI,$F$4:$H$5,2,FALSE()),0)),15-11*$AF$9)</f>
        <v>0.22</v>
      </c>
      <c r="AJ57" s="204" t="n">
        <v>4</v>
      </c>
      <c r="AL57" s="205"/>
      <c r="AM57" s="206" t="n">
        <f aca="false">$X57</f>
        <v>0</v>
      </c>
      <c r="AN57" s="207" t="n">
        <f aca="false">ROUND(ORÇAMENTO.CustoUnitario*(1+$AH57),2)</f>
        <v>0</v>
      </c>
    </row>
    <row r="58" customFormat="false" ht="12.75" hidden="false" customHeight="false" outlineLevel="0" collapsed="false">
      <c r="A58" s="0" t="str">
        <f aca="false">CHOOSE(1+LOG(1+2*(ORÇAMENTO.Nivel="Meta")+4*(ORÇAMENTO.Nivel="Nível 2")+8*(ORÇAMENTO.Nivel="Nível 3")+16*(ORÇAMENTO.Nivel="Nível 4")+32*(ORÇAMENTO.Nivel="Serviço"),2),0,1,2,3,4,"S")</f>
        <v>S</v>
      </c>
      <c r="B58" s="0" t="n">
        <f aca="true">IF(OR(C58="s",C58=0),OFFSET(B58,-1,0),C58)</f>
        <v>2</v>
      </c>
      <c r="C58" s="0" t="str">
        <f aca="true">IF(OFFSET(C58,-1,0)="L",1,IF(OFFSET(C58,-1,0)=1,2,IF(OR(A58="s",A58=0),"S",IF(AND(OFFSET(C58,-1,0)=2,A58=4),3,IF(AND(OR(OFFSET(C58,-1,0)="s",OFFSET(C58,-1,0)=0),A58&lt;&gt;"s",A58&gt;OFFSET(B58,-1,0)),OFFSET(B58,-1,0),A58)))))</f>
        <v>S</v>
      </c>
      <c r="D58" s="0" t="n">
        <f aca="false">IF(OR(C58="S",C58=0),0,IF(ISERROR(K58),J58,SMALL(J58:K58,1)))</f>
        <v>0</v>
      </c>
      <c r="E58" s="0" t="n">
        <f aca="true">IF($C58=1,OFFSET(E58,-1,0)+MAX(1,COUNTIF(QCI!$A$13:$A$24,OFFSET(ORÇAMENTO!E58,-1,0))),OFFSET(E58,-1,0))</f>
        <v>1</v>
      </c>
      <c r="F58" s="0" t="n">
        <f aca="true">IF($C58=1,0,IF($C58=2,OFFSET(F58,-1,0)+1,OFFSET(F58,-1,0)))</f>
        <v>10</v>
      </c>
      <c r="G58" s="0" t="n">
        <f aca="true">IF(AND($C58&lt;=2,$C58&lt;&gt;0),0,IF($C58=3,OFFSET(G58,-1,0)+1,OFFSET(G58,-1,0)))</f>
        <v>0</v>
      </c>
      <c r="H58" s="0" t="n">
        <f aca="true">IF(AND($C58&lt;=3,$C58&lt;&gt;0),0,IF($C58=4,OFFSET(H58,-1,0)+1,OFFSET(H58,-1,0)))</f>
        <v>0</v>
      </c>
      <c r="I58" s="0" t="n">
        <f aca="true">IF(AND($C58&lt;=4,$C58&lt;&gt;0),0,IF(AND($C58="S",$X58&gt;0),OFFSET(I58,-1,0)+1,OFFSET(I58,-1,0)))</f>
        <v>0</v>
      </c>
      <c r="J58" s="0" t="n">
        <f aca="true">IF(OR($C58="S",$C58=0),0,MATCH(0,OFFSET($D58,1,$C58,ROW($C$59)-ROW($C58)),0))</f>
        <v>0</v>
      </c>
      <c r="K58" s="0" t="n">
        <f aca="true">IF(OR($C58="S",$C58=0),0,MATCH(OFFSET($D58,0,$C58)+IF($C58&lt;&gt;1,1,COUNTIF(QCI!$A$13:$A$24,ORÇAMENTO!E58)),OFFSET($D58,1,$C58,ROW($C$59)-ROW($C58)),0))</f>
        <v>0</v>
      </c>
      <c r="L58" s="185" t="str">
        <f aca="false">IF(OR($X58&gt;0,$C58=1,$C58=2,$C58=3,$C58=4),"F","")</f>
        <v/>
      </c>
      <c r="M58" s="186" t="s">
        <v>251</v>
      </c>
      <c r="N58" s="187" t="str">
        <f aca="false">CHOOSE(1+LOG(1+2*(C58=1)+4*(C58=2)+8*(C58=3)+16*(C58=4)+32*(C58="S"),2),"","Meta","Nível 2","Nível 3","Nível 4","Serviço")</f>
        <v>Serviço</v>
      </c>
      <c r="O58" s="188" t="str">
        <f aca="false">IF(OR($C58=0,$L58=""),"-",CONCATENATE(E58&amp;".",IF(AND($A$5&gt;=2,$C58&gt;=2),F58&amp;".",""),IF(AND($A$5&gt;=3,$C58&gt;=3),G58&amp;".",""),IF(AND($A$5&gt;=4,$C58&gt;=4),H58&amp;".",""),IF($C58="S",I58&amp;".","")))</f>
        <v>-</v>
      </c>
      <c r="P58" s="189" t="s">
        <v>317</v>
      </c>
      <c r="Q58" s="190" t="s">
        <v>339</v>
      </c>
      <c r="R58" s="191" t="str">
        <f aca="true">IF($C58="S",REFERENCIA.Descricao,"(digite a descrição aqui)")</f>
        <v>(abra o arquivo 'Referência 02-Thursday.xlsm)</v>
      </c>
      <c r="S58" s="192" t="str">
        <f aca="true">REFERENCIA.Unidade</f>
        <v>-</v>
      </c>
      <c r="T58" s="193" t="n">
        <f aca="true">OFFSET(CÁLCULO!H$15,ROW($T58)-ROW(T$15),0)</f>
        <v>125</v>
      </c>
      <c r="U58" s="194" t="n">
        <f aca="false">AG58</f>
        <v>0</v>
      </c>
      <c r="V58" s="195" t="s">
        <v>208</v>
      </c>
      <c r="W58" s="193" t="n">
        <f aca="false">IF($C58="S",ROUND(IF(TIPOORCAMENTO="Proposto",ORÇAMENTO.CustoUnitario*(1+$AH58),ORÇAMENTO.PrecoUnitarioLicitado),15-13*$AF$10),0)</f>
        <v>0</v>
      </c>
      <c r="X58" s="196" t="n">
        <f aca="true">IF($C58="S",IF(Import.TipoArredondamento&lt;&gt;"TransfereGOV",VTOTAL1,SUM(OFFSET(CÁLCULO!$AA$15,ROW($X58)-ROW($X$15),1):OFFSET(CÁLCULO!$AL$15,ROW($X58)-ROW($X$15),-1))),IF($C58=0,0,ROUND(SomaAgrup,15-13*$AF$11)))</f>
        <v>0</v>
      </c>
      <c r="Y58" s="197" t="s">
        <v>298</v>
      </c>
      <c r="Z58" s="0" t="str">
        <f aca="false">IF(AND($C58="S",$X58&gt;0),IF(ISBLANK($Y58),"RA",LEFT($Y58,2)),"")</f>
        <v/>
      </c>
      <c r="AA58" s="198" t="n">
        <f aca="true">IF($C58="S",IF($Z58="CP",$X58,IF($Z58="RA",(($X58)*QCI!$AA$3),0)),SomaAgrup)</f>
        <v>0</v>
      </c>
      <c r="AB58" s="199" t="n">
        <f aca="true">IF($C58="S",IF($Z58="OU",ROUND($X58,2),0),SomaAgrup)</f>
        <v>0</v>
      </c>
      <c r="AC58" s="200" t="str">
        <f aca="false">IF($N58="","",IF(ORÇAMENTO.Descricao="","DESCRIÇÃO",IF(AND($C58="S",ORÇAMENTO.Unidade=""),"UNIDADE",IF($X58&lt;0,"VALOR NEGATIVO",IF(OR(AND(TIPOORCAMENTO="Proposto",$AG58&lt;&gt;"",$AG58&gt;0,ORÇAMENTO.CustoUnitario&gt;$AG58),AND(TIPOORCAMENTO="LICITADO",ORÇAMENTO.PrecoUnitarioLicitado&gt;$AN58)),"ACIMA REF.","")))))</f>
        <v/>
      </c>
      <c r="AD58" s="0" t="str">
        <f aca="true">IF(C58&lt;=CRONO.NivelExibicao,MAX($AD$15:OFFSET(AD58,-1,0))+IF($C58&lt;&gt;1,1,MAX(1,COUNTIF(QCI!$A$13:$A$24,OFFSET($E58,-1,0)))),"")</f>
        <v/>
      </c>
      <c r="AE58" s="34" t="str">
        <f aca="false">IF(AND($C58="S",ORÇAMENTO.CodBarra&lt;&gt;""),IF(ORÇAMENTO.Fonte="",ORÇAMENTO.CodBarra,CONCATENATE(ORÇAMENTO.Fonte," ",ORÇAMENTO.CodBarra)))</f>
        <v>SICRO 5213360</v>
      </c>
      <c r="AF58" s="42" t="str">
        <f aca="true">IF(ISERROR(INDIRECT(ORÇAMENTO.BancoRef)),"(abra o arquivo 'Referência "&amp;Excel_BuiltIn_Database&amp;".xlsm)",IF(OR($C58&lt;&gt;"S",ORÇAMENTO.CodBarra=""),"(Sem Código)",IF(ISERROR(MATCH($AE58,INDIRECT(ORÇAMENTO.BancoRef),0)),"(Código não identificado nas referências)",MATCH($AE58,INDIRECT(ORÇAMENTO.BancoRef),0))))</f>
        <v>(abra o arquivo 'Referência 02-Thursday.xlsm)</v>
      </c>
      <c r="AG58" s="202" t="n">
        <f aca="true">ROUND(IF(DESONERACAO="sim",REFERENCIA.Desonerado,REFERENCIA.NaoDesonerado),2)</f>
        <v>0</v>
      </c>
      <c r="AH58" s="203" t="n">
        <f aca="false">ROUND(IF(ISNUMBER(ORÇAMENTO.OpcaoBDI),ORÇAMENTO.OpcaoBDI,IF(LEFT(ORÇAMENTO.OpcaoBDI,3)="BDI",HLOOKUP(ORÇAMENTO.OpcaoBDI,$F$4:$H$5,2,FALSE()),0)),15-11*$AF$9)</f>
        <v>0.22</v>
      </c>
      <c r="AJ58" s="204" t="n">
        <f aca="false">500*3/12</f>
        <v>125</v>
      </c>
      <c r="AL58" s="205"/>
      <c r="AM58" s="206" t="n">
        <f aca="false">$X58</f>
        <v>0</v>
      </c>
      <c r="AN58" s="207" t="n">
        <f aca="false">ROUND(ORÇAMENTO.CustoUnitario*(1+$AH58),2)</f>
        <v>0</v>
      </c>
    </row>
    <row r="59" customFormat="false" ht="4.5" hidden="false" customHeight="true" outlineLevel="0" collapsed="false">
      <c r="A59" s="0" t="n">
        <v>-1</v>
      </c>
      <c r="C59" s="0" t="n">
        <v>-1</v>
      </c>
      <c r="E59" s="0" t="n">
        <v>0</v>
      </c>
      <c r="F59" s="0" t="n">
        <v>0</v>
      </c>
      <c r="G59" s="0" t="n">
        <v>0</v>
      </c>
      <c r="H59" s="0" t="n">
        <v>0</v>
      </c>
      <c r="I59" s="0" t="n">
        <v>0</v>
      </c>
      <c r="L59" s="185" t="s">
        <v>206</v>
      </c>
      <c r="M59" s="224"/>
      <c r="N59" s="225"/>
      <c r="O59" s="224"/>
      <c r="P59" s="226"/>
      <c r="Q59" s="226"/>
      <c r="R59" s="226"/>
      <c r="S59" s="226"/>
      <c r="T59" s="226"/>
      <c r="U59" s="226"/>
      <c r="V59" s="226"/>
      <c r="W59" s="226"/>
      <c r="X59" s="225"/>
      <c r="AG59" s="227"/>
      <c r="AH59" s="228"/>
      <c r="AJ59" s="229"/>
      <c r="AL59" s="227"/>
      <c r="AM59" s="230"/>
      <c r="AN59" s="228"/>
    </row>
    <row r="62" customFormat="false" ht="13.8" hidden="false" customHeight="false" outlineLevel="0" collapsed="false">
      <c r="O62" s="231" t="s">
        <v>340</v>
      </c>
      <c r="Q62" s="232" t="s">
        <v>341</v>
      </c>
      <c r="R62" s="232"/>
      <c r="S62" s="232"/>
      <c r="T62" s="232"/>
      <c r="U62" s="232"/>
      <c r="V62" s="232"/>
      <c r="W62" s="232"/>
      <c r="X62" s="232"/>
    </row>
    <row r="64" customFormat="false" ht="13.8" hidden="false" customHeight="false" outlineLevel="0" collapsed="false">
      <c r="O64" s="233" t="s">
        <v>235</v>
      </c>
      <c r="X64" s="16"/>
    </row>
    <row r="65" customFormat="false" ht="12.75" hidden="false" customHeight="true" outlineLevel="0" collapsed="false">
      <c r="O65" s="234"/>
      <c r="P65" s="234"/>
      <c r="Q65" s="234"/>
      <c r="R65" s="234"/>
      <c r="S65" s="234"/>
      <c r="T65" s="234"/>
      <c r="U65" s="234"/>
      <c r="V65" s="234"/>
      <c r="W65" s="234"/>
      <c r="X65" s="234"/>
    </row>
    <row r="66" customFormat="false" ht="12.75" hidden="false" customHeight="false" outlineLevel="0" collapsed="false">
      <c r="O66" s="234"/>
      <c r="P66" s="234"/>
      <c r="Q66" s="234"/>
      <c r="R66" s="234"/>
      <c r="S66" s="234"/>
      <c r="T66" s="234"/>
      <c r="U66" s="234"/>
      <c r="V66" s="234"/>
      <c r="W66" s="234"/>
      <c r="X66" s="234"/>
    </row>
    <row r="67" customFormat="false" ht="12.75" hidden="false" customHeight="false" outlineLevel="0" collapsed="false">
      <c r="O67" s="234"/>
      <c r="P67" s="234"/>
      <c r="Q67" s="234"/>
      <c r="R67" s="234"/>
      <c r="S67" s="234"/>
      <c r="T67" s="234"/>
      <c r="U67" s="234"/>
      <c r="V67" s="234"/>
      <c r="W67" s="234"/>
      <c r="X67" s="234"/>
    </row>
    <row r="68" customFormat="false" ht="13.8" hidden="false" customHeight="false" outlineLevel="0" collapsed="false">
      <c r="O68" s="235"/>
      <c r="P68" s="235"/>
      <c r="Q68" s="235"/>
      <c r="R68" s="235"/>
      <c r="S68" s="235"/>
      <c r="T68" s="235"/>
      <c r="U68" s="235"/>
      <c r="V68" s="235"/>
      <c r="W68" s="235"/>
      <c r="X68" s="235"/>
      <c r="Y68" s="235"/>
      <c r="Z68" s="236"/>
      <c r="AA68" s="236"/>
      <c r="AB68" s="236"/>
    </row>
    <row r="69" customFormat="false" ht="14.15" hidden="false" customHeight="false" outlineLevel="0" collapsed="false">
      <c r="O69" s="237" t="str">
        <f aca="false">IF(AND($AF$7=FALSE(),$AF$8=FALSE(),$AF$9=FALSE(),$AF$10=FALSE(),$AF$11=FALSE()),"Não foi considerado arredondamento nos valores da planilha.",CONCATENATE("Foi considerado arredondamento de duas casas decimais para ",IF($AF$7=TRUE(),"Quantidade; ",""),IF($AF$8=TRUE(),"Custo Unitário; ",""),IF($AF$9=TRUE(),"BDI; ",""),IF($AF$10=TRUE(),"Preço Unitário; ",""),IF($AF$11=TRUE(),"Preço Total.","")))</f>
        <v>Foi considerado arredondamento de duas casas decimais para Quantidade; Custo Unitário; BDI; Preço Unitário; Preço Total.</v>
      </c>
      <c r="P69" s="237"/>
      <c r="Q69" s="237"/>
      <c r="R69" s="237"/>
      <c r="S69" s="237"/>
      <c r="T69" s="237"/>
      <c r="U69" s="237"/>
      <c r="V69" s="237"/>
      <c r="W69" s="237"/>
      <c r="X69" s="237"/>
      <c r="Y69" s="238"/>
      <c r="Z69" s="238"/>
      <c r="AA69" s="238"/>
      <c r="AB69" s="238"/>
    </row>
    <row r="70" customFormat="false" ht="15" hidden="false" customHeight="true" outlineLevel="0" collapsed="false">
      <c r="O70" s="239" t="s">
        <v>342</v>
      </c>
      <c r="P70" s="239"/>
      <c r="Q70" s="239"/>
      <c r="R70" s="239"/>
      <c r="S70" s="239"/>
      <c r="T70" s="239"/>
      <c r="U70" s="239"/>
      <c r="V70" s="239"/>
      <c r="W70" s="239"/>
      <c r="X70" s="239"/>
      <c r="Y70" s="238"/>
      <c r="Z70" s="238"/>
      <c r="AA70" s="238"/>
      <c r="AB70" s="238"/>
    </row>
    <row r="72" customFormat="false" ht="30" hidden="false" customHeight="true" outlineLevel="0" collapsed="false">
      <c r="O72" s="240" t="str">
        <f aca="false">Import.Município</f>
        <v>Alpinópolis</v>
      </c>
      <c r="P72" s="240"/>
      <c r="Q72" s="240"/>
      <c r="S72" s="241"/>
      <c r="T72" s="241"/>
      <c r="U72" s="241"/>
      <c r="V72" s="241"/>
      <c r="W72" s="29"/>
    </row>
    <row r="73" customFormat="false" ht="12.75" hidden="false" customHeight="false" outlineLevel="0" collapsed="false">
      <c r="O73" s="38" t="s">
        <v>239</v>
      </c>
      <c r="S73" s="242" t="s">
        <v>242</v>
      </c>
      <c r="T73" s="242"/>
      <c r="U73" s="242"/>
      <c r="V73" s="242"/>
    </row>
    <row r="74" customFormat="false" ht="12.75" hidden="false" customHeight="false" outlineLevel="0" collapsed="false">
      <c r="S74" s="134" t="s">
        <v>123</v>
      </c>
      <c r="T74" s="135" t="str">
        <f aca="false" t="array" ref="T74:T76">Import.RespOrçamento</f>
        <v>Fabiano Martins Cunha</v>
      </c>
      <c r="V74" s="136"/>
    </row>
    <row r="75" customFormat="false" ht="12.75" hidden="false" customHeight="false" outlineLevel="0" collapsed="false">
      <c r="O75" s="243" t="n">
        <f aca="false">DADOS!$F$25</f>
        <v>45849</v>
      </c>
      <c r="P75" s="243"/>
      <c r="Q75" s="243"/>
      <c r="S75" s="134" t="s">
        <v>125</v>
      </c>
      <c r="T75" s="135" t="str">
        <v>125417/D</v>
      </c>
      <c r="U75" s="136"/>
      <c r="V75" s="136"/>
    </row>
    <row r="76" customFormat="false" ht="12.75" hidden="false" customHeight="false" outlineLevel="0" collapsed="false">
      <c r="O76" s="244" t="s">
        <v>240</v>
      </c>
      <c r="P76" s="11"/>
      <c r="Q76" s="11"/>
      <c r="S76" s="134" t="s">
        <v>127</v>
      </c>
      <c r="T76" s="135" t="n">
        <v>0</v>
      </c>
      <c r="U76" s="136"/>
      <c r="V76" s="136"/>
    </row>
  </sheetData>
  <sheetProtection algorithmName="SHA-512" hashValue="8+qgg63kLuuMBF10ykDITLU9Lo5auiORakdb/VlnEzz6q16KdTbcdTpixsGpm5fuMKXvY4yMLvtyZhlAZB1p1A==" saltValue="jsEAn4jNDu71NQm2269T4A==" spinCount="100000" sheet="true" objects="true" scenarios="true" autoFilter="false"/>
  <autoFilter ref="L15:L59">
    <filterColumn colId="0">
      <filters>
        <filter val="F"/>
      </filters>
    </filterColumn>
  </autoFilter>
  <mergeCells count="24">
    <mergeCell ref="O4:P4"/>
    <mergeCell ref="S4:X4"/>
    <mergeCell ref="O5:P5"/>
    <mergeCell ref="S5:X5"/>
    <mergeCell ref="AE5:AF5"/>
    <mergeCell ref="O7:P7"/>
    <mergeCell ref="S7:U7"/>
    <mergeCell ref="AJ7:AJ11"/>
    <mergeCell ref="AL7:AL11"/>
    <mergeCell ref="F8:K8"/>
    <mergeCell ref="L8:L12"/>
    <mergeCell ref="O8:P8"/>
    <mergeCell ref="S8:U8"/>
    <mergeCell ref="Y8:Y12"/>
    <mergeCell ref="Z8:Z12"/>
    <mergeCell ref="F9:K9"/>
    <mergeCell ref="AA12:AB12"/>
    <mergeCell ref="O15:R15"/>
    <mergeCell ref="Q62:X62"/>
    <mergeCell ref="O65:X67"/>
    <mergeCell ref="O69:X69"/>
    <mergeCell ref="O70:X70"/>
    <mergeCell ref="O72:Q72"/>
    <mergeCell ref="O75:Q75"/>
  </mergeCells>
  <conditionalFormatting sqref="M29:M30">
    <cfRule type="cellIs" priority="2" operator="notEqual" aboveAverage="0" equalAverage="0" bottom="0" percent="0" rank="0" text="" dxfId="13">
      <formula>$N29</formula>
    </cfRule>
  </conditionalFormatting>
  <conditionalFormatting sqref="N29:O30 R29:R30 W29:X30">
    <cfRule type="expression" priority="3" aboveAverage="0" equalAverage="0" bottom="0" percent="0" rank="0" text="" dxfId="14">
      <formula>$C29=1</formula>
    </cfRule>
    <cfRule type="expression" priority="4" aboveAverage="0" equalAverage="0" bottom="0" percent="0" rank="0" text="" dxfId="15">
      <formula>OR($C29=0,$C29=2,$C29=3,$C29=4)</formula>
    </cfRule>
  </conditionalFormatting>
  <conditionalFormatting sqref="U29:V30">
    <cfRule type="expression" priority="5" aboveAverage="0" equalAverage="0" bottom="0" percent="0" rank="0" text="" dxfId="16">
      <formula>$C29=1</formula>
    </cfRule>
    <cfRule type="expression" priority="6" aboveAverage="0" equalAverage="0" bottom="0" percent="0" rank="0" text="" dxfId="17">
      <formula>OR($C29=0,$C29=2,$C29=3,$C29=4)</formula>
    </cfRule>
    <cfRule type="expression" priority="7" aboveAverage="0" equalAverage="0" bottom="0" percent="0" rank="0" text="" dxfId="18">
      <formula>AND(TIPOORCAMENTO="Licitado",$C29&lt;&gt;"L",$C29&lt;&gt;-1)</formula>
    </cfRule>
  </conditionalFormatting>
  <conditionalFormatting sqref="P29:Q30 S29:T30 Y29:Y30 AG29:AH30">
    <cfRule type="expression" priority="8" aboveAverage="0" equalAverage="0" bottom="0" percent="0" rank="0" text="" dxfId="19">
      <formula>$C29=1</formula>
    </cfRule>
    <cfRule type="expression" priority="9" aboveAverage="0" equalAverage="0" bottom="0" percent="0" rank="0" text="" dxfId="20">
      <formula>OR($C29=0,$C29=2,$C29=3,$C29=4)</formula>
    </cfRule>
  </conditionalFormatting>
  <conditionalFormatting sqref="AJ29:AJ30">
    <cfRule type="expression" priority="10" aboveAverage="0" equalAverage="0" bottom="0" percent="0" rank="0" text="" dxfId="21">
      <formula>OR(ACOMPANHAMENTO&lt;&gt;"BM",TIPOORCAMENTO="Licitado")</formula>
    </cfRule>
    <cfRule type="expression" priority="11" aboveAverage="0" equalAverage="0" bottom="0" percent="0" rank="0" text="" dxfId="22">
      <formula>$C29=1</formula>
    </cfRule>
    <cfRule type="expression" priority="12" aboveAverage="0" equalAverage="0" bottom="0" percent="0" rank="0" text="" dxfId="23">
      <formula>OR(AND(ISNUMBER($C29),$C29=0),$C29=2,$C29=3,$C29=4)</formula>
    </cfRule>
  </conditionalFormatting>
  <conditionalFormatting sqref="AL29:AL30">
    <cfRule type="expression" priority="13" aboveAverage="0" equalAverage="0" bottom="0" percent="0" rank="0" text="" dxfId="24">
      <formula>TIPOORCAMENTO="PROPOSTO"</formula>
    </cfRule>
    <cfRule type="expression" priority="14" aboveAverage="0" equalAverage="0" bottom="0" percent="0" rank="0" text="" dxfId="25">
      <formula>$C29=1</formula>
    </cfRule>
    <cfRule type="expression" priority="15" aboveAverage="0" equalAverage="0" bottom="0" percent="0" rank="0" text="" dxfId="26">
      <formula>OR(AND(ISNUMBER($C29),$C29=0),$C29=2,$C29=3,$C29=4)</formula>
    </cfRule>
  </conditionalFormatting>
  <conditionalFormatting sqref="AM29:AN30">
    <cfRule type="expression" priority="16" aboveAverage="0" equalAverage="0" bottom="0" percent="0" rank="0" text="" dxfId="27">
      <formula>TIPOORCAMENTO="PROPOSTO"</formula>
    </cfRule>
    <cfRule type="expression" priority="17" aboveAverage="0" equalAverage="0" bottom="0" percent="0" rank="0" text="" dxfId="28">
      <formula>$C29=1</formula>
    </cfRule>
    <cfRule type="expression" priority="18" aboveAverage="0" equalAverage="0" bottom="0" percent="0" rank="0" text="" dxfId="29">
      <formula>OR(AND(ISNUMBER($C29),$C29=0),$C29=2,$C29=3,$C29=4)</formula>
    </cfRule>
  </conditionalFormatting>
  <conditionalFormatting sqref="M40">
    <cfRule type="cellIs" priority="19" operator="notEqual" aboveAverage="0" equalAverage="0" bottom="0" percent="0" rank="0" text="" dxfId="30">
      <formula>$N40</formula>
    </cfRule>
  </conditionalFormatting>
  <conditionalFormatting sqref="N40:O40 R40 W40:X40">
    <cfRule type="expression" priority="20" aboveAverage="0" equalAverage="0" bottom="0" percent="0" rank="0" text="" dxfId="31">
      <formula>$C40=1</formula>
    </cfRule>
    <cfRule type="expression" priority="21" aboveAverage="0" equalAverage="0" bottom="0" percent="0" rank="0" text="" dxfId="32">
      <formula>OR($C40=0,$C40=2,$C40=3,$C40=4)</formula>
    </cfRule>
  </conditionalFormatting>
  <conditionalFormatting sqref="U40:V40">
    <cfRule type="expression" priority="22" aboveAverage="0" equalAverage="0" bottom="0" percent="0" rank="0" text="" dxfId="33">
      <formula>$C40=1</formula>
    </cfRule>
    <cfRule type="expression" priority="23" aboveAverage="0" equalAverage="0" bottom="0" percent="0" rank="0" text="" dxfId="34">
      <formula>OR($C40=0,$C40=2,$C40=3,$C40=4)</formula>
    </cfRule>
    <cfRule type="expression" priority="24" aboveAverage="0" equalAverage="0" bottom="0" percent="0" rank="0" text="" dxfId="35">
      <formula>AND(TIPOORCAMENTO="Licitado",$C40&lt;&gt;"L",$C40&lt;&gt;-1)</formula>
    </cfRule>
  </conditionalFormatting>
  <conditionalFormatting sqref="P40:Q40 S40:T40 Y40 AG40:AH40">
    <cfRule type="expression" priority="25" aboveAverage="0" equalAverage="0" bottom="0" percent="0" rank="0" text="" dxfId="36">
      <formula>$C40=1</formula>
    </cfRule>
    <cfRule type="expression" priority="26" aboveAverage="0" equalAverage="0" bottom="0" percent="0" rank="0" text="" dxfId="37">
      <formula>OR($C40=0,$C40=2,$C40=3,$C40=4)</formula>
    </cfRule>
  </conditionalFormatting>
  <conditionalFormatting sqref="AJ40">
    <cfRule type="expression" priority="27" aboveAverage="0" equalAverage="0" bottom="0" percent="0" rank="0" text="" dxfId="38">
      <formula>OR(ACOMPANHAMENTO&lt;&gt;"BM",TIPOORCAMENTO="Licitado")</formula>
    </cfRule>
    <cfRule type="expression" priority="28" aboveAverage="0" equalAverage="0" bottom="0" percent="0" rank="0" text="" dxfId="39">
      <formula>$C40=1</formula>
    </cfRule>
    <cfRule type="expression" priority="29" aboveAverage="0" equalAverage="0" bottom="0" percent="0" rank="0" text="" dxfId="40">
      <formula>OR(AND(ISNUMBER($C40),$C40=0),$C40=2,$C40=3,$C40=4)</formula>
    </cfRule>
  </conditionalFormatting>
  <conditionalFormatting sqref="AL40">
    <cfRule type="expression" priority="30" aboveAverage="0" equalAverage="0" bottom="0" percent="0" rank="0" text="" dxfId="41">
      <formula>TIPOORCAMENTO="PROPOSTO"</formula>
    </cfRule>
    <cfRule type="expression" priority="31" aboveAverage="0" equalAverage="0" bottom="0" percent="0" rank="0" text="" dxfId="42">
      <formula>$C40=1</formula>
    </cfRule>
    <cfRule type="expression" priority="32" aboveAverage="0" equalAverage="0" bottom="0" percent="0" rank="0" text="" dxfId="43">
      <formula>OR(AND(ISNUMBER($C40),$C40=0),$C40=2,$C40=3,$C40=4)</formula>
    </cfRule>
  </conditionalFormatting>
  <conditionalFormatting sqref="AM40:AN40">
    <cfRule type="expression" priority="33" aboveAverage="0" equalAverage="0" bottom="0" percent="0" rank="0" text="" dxfId="44">
      <formula>TIPOORCAMENTO="PROPOSTO"</formula>
    </cfRule>
    <cfRule type="expression" priority="34" aboveAverage="0" equalAverage="0" bottom="0" percent="0" rank="0" text="" dxfId="45">
      <formula>$C40=1</formula>
    </cfRule>
    <cfRule type="expression" priority="35" aboveAverage="0" equalAverage="0" bottom="0" percent="0" rank="0" text="" dxfId="46">
      <formula>OR(AND(ISNUMBER($C40),$C40=0),$C40=2,$C40=3,$C40=4)</formula>
    </cfRule>
  </conditionalFormatting>
  <conditionalFormatting sqref="M37">
    <cfRule type="cellIs" priority="36" operator="notEqual" aboveAverage="0" equalAverage="0" bottom="0" percent="0" rank="0" text="" dxfId="47">
      <formula>$N37</formula>
    </cfRule>
  </conditionalFormatting>
  <conditionalFormatting sqref="N37:O37 R37 W37:X37">
    <cfRule type="expression" priority="37" aboveAverage="0" equalAverage="0" bottom="0" percent="0" rank="0" text="" dxfId="48">
      <formula>$C37=1</formula>
    </cfRule>
    <cfRule type="expression" priority="38" aboveAverage="0" equalAverage="0" bottom="0" percent="0" rank="0" text="" dxfId="49">
      <formula>OR($C37=0,$C37=2,$C37=3,$C37=4)</formula>
    </cfRule>
  </conditionalFormatting>
  <conditionalFormatting sqref="U37:V37">
    <cfRule type="expression" priority="39" aboveAverage="0" equalAverage="0" bottom="0" percent="0" rank="0" text="" dxfId="50">
      <formula>$C37=1</formula>
    </cfRule>
    <cfRule type="expression" priority="40" aboveAverage="0" equalAverage="0" bottom="0" percent="0" rank="0" text="" dxfId="51">
      <formula>OR($C37=0,$C37=2,$C37=3,$C37=4)</formula>
    </cfRule>
    <cfRule type="expression" priority="41" aboveAverage="0" equalAverage="0" bottom="0" percent="0" rank="0" text="" dxfId="52">
      <formula>AND(TIPOORCAMENTO="Licitado",$C37&lt;&gt;"L",$C37&lt;&gt;-1)</formula>
    </cfRule>
  </conditionalFormatting>
  <conditionalFormatting sqref="P37:Q37 S37:T37 Y37 AG37:AH37">
    <cfRule type="expression" priority="42" aboveAverage="0" equalAverage="0" bottom="0" percent="0" rank="0" text="" dxfId="53">
      <formula>$C37=1</formula>
    </cfRule>
    <cfRule type="expression" priority="43" aboveAverage="0" equalAverage="0" bottom="0" percent="0" rank="0" text="" dxfId="54">
      <formula>OR($C37=0,$C37=2,$C37=3,$C37=4)</formula>
    </cfRule>
  </conditionalFormatting>
  <conditionalFormatting sqref="AJ37">
    <cfRule type="expression" priority="44" aboveAverage="0" equalAverage="0" bottom="0" percent="0" rank="0" text="" dxfId="55">
      <formula>OR(ACOMPANHAMENTO&lt;&gt;"BM",TIPOORCAMENTO="Licitado")</formula>
    </cfRule>
    <cfRule type="expression" priority="45" aboveAverage="0" equalAverage="0" bottom="0" percent="0" rank="0" text="" dxfId="56">
      <formula>$C37=1</formula>
    </cfRule>
    <cfRule type="expression" priority="46" aboveAverage="0" equalAverage="0" bottom="0" percent="0" rank="0" text="" dxfId="57">
      <formula>OR(AND(ISNUMBER($C37),$C37=0),$C37=2,$C37=3,$C37=4)</formula>
    </cfRule>
  </conditionalFormatting>
  <conditionalFormatting sqref="AL37">
    <cfRule type="expression" priority="47" aboveAverage="0" equalAverage="0" bottom="0" percent="0" rank="0" text="" dxfId="58">
      <formula>TIPOORCAMENTO="PROPOSTO"</formula>
    </cfRule>
    <cfRule type="expression" priority="48" aboveAverage="0" equalAverage="0" bottom="0" percent="0" rank="0" text="" dxfId="59">
      <formula>$C37=1</formula>
    </cfRule>
    <cfRule type="expression" priority="49" aboveAverage="0" equalAverage="0" bottom="0" percent="0" rank="0" text="" dxfId="60">
      <formula>OR(AND(ISNUMBER($C37),$C37=0),$C37=2,$C37=3,$C37=4)</formula>
    </cfRule>
  </conditionalFormatting>
  <conditionalFormatting sqref="AM37:AN37">
    <cfRule type="expression" priority="50" aboveAverage="0" equalAverage="0" bottom="0" percent="0" rank="0" text="" dxfId="61">
      <formula>TIPOORCAMENTO="PROPOSTO"</formula>
    </cfRule>
    <cfRule type="expression" priority="51" aboveAverage="0" equalAverage="0" bottom="0" percent="0" rank="0" text="" dxfId="62">
      <formula>$C37=1</formula>
    </cfRule>
    <cfRule type="expression" priority="52" aboveAverage="0" equalAverage="0" bottom="0" percent="0" rank="0" text="" dxfId="63">
      <formula>OR(AND(ISNUMBER($C37),$C37=0),$C37=2,$C37=3,$C37=4)</formula>
    </cfRule>
  </conditionalFormatting>
  <conditionalFormatting sqref="M19:M20">
    <cfRule type="cellIs" priority="53" operator="notEqual" aboveAverage="0" equalAverage="0" bottom="0" percent="0" rank="0" text="" dxfId="64">
      <formula>$N19</formula>
    </cfRule>
  </conditionalFormatting>
  <conditionalFormatting sqref="N19:O20 R19:R20 W19:X20">
    <cfRule type="expression" priority="54" aboveAverage="0" equalAverage="0" bottom="0" percent="0" rank="0" text="" dxfId="65">
      <formula>$C19=1</formula>
    </cfRule>
    <cfRule type="expression" priority="55" aboveAverage="0" equalAverage="0" bottom="0" percent="0" rank="0" text="" dxfId="66">
      <formula>OR($C19=0,$C19=2,$C19=3,$C19=4)</formula>
    </cfRule>
  </conditionalFormatting>
  <conditionalFormatting sqref="U19:V20">
    <cfRule type="expression" priority="56" aboveAverage="0" equalAverage="0" bottom="0" percent="0" rank="0" text="" dxfId="67">
      <formula>$C19=1</formula>
    </cfRule>
    <cfRule type="expression" priority="57" aboveAverage="0" equalAverage="0" bottom="0" percent="0" rank="0" text="" dxfId="68">
      <formula>OR($C19=0,$C19=2,$C19=3,$C19=4)</formula>
    </cfRule>
    <cfRule type="expression" priority="58" aboveAverage="0" equalAverage="0" bottom="0" percent="0" rank="0" text="" dxfId="69">
      <formula>AND(TIPOORCAMENTO="Licitado",$C19&lt;&gt;"L",$C19&lt;&gt;-1)</formula>
    </cfRule>
  </conditionalFormatting>
  <conditionalFormatting sqref="P19:Q20 S19:T20 Y19:Y20 AG19:AH20">
    <cfRule type="expression" priority="59" aboveAverage="0" equalAverage="0" bottom="0" percent="0" rank="0" text="" dxfId="70">
      <formula>$C19=1</formula>
    </cfRule>
    <cfRule type="expression" priority="60" aboveAverage="0" equalAverage="0" bottom="0" percent="0" rank="0" text="" dxfId="71">
      <formula>OR($C19=0,$C19=2,$C19=3,$C19=4)</formula>
    </cfRule>
  </conditionalFormatting>
  <conditionalFormatting sqref="AJ19:AJ20">
    <cfRule type="expression" priority="61" aboveAverage="0" equalAverage="0" bottom="0" percent="0" rank="0" text="" dxfId="72">
      <formula>OR(ACOMPANHAMENTO&lt;&gt;"BM",TIPOORCAMENTO="Licitado")</formula>
    </cfRule>
    <cfRule type="expression" priority="62" aboveAverage="0" equalAverage="0" bottom="0" percent="0" rank="0" text="" dxfId="73">
      <formula>$C19=1</formula>
    </cfRule>
    <cfRule type="expression" priority="63" aboveAverage="0" equalAverage="0" bottom="0" percent="0" rank="0" text="" dxfId="74">
      <formula>OR(AND(ISNUMBER($C19),$C19=0),$C19=2,$C19=3,$C19=4)</formula>
    </cfRule>
  </conditionalFormatting>
  <conditionalFormatting sqref="AL19:AL20">
    <cfRule type="expression" priority="64" aboveAverage="0" equalAverage="0" bottom="0" percent="0" rank="0" text="" dxfId="75">
      <formula>TIPOORCAMENTO="PROPOSTO"</formula>
    </cfRule>
    <cfRule type="expression" priority="65" aboveAverage="0" equalAverage="0" bottom="0" percent="0" rank="0" text="" dxfId="76">
      <formula>$C19=1</formula>
    </cfRule>
    <cfRule type="expression" priority="66" aboveAverage="0" equalAverage="0" bottom="0" percent="0" rank="0" text="" dxfId="77">
      <formula>OR(AND(ISNUMBER($C19),$C19=0),$C19=2,$C19=3,$C19=4)</formula>
    </cfRule>
  </conditionalFormatting>
  <conditionalFormatting sqref="AM19:AN20">
    <cfRule type="expression" priority="67" aboveAverage="0" equalAverage="0" bottom="0" percent="0" rank="0" text="" dxfId="78">
      <formula>TIPOORCAMENTO="PROPOSTO"</formula>
    </cfRule>
    <cfRule type="expression" priority="68" aboveAverage="0" equalAverage="0" bottom="0" percent="0" rank="0" text="" dxfId="79">
      <formula>$C19=1</formula>
    </cfRule>
    <cfRule type="expression" priority="69" aboveAverage="0" equalAverage="0" bottom="0" percent="0" rank="0" text="" dxfId="80">
      <formula>OR(AND(ISNUMBER($C19),$C19=0),$C19=2,$C19=3,$C19=4)</formula>
    </cfRule>
  </conditionalFormatting>
  <conditionalFormatting sqref="M54:M57">
    <cfRule type="cellIs" priority="70" operator="notEqual" aboveAverage="0" equalAverage="0" bottom="0" percent="0" rank="0" text="" dxfId="81">
      <formula>$N54</formula>
    </cfRule>
  </conditionalFormatting>
  <conditionalFormatting sqref="N54:O57 R54:R57 W54:X57">
    <cfRule type="expression" priority="71" aboveAverage="0" equalAverage="0" bottom="0" percent="0" rank="0" text="" dxfId="82">
      <formula>$C54=1</formula>
    </cfRule>
    <cfRule type="expression" priority="72" aboveAverage="0" equalAverage="0" bottom="0" percent="0" rank="0" text="" dxfId="83">
      <formula>OR($C54=0,$C54=2,$C54=3,$C54=4)</formula>
    </cfRule>
  </conditionalFormatting>
  <conditionalFormatting sqref="U54:V57">
    <cfRule type="expression" priority="73" aboveAverage="0" equalAverage="0" bottom="0" percent="0" rank="0" text="" dxfId="84">
      <formula>$C54=1</formula>
    </cfRule>
    <cfRule type="expression" priority="74" aboveAverage="0" equalAverage="0" bottom="0" percent="0" rank="0" text="" dxfId="85">
      <formula>OR($C54=0,$C54=2,$C54=3,$C54=4)</formula>
    </cfRule>
    <cfRule type="expression" priority="75" aboveAverage="0" equalAverage="0" bottom="0" percent="0" rank="0" text="" dxfId="86">
      <formula>AND(TIPOORCAMENTO="Licitado",$C54&lt;&gt;"L",$C54&lt;&gt;-1)</formula>
    </cfRule>
  </conditionalFormatting>
  <conditionalFormatting sqref="P54:Q57 S54:T57 Y54:Y57 AG54:AH57">
    <cfRule type="expression" priority="76" aboveAverage="0" equalAverage="0" bottom="0" percent="0" rank="0" text="" dxfId="87">
      <formula>$C54=1</formula>
    </cfRule>
    <cfRule type="expression" priority="77" aboveAverage="0" equalAverage="0" bottom="0" percent="0" rank="0" text="" dxfId="88">
      <formula>OR($C54=0,$C54=2,$C54=3,$C54=4)</formula>
    </cfRule>
  </conditionalFormatting>
  <conditionalFormatting sqref="AJ54:AJ57">
    <cfRule type="expression" priority="78" aboveAverage="0" equalAverage="0" bottom="0" percent="0" rank="0" text="" dxfId="89">
      <formula>OR(ACOMPANHAMENTO&lt;&gt;"BM",TIPOORCAMENTO="Licitado")</formula>
    </cfRule>
    <cfRule type="expression" priority="79" aboveAverage="0" equalAverage="0" bottom="0" percent="0" rank="0" text="" dxfId="90">
      <formula>$C54=1</formula>
    </cfRule>
    <cfRule type="expression" priority="80" aboveAverage="0" equalAverage="0" bottom="0" percent="0" rank="0" text="" dxfId="91">
      <formula>OR(AND(ISNUMBER($C54),$C54=0),$C54=2,$C54=3,$C54=4)</formula>
    </cfRule>
  </conditionalFormatting>
  <conditionalFormatting sqref="AL54:AL57">
    <cfRule type="expression" priority="81" aboveAverage="0" equalAverage="0" bottom="0" percent="0" rank="0" text="" dxfId="92">
      <formula>TIPOORCAMENTO="PROPOSTO"</formula>
    </cfRule>
    <cfRule type="expression" priority="82" aboveAverage="0" equalAverage="0" bottom="0" percent="0" rank="0" text="" dxfId="93">
      <formula>$C54=1</formula>
    </cfRule>
    <cfRule type="expression" priority="83" aboveAverage="0" equalAverage="0" bottom="0" percent="0" rank="0" text="" dxfId="94">
      <formula>OR(AND(ISNUMBER($C54),$C54=0),$C54=2,$C54=3,$C54=4)</formula>
    </cfRule>
  </conditionalFormatting>
  <conditionalFormatting sqref="AM54:AN57">
    <cfRule type="expression" priority="84" aboveAverage="0" equalAverage="0" bottom="0" percent="0" rank="0" text="" dxfId="95">
      <formula>TIPOORCAMENTO="PROPOSTO"</formula>
    </cfRule>
    <cfRule type="expression" priority="85" aboveAverage="0" equalAverage="0" bottom="0" percent="0" rank="0" text="" dxfId="96">
      <formula>$C54=1</formula>
    </cfRule>
    <cfRule type="expression" priority="86" aboveAverage="0" equalAverage="0" bottom="0" percent="0" rank="0" text="" dxfId="97">
      <formula>OR(AND(ISNUMBER($C54),$C54=0),$C54=2,$C54=3,$C54=4)</formula>
    </cfRule>
  </conditionalFormatting>
  <conditionalFormatting sqref="M41:M44">
    <cfRule type="cellIs" priority="87" operator="notEqual" aboveAverage="0" equalAverage="0" bottom="0" percent="0" rank="0" text="" dxfId="98">
      <formula>$N41</formula>
    </cfRule>
  </conditionalFormatting>
  <conditionalFormatting sqref="N41:O44 R41:R44 W41:X44">
    <cfRule type="expression" priority="88" aboveAverage="0" equalAverage="0" bottom="0" percent="0" rank="0" text="" dxfId="99">
      <formula>$C41=1</formula>
    </cfRule>
    <cfRule type="expression" priority="89" aboveAverage="0" equalAverage="0" bottom="0" percent="0" rank="0" text="" dxfId="100">
      <formula>OR($C41=0,$C41=2,$C41=3,$C41=4)</formula>
    </cfRule>
  </conditionalFormatting>
  <conditionalFormatting sqref="U41:V44">
    <cfRule type="expression" priority="90" aboveAverage="0" equalAverage="0" bottom="0" percent="0" rank="0" text="" dxfId="101">
      <formula>$C41=1</formula>
    </cfRule>
    <cfRule type="expression" priority="91" aboveAverage="0" equalAverage="0" bottom="0" percent="0" rank="0" text="" dxfId="102">
      <formula>OR($C41=0,$C41=2,$C41=3,$C41=4)</formula>
    </cfRule>
    <cfRule type="expression" priority="92" aboveAverage="0" equalAverage="0" bottom="0" percent="0" rank="0" text="" dxfId="103">
      <formula>AND(TIPOORCAMENTO="Licitado",$C41&lt;&gt;"L",$C41&lt;&gt;-1)</formula>
    </cfRule>
  </conditionalFormatting>
  <conditionalFormatting sqref="P41:Q44 S41:T44 Y41:Y44 AG41:AH44">
    <cfRule type="expression" priority="93" aboveAverage="0" equalAverage="0" bottom="0" percent="0" rank="0" text="" dxfId="104">
      <formula>$C41=1</formula>
    </cfRule>
    <cfRule type="expression" priority="94" aboveAverage="0" equalAverage="0" bottom="0" percent="0" rank="0" text="" dxfId="105">
      <formula>OR($C41=0,$C41=2,$C41=3,$C41=4)</formula>
    </cfRule>
  </conditionalFormatting>
  <conditionalFormatting sqref="AJ41:AJ44">
    <cfRule type="expression" priority="95" aboveAverage="0" equalAverage="0" bottom="0" percent="0" rank="0" text="" dxfId="106">
      <formula>OR(ACOMPANHAMENTO&lt;&gt;"BM",TIPOORCAMENTO="Licitado")</formula>
    </cfRule>
    <cfRule type="expression" priority="96" aboveAverage="0" equalAverage="0" bottom="0" percent="0" rank="0" text="" dxfId="107">
      <formula>$C41=1</formula>
    </cfRule>
    <cfRule type="expression" priority="97" aboveAverage="0" equalAverage="0" bottom="0" percent="0" rank="0" text="" dxfId="108">
      <formula>OR(AND(ISNUMBER($C41),$C41=0),$C41=2,$C41=3,$C41=4)</formula>
    </cfRule>
  </conditionalFormatting>
  <conditionalFormatting sqref="AL41:AL44">
    <cfRule type="expression" priority="98" aboveAverage="0" equalAverage="0" bottom="0" percent="0" rank="0" text="" dxfId="109">
      <formula>TIPOORCAMENTO="PROPOSTO"</formula>
    </cfRule>
    <cfRule type="expression" priority="99" aboveAverage="0" equalAverage="0" bottom="0" percent="0" rank="0" text="" dxfId="110">
      <formula>$C41=1</formula>
    </cfRule>
    <cfRule type="expression" priority="100" aboveAverage="0" equalAverage="0" bottom="0" percent="0" rank="0" text="" dxfId="111">
      <formula>OR(AND(ISNUMBER($C41),$C41=0),$C41=2,$C41=3,$C41=4)</formula>
    </cfRule>
  </conditionalFormatting>
  <conditionalFormatting sqref="AM41:AN44">
    <cfRule type="expression" priority="101" aboveAverage="0" equalAverage="0" bottom="0" percent="0" rank="0" text="" dxfId="112">
      <formula>TIPOORCAMENTO="PROPOSTO"</formula>
    </cfRule>
    <cfRule type="expression" priority="102" aboveAverage="0" equalAverage="0" bottom="0" percent="0" rank="0" text="" dxfId="113">
      <formula>$C41=1</formula>
    </cfRule>
    <cfRule type="expression" priority="103" aboveAverage="0" equalAverage="0" bottom="0" percent="0" rank="0" text="" dxfId="114">
      <formula>OR(AND(ISNUMBER($C41),$C41=0),$C41=2,$C41=3,$C41=4)</formula>
    </cfRule>
  </conditionalFormatting>
  <conditionalFormatting sqref="M45:M46">
    <cfRule type="cellIs" priority="104" operator="notEqual" aboveAverage="0" equalAverage="0" bottom="0" percent="0" rank="0" text="" dxfId="115">
      <formula>$N45</formula>
    </cfRule>
  </conditionalFormatting>
  <conditionalFormatting sqref="N45:O46 R45:R46 W45:X46">
    <cfRule type="expression" priority="105" aboveAverage="0" equalAverage="0" bottom="0" percent="0" rank="0" text="" dxfId="116">
      <formula>$C45=1</formula>
    </cfRule>
    <cfRule type="expression" priority="106" aboveAverage="0" equalAverage="0" bottom="0" percent="0" rank="0" text="" dxfId="117">
      <formula>OR($C45=0,$C45=2,$C45=3,$C45=4)</formula>
    </cfRule>
  </conditionalFormatting>
  <conditionalFormatting sqref="U45:V46">
    <cfRule type="expression" priority="107" aboveAverage="0" equalAverage="0" bottom="0" percent="0" rank="0" text="" dxfId="118">
      <formula>$C45=1</formula>
    </cfRule>
    <cfRule type="expression" priority="108" aboveAverage="0" equalAverage="0" bottom="0" percent="0" rank="0" text="" dxfId="119">
      <formula>OR($C45=0,$C45=2,$C45=3,$C45=4)</formula>
    </cfRule>
    <cfRule type="expression" priority="109" aboveAverage="0" equalAverage="0" bottom="0" percent="0" rank="0" text="" dxfId="120">
      <formula>AND(TIPOORCAMENTO="Licitado",$C45&lt;&gt;"L",$C45&lt;&gt;-1)</formula>
    </cfRule>
  </conditionalFormatting>
  <conditionalFormatting sqref="P45:Q46 S45:T46 Y45:Y46 AG45:AH46">
    <cfRule type="expression" priority="110" aboveAverage="0" equalAverage="0" bottom="0" percent="0" rank="0" text="" dxfId="121">
      <formula>$C45=1</formula>
    </cfRule>
    <cfRule type="expression" priority="111" aboveAverage="0" equalAverage="0" bottom="0" percent="0" rank="0" text="" dxfId="122">
      <formula>OR($C45=0,$C45=2,$C45=3,$C45=4)</formula>
    </cfRule>
  </conditionalFormatting>
  <conditionalFormatting sqref="AJ45:AJ46">
    <cfRule type="expression" priority="112" aboveAverage="0" equalAverage="0" bottom="0" percent="0" rank="0" text="" dxfId="123">
      <formula>OR(ACOMPANHAMENTO&lt;&gt;"BM",TIPOORCAMENTO="Licitado")</formula>
    </cfRule>
    <cfRule type="expression" priority="113" aboveAverage="0" equalAverage="0" bottom="0" percent="0" rank="0" text="" dxfId="124">
      <formula>$C45=1</formula>
    </cfRule>
    <cfRule type="expression" priority="114" aboveAverage="0" equalAverage="0" bottom="0" percent="0" rank="0" text="" dxfId="125">
      <formula>OR(AND(ISNUMBER($C45),$C45=0),$C45=2,$C45=3,$C45=4)</formula>
    </cfRule>
  </conditionalFormatting>
  <conditionalFormatting sqref="AL45:AL46">
    <cfRule type="expression" priority="115" aboveAverage="0" equalAverage="0" bottom="0" percent="0" rank="0" text="" dxfId="126">
      <formula>TIPOORCAMENTO="PROPOSTO"</formula>
    </cfRule>
    <cfRule type="expression" priority="116" aboveAverage="0" equalAverage="0" bottom="0" percent="0" rank="0" text="" dxfId="127">
      <formula>$C45=1</formula>
    </cfRule>
    <cfRule type="expression" priority="117" aboveAverage="0" equalAverage="0" bottom="0" percent="0" rank="0" text="" dxfId="128">
      <formula>OR(AND(ISNUMBER($C45),$C45=0),$C45=2,$C45=3,$C45=4)</formula>
    </cfRule>
  </conditionalFormatting>
  <conditionalFormatting sqref="AM45:AN46">
    <cfRule type="expression" priority="118" aboveAverage="0" equalAverage="0" bottom="0" percent="0" rank="0" text="" dxfId="129">
      <formula>TIPOORCAMENTO="PROPOSTO"</formula>
    </cfRule>
    <cfRule type="expression" priority="119" aboveAverage="0" equalAverage="0" bottom="0" percent="0" rank="0" text="" dxfId="130">
      <formula>$C45=1</formula>
    </cfRule>
    <cfRule type="expression" priority="120" aboveAverage="0" equalAverage="0" bottom="0" percent="0" rank="0" text="" dxfId="131">
      <formula>OR(AND(ISNUMBER($C45),$C45=0),$C45=2,$C45=3,$C45=4)</formula>
    </cfRule>
  </conditionalFormatting>
  <conditionalFormatting sqref="M48:M50">
    <cfRule type="cellIs" priority="121" operator="notEqual" aboveAverage="0" equalAverage="0" bottom="0" percent="0" rank="0" text="" dxfId="132">
      <formula>$N48</formula>
    </cfRule>
  </conditionalFormatting>
  <conditionalFormatting sqref="N48:O50 R48:R50 W48:X50">
    <cfRule type="expression" priority="122" aboveAverage="0" equalAverage="0" bottom="0" percent="0" rank="0" text="" dxfId="133">
      <formula>$C48=1</formula>
    </cfRule>
    <cfRule type="expression" priority="123" aboveAverage="0" equalAverage="0" bottom="0" percent="0" rank="0" text="" dxfId="134">
      <formula>OR($C48=0,$C48=2,$C48=3,$C48=4)</formula>
    </cfRule>
  </conditionalFormatting>
  <conditionalFormatting sqref="U48:V50">
    <cfRule type="expression" priority="124" aboveAverage="0" equalAverage="0" bottom="0" percent="0" rank="0" text="" dxfId="135">
      <formula>$C48=1</formula>
    </cfRule>
    <cfRule type="expression" priority="125" aboveAverage="0" equalAverage="0" bottom="0" percent="0" rank="0" text="" dxfId="136">
      <formula>OR($C48=0,$C48=2,$C48=3,$C48=4)</formula>
    </cfRule>
    <cfRule type="expression" priority="126" aboveAverage="0" equalAverage="0" bottom="0" percent="0" rank="0" text="" dxfId="137">
      <formula>AND(TIPOORCAMENTO="Licitado",$C48&lt;&gt;"L",$C48&lt;&gt;-1)</formula>
    </cfRule>
  </conditionalFormatting>
  <conditionalFormatting sqref="P48:Q50 S48:T50 Y48:Y50 AG48:AH50">
    <cfRule type="expression" priority="127" aboveAverage="0" equalAverage="0" bottom="0" percent="0" rank="0" text="" dxfId="138">
      <formula>$C48=1</formula>
    </cfRule>
    <cfRule type="expression" priority="128" aboveAverage="0" equalAverage="0" bottom="0" percent="0" rank="0" text="" dxfId="139">
      <formula>OR($C48=0,$C48=2,$C48=3,$C48=4)</formula>
    </cfRule>
  </conditionalFormatting>
  <conditionalFormatting sqref="AJ48:AJ50">
    <cfRule type="expression" priority="129" aboveAverage="0" equalAverage="0" bottom="0" percent="0" rank="0" text="" dxfId="140">
      <formula>OR(ACOMPANHAMENTO&lt;&gt;"BM",TIPOORCAMENTO="Licitado")</formula>
    </cfRule>
    <cfRule type="expression" priority="130" aboveAverage="0" equalAverage="0" bottom="0" percent="0" rank="0" text="" dxfId="141">
      <formula>$C48=1</formula>
    </cfRule>
    <cfRule type="expression" priority="131" aboveAverage="0" equalAverage="0" bottom="0" percent="0" rank="0" text="" dxfId="142">
      <formula>OR(AND(ISNUMBER($C48),$C48=0),$C48=2,$C48=3,$C48=4)</formula>
    </cfRule>
  </conditionalFormatting>
  <conditionalFormatting sqref="AL48:AL50">
    <cfRule type="expression" priority="132" aboveAverage="0" equalAverage="0" bottom="0" percent="0" rank="0" text="" dxfId="143">
      <formula>TIPOORCAMENTO="PROPOSTO"</formula>
    </cfRule>
    <cfRule type="expression" priority="133" aboveAverage="0" equalAverage="0" bottom="0" percent="0" rank="0" text="" dxfId="144">
      <formula>$C48=1</formula>
    </cfRule>
    <cfRule type="expression" priority="134" aboveAverage="0" equalAverage="0" bottom="0" percent="0" rank="0" text="" dxfId="145">
      <formula>OR(AND(ISNUMBER($C48),$C48=0),$C48=2,$C48=3,$C48=4)</formula>
    </cfRule>
  </conditionalFormatting>
  <conditionalFormatting sqref="AM48:AN50">
    <cfRule type="expression" priority="135" aboveAverage="0" equalAverage="0" bottom="0" percent="0" rank="0" text="" dxfId="146">
      <formula>TIPOORCAMENTO="PROPOSTO"</formula>
    </cfRule>
    <cfRule type="expression" priority="136" aboveAverage="0" equalAverage="0" bottom="0" percent="0" rank="0" text="" dxfId="147">
      <formula>$C48=1</formula>
    </cfRule>
    <cfRule type="expression" priority="137" aboveAverage="0" equalAverage="0" bottom="0" percent="0" rank="0" text="" dxfId="148">
      <formula>OR(AND(ISNUMBER($C48),$C48=0),$C48=2,$C48=3,$C48=4)</formula>
    </cfRule>
  </conditionalFormatting>
  <conditionalFormatting sqref="M33:M36 M47 M38:M39">
    <cfRule type="cellIs" priority="138" operator="notEqual" aboveAverage="0" equalAverage="0" bottom="0" percent="0" rank="0" text="" dxfId="149">
      <formula>$N33</formula>
    </cfRule>
  </conditionalFormatting>
  <conditionalFormatting sqref="W33:X36 R33:R36 N33:O36 N47:O47 R47 W47:X47 N38:O39 R38:R39 W38:X39">
    <cfRule type="expression" priority="139" aboveAverage="0" equalAverage="0" bottom="0" percent="0" rank="0" text="" dxfId="150">
      <formula>$C33=1</formula>
    </cfRule>
    <cfRule type="expression" priority="140" aboveAverage="0" equalAverage="0" bottom="0" percent="0" rank="0" text="" dxfId="151">
      <formula>OR($C33=0,$C33=2,$C33=3,$C33=4)</formula>
    </cfRule>
  </conditionalFormatting>
  <conditionalFormatting sqref="U33:V36 U47:V47 U38:V39">
    <cfRule type="expression" priority="141" aboveAverage="0" equalAverage="0" bottom="0" percent="0" rank="0" text="" dxfId="152">
      <formula>$C33=1</formula>
    </cfRule>
    <cfRule type="expression" priority="142" aboveAverage="0" equalAverage="0" bottom="0" percent="0" rank="0" text="" dxfId="153">
      <formula>OR($C33=0,$C33=2,$C33=3,$C33=4)</formula>
    </cfRule>
    <cfRule type="expression" priority="143" aboveAverage="0" equalAverage="0" bottom="0" percent="0" rank="0" text="" dxfId="154">
      <formula>AND(TIPOORCAMENTO="Licitado",$C33&lt;&gt;"L",$C33&lt;&gt;-1)</formula>
    </cfRule>
  </conditionalFormatting>
  <conditionalFormatting sqref="AG33:AH36 Y33:Y36 S33:T36 P33:Q36 P47:Q47 S47:T47 Y47 AG47:AH47 P38:Q39 S38:T39 Y38:Y39 AG38:AH39">
    <cfRule type="expression" priority="144" aboveAverage="0" equalAverage="0" bottom="0" percent="0" rank="0" text="" dxfId="155">
      <formula>$C33=1</formula>
    </cfRule>
    <cfRule type="expression" priority="145" aboveAverage="0" equalAverage="0" bottom="0" percent="0" rank="0" text="" dxfId="156">
      <formula>OR($C33=0,$C33=2,$C33=3,$C33=4)</formula>
    </cfRule>
  </conditionalFormatting>
  <conditionalFormatting sqref="AJ33:AJ36 AJ47 AJ38:AJ39">
    <cfRule type="expression" priority="146" aboveAverage="0" equalAverage="0" bottom="0" percent="0" rank="0" text="" dxfId="157">
      <formula>OR(ACOMPANHAMENTO&lt;&gt;"BM",TIPOORCAMENTO="Licitado")</formula>
    </cfRule>
    <cfRule type="expression" priority="147" aboveAverage="0" equalAverage="0" bottom="0" percent="0" rank="0" text="" dxfId="158">
      <formula>$C33=1</formula>
    </cfRule>
    <cfRule type="expression" priority="148" aboveAverage="0" equalAverage="0" bottom="0" percent="0" rank="0" text="" dxfId="159">
      <formula>OR(AND(ISNUMBER($C33),$C33=0),$C33=2,$C33=3,$C33=4)</formula>
    </cfRule>
  </conditionalFormatting>
  <conditionalFormatting sqref="AL33:AL36 AL47 AL38:AL39">
    <cfRule type="expression" priority="149" aboveAverage="0" equalAverage="0" bottom="0" percent="0" rank="0" text="" dxfId="160">
      <formula>TIPOORCAMENTO="PROPOSTO"</formula>
    </cfRule>
    <cfRule type="expression" priority="150" aboveAverage="0" equalAverage="0" bottom="0" percent="0" rank="0" text="" dxfId="161">
      <formula>$C33=1</formula>
    </cfRule>
    <cfRule type="expression" priority="151" aboveAverage="0" equalAverage="0" bottom="0" percent="0" rank="0" text="" dxfId="162">
      <formula>OR(AND(ISNUMBER($C33),$C33=0),$C33=2,$C33=3,$C33=4)</formula>
    </cfRule>
  </conditionalFormatting>
  <conditionalFormatting sqref="AM33:AN36 AM47:AN47 AM38:AN39">
    <cfRule type="expression" priority="152" aboveAverage="0" equalAverage="0" bottom="0" percent="0" rank="0" text="" dxfId="163">
      <formula>TIPOORCAMENTO="PROPOSTO"</formula>
    </cfRule>
    <cfRule type="expression" priority="153" aboveAverage="0" equalAverage="0" bottom="0" percent="0" rank="0" text="" dxfId="164">
      <formula>$C33=1</formula>
    </cfRule>
    <cfRule type="expression" priority="154" aboveAverage="0" equalAverage="0" bottom="0" percent="0" rank="0" text="" dxfId="165">
      <formula>OR(AND(ISNUMBER($C33),$C33=0),$C33=2,$C33=3,$C33=4)</formula>
    </cfRule>
  </conditionalFormatting>
  <conditionalFormatting sqref="M16:M18 M31">
    <cfRule type="cellIs" priority="155" operator="notEqual" aboveAverage="0" equalAverage="0" bottom="0" percent="0" rank="0" text="" dxfId="166">
      <formula>$N16</formula>
    </cfRule>
  </conditionalFormatting>
  <conditionalFormatting sqref="N16:O18 R16:R18 W16:X18 W31:X31 R31 N31:O31">
    <cfRule type="expression" priority="156" aboveAverage="0" equalAverage="0" bottom="0" percent="0" rank="0" text="" dxfId="167">
      <formula>$C16=1</formula>
    </cfRule>
    <cfRule type="expression" priority="157" aboveAverage="0" equalAverage="0" bottom="0" percent="0" rank="0" text="" dxfId="168">
      <formula>OR($C16=0,$C16=2,$C16=3,$C16=4)</formula>
    </cfRule>
  </conditionalFormatting>
  <conditionalFormatting sqref="U16:V18 U31:V31">
    <cfRule type="expression" priority="158" aboveAverage="0" equalAverage="0" bottom="0" percent="0" rank="0" text="" dxfId="169">
      <formula>$C16=1</formula>
    </cfRule>
    <cfRule type="expression" priority="159" aboveAverage="0" equalAverage="0" bottom="0" percent="0" rank="0" text="" dxfId="170">
      <formula>OR($C16=0,$C16=2,$C16=3,$C16=4)</formula>
    </cfRule>
    <cfRule type="expression" priority="160" aboveAverage="0" equalAverage="0" bottom="0" percent="0" rank="0" text="" dxfId="171">
      <formula>AND(TIPOORCAMENTO="Licitado",$C16&lt;&gt;"L",$C16&lt;&gt;-1)</formula>
    </cfRule>
  </conditionalFormatting>
  <conditionalFormatting sqref="P16:Q18 S16:T18 Y16:Y18 AG16:AH18 AG31:AH31 Y31 S31:T31 P31:Q31">
    <cfRule type="expression" priority="161" aboveAverage="0" equalAverage="0" bottom="0" percent="0" rank="0" text="" dxfId="172">
      <formula>$C16=1</formula>
    </cfRule>
    <cfRule type="expression" priority="162" aboveAverage="0" equalAverage="0" bottom="0" percent="0" rank="0" text="" dxfId="173">
      <formula>OR($C16=0,$C16=2,$C16=3,$C16=4)</formula>
    </cfRule>
  </conditionalFormatting>
  <conditionalFormatting sqref="AJ16:AJ18 AJ31">
    <cfRule type="expression" priority="163" aboveAverage="0" equalAverage="0" bottom="0" percent="0" rank="0" text="" dxfId="174">
      <formula>OR(ACOMPANHAMENTO&lt;&gt;"BM",TIPOORCAMENTO="Licitado")</formula>
    </cfRule>
    <cfRule type="expression" priority="164" aboveAverage="0" equalAverage="0" bottom="0" percent="0" rank="0" text="" dxfId="175">
      <formula>$C16=1</formula>
    </cfRule>
    <cfRule type="expression" priority="165" aboveAverage="0" equalAverage="0" bottom="0" percent="0" rank="0" text="" dxfId="176">
      <formula>OR(AND(ISNUMBER($C16),$C16=0),$C16=2,$C16=3,$C16=4)</formula>
    </cfRule>
  </conditionalFormatting>
  <conditionalFormatting sqref="AL16:AL18 AL31">
    <cfRule type="expression" priority="166" aboveAverage="0" equalAverage="0" bottom="0" percent="0" rank="0" text="" dxfId="177">
      <formula>TIPOORCAMENTO="PROPOSTO"</formula>
    </cfRule>
    <cfRule type="expression" priority="167" aboveAverage="0" equalAverage="0" bottom="0" percent="0" rank="0" text="" dxfId="178">
      <formula>$C16=1</formula>
    </cfRule>
    <cfRule type="expression" priority="168" aboveAverage="0" equalAverage="0" bottom="0" percent="0" rank="0" text="" dxfId="179">
      <formula>OR(AND(ISNUMBER($C16),$C16=0),$C16=2,$C16=3,$C16=4)</formula>
    </cfRule>
  </conditionalFormatting>
  <conditionalFormatting sqref="AM16:AN18 AM31:AN31">
    <cfRule type="expression" priority="169" aboveAverage="0" equalAverage="0" bottom="0" percent="0" rank="0" text="" dxfId="180">
      <formula>TIPOORCAMENTO="PROPOSTO"</formula>
    </cfRule>
    <cfRule type="expression" priority="170" aboveAverage="0" equalAverage="0" bottom="0" percent="0" rank="0" text="" dxfId="181">
      <formula>$C16=1</formula>
    </cfRule>
    <cfRule type="expression" priority="171" aboveAverage="0" equalAverage="0" bottom="0" percent="0" rank="0" text="" dxfId="182">
      <formula>OR(AND(ISNUMBER($C16),$C16=0),$C16=2,$C16=3,$C16=4)</formula>
    </cfRule>
  </conditionalFormatting>
  <conditionalFormatting sqref="S9:V9">
    <cfRule type="expression" priority="172" aboveAverage="0" equalAverage="0" bottom="0" percent="0" rank="0" text="" dxfId="183">
      <formula>TIPOORCAMENTO="Proposto"</formula>
    </cfRule>
  </conditionalFormatting>
  <conditionalFormatting sqref="M14 M32 M51:M53 M58 M21:M28">
    <cfRule type="cellIs" priority="173" operator="notEqual" aboveAverage="0" equalAverage="0" bottom="0" percent="0" rank="0" text="" dxfId="184">
      <formula>$N14</formula>
    </cfRule>
  </conditionalFormatting>
  <conditionalFormatting sqref="N14:O14 R14 W14:X14 W32:X32 R32 N32:O32 N51:O53 R51:R53 W51:X53 N58:O58 R58 W58:X58 N21:O28 R21:R28 W21:X28">
    <cfRule type="expression" priority="174" aboveAverage="0" equalAverage="0" bottom="0" percent="0" rank="0" text="" dxfId="185">
      <formula>$C14=1</formula>
    </cfRule>
    <cfRule type="expression" priority="175" aboveAverage="0" equalAverage="0" bottom="0" percent="0" rank="0" text="" dxfId="186">
      <formula>OR($C14=0,$C14=2,$C14=3,$C14=4)</formula>
    </cfRule>
  </conditionalFormatting>
  <conditionalFormatting sqref="U14:V14 U32:V32 U51:V53 U58:V58 U21:V28">
    <cfRule type="expression" priority="176" aboveAverage="0" equalAverage="0" bottom="0" percent="0" rank="0" text="" dxfId="187">
      <formula>$C14=1</formula>
    </cfRule>
    <cfRule type="expression" priority="177" aboveAverage="0" equalAverage="0" bottom="0" percent="0" rank="0" text="" dxfId="188">
      <formula>OR($C14=0,$C14=2,$C14=3,$C14=4)</formula>
    </cfRule>
    <cfRule type="expression" priority="178" aboveAverage="0" equalAverage="0" bottom="0" percent="0" rank="0" text="" dxfId="189">
      <formula>AND(TIPOORCAMENTO="Licitado",$C14&lt;&gt;"L",$C14&lt;&gt;-1)</formula>
    </cfRule>
  </conditionalFormatting>
  <conditionalFormatting sqref="P14:Q14 S14:T14 Y14 AG14:AH14 AG32:AH32 Y32 S32:T32 P32:Q32 P51:Q53 S51:T53 Y51:Y53 AG51:AH53 P58:Q58 S58:T58 Y58 AG58:AH58 P21:Q28 S21:T28 Y21:Y28 AG21:AH28">
    <cfRule type="expression" priority="179" aboveAverage="0" equalAverage="0" bottom="0" percent="0" rank="0" text="" dxfId="190">
      <formula>$C14=1</formula>
    </cfRule>
    <cfRule type="expression" priority="180" aboveAverage="0" equalAverage="0" bottom="0" percent="0" rank="0" text="" dxfId="191">
      <formula>OR($C14=0,$C14=2,$C14=3,$C14=4)</formula>
    </cfRule>
  </conditionalFormatting>
  <conditionalFormatting sqref="AJ7:AJ15 AJ32 AJ51:AJ53 AJ58:AJ59 AJ21:AJ28">
    <cfRule type="expression" priority="181" aboveAverage="0" equalAverage="0" bottom="0" percent="0" rank="0" text="" dxfId="192">
      <formula>OR(ACOMPANHAMENTO&lt;&gt;"BM",TIPOORCAMENTO="Licitado")</formula>
    </cfRule>
    <cfRule type="expression" priority="182" aboveAverage="0" equalAverage="0" bottom="0" percent="0" rank="0" text="" dxfId="193">
      <formula>$C7=1</formula>
    </cfRule>
    <cfRule type="expression" priority="183" aboveAverage="0" equalAverage="0" bottom="0" percent="0" rank="0" text="" dxfId="194">
      <formula>OR(AND(ISNUMBER($C7),$C7=0),$C7=2,$C7=3,$C7=4)</formula>
    </cfRule>
  </conditionalFormatting>
  <conditionalFormatting sqref="AL7:AL15 AL32 AL51:AL53 AL58:AL59 AL21:AL28">
    <cfRule type="expression" priority="184" aboveAverage="0" equalAverage="0" bottom="0" percent="0" rank="0" text="" dxfId="195">
      <formula>TIPOORCAMENTO="PROPOSTO"</formula>
    </cfRule>
    <cfRule type="expression" priority="185" aboveAverage="0" equalAverage="0" bottom="0" percent="0" rank="0" text="" dxfId="196">
      <formula>$C7=1</formula>
    </cfRule>
    <cfRule type="expression" priority="186" aboveAverage="0" equalAverage="0" bottom="0" percent="0" rank="0" text="" dxfId="197">
      <formula>OR(AND(ISNUMBER($C7),$C7=0),$C7=2,$C7=3,$C7=4)</formula>
    </cfRule>
  </conditionalFormatting>
  <conditionalFormatting sqref="AM7:AN15 AM32:AN32 AM51:AN53 AM58:AN59 AM21:AN28">
    <cfRule type="expression" priority="187" aboveAverage="0" equalAverage="0" bottom="0" percent="0" rank="0" text="" dxfId="198">
      <formula>TIPOORCAMENTO="PROPOSTO"</formula>
    </cfRule>
    <cfRule type="expression" priority="188" aboveAverage="0" equalAverage="0" bottom="0" percent="0" rank="0" text="" dxfId="199">
      <formula>$C7=1</formula>
    </cfRule>
    <cfRule type="expression" priority="189" aboveAverage="0" equalAverage="0" bottom="0" percent="0" rank="0" text="" dxfId="200">
      <formula>OR(AND(ISNUMBER($C7),$C7=0),$C7=2,$C7=3,$C7=4)</formula>
    </cfRule>
  </conditionalFormatting>
  <conditionalFormatting sqref="O8:P8">
    <cfRule type="expression" priority="190" aboveAverage="0" equalAverage="0" bottom="0" percent="0" rank="0" text="" dxfId="201">
      <formula>ISERROR(INDIRECT($F$9))</formula>
    </cfRule>
  </conditionalFormatting>
  <conditionalFormatting sqref="S7:V8">
    <cfRule type="expression" priority="191" aboveAverage="0" equalAverage="0" bottom="0" percent="0" rank="0" text="" dxfId="202">
      <formula>TIPOORCAMENTO="Proposto"</formula>
    </cfRule>
  </conditionalFormatting>
  <dataValidations count="7">
    <dataValidation allowBlank="true" error="Apenas números decimais maiores que zero." errorStyle="stop" operator="greaterThan" showDropDown="false" showErrorMessage="true" showInputMessage="false" sqref="U14 AJ14 AL14 U16:U58 AJ16:AJ58 AL16:AL58" type="decimal">
      <formula1>0</formula1>
      <formula2>0</formula2>
    </dataValidation>
    <dataValidation allowBlank="true" errorStyle="stop" operator="between" showDropDown="false" showErrorMessage="false" showInputMessage="false" sqref="P14 P16:P58" type="list">
      <formula1>"SINAPI,SINAPI-I,SICRO,Composição,Cotação"</formula1>
      <formula2>0</formula2>
    </dataValidation>
    <dataValidation allowBlank="true" error="Selecione um dos 3 BDI da lista.&#10;&#10;Caso tenha mais de 3 BDI nesta Planilha Orçamentária digite apenas valor percentual." errorStyle="warning" errorTitle="Aviso BDI" operator="between" prompt="RA: Rateio proporcional entre Repasse e Contrapartida.&#10;RP: 100% Repasse&#10;CP: 100% Contrapartida&#10;OU: 100% Outros." promptTitle="Legenda:" showDropDown="false" showErrorMessage="true" showInputMessage="true" sqref="Y14 Y16:Y58" type="list">
      <formula1>"RA,RP,CP,OU"</formula1>
      <formula2>0</formula2>
    </dataValidation>
    <dataValidation allowBlank="true" error="Selecione um dos 3 BDI da lista.&#10;&#10;Caso tenha mais de 3 BDI nesta Planilha Orçamentária digite apenas valor percentual." errorStyle="warning" errorTitle="Aviso BDI" operator="between" showDropDown="false" showErrorMessage="true" showInputMessage="false" sqref="V14 V16:V58" type="list">
      <mc:AlternateContent xmlns:x12ac="http://schemas.microsoft.com/office/spreadsheetml/2011/1/ac" xmlns:mc="http://schemas.openxmlformats.org/markup-compatibility/2006">
        <mc:Choice Requires="x12ac">
          <x12ac:list>BDI 1,BDI 2,BDI 3,"0,00%"</x12ac:list>
        </mc:Choice>
        <mc:Fallback>
          <formula1>"BDI 1,BDI 2,BDI 3,0,00%"</formula1>
        </mc:Fallback>
      </mc:AlternateContent>
      <formula2>0</formula2>
    </dataValidation>
    <dataValidation allowBlank="false" error="Selecione somente os itens da lista." errorStyle="stop" errorTitle="Erro de Entrada" operator="between" prompt="Selecione na lista o nível de itemização da Planilha." promptTitle="Nível:" showDropDown="false" showErrorMessage="true" showInputMessage="false" sqref="M14 M16:M58" type="list">
      <formula1>"Meta,Nível 2,Nível 3,Nível 4,Serviço"</formula1>
      <formula2>0</formula2>
    </dataValidation>
    <dataValidation allowBlank="true" errorStyle="stop" operator="between" prompt="A entrada de quantidades é feita na coluna AJ se acompanhamento por BM, ou na aba &quot;Memória de Cálculo/PLQ&quot; se acompanhamento por PLE." showDropDown="false" showErrorMessage="true" showInputMessage="true" sqref="T14 T16:T58" type="none">
      <formula1>0</formula1>
      <formula2>0</formula2>
    </dataValidation>
    <dataValidation allowBlank="true" errorStyle="stop" operator="between" prompt="Para Orçamento Proposto, o Preço Unitário é resultado do produto do Custo Unitário pelo BDI.&#10;Para Orçamento Licitado, deve ser preenchido na Coluna AL." showDropDown="false" showErrorMessage="true" showInputMessage="true" sqref="W14 W16:W58" type="none">
      <formula1>0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&amp;C&amp;14I</oddHeader>
    <oddFooter>&amp;LPMv3.0.6&amp;R&amp;P / &amp;N</oddFooter>
  </headerFooter>
  <colBreaks count="1" manualBreakCount="1">
    <brk id="25" man="true" max="65535" min="0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01" r:id="rId4" name="">
              <controlPr defaultSize="0" locked="1" autoFill="0" autoLine="0" autoPict="0" print="false" altText="CaixaArredQuant">
                <anchor moveWithCells="true" sizeWithCells="false">
                  <from>
                    <xdr:col>9</xdr:col>
                    <xdr:colOff>276120</xdr:colOff>
                    <xdr:row>6</xdr:row>
                    <xdr:rowOff>123840</xdr:rowOff>
                  </from>
                  <to>
                    <xdr:col>10</xdr:col>
                    <xdr:colOff>-624960</xdr:colOff>
                    <xdr:row>7</xdr:row>
                    <xdr:rowOff>200160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" r:id="rId5" name="">
              <controlPr defaultSize="0" locked="1" autoFill="0" autoLine="0" autoPict="0" print="false" altText="CaixaArredCustoUnit">
                <anchor moveWithCells="true" sizeWithCells="false">
                  <from>
                    <xdr:col>20</xdr:col>
                    <xdr:colOff>447480</xdr:colOff>
                    <xdr:row>9</xdr:row>
                    <xdr:rowOff>132120</xdr:rowOff>
                  </from>
                  <to>
                    <xdr:col>21</xdr:col>
                    <xdr:colOff>-160920</xdr:colOff>
                    <xdr:row>11</xdr:row>
                    <xdr:rowOff>46440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" r:id="rId6" name="">
              <controlPr defaultSize="0" locked="1" autoFill="0" autoLine="0" autoPict="0" print="false" altText="CaixaArredBDI">
                <anchor moveWithCells="true" sizeWithCells="false">
                  <from>
                    <xdr:col>21</xdr:col>
                    <xdr:colOff>285840</xdr:colOff>
                    <xdr:row>9</xdr:row>
                    <xdr:rowOff>132120</xdr:rowOff>
                  </from>
                  <to>
                    <xdr:col>22</xdr:col>
                    <xdr:colOff>-50400</xdr:colOff>
                    <xdr:row>11</xdr:row>
                    <xdr:rowOff>46440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4" r:id="rId7" name="">
              <controlPr defaultSize="0" locked="1" autoFill="0" autoLine="0" autoPict="0" print="false" altText="CaixaArredPrecoUnit">
                <anchor moveWithCells="true" sizeWithCells="false">
                  <from>
                    <xdr:col>22</xdr:col>
                    <xdr:colOff>361800</xdr:colOff>
                    <xdr:row>9</xdr:row>
                    <xdr:rowOff>132120</xdr:rowOff>
                  </from>
                  <to>
                    <xdr:col>23</xdr:col>
                    <xdr:colOff>-246600</xdr:colOff>
                    <xdr:row>11</xdr:row>
                    <xdr:rowOff>46440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5" r:id="rId8" name="">
              <controlPr defaultSize="0" locked="1" autoFill="0" autoLine="0" autoPict="0" print="false" altText="CaixaArredPrecoTotal">
                <anchor moveWithCells="true" sizeWithCells="false">
                  <from>
                    <xdr:col>23</xdr:col>
                    <xdr:colOff>447480</xdr:colOff>
                    <xdr:row>9</xdr:row>
                    <xdr:rowOff>113040</xdr:rowOff>
                  </from>
                  <to>
                    <xdr:col>24</xdr:col>
                    <xdr:colOff>-231480</xdr:colOff>
                    <xdr:row>11</xdr:row>
                    <xdr:rowOff>36720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true">
    <pageSetUpPr fitToPage="false"/>
  </sheetPr>
  <dimension ref="A1:BG61472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90" workbookViewId="0">
      <pane xSplit="8" ySplit="15" topLeftCell="I34" activePane="bottomRight" state="frozen"/>
      <selection pane="topLeft" activeCell="A1" activeCellId="0" sqref="A1"/>
      <selection pane="topRight" activeCell="I1" activeCellId="0" sqref="I1"/>
      <selection pane="bottomLeft" activeCell="A34" activeCellId="0" sqref="A34"/>
      <selection pane="bottomRight" activeCell="I40" activeCellId="0" sqref="I40"/>
    </sheetView>
  </sheetViews>
  <sheetFormatPr defaultColWidth="8.6796875" defaultRowHeight="12.8" customHeight="true" zeroHeight="true" outlineLevelRow="0" outlineLevelCol="0"/>
  <cols>
    <col collapsed="false" customWidth="true" hidden="true" outlineLevel="0" max="2" min="1" style="34" width="11.53"/>
    <col collapsed="false" customWidth="true" hidden="false" outlineLevel="0" max="3" min="3" style="34" width="3.71"/>
    <col collapsed="false" customWidth="true" hidden="false" outlineLevel="0" max="5" min="5" style="0" width="12.71"/>
    <col collapsed="false" customWidth="true" hidden="false" outlineLevel="0" max="6" min="6" style="0" width="65.71"/>
    <col collapsed="false" customWidth="true" hidden="false" outlineLevel="0" max="7" min="7" style="0" width="10.71"/>
    <col collapsed="false" customWidth="true" hidden="false" outlineLevel="0" max="8" min="8" style="0" width="14.71"/>
    <col collapsed="false" customWidth="true" hidden="false" outlineLevel="0" max="9" min="9" style="0" width="29.71"/>
    <col collapsed="false" customWidth="true" hidden="false" outlineLevel="0" max="10" min="10" style="0" width="1.71"/>
    <col collapsed="false" customWidth="true" hidden="false" outlineLevel="0" max="11" min="11" style="0" width="4.71"/>
    <col collapsed="false" customWidth="true" hidden="false" outlineLevel="0" max="12" min="12" style="0" width="0.86"/>
    <col collapsed="false" customWidth="true" hidden="true" outlineLevel="0" max="13" min="13" style="34" width="9.14"/>
    <col collapsed="false" customWidth="true" hidden="false" outlineLevel="0" max="14" min="14" style="0" width="31.71"/>
    <col collapsed="false" customWidth="true" hidden="true" outlineLevel="0" max="15" min="15" style="0" width="11.53"/>
    <col collapsed="false" customWidth="true" hidden="false" outlineLevel="0" max="16" min="16" style="0" width="1.71"/>
    <col collapsed="false" customWidth="true" hidden="false" outlineLevel="0" max="26" min="17" style="0" width="11.71"/>
    <col collapsed="false" customWidth="true" hidden="false" outlineLevel="0" max="27" min="27" style="0" width="0.14"/>
    <col collapsed="false" customWidth="true" hidden="false" outlineLevel="0" max="59" min="28" style="0" width="9.14"/>
    <col collapsed="false" customWidth="true" hidden="false" outlineLevel="0" max="60" min="60" style="0" width="1.71"/>
  </cols>
  <sheetData>
    <row r="1" customFormat="false" ht="15.75" hidden="false" customHeight="true" outlineLevel="0" collapsed="false">
      <c r="F1" s="245" t="str">
        <f aca="false">IF(ACOMPANHAMENTO="BM","MEMÓRIA DE CÁLCULO","PLQ - PLANILHA DE LEVANTAMENTO DE QUANTIDADES")</f>
        <v>PLQ - PLANILHA DE LEVANTAMENTO DE QUANTIDADES</v>
      </c>
      <c r="G1" s="245"/>
      <c r="H1" s="245"/>
      <c r="I1" s="246"/>
      <c r="K1" s="246"/>
      <c r="L1" s="246"/>
      <c r="M1" s="247"/>
      <c r="N1" s="246"/>
      <c r="P1" s="246"/>
      <c r="Q1" s="86" t="s">
        <v>188</v>
      </c>
      <c r="R1" s="86"/>
      <c r="Y1" s="86" t="s">
        <v>188</v>
      </c>
      <c r="Z1" s="86"/>
    </row>
    <row r="2" customFormat="false" ht="15" hidden="false" customHeight="true" outlineLevel="0" collapsed="false">
      <c r="F2" s="248" t="str">
        <f aca="false">IF(ACOMPANHAMENTO="BM","","Memória de Cálculo")&amp;" - "&amp;import.recurso</f>
        <v>Memória de Cálculo - OGU</v>
      </c>
      <c r="G2" s="248"/>
      <c r="H2" s="248"/>
      <c r="I2" s="249"/>
      <c r="K2" s="249"/>
      <c r="L2" s="249"/>
      <c r="M2" s="250"/>
      <c r="N2" s="249"/>
      <c r="P2" s="249"/>
      <c r="Q2" s="40" t="s">
        <v>191</v>
      </c>
      <c r="R2" s="40"/>
      <c r="Y2" s="40" t="s">
        <v>191</v>
      </c>
      <c r="Z2" s="40"/>
    </row>
    <row r="3" customFormat="false" ht="12.75" hidden="false" customHeight="true" outlineLevel="0" collapsed="false">
      <c r="AB3" s="0" t="e">
        <f aca="false">ROUND(ROUND(OFFSET(#REF!,0,AB$13),15-13*ORÇAMENTO!$AF$7)*OFFSET(ORÇAMENTO!$W$15,ROW(#REF!)-ROW(AB$15),0),15-13*ORÇAMENTO!$AF$11)</f>
        <v>#VALUE!</v>
      </c>
      <c r="AC3" s="0" t="e">
        <f aca="false">ROUND(ROUND(OFFSET(#REF!,0,AC$13),15-13*ORÇAMENTO!$AF$7)*OFFSET(ORÇAMENTO!$W$15,ROW(#REF!)-ROW(AC$15),0),15-13*ORÇAMENTO!$AF$11)</f>
        <v>#VALUE!</v>
      </c>
      <c r="AD3" s="0" t="e">
        <f aca="false">ROUND(ROUND(OFFSET(#REF!,0,AD$13),15-13*ORÇAMENTO!$AF$7)*OFFSET(ORÇAMENTO!$W$15,ROW(#REF!)-ROW(AD$15),0),15-13*ORÇAMENTO!$AF$11)</f>
        <v>#VALUE!</v>
      </c>
      <c r="AE3" s="251" t="e">
        <f aca="false">SUM(AB3:AD3)-SUM(#REF!)</f>
        <v>#VALUE!</v>
      </c>
    </row>
    <row r="4" customFormat="false" ht="12.75" hidden="false" customHeight="true" outlineLevel="0" collapsed="false">
      <c r="E4" s="89" t="s">
        <v>254</v>
      </c>
      <c r="F4" s="89"/>
      <c r="G4" s="89" t="s">
        <v>253</v>
      </c>
      <c r="H4" s="89"/>
      <c r="I4" s="148" t="s">
        <v>194</v>
      </c>
      <c r="K4" s="252" t="s">
        <v>196</v>
      </c>
      <c r="L4" s="253"/>
      <c r="M4" s="253"/>
      <c r="N4" s="253"/>
      <c r="O4" s="253"/>
      <c r="P4" s="253"/>
      <c r="Q4" s="253"/>
      <c r="R4" s="254"/>
      <c r="S4" s="89" t="s">
        <v>194</v>
      </c>
      <c r="T4" s="89"/>
      <c r="U4" s="89" t="s">
        <v>196</v>
      </c>
      <c r="V4" s="89"/>
      <c r="W4" s="89"/>
      <c r="X4" s="89"/>
      <c r="Y4" s="89"/>
      <c r="Z4" s="89"/>
    </row>
    <row r="5" customFormat="false" ht="12.75" hidden="false" customHeight="true" outlineLevel="0" collapsed="false">
      <c r="E5" s="90" t="str">
        <f aca="false">Import.Apelido</f>
        <v>Pavimentação MG-446</v>
      </c>
      <c r="F5" s="90"/>
      <c r="G5" s="90" t="n">
        <f aca="false">Import.TransfereGOV</f>
        <v>0</v>
      </c>
      <c r="H5" s="90"/>
      <c r="I5" s="149" t="n">
        <f aca="false">Import.CR</f>
        <v>0</v>
      </c>
      <c r="K5" s="255" t="n">
        <f aca="false">Import.Proponente</f>
        <v>0</v>
      </c>
      <c r="L5" s="256"/>
      <c r="M5" s="167"/>
      <c r="N5" s="256"/>
      <c r="O5" s="256"/>
      <c r="P5" s="256"/>
      <c r="Q5" s="256"/>
      <c r="R5" s="150"/>
      <c r="S5" s="90" t="n">
        <f aca="false">Import.CR</f>
        <v>0</v>
      </c>
      <c r="T5" s="90"/>
      <c r="U5" s="90" t="n">
        <f aca="false">Import.Proponente</f>
        <v>0</v>
      </c>
      <c r="V5" s="90"/>
      <c r="W5" s="90"/>
      <c r="X5" s="90"/>
      <c r="Y5" s="90"/>
      <c r="Z5" s="90"/>
    </row>
    <row r="6" customFormat="false" ht="12.75" hidden="false" customHeight="true" outlineLevel="0" collapsed="false">
      <c r="T6" s="251" t="e">
        <f aca="false">AE3</f>
        <v>#VALUE!</v>
      </c>
      <c r="AB6" s="0" t="s">
        <v>343</v>
      </c>
      <c r="AM6" s="0" t="s">
        <v>344</v>
      </c>
      <c r="AX6" s="0" t="s">
        <v>345</v>
      </c>
    </row>
    <row r="7" customFormat="false" ht="12.75" hidden="true" customHeight="true" outlineLevel="0" collapsed="false"/>
    <row r="8" customFormat="false" ht="12.75" hidden="true" customHeight="true" outlineLevel="0" collapsed="false"/>
    <row r="9" customFormat="false" ht="12.75" hidden="true" customHeight="true" outlineLevel="0" collapsed="false"/>
    <row r="10" customFormat="false" ht="12.75" hidden="true" customHeight="true" outlineLevel="0" collapsed="false"/>
    <row r="11" customFormat="false" ht="12.75" hidden="true" customHeight="true" outlineLevel="0" collapsed="false"/>
    <row r="12" customFormat="false" ht="69.75" hidden="false" customHeight="true" outlineLevel="0" collapsed="false">
      <c r="A12" s="257" t="str">
        <f aca="true">IF(OFFSET(EVENTOS!$C$5,1,0)="Automática, conforme os agrupadores Nível 4 do Orçamento",4,IF(OFFSET(EVENTOS!$C$5,1,0)="Automática, conforme os agrupadores Nível 3 do Orçamento",3,IF(OFFSET(EVENTOS!$C$5,1,0)="Definir Manualmente","Manual",2)))</f>
        <v>Manual</v>
      </c>
      <c r="B12" s="34" t="s">
        <v>346</v>
      </c>
      <c r="H12" s="258"/>
      <c r="I12" s="259"/>
      <c r="J12" s="7" t="s">
        <v>347</v>
      </c>
      <c r="K12" s="260" t="s">
        <v>348</v>
      </c>
      <c r="L12" s="7" t="s">
        <v>347</v>
      </c>
      <c r="M12" s="261" t="n">
        <f aca="false">IF(ACOMPANHAMENTO="BM",0,COUNTIF(M15:M59,0))</f>
        <v>1</v>
      </c>
      <c r="N12" s="259" t="s">
        <v>349</v>
      </c>
      <c r="O12" s="262"/>
      <c r="P12" s="7" t="s">
        <v>347</v>
      </c>
      <c r="Q12" s="263" t="s">
        <v>350</v>
      </c>
      <c r="R12" s="262"/>
      <c r="S12" s="262"/>
      <c r="T12" s="262"/>
      <c r="U12" s="262"/>
      <c r="V12" s="262"/>
      <c r="W12" s="262"/>
      <c r="X12" s="262"/>
      <c r="Y12" s="262"/>
      <c r="Z12" s="264"/>
      <c r="AA12" s="7" t="s">
        <v>347</v>
      </c>
      <c r="AB12" s="265" t="str">
        <f aca="true">OFFSET($P$12,0,AB$13)</f>
        <v>Estaca 70 -95</v>
      </c>
      <c r="AC12" s="266" t="n">
        <f aca="true">OFFSET($P$12,0,AC$13)</f>
        <v>0</v>
      </c>
      <c r="AD12" s="266" t="n">
        <f aca="true">OFFSET($P$12,0,AD$13)</f>
        <v>0</v>
      </c>
      <c r="AE12" s="266" t="n">
        <f aca="true">OFFSET($P$12,0,AE$13)</f>
        <v>0</v>
      </c>
      <c r="AF12" s="266" t="n">
        <f aca="true">OFFSET($P$12,0,AF$13)</f>
        <v>0</v>
      </c>
      <c r="AG12" s="266" t="n">
        <f aca="true">OFFSET($P$12,0,AG$13)</f>
        <v>0</v>
      </c>
      <c r="AH12" s="266" t="n">
        <f aca="true">OFFSET($P$12,0,AH$13)</f>
        <v>0</v>
      </c>
      <c r="AI12" s="266" t="n">
        <f aca="true">OFFSET($P$12,0,AI$13)</f>
        <v>0</v>
      </c>
      <c r="AJ12" s="266" t="n">
        <f aca="true">OFFSET($P$12,0,AJ$13)</f>
        <v>0</v>
      </c>
      <c r="AK12" s="267" t="n">
        <f aca="true">OFFSET($P$12,0,AK$13)</f>
        <v>0</v>
      </c>
      <c r="AM12" s="265" t="str">
        <f aca="true">OFFSET($P$12,0,AM$13)</f>
        <v>Estaca 70 -95</v>
      </c>
      <c r="AN12" s="266" t="n">
        <f aca="true">OFFSET($P$12,0,AN$13)</f>
        <v>0</v>
      </c>
      <c r="AO12" s="266" t="n">
        <f aca="true">OFFSET($P$12,0,AO$13)</f>
        <v>0</v>
      </c>
      <c r="AP12" s="266" t="n">
        <f aca="true">OFFSET($P$12,0,AP$13)</f>
        <v>0</v>
      </c>
      <c r="AQ12" s="266" t="n">
        <f aca="true">OFFSET($P$12,0,AQ$13)</f>
        <v>0</v>
      </c>
      <c r="AR12" s="266" t="n">
        <f aca="true">OFFSET($P$12,0,AR$13)</f>
        <v>0</v>
      </c>
      <c r="AS12" s="266" t="n">
        <f aca="true">OFFSET($P$12,0,AS$13)</f>
        <v>0</v>
      </c>
      <c r="AT12" s="266" t="n">
        <f aca="true">OFFSET($P$12,0,AT$13)</f>
        <v>0</v>
      </c>
      <c r="AU12" s="266" t="n">
        <f aca="true">OFFSET($P$12,0,AU$13)</f>
        <v>0</v>
      </c>
      <c r="AV12" s="267" t="n">
        <f aca="true">OFFSET($P$12,0,AV$13)</f>
        <v>0</v>
      </c>
      <c r="AX12" s="265" t="str">
        <f aca="true">OFFSET($P$12,0,AX$13)</f>
        <v>Estaca 70 -95</v>
      </c>
      <c r="AY12" s="266" t="n">
        <f aca="true">OFFSET($P$12,0,AY$13)</f>
        <v>0</v>
      </c>
      <c r="AZ12" s="266" t="n">
        <f aca="true">OFFSET($P$12,0,AZ$13)</f>
        <v>0</v>
      </c>
      <c r="BA12" s="266" t="n">
        <f aca="true">OFFSET($P$12,0,BA$13)</f>
        <v>0</v>
      </c>
      <c r="BB12" s="266" t="n">
        <f aca="true">OFFSET($P$12,0,BB$13)</f>
        <v>0</v>
      </c>
      <c r="BC12" s="266" t="n">
        <f aca="true">OFFSET($P$12,0,BC$13)</f>
        <v>0</v>
      </c>
      <c r="BD12" s="266" t="n">
        <f aca="true">OFFSET($P$12,0,BD$13)</f>
        <v>0</v>
      </c>
      <c r="BE12" s="266" t="n">
        <f aca="true">OFFSET($P$12,0,BE$13)</f>
        <v>0</v>
      </c>
      <c r="BF12" s="266" t="n">
        <f aca="true">OFFSET($P$12,0,BF$13)</f>
        <v>0</v>
      </c>
      <c r="BG12" s="267" t="n">
        <f aca="true">OFFSET($P$12,0,BG$13)</f>
        <v>0</v>
      </c>
    </row>
    <row r="13" customFormat="false" ht="12.75" hidden="false" customHeight="true" outlineLevel="0" collapsed="false">
      <c r="A13" s="144" t="s">
        <v>351</v>
      </c>
      <c r="B13" s="34" t="s">
        <v>346</v>
      </c>
      <c r="D13" s="175" t="s">
        <v>279</v>
      </c>
      <c r="E13" s="175" t="s">
        <v>281</v>
      </c>
      <c r="F13" s="175" t="s">
        <v>284</v>
      </c>
      <c r="G13" s="177" t="s">
        <v>285</v>
      </c>
      <c r="H13" s="175" t="s">
        <v>258</v>
      </c>
      <c r="I13" s="175" t="s">
        <v>352</v>
      </c>
      <c r="K13" s="175" t="s">
        <v>353</v>
      </c>
      <c r="L13" s="7"/>
      <c r="M13" s="175" t="s">
        <v>354</v>
      </c>
      <c r="N13" s="175" t="s">
        <v>355</v>
      </c>
      <c r="O13" s="268" t="e">
        <f aca="true">OFFSET(O13,0,-1)+1</f>
        <v>#VALUE!</v>
      </c>
      <c r="Q13" s="181" t="n">
        <f aca="true">OFFSET(Q13,0,-1)+1</f>
        <v>1</v>
      </c>
      <c r="R13" s="268" t="n">
        <f aca="true">OFFSET(R13,0,-1)+1</f>
        <v>2</v>
      </c>
      <c r="S13" s="268" t="n">
        <f aca="true">OFFSET(S13,0,-1)+1</f>
        <v>3</v>
      </c>
      <c r="T13" s="268" t="n">
        <f aca="true">OFFSET(T13,0,-1)+1</f>
        <v>4</v>
      </c>
      <c r="U13" s="268" t="n">
        <f aca="true">OFFSET(U13,0,-1)+1</f>
        <v>5</v>
      </c>
      <c r="V13" s="268" t="n">
        <f aca="true">OFFSET(V13,0,-1)+1</f>
        <v>6</v>
      </c>
      <c r="W13" s="268" t="n">
        <f aca="true">OFFSET(W13,0,-1)+1</f>
        <v>7</v>
      </c>
      <c r="X13" s="268" t="n">
        <f aca="true">OFFSET(X13,0,-1)+1</f>
        <v>8</v>
      </c>
      <c r="Y13" s="268" t="n">
        <f aca="true">OFFSET(Y13,0,-1)+1</f>
        <v>9</v>
      </c>
      <c r="Z13" s="184" t="n">
        <f aca="true">OFFSET(Z13,0,-1)+1</f>
        <v>10</v>
      </c>
      <c r="AB13" s="269" t="n">
        <f aca="true">OFFSET(AB13,0,-1)+1</f>
        <v>1</v>
      </c>
      <c r="AC13" s="270" t="n">
        <f aca="true">OFFSET(AC13,0,-1)+1</f>
        <v>2</v>
      </c>
      <c r="AD13" s="270" t="n">
        <f aca="true">OFFSET(AD13,0,-1)+1</f>
        <v>3</v>
      </c>
      <c r="AE13" s="270" t="n">
        <f aca="true">OFFSET(AE13,0,-1)+1</f>
        <v>4</v>
      </c>
      <c r="AF13" s="270" t="n">
        <f aca="true">OFFSET(AF13,0,-1)+1</f>
        <v>5</v>
      </c>
      <c r="AG13" s="270" t="n">
        <f aca="true">OFFSET(AG13,0,-1)+1</f>
        <v>6</v>
      </c>
      <c r="AH13" s="270" t="n">
        <f aca="true">OFFSET(AH13,0,-1)+1</f>
        <v>7</v>
      </c>
      <c r="AI13" s="270" t="n">
        <f aca="true">OFFSET(AI13,0,-1)+1</f>
        <v>8</v>
      </c>
      <c r="AJ13" s="270" t="n">
        <f aca="true">OFFSET(AJ13,0,-1)+1</f>
        <v>9</v>
      </c>
      <c r="AK13" s="271" t="n">
        <f aca="true">OFFSET(AK13,0,-1)+1</f>
        <v>10</v>
      </c>
      <c r="AM13" s="269" t="n">
        <f aca="true">OFFSET(AM13,0,-1)+1</f>
        <v>1</v>
      </c>
      <c r="AN13" s="270" t="n">
        <f aca="true">OFFSET(AN13,0,-1)+1</f>
        <v>2</v>
      </c>
      <c r="AO13" s="270" t="n">
        <f aca="true">OFFSET(AO13,0,-1)+1</f>
        <v>3</v>
      </c>
      <c r="AP13" s="270" t="n">
        <f aca="true">OFFSET(AP13,0,-1)+1</f>
        <v>4</v>
      </c>
      <c r="AQ13" s="270" t="n">
        <f aca="true">OFFSET(AQ13,0,-1)+1</f>
        <v>5</v>
      </c>
      <c r="AR13" s="270" t="n">
        <f aca="true">OFFSET(AR13,0,-1)+1</f>
        <v>6</v>
      </c>
      <c r="AS13" s="270" t="n">
        <f aca="true">OFFSET(AS13,0,-1)+1</f>
        <v>7</v>
      </c>
      <c r="AT13" s="270" t="n">
        <f aca="true">OFFSET(AT13,0,-1)+1</f>
        <v>8</v>
      </c>
      <c r="AU13" s="270" t="n">
        <f aca="true">OFFSET(AU13,0,-1)+1</f>
        <v>9</v>
      </c>
      <c r="AV13" s="271" t="n">
        <f aca="true">OFFSET(AV13,0,-1)+1</f>
        <v>10</v>
      </c>
      <c r="AX13" s="269" t="n">
        <f aca="true">OFFSET(AX13,0,-1)+1</f>
        <v>1</v>
      </c>
      <c r="AY13" s="270" t="n">
        <f aca="true">OFFSET(AY13,0,-1)+1</f>
        <v>2</v>
      </c>
      <c r="AZ13" s="270" t="n">
        <f aca="true">OFFSET(AZ13,0,-1)+1</f>
        <v>3</v>
      </c>
      <c r="BA13" s="270" t="n">
        <f aca="true">OFFSET(BA13,0,-1)+1</f>
        <v>4</v>
      </c>
      <c r="BB13" s="270" t="n">
        <f aca="true">OFFSET(BB13,0,-1)+1</f>
        <v>5</v>
      </c>
      <c r="BC13" s="270" t="n">
        <f aca="true">OFFSET(BC13,0,-1)+1</f>
        <v>6</v>
      </c>
      <c r="BD13" s="270" t="n">
        <f aca="true">OFFSET(BD13,0,-1)+1</f>
        <v>7</v>
      </c>
      <c r="BE13" s="270" t="n">
        <f aca="true">OFFSET(BE13,0,-1)+1</f>
        <v>8</v>
      </c>
      <c r="BF13" s="270" t="n">
        <f aca="true">OFFSET(BF13,0,-1)+1</f>
        <v>9</v>
      </c>
      <c r="BG13" s="271" t="n">
        <f aca="true">OFFSET(BG13,0,-1)+1</f>
        <v>10</v>
      </c>
    </row>
    <row r="14" customFormat="false" ht="12.75" hidden="true" customHeight="false" outlineLevel="0" collapsed="false">
      <c r="A14" s="34" t="n">
        <f aca="true">IF(AUTOEVENTO="Manual",IF(K14&lt;&gt;"",MIN(VALUE(LEFT(K14,FIND(".",K14)-1)),COUNTA(EVENTOS.Lista)),0),IF(OR($B14&gt;AUTOEVENTO,$B14="S",$B14=0),SUBSTITUTE(OFFSET($A14,-1,0),IF($D14="Serviço",".",""),""),ROW(A14)-ROW($A$15)&amp;"."))</f>
        <v>0</v>
      </c>
      <c r="B14" s="34" t="str">
        <f aca="true">OFFSET(ORÇAMENTO!C$15,ROW(B14)-ROW(B$15),0)</f>
        <v>S</v>
      </c>
      <c r="C14" s="34" t="str">
        <f aca="true">OFFSET(ORÇAMENTO!L$15,ROW(C14)-ROW(C$15),0)</f>
        <v/>
      </c>
      <c r="D14" s="187" t="str">
        <f aca="true">OFFSET(ORÇAMENTO!N$15,ROW(D14)-ROW(D$15),0)</f>
        <v>Serviço</v>
      </c>
      <c r="E14" s="188" t="str">
        <f aca="true">OFFSET(ORÇAMENTO!O$15,ROW(E14)-ROW(E$15),0)</f>
        <v>-</v>
      </c>
      <c r="F14" s="272" t="str">
        <f aca="true">OFFSET(ORÇAMENTO!R$15,ROW(F14)-ROW(F$15),0)</f>
        <v>(abra o arquivo 'Referência 02-Thursday.xlsm)</v>
      </c>
      <c r="G14" s="273" t="str">
        <f aca="true">IF($D14&lt;&gt;"Serviço","",OFFSET(ORÇAMENTO!S$15,ROW(G14)-ROW(G$15),0))</f>
        <v>-</v>
      </c>
      <c r="H14" s="193" t="n">
        <f aca="true">IF($D14&lt;&gt;"Serviço",0,IF(ACOMPANHAMENTO="BM",ROUND(OFFSET(ORÇAMENTO!AJ$15,ROW(H14)-ROW(H$15),0),15-13*ORÇAMENTO!$AF$7),SUMPRODUCT(($Q$12:$AA$12&lt;&gt;"")*ROUND($Q14:$AA14,15-13*ORÇAMENTO!$AF$7))))</f>
        <v>0</v>
      </c>
      <c r="I14" s="274"/>
      <c r="K14" s="275"/>
      <c r="L14" s="276" t="s">
        <v>347</v>
      </c>
      <c r="M14" s="277" t="n">
        <f aca="true">IF($D14&lt;&gt;"Serviço","",IF(AUTOEVENTO="manual",$A14,IF(ISERROR(MATCH($A14,$A$15:OFFSET($A14,-1,0),0)),MAX($M$15:OFFSET(M14,-1,0))+1,INDEX($M$15:OFFSET(M14,-1,0),MATCH($A14,$A$15:OFFSET($A14,-1,0),0)))))</f>
        <v>0</v>
      </c>
      <c r="N14" s="278" t="str">
        <f aca="true">IF($D14&lt;&gt;"Serviço","",IF(AUTOEVENTO="Manual",IF($A14=0,"&lt;-- defina o número do agrupador",OFFSET(EVENTOS!$D$14,$A14,0)),OFFSET($F$15,$A14,0)))</f>
        <v>&lt;-- defina o número do agrupador</v>
      </c>
      <c r="O14" s="279"/>
      <c r="Q14" s="279"/>
      <c r="R14" s="280"/>
      <c r="S14" s="280"/>
      <c r="T14" s="280"/>
      <c r="U14" s="280"/>
      <c r="V14" s="280"/>
      <c r="W14" s="280"/>
      <c r="X14" s="280"/>
      <c r="Y14" s="280"/>
      <c r="Z14" s="281"/>
      <c r="AB14" s="282" t="n">
        <f aca="true">IF(AND($D14="Serviço",AB$12&lt;&gt;0,$H14&gt;0,OR(AUTOEVENTO&lt;&gt;"manual",$M14&lt;&gt;1)),
IF(Import.TipoArredondamento&lt;&gt;"TransfereGOV",
ROUND(OFFSET($P14,0,AB$13),15-13*ORÇAMENTO!$AF$7)/$H14*OFFSET(ORÇAMENTO!$X$15,ROW(AB14)-ROW(AB$15),0),
ROUND(ROUND(OFFSET($P14,0,AB$13),15-13*ORÇAMENTO!$AF$7)*OFFSET(ORÇAMENTO!$W$15,ROW(AB14)-ROW(AB$15),0),15-13*ORÇAMENTO!$AF$11)),0)</f>
        <v>0</v>
      </c>
      <c r="AC14" s="283" t="n">
        <f aca="true">IF(AND($D14="Serviço",AC$12&lt;&gt;0,$H14&gt;0,OR(AUTOEVENTO&lt;&gt;"manual",$M14&lt;&gt;1)),
IF(Import.TipoArredondamento&lt;&gt;"TransfereGOV",
ROUND(OFFSET($P14,0,AC$13),15-13*ORÇAMENTO!$AF$7)/$H14*OFFSET(ORÇAMENTO!$X$15,ROW(AC14)-ROW(AC$15),0),
ROUND(ROUND(OFFSET($P14,0,AC$13),15-13*ORÇAMENTO!$AF$7)*OFFSET(ORÇAMENTO!$W$15,ROW(AC14)-ROW(AC$15),0),15-13*ORÇAMENTO!$AF$11)),0)</f>
        <v>0</v>
      </c>
      <c r="AD14" s="283" t="n">
        <f aca="true">IF(AND($D14="Serviço",AD$12&lt;&gt;0,$H14&gt;0,OR(AUTOEVENTO&lt;&gt;"manual",$M14&lt;&gt;1)),
IF(Import.TipoArredondamento&lt;&gt;"TransfereGOV",
ROUND(OFFSET($P14,0,AD$13),15-13*ORÇAMENTO!$AF$7)/$H14*OFFSET(ORÇAMENTO!$X$15,ROW(AD14)-ROW(AD$15),0),
ROUND(ROUND(OFFSET($P14,0,AD$13),15-13*ORÇAMENTO!$AF$7)*OFFSET(ORÇAMENTO!$W$15,ROW(AD14)-ROW(AD$15),0),15-13*ORÇAMENTO!$AF$11)),0)</f>
        <v>0</v>
      </c>
      <c r="AE14" s="283" t="n">
        <f aca="true">IF(AND($D14="Serviço",AE$12&lt;&gt;0,$H14&gt;0,OR(AUTOEVENTO&lt;&gt;"manual",$M14&lt;&gt;1)),
IF(Import.TipoArredondamento&lt;&gt;"TransfereGOV",
ROUND(OFFSET($P14,0,AE$13),15-13*ORÇAMENTO!$AF$7)/$H14*OFFSET(ORÇAMENTO!$X$15,ROW(AE14)-ROW(AE$15),0),
ROUND(ROUND(OFFSET($P14,0,AE$13),15-13*ORÇAMENTO!$AF$7)*OFFSET(ORÇAMENTO!$W$15,ROW(AE14)-ROW(AE$15),0),15-13*ORÇAMENTO!$AF$11)),0)</f>
        <v>0</v>
      </c>
      <c r="AF14" s="283" t="n">
        <f aca="true">IF(AND($D14="Serviço",AF$12&lt;&gt;0,$H14&gt;0,OR(AUTOEVENTO&lt;&gt;"manual",$M14&lt;&gt;1)),
IF(Import.TipoArredondamento&lt;&gt;"TransfereGOV",
ROUND(OFFSET($P14,0,AF$13),15-13*ORÇAMENTO!$AF$7)/$H14*OFFSET(ORÇAMENTO!$X$15,ROW(AF14)-ROW(AF$15),0),
ROUND(ROUND(OFFSET($P14,0,AF$13),15-13*ORÇAMENTO!$AF$7)*OFFSET(ORÇAMENTO!$W$15,ROW(AF14)-ROW(AF$15),0),15-13*ORÇAMENTO!$AF$11)),0)</f>
        <v>0</v>
      </c>
      <c r="AG14" s="283" t="n">
        <f aca="true">IF(AND($D14="Serviço",AG$12&lt;&gt;0,$H14&gt;0,OR(AUTOEVENTO&lt;&gt;"manual",$M14&lt;&gt;1)),
IF(Import.TipoArredondamento&lt;&gt;"TransfereGOV",
ROUND(OFFSET($P14,0,AG$13),15-13*ORÇAMENTO!$AF$7)/$H14*OFFSET(ORÇAMENTO!$X$15,ROW(AG14)-ROW(AG$15),0),
ROUND(ROUND(OFFSET($P14,0,AG$13),15-13*ORÇAMENTO!$AF$7)*OFFSET(ORÇAMENTO!$W$15,ROW(AG14)-ROW(AG$15),0),15-13*ORÇAMENTO!$AF$11)),0)</f>
        <v>0</v>
      </c>
      <c r="AH14" s="283" t="n">
        <f aca="true">IF(AND($D14="Serviço",AH$12&lt;&gt;0,$H14&gt;0,OR(AUTOEVENTO&lt;&gt;"manual",$M14&lt;&gt;1)),
IF(Import.TipoArredondamento&lt;&gt;"TransfereGOV",
ROUND(OFFSET($P14,0,AH$13),15-13*ORÇAMENTO!$AF$7)/$H14*OFFSET(ORÇAMENTO!$X$15,ROW(AH14)-ROW(AH$15),0),
ROUND(ROUND(OFFSET($P14,0,AH$13),15-13*ORÇAMENTO!$AF$7)*OFFSET(ORÇAMENTO!$W$15,ROW(AH14)-ROW(AH$15),0),15-13*ORÇAMENTO!$AF$11)),0)</f>
        <v>0</v>
      </c>
      <c r="AI14" s="283" t="n">
        <f aca="true">IF(AND($D14="Serviço",AI$12&lt;&gt;0,$H14&gt;0,OR(AUTOEVENTO&lt;&gt;"manual",$M14&lt;&gt;1)),
IF(Import.TipoArredondamento&lt;&gt;"TransfereGOV",
ROUND(OFFSET($P14,0,AI$13),15-13*ORÇAMENTO!$AF$7)/$H14*OFFSET(ORÇAMENTO!$X$15,ROW(AI14)-ROW(AI$15),0),
ROUND(ROUND(OFFSET($P14,0,AI$13),15-13*ORÇAMENTO!$AF$7)*OFFSET(ORÇAMENTO!$W$15,ROW(AI14)-ROW(AI$15),0),15-13*ORÇAMENTO!$AF$11)),0)</f>
        <v>0</v>
      </c>
      <c r="AJ14" s="283" t="n">
        <f aca="true">IF(AND($D14="Serviço",AJ$12&lt;&gt;0,$H14&gt;0,OR(AUTOEVENTO&lt;&gt;"manual",$M14&lt;&gt;1)),
IF(Import.TipoArredondamento&lt;&gt;"TransfereGOV",
ROUND(OFFSET($P14,0,AJ$13),15-13*ORÇAMENTO!$AF$7)/$H14*OFFSET(ORÇAMENTO!$X$15,ROW(AJ14)-ROW(AJ$15),0),
ROUND(ROUND(OFFSET($P14,0,AJ$13),15-13*ORÇAMENTO!$AF$7)*OFFSET(ORÇAMENTO!$W$15,ROW(AJ14)-ROW(AJ$15),0),15-13*ORÇAMENTO!$AF$11)),0)</f>
        <v>0</v>
      </c>
      <c r="AK14" s="284" t="n">
        <f aca="true">IF(AND($D14="Serviço",AK$12&lt;&gt;0,$H14&gt;0,OR(AUTOEVENTO&lt;&gt;"manual",$M14&lt;&gt;1)),
IF(Import.TipoArredondamento&lt;&gt;"TransfereGOV",
ROUND(OFFSET($P14,0,AK$13),15-13*ORÇAMENTO!$AF$7)/$H14*OFFSET(ORÇAMENTO!$X$15,ROW(AK14)-ROW(AK$15),0),
ROUND(ROUND(OFFSET($P14,0,AK$13),15-13*ORÇAMENTO!$AF$7)*OFFSET(ORÇAMENTO!$W$15,ROW(AK14)-ROW(AK$15),0),15-13*ORÇAMENTO!$AF$11)),0)</f>
        <v>0</v>
      </c>
      <c r="AM14" s="285" t="n">
        <f aca="true">IF($D14&lt;&gt;"Serviço",0,IF(AND(AUTOEVENTO="Manual",$M14=1),0,IF(OFFSET(CRONOPLE!$F$14,$M14,AM$13)="",10^12,OFFSET(CRONOPLE!$F$14,$M14,AM$13))))</f>
        <v>1000000000000</v>
      </c>
      <c r="AN14" s="285" t="n">
        <f aca="true">IF($D14&lt;&gt;"Serviço",0,IF(AND(AUTOEVENTO="Manual",$M14=1),0,IF(OFFSET(CRONOPLE!$F$14,$M14,AN$13)="",10^12,OFFSET(CRONOPLE!$F$14,$M14,AN$13))))</f>
        <v>1000000000000</v>
      </c>
      <c r="AO14" s="285" t="n">
        <f aca="true">IF($D14&lt;&gt;"Serviço",0,IF(AND(AUTOEVENTO="Manual",$M14=1),0,IF(OFFSET(CRONOPLE!$F$14,$M14,AO$13)="",10^12,OFFSET(CRONOPLE!$F$14,$M14,AO$13))))</f>
        <v>1000000000000</v>
      </c>
      <c r="AP14" s="285" t="n">
        <f aca="true">IF($D14&lt;&gt;"Serviço",0,IF(AND(AUTOEVENTO="Manual",$M14=1),0,IF(OFFSET(CRONOPLE!$F$14,$M14,AP$13)="",10^12,OFFSET(CRONOPLE!$F$14,$M14,AP$13))))</f>
        <v>1000000000000</v>
      </c>
      <c r="AQ14" s="285" t="n">
        <f aca="true">IF($D14&lt;&gt;"Serviço",0,IF(AND(AUTOEVENTO="Manual",$M14=1),0,IF(OFFSET(CRONOPLE!$F$14,$M14,AQ$13)="",10^12,OFFSET(CRONOPLE!$F$14,$M14,AQ$13))))</f>
        <v>1000000000000</v>
      </c>
      <c r="AR14" s="285" t="n">
        <f aca="true">IF($D14&lt;&gt;"Serviço",0,IF(AND(AUTOEVENTO="Manual",$M14=1),0,IF(OFFSET(CRONOPLE!$F$14,$M14,AR$13)="",10^12,OFFSET(CRONOPLE!$F$14,$M14,AR$13))))</f>
        <v>1000000000000</v>
      </c>
      <c r="AS14" s="285" t="n">
        <f aca="true">IF($D14&lt;&gt;"Serviço",0,IF(AND(AUTOEVENTO="Manual",$M14=1),0,IF(OFFSET(CRONOPLE!$F$14,$M14,AS$13)="",10^12,OFFSET(CRONOPLE!$F$14,$M14,AS$13))))</f>
        <v>1000000000000</v>
      </c>
      <c r="AT14" s="285" t="n">
        <f aca="true">IF($D14&lt;&gt;"Serviço",0,IF(AND(AUTOEVENTO="Manual",$M14=1),0,IF(OFFSET(CRONOPLE!$F$14,$M14,AT$13)="",10^12,OFFSET(CRONOPLE!$F$14,$M14,AT$13))))</f>
        <v>1000000000000</v>
      </c>
      <c r="AU14" s="285" t="n">
        <f aca="true">IF($D14&lt;&gt;"Serviço",0,IF(AND(AUTOEVENTO="Manual",$M14=1),0,IF(OFFSET(CRONOPLE!$F$14,$M14,AU$13)="",10^12,OFFSET(CRONOPLE!$F$14,$M14,AU$13))))</f>
        <v>1000000000000</v>
      </c>
      <c r="AV14" s="285" t="n">
        <f aca="true">IF($D14&lt;&gt;"Serviço",0,IF(AND(AUTOEVENTO="Manual",$M14=1),0,IF(OFFSET(CRONOPLE!$F$14,$M14,AV$13)="",10^12,OFFSET(CRONOPLE!$F$14,$M14,AV$13))))</f>
        <v>1000000000000</v>
      </c>
      <c r="AX14" s="286" t="n">
        <f aca="true">IF($D14&lt;&gt;"Serviço",0,IF(OR(AND(AUTOEVENTO="Manual",$M14=1),$M14&gt;(ROW(PLE.lastrow)-ROW(PLE.firstrow))),0,IF(OFFSET(PLE!$G$14,$M14,AX$13)="",10^12,OFFSET(PLE!$G$14,$M14,AX$13))))</f>
        <v>1000000000000</v>
      </c>
      <c r="AY14" s="286" t="n">
        <f aca="true">IF($D14&lt;&gt;"Serviço",0,IF(OR(AND(AUTOEVENTO="Manual",$M14=1),$M14&gt;(ROW(PLE.lastrow)-ROW(PLE.firstrow))),0,IF(OFFSET(PLE!$G$14,$M14,AY$13)="",10^12,OFFSET(PLE!$G$14,$M14,AY$13))))</f>
        <v>1000000000000</v>
      </c>
      <c r="AZ14" s="286" t="n">
        <f aca="true">IF($D14&lt;&gt;"Serviço",0,IF(OR(AND(AUTOEVENTO="Manual",$M14=1),$M14&gt;(ROW(PLE.lastrow)-ROW(PLE.firstrow))),0,IF(OFFSET(PLE!$G$14,$M14,AZ$13)="",10^12,OFFSET(PLE!$G$14,$M14,AZ$13))))</f>
        <v>1000000000000</v>
      </c>
      <c r="BA14" s="286" t="n">
        <f aca="true">IF($D14&lt;&gt;"Serviço",0,IF(OR(AND(AUTOEVENTO="Manual",$M14=1),$M14&gt;(ROW(PLE.lastrow)-ROW(PLE.firstrow))),0,IF(OFFSET(PLE!$G$14,$M14,BA$13)="",10^12,OFFSET(PLE!$G$14,$M14,BA$13))))</f>
        <v>1000000000000</v>
      </c>
      <c r="BB14" s="286" t="n">
        <f aca="true">IF($D14&lt;&gt;"Serviço",0,IF(OR(AND(AUTOEVENTO="Manual",$M14=1),$M14&gt;(ROW(PLE.lastrow)-ROW(PLE.firstrow))),0,IF(OFFSET(PLE!$G$14,$M14,BB$13)="",10^12,OFFSET(PLE!$G$14,$M14,BB$13))))</f>
        <v>1000000000000</v>
      </c>
      <c r="BC14" s="286" t="n">
        <f aca="true">IF($D14&lt;&gt;"Serviço",0,IF(OR(AND(AUTOEVENTO="Manual",$M14=1),$M14&gt;(ROW(PLE.lastrow)-ROW(PLE.firstrow))),0,IF(OFFSET(PLE!$G$14,$M14,BC$13)="",10^12,OFFSET(PLE!$G$14,$M14,BC$13))))</f>
        <v>1000000000000</v>
      </c>
      <c r="BD14" s="286" t="n">
        <f aca="true">IF($D14&lt;&gt;"Serviço",0,IF(OR(AND(AUTOEVENTO="Manual",$M14=1),$M14&gt;(ROW(PLE.lastrow)-ROW(PLE.firstrow))),0,IF(OFFSET(PLE!$G$14,$M14,BD$13)="",10^12,OFFSET(PLE!$G$14,$M14,BD$13))))</f>
        <v>1000000000000</v>
      </c>
      <c r="BE14" s="286" t="n">
        <f aca="true">IF($D14&lt;&gt;"Serviço",0,IF(OR(AND(AUTOEVENTO="Manual",$M14=1),$M14&gt;(ROW(PLE.lastrow)-ROW(PLE.firstrow))),0,IF(OFFSET(PLE!$G$14,$M14,BE$13)="",10^12,OFFSET(PLE!$G$14,$M14,BE$13))))</f>
        <v>1000000000000</v>
      </c>
      <c r="BF14" s="286" t="n">
        <f aca="true">IF($D14&lt;&gt;"Serviço",0,IF(OR(AND(AUTOEVENTO="Manual",$M14=1),$M14&gt;(ROW(PLE.lastrow)-ROW(PLE.firstrow))),0,IF(OFFSET(PLE!$G$14,$M14,BF$13)="",10^12,OFFSET(PLE!$G$14,$M14,BF$13))))</f>
        <v>1000000000000</v>
      </c>
      <c r="BG14" s="286" t="n">
        <f aca="true">IF($D14&lt;&gt;"Serviço",0,IF(OR(AND(AUTOEVENTO="Manual",$M14=1),$M14&gt;(ROW(PLE.lastrow)-ROW(PLE.firstrow))),0,IF(OFFSET(PLE!$G$14,$M14,BG$13)="",10^12,OFFSET(PLE!$G$14,$M14,BG$13))))</f>
        <v>1000000000000</v>
      </c>
    </row>
    <row r="15" customFormat="false" ht="12.75" hidden="false" customHeight="true" outlineLevel="0" collapsed="false">
      <c r="B15" s="34" t="str">
        <f aca="true">OFFSET(ORÇAMENTO!C$15,ROW(B15)-ROW(B$15),0)</f>
        <v>L</v>
      </c>
      <c r="C15" s="34" t="str">
        <f aca="true">OFFSET(ORÇAMENTO!L$15,ROW(C15)-ROW(C$15),0)</f>
        <v>F</v>
      </c>
      <c r="D15" s="208" t="str">
        <f aca="false">IF(TIPOORCAMENTO="LICITADO","CTEF","LOTE")</f>
        <v>LOTE</v>
      </c>
      <c r="E15" s="287" t="str">
        <f aca="false">Import.DescLote</f>
        <v>Pavimentação MG-446</v>
      </c>
      <c r="F15" s="287"/>
      <c r="G15" s="287"/>
      <c r="H15" s="287"/>
      <c r="I15" s="288"/>
      <c r="K15" s="289"/>
      <c r="L15" s="276" t="s">
        <v>347</v>
      </c>
      <c r="M15" s="290" t="n">
        <f aca="false">IF(AUTOEVENTO="MANUAL",0,1)</f>
        <v>0</v>
      </c>
      <c r="N15" s="291" t="s">
        <v>356</v>
      </c>
      <c r="O15" s="292" t="e">
        <f aca="true">OFFSET($AA$15,0,O$13)</f>
        <v>#VALUE!</v>
      </c>
      <c r="Q15" s="293" t="n">
        <f aca="true">OFFSET($AA$15,0,Q$13)</f>
        <v>0</v>
      </c>
      <c r="R15" s="292" t="n">
        <f aca="true">OFFSET($AA$15,0,R$13)</f>
        <v>0</v>
      </c>
      <c r="S15" s="292" t="n">
        <f aca="true">OFFSET($AA$15,0,S$13)</f>
        <v>0</v>
      </c>
      <c r="T15" s="292" t="n">
        <f aca="true">OFFSET($AA$15,0,T$13)</f>
        <v>0</v>
      </c>
      <c r="U15" s="292" t="n">
        <f aca="true">OFFSET($AA$15,0,U$13)</f>
        <v>0</v>
      </c>
      <c r="V15" s="292" t="n">
        <f aca="true">OFFSET($AA$15,0,V$13)</f>
        <v>0</v>
      </c>
      <c r="W15" s="292" t="n">
        <f aca="true">OFFSET($AA$15,0,W$13)</f>
        <v>0</v>
      </c>
      <c r="X15" s="292" t="n">
        <f aca="true">OFFSET($AA$15,0,X$13)</f>
        <v>0</v>
      </c>
      <c r="Y15" s="292" t="n">
        <f aca="true">OFFSET($AA$15,0,Y$13)</f>
        <v>0</v>
      </c>
      <c r="Z15" s="294" t="n">
        <f aca="true">OFFSET($AA$15,0,Z$13)</f>
        <v>0</v>
      </c>
      <c r="AB15" s="295" t="n">
        <f aca="true">ROUND(SUM(OFFSET(AB$15,1,0):AB$59),2)</f>
        <v>0</v>
      </c>
      <c r="AC15" s="295" t="n">
        <f aca="true">SUM(OFFSET(AC$15,1,0):AC$59)</f>
        <v>0</v>
      </c>
      <c r="AD15" s="295" t="n">
        <f aca="true">SUM(OFFSET(AD$15,1,0):AD$59)</f>
        <v>0</v>
      </c>
      <c r="AE15" s="295" t="n">
        <f aca="true">SUM(OFFSET(AE$15,1,0):AE$59)</f>
        <v>0</v>
      </c>
      <c r="AF15" s="295" t="n">
        <f aca="true">SUM(OFFSET(AF$15,1,0):AF$59)</f>
        <v>0</v>
      </c>
      <c r="AG15" s="295" t="n">
        <f aca="true">SUM(OFFSET(AG$15,1,0):AG$59)</f>
        <v>0</v>
      </c>
      <c r="AH15" s="295" t="n">
        <f aca="true">SUM(OFFSET(AH$15,1,0):AH$59)</f>
        <v>0</v>
      </c>
      <c r="AI15" s="295" t="n">
        <f aca="true">SUM(OFFSET(AI$15,1,0):AI$59)</f>
        <v>0</v>
      </c>
      <c r="AJ15" s="295" t="n">
        <f aca="true">SUM(OFFSET(AJ$15,1,0):AJ$59)</f>
        <v>0</v>
      </c>
      <c r="AK15" s="295" t="n">
        <f aca="true">SUM(OFFSET(AK$15,1,0):AK$59)</f>
        <v>0</v>
      </c>
      <c r="AM15" s="296" t="n">
        <f aca="false">10^12</f>
        <v>1000000000000</v>
      </c>
      <c r="AN15" s="296" t="n">
        <f aca="false">10^12</f>
        <v>1000000000000</v>
      </c>
      <c r="AO15" s="296" t="n">
        <f aca="false">10^12</f>
        <v>1000000000000</v>
      </c>
      <c r="AP15" s="296" t="n">
        <f aca="false">10^12</f>
        <v>1000000000000</v>
      </c>
      <c r="AQ15" s="296" t="n">
        <f aca="false">10^12</f>
        <v>1000000000000</v>
      </c>
      <c r="AR15" s="296" t="n">
        <f aca="false">10^12</f>
        <v>1000000000000</v>
      </c>
      <c r="AS15" s="296" t="n">
        <f aca="false">10^12</f>
        <v>1000000000000</v>
      </c>
      <c r="AT15" s="296" t="n">
        <f aca="false">10^12</f>
        <v>1000000000000</v>
      </c>
      <c r="AU15" s="296" t="n">
        <f aca="false">10^12</f>
        <v>1000000000000</v>
      </c>
      <c r="AV15" s="296" t="n">
        <f aca="false">10^12</f>
        <v>1000000000000</v>
      </c>
      <c r="AX15" s="296" t="n">
        <f aca="false">10^12</f>
        <v>1000000000000</v>
      </c>
      <c r="AY15" s="296" t="n">
        <f aca="false">10^12</f>
        <v>1000000000000</v>
      </c>
      <c r="AZ15" s="296" t="n">
        <f aca="false">10^12</f>
        <v>1000000000000</v>
      </c>
      <c r="BA15" s="296" t="n">
        <f aca="false">10^12</f>
        <v>1000000000000</v>
      </c>
      <c r="BB15" s="296" t="n">
        <f aca="false">10^12</f>
        <v>1000000000000</v>
      </c>
      <c r="BC15" s="296" t="n">
        <f aca="false">10^12</f>
        <v>1000000000000</v>
      </c>
      <c r="BD15" s="296" t="n">
        <f aca="false">10^12</f>
        <v>1000000000000</v>
      </c>
      <c r="BE15" s="296" t="n">
        <f aca="false">10^12</f>
        <v>1000000000000</v>
      </c>
      <c r="BF15" s="296" t="n">
        <f aca="false">10^12</f>
        <v>1000000000000</v>
      </c>
      <c r="BG15" s="296" t="n">
        <f aca="false">10^12</f>
        <v>1000000000000</v>
      </c>
    </row>
    <row r="16" customFormat="false" ht="12.8" hidden="false" customHeight="false" outlineLevel="0" collapsed="false">
      <c r="A16" s="34" t="n">
        <f aca="true">IF(AUTOEVENTO="Manual",IF(K16&lt;&gt;"",MIN(VALUE(LEFT(K16,FIND(".",K16)-1)),COUNTA(EVENTOS.Lista)),0),IF(OR($B16&gt;AUTOEVENTO,$B16="S",$B16=0),SUBSTITUTE(OFFSET($A16,-1,0),IF($D16="Serviço",".",""),""),ROW(A16)-ROW($A$15)&amp;"."))</f>
        <v>0</v>
      </c>
      <c r="B16" s="34" t="n">
        <f aca="true">OFFSET(ORÇAMENTO!C$15,ROW(B16)-ROW(B$15),0)</f>
        <v>1</v>
      </c>
      <c r="C16" s="34" t="str">
        <f aca="true">OFFSET(ORÇAMENTO!L$15,ROW(C16)-ROW(C$15),0)</f>
        <v>F</v>
      </c>
      <c r="D16" s="187" t="str">
        <f aca="true">OFFSET(ORÇAMENTO!N$15,ROW(D16)-ROW(D$15),0)</f>
        <v>Meta</v>
      </c>
      <c r="E16" s="188" t="str">
        <f aca="true">OFFSET(ORÇAMENTO!O$15,ROW(E16)-ROW(E$15),0)</f>
        <v>1.</v>
      </c>
      <c r="F16" s="272" t="str">
        <f aca="true">OFFSET(ORÇAMENTO!R$15,ROW(F16)-ROW(F$15),0)</f>
        <v>Pavimentação MG-446 - Trecho 2 (Est.70 a Est. 95)</v>
      </c>
      <c r="G16" s="273" t="str">
        <f aca="true">IF($D16&lt;&gt;"Serviço","",OFFSET(ORÇAMENTO!S$15,ROW(G16)-ROW(G$15),0))</f>
        <v/>
      </c>
      <c r="H16" s="193" t="n">
        <f aca="true">IF($D16&lt;&gt;"Serviço",0,IF(ACOMPANHAMENTO="BM",ROUND(OFFSET(ORÇAMENTO!AJ$15,ROW(H16)-ROW(H$15),0),15-13*ORÇAMENTO!$AF$7),SUMPRODUCT(($Q$12:$AA$12&lt;&gt;"")*ROUND($Q16:$AA16,15-13*ORÇAMENTO!$AF$7))))</f>
        <v>0</v>
      </c>
      <c r="I16" s="274"/>
      <c r="K16" s="275"/>
      <c r="L16" s="276" t="s">
        <v>347</v>
      </c>
      <c r="M16" s="277" t="str">
        <f aca="true">IF($D16&lt;&gt;"Serviço","",IF(AUTOEVENTO="manual",$A16,IF(ISERROR(MATCH($A16,$A$15:OFFSET($A16,-1,0),0)),MAX($M$15:OFFSET(M16,-1,0))+1,INDEX($M$15:OFFSET(M16,-1,0),MATCH($A16,$A$15:OFFSET($A16,-1,0),0)))))</f>
        <v/>
      </c>
      <c r="N16" s="278" t="str">
        <f aca="true">IF($D16&lt;&gt;"Serviço","",IF(AUTOEVENTO="Manual",IF($A16=0,"&lt;-- defina o número do agrupador",OFFSET(EVENTOS!$D$14,$A16,0)),OFFSET($F$15,$A16,0)))</f>
        <v/>
      </c>
      <c r="O16" s="279"/>
      <c r="Q16" s="279"/>
      <c r="R16" s="280"/>
      <c r="S16" s="280"/>
      <c r="T16" s="280"/>
      <c r="U16" s="280"/>
      <c r="V16" s="280"/>
      <c r="W16" s="280"/>
      <c r="X16" s="280"/>
      <c r="Y16" s="280"/>
      <c r="Z16" s="281"/>
      <c r="AB16" s="282" t="n">
        <f aca="true">IF(AND($D16="Serviço",AB$12&lt;&gt;0,$H16&gt;0,OR(AUTOEVENTO&lt;&gt;"manual",$M16&lt;&gt;1)),
IF(Import.TipoArredondamento&lt;&gt;"TransfereGOV",
ROUND(OFFSET($P16,0,AB$13),15-13*ORÇAMENTO!$AF$7)/$H16*OFFSET(ORÇAMENTO!$X$15,ROW(AB16)-ROW(AB$15),0),
ROUND(ROUND(OFFSET($P16,0,AB$13),15-13*ORÇAMENTO!$AF$7)*OFFSET(ORÇAMENTO!$W$15,ROW(AB16)-ROW(AB$15),0),15-13*ORÇAMENTO!$AF$11)),0)</f>
        <v>0</v>
      </c>
      <c r="AC16" s="283" t="n">
        <f aca="true">IF(AND($D16="Serviço",AC$12&lt;&gt;0,$H16&gt;0,OR(AUTOEVENTO&lt;&gt;"manual",$M16&lt;&gt;1)),
IF(Import.TipoArredondamento&lt;&gt;"TransfereGOV",
ROUND(OFFSET($P16,0,AC$13),15-13*ORÇAMENTO!$AF$7)/$H16*OFFSET(ORÇAMENTO!$X$15,ROW(AC16)-ROW(AC$15),0),
ROUND(ROUND(OFFSET($P16,0,AC$13),15-13*ORÇAMENTO!$AF$7)*OFFSET(ORÇAMENTO!$W$15,ROW(AC16)-ROW(AC$15),0),15-13*ORÇAMENTO!$AF$11)),0)</f>
        <v>0</v>
      </c>
      <c r="AD16" s="283" t="n">
        <f aca="true">IF(AND($D16="Serviço",AD$12&lt;&gt;0,$H16&gt;0,OR(AUTOEVENTO&lt;&gt;"manual",$M16&lt;&gt;1)),
IF(Import.TipoArredondamento&lt;&gt;"TransfereGOV",
ROUND(OFFSET($P16,0,AD$13),15-13*ORÇAMENTO!$AF$7)/$H16*OFFSET(ORÇAMENTO!$X$15,ROW(AD16)-ROW(AD$15),0),
ROUND(ROUND(OFFSET($P16,0,AD$13),15-13*ORÇAMENTO!$AF$7)*OFFSET(ORÇAMENTO!$W$15,ROW(AD16)-ROW(AD$15),0),15-13*ORÇAMENTO!$AF$11)),0)</f>
        <v>0</v>
      </c>
      <c r="AE16" s="283" t="n">
        <f aca="true">IF(AND($D16="Serviço",AE$12&lt;&gt;0,$H16&gt;0,OR(AUTOEVENTO&lt;&gt;"manual",$M16&lt;&gt;1)),
IF(Import.TipoArredondamento&lt;&gt;"TransfereGOV",
ROUND(OFFSET($P16,0,AE$13),15-13*ORÇAMENTO!$AF$7)/$H16*OFFSET(ORÇAMENTO!$X$15,ROW(AE16)-ROW(AE$15),0),
ROUND(ROUND(OFFSET($P16,0,AE$13),15-13*ORÇAMENTO!$AF$7)*OFFSET(ORÇAMENTO!$W$15,ROW(AE16)-ROW(AE$15),0),15-13*ORÇAMENTO!$AF$11)),0)</f>
        <v>0</v>
      </c>
      <c r="AF16" s="283" t="n">
        <f aca="true">IF(AND($D16="Serviço",AF$12&lt;&gt;0,$H16&gt;0,OR(AUTOEVENTO&lt;&gt;"manual",$M16&lt;&gt;1)),
IF(Import.TipoArredondamento&lt;&gt;"TransfereGOV",
ROUND(OFFSET($P16,0,AF$13),15-13*ORÇAMENTO!$AF$7)/$H16*OFFSET(ORÇAMENTO!$X$15,ROW(AF16)-ROW(AF$15),0),
ROUND(ROUND(OFFSET($P16,0,AF$13),15-13*ORÇAMENTO!$AF$7)*OFFSET(ORÇAMENTO!$W$15,ROW(AF16)-ROW(AF$15),0),15-13*ORÇAMENTO!$AF$11)),0)</f>
        <v>0</v>
      </c>
      <c r="AG16" s="283" t="n">
        <f aca="true">IF(AND($D16="Serviço",AG$12&lt;&gt;0,$H16&gt;0,OR(AUTOEVENTO&lt;&gt;"manual",$M16&lt;&gt;1)),
IF(Import.TipoArredondamento&lt;&gt;"TransfereGOV",
ROUND(OFFSET($P16,0,AG$13),15-13*ORÇAMENTO!$AF$7)/$H16*OFFSET(ORÇAMENTO!$X$15,ROW(AG16)-ROW(AG$15),0),
ROUND(ROUND(OFFSET($P16,0,AG$13),15-13*ORÇAMENTO!$AF$7)*OFFSET(ORÇAMENTO!$W$15,ROW(AG16)-ROW(AG$15),0),15-13*ORÇAMENTO!$AF$11)),0)</f>
        <v>0</v>
      </c>
      <c r="AH16" s="283" t="n">
        <f aca="true">IF(AND($D16="Serviço",AH$12&lt;&gt;0,$H16&gt;0,OR(AUTOEVENTO&lt;&gt;"manual",$M16&lt;&gt;1)),
IF(Import.TipoArredondamento&lt;&gt;"TransfereGOV",
ROUND(OFFSET($P16,0,AH$13),15-13*ORÇAMENTO!$AF$7)/$H16*OFFSET(ORÇAMENTO!$X$15,ROW(AH16)-ROW(AH$15),0),
ROUND(ROUND(OFFSET($P16,0,AH$13),15-13*ORÇAMENTO!$AF$7)*OFFSET(ORÇAMENTO!$W$15,ROW(AH16)-ROW(AH$15),0),15-13*ORÇAMENTO!$AF$11)),0)</f>
        <v>0</v>
      </c>
      <c r="AI16" s="283" t="n">
        <f aca="true">IF(AND($D16="Serviço",AI$12&lt;&gt;0,$H16&gt;0,OR(AUTOEVENTO&lt;&gt;"manual",$M16&lt;&gt;1)),
IF(Import.TipoArredondamento&lt;&gt;"TransfereGOV",
ROUND(OFFSET($P16,0,AI$13),15-13*ORÇAMENTO!$AF$7)/$H16*OFFSET(ORÇAMENTO!$X$15,ROW(AI16)-ROW(AI$15),0),
ROUND(ROUND(OFFSET($P16,0,AI$13),15-13*ORÇAMENTO!$AF$7)*OFFSET(ORÇAMENTO!$W$15,ROW(AI16)-ROW(AI$15),0),15-13*ORÇAMENTO!$AF$11)),0)</f>
        <v>0</v>
      </c>
      <c r="AJ16" s="283" t="n">
        <f aca="true">IF(AND($D16="Serviço",AJ$12&lt;&gt;0,$H16&gt;0,OR(AUTOEVENTO&lt;&gt;"manual",$M16&lt;&gt;1)),
IF(Import.TipoArredondamento&lt;&gt;"TransfereGOV",
ROUND(OFFSET($P16,0,AJ$13),15-13*ORÇAMENTO!$AF$7)/$H16*OFFSET(ORÇAMENTO!$X$15,ROW(AJ16)-ROW(AJ$15),0),
ROUND(ROUND(OFFSET($P16,0,AJ$13),15-13*ORÇAMENTO!$AF$7)*OFFSET(ORÇAMENTO!$W$15,ROW(AJ16)-ROW(AJ$15),0),15-13*ORÇAMENTO!$AF$11)),0)</f>
        <v>0</v>
      </c>
      <c r="AK16" s="284" t="n">
        <f aca="true">IF(AND($D16="Serviço",AK$12&lt;&gt;0,$H16&gt;0,OR(AUTOEVENTO&lt;&gt;"manual",$M16&lt;&gt;1)),
IF(Import.TipoArredondamento&lt;&gt;"TransfereGOV",
ROUND(OFFSET($P16,0,AK$13),15-13*ORÇAMENTO!$AF$7)/$H16*OFFSET(ORÇAMENTO!$X$15,ROW(AK16)-ROW(AK$15),0),
ROUND(ROUND(OFFSET($P16,0,AK$13),15-13*ORÇAMENTO!$AF$7)*OFFSET(ORÇAMENTO!$W$15,ROW(AK16)-ROW(AK$15),0),15-13*ORÇAMENTO!$AF$11)),0)</f>
        <v>0</v>
      </c>
      <c r="AM16" s="285" t="n">
        <f aca="true">IF($D16&lt;&gt;"Serviço",0,IF(AND(AUTOEVENTO="Manual",$M16=1),0,IF(OFFSET(CRONOPLE!$F$14,$M16,AM$13)="",10^12,OFFSET(CRONOPLE!$F$14,$M16,AM$13))))</f>
        <v>0</v>
      </c>
      <c r="AN16" s="285" t="n">
        <f aca="true">IF($D16&lt;&gt;"Serviço",0,IF(AND(AUTOEVENTO="Manual",$M16=1),0,IF(OFFSET(CRONOPLE!$F$14,$M16,AN$13)="",10^12,OFFSET(CRONOPLE!$F$14,$M16,AN$13))))</f>
        <v>0</v>
      </c>
      <c r="AO16" s="285" t="n">
        <f aca="true">IF($D16&lt;&gt;"Serviço",0,IF(AND(AUTOEVENTO="Manual",$M16=1),0,IF(OFFSET(CRONOPLE!$F$14,$M16,AO$13)="",10^12,OFFSET(CRONOPLE!$F$14,$M16,AO$13))))</f>
        <v>0</v>
      </c>
      <c r="AP16" s="285" t="n">
        <f aca="true">IF($D16&lt;&gt;"Serviço",0,IF(AND(AUTOEVENTO="Manual",$M16=1),0,IF(OFFSET(CRONOPLE!$F$14,$M16,AP$13)="",10^12,OFFSET(CRONOPLE!$F$14,$M16,AP$13))))</f>
        <v>0</v>
      </c>
      <c r="AQ16" s="285" t="n">
        <f aca="true">IF($D16&lt;&gt;"Serviço",0,IF(AND(AUTOEVENTO="Manual",$M16=1),0,IF(OFFSET(CRONOPLE!$F$14,$M16,AQ$13)="",10^12,OFFSET(CRONOPLE!$F$14,$M16,AQ$13))))</f>
        <v>0</v>
      </c>
      <c r="AR16" s="285" t="n">
        <f aca="true">IF($D16&lt;&gt;"Serviço",0,IF(AND(AUTOEVENTO="Manual",$M16=1),0,IF(OFFSET(CRONOPLE!$F$14,$M16,AR$13)="",10^12,OFFSET(CRONOPLE!$F$14,$M16,AR$13))))</f>
        <v>0</v>
      </c>
      <c r="AS16" s="285" t="n">
        <f aca="true">IF($D16&lt;&gt;"Serviço",0,IF(AND(AUTOEVENTO="Manual",$M16=1),0,IF(OFFSET(CRONOPLE!$F$14,$M16,AS$13)="",10^12,OFFSET(CRONOPLE!$F$14,$M16,AS$13))))</f>
        <v>0</v>
      </c>
      <c r="AT16" s="285" t="n">
        <f aca="true">IF($D16&lt;&gt;"Serviço",0,IF(AND(AUTOEVENTO="Manual",$M16=1),0,IF(OFFSET(CRONOPLE!$F$14,$M16,AT$13)="",10^12,OFFSET(CRONOPLE!$F$14,$M16,AT$13))))</f>
        <v>0</v>
      </c>
      <c r="AU16" s="285" t="n">
        <f aca="true">IF($D16&lt;&gt;"Serviço",0,IF(AND(AUTOEVENTO="Manual",$M16=1),0,IF(OFFSET(CRONOPLE!$F$14,$M16,AU$13)="",10^12,OFFSET(CRONOPLE!$F$14,$M16,AU$13))))</f>
        <v>0</v>
      </c>
      <c r="AV16" s="285" t="n">
        <f aca="true">IF($D16&lt;&gt;"Serviço",0,IF(AND(AUTOEVENTO="Manual",$M16=1),0,IF(OFFSET(CRONOPLE!$F$14,$M16,AV$13)="",10^12,OFFSET(CRONOPLE!$F$14,$M16,AV$13))))</f>
        <v>0</v>
      </c>
      <c r="AX16" s="286" t="n">
        <f aca="true">IF($D16&lt;&gt;"Serviço",0,IF(OR(AND(AUTOEVENTO="Manual",$M16=1),$M16&gt;(ROW(PLE.lastrow)-ROW(PLE.firstrow))),0,IF(OFFSET(PLE!$G$14,$M16,AX$13)="",10^12,OFFSET(PLE!$G$14,$M16,AX$13))))</f>
        <v>0</v>
      </c>
      <c r="AY16" s="286" t="n">
        <f aca="true">IF($D16&lt;&gt;"Serviço",0,IF(OR(AND(AUTOEVENTO="Manual",$M16=1),$M16&gt;(ROW(PLE.lastrow)-ROW(PLE.firstrow))),0,IF(OFFSET(PLE!$G$14,$M16,AY$13)="",10^12,OFFSET(PLE!$G$14,$M16,AY$13))))</f>
        <v>0</v>
      </c>
      <c r="AZ16" s="286" t="n">
        <f aca="true">IF($D16&lt;&gt;"Serviço",0,IF(OR(AND(AUTOEVENTO="Manual",$M16=1),$M16&gt;(ROW(PLE.lastrow)-ROW(PLE.firstrow))),0,IF(OFFSET(PLE!$G$14,$M16,AZ$13)="",10^12,OFFSET(PLE!$G$14,$M16,AZ$13))))</f>
        <v>0</v>
      </c>
      <c r="BA16" s="286" t="n">
        <f aca="true">IF($D16&lt;&gt;"Serviço",0,IF(OR(AND(AUTOEVENTO="Manual",$M16=1),$M16&gt;(ROW(PLE.lastrow)-ROW(PLE.firstrow))),0,IF(OFFSET(PLE!$G$14,$M16,BA$13)="",10^12,OFFSET(PLE!$G$14,$M16,BA$13))))</f>
        <v>0</v>
      </c>
      <c r="BB16" s="286" t="n">
        <f aca="true">IF($D16&lt;&gt;"Serviço",0,IF(OR(AND(AUTOEVENTO="Manual",$M16=1),$M16&gt;(ROW(PLE.lastrow)-ROW(PLE.firstrow))),0,IF(OFFSET(PLE!$G$14,$M16,BB$13)="",10^12,OFFSET(PLE!$G$14,$M16,BB$13))))</f>
        <v>0</v>
      </c>
      <c r="BC16" s="286" t="n">
        <f aca="true">IF($D16&lt;&gt;"Serviço",0,IF(OR(AND(AUTOEVENTO="Manual",$M16=1),$M16&gt;(ROW(PLE.lastrow)-ROW(PLE.firstrow))),0,IF(OFFSET(PLE!$G$14,$M16,BC$13)="",10^12,OFFSET(PLE!$G$14,$M16,BC$13))))</f>
        <v>0</v>
      </c>
      <c r="BD16" s="286" t="n">
        <f aca="true">IF($D16&lt;&gt;"Serviço",0,IF(OR(AND(AUTOEVENTO="Manual",$M16=1),$M16&gt;(ROW(PLE.lastrow)-ROW(PLE.firstrow))),0,IF(OFFSET(PLE!$G$14,$M16,BD$13)="",10^12,OFFSET(PLE!$G$14,$M16,BD$13))))</f>
        <v>0</v>
      </c>
      <c r="BE16" s="286" t="n">
        <f aca="true">IF($D16&lt;&gt;"Serviço",0,IF(OR(AND(AUTOEVENTO="Manual",$M16=1),$M16&gt;(ROW(PLE.lastrow)-ROW(PLE.firstrow))),0,IF(OFFSET(PLE!$G$14,$M16,BE$13)="",10^12,OFFSET(PLE!$G$14,$M16,BE$13))))</f>
        <v>0</v>
      </c>
      <c r="BF16" s="286" t="n">
        <f aca="true">IF($D16&lt;&gt;"Serviço",0,IF(OR(AND(AUTOEVENTO="Manual",$M16=1),$M16&gt;(ROW(PLE.lastrow)-ROW(PLE.firstrow))),0,IF(OFFSET(PLE!$G$14,$M16,BF$13)="",10^12,OFFSET(PLE!$G$14,$M16,BF$13))))</f>
        <v>0</v>
      </c>
      <c r="BG16" s="286" t="n">
        <f aca="true">IF($D16&lt;&gt;"Serviço",0,IF(OR(AND(AUTOEVENTO="Manual",$M16=1),$M16&gt;(ROW(PLE.lastrow)-ROW(PLE.firstrow))),0,IF(OFFSET(PLE!$G$14,$M16,BG$13)="",10^12,OFFSET(PLE!$G$14,$M16,BG$13))))</f>
        <v>0</v>
      </c>
    </row>
    <row r="17" customFormat="false" ht="12.8" hidden="false" customHeight="false" outlineLevel="0" collapsed="false">
      <c r="A17" s="34" t="n">
        <f aca="true">IF(AUTOEVENTO="Manual",IF(K17&lt;&gt;"",MIN(VALUE(LEFT(K17,FIND(".",K17)-1)),COUNTA(EVENTOS.Lista)),0),IF(OR($B17&gt;AUTOEVENTO,$B17="S",$B17=0),SUBSTITUTE(OFFSET($A17,-1,0),IF($D17="Serviço",".",""),""),ROW(A17)-ROW($A$15)&amp;"."))</f>
        <v>0</v>
      </c>
      <c r="B17" s="34" t="n">
        <f aca="true">OFFSET(ORÇAMENTO!C$15,ROW(B17)-ROW(B$15),0)</f>
        <v>2</v>
      </c>
      <c r="C17" s="34" t="str">
        <f aca="true">OFFSET(ORÇAMENTO!L$15,ROW(C17)-ROW(C$15),0)</f>
        <v>F</v>
      </c>
      <c r="D17" s="187" t="str">
        <f aca="true">OFFSET(ORÇAMENTO!N$15,ROW(D17)-ROW(D$15),0)</f>
        <v>Nível 2</v>
      </c>
      <c r="E17" s="188" t="str">
        <f aca="true">OFFSET(ORÇAMENTO!O$15,ROW(E17)-ROW(E$15),0)</f>
        <v>1.1.</v>
      </c>
      <c r="F17" s="272" t="str">
        <f aca="true">OFFSET(ORÇAMENTO!R$15,ROW(F17)-ROW(F$15),0)</f>
        <v>Serviços Iniciais</v>
      </c>
      <c r="G17" s="273" t="str">
        <f aca="true">IF($D17&lt;&gt;"Serviço","",OFFSET(ORÇAMENTO!S$15,ROW(G17)-ROW(G$15),0))</f>
        <v/>
      </c>
      <c r="H17" s="193" t="n">
        <f aca="true">IF($D17&lt;&gt;"Serviço",0,IF(ACOMPANHAMENTO="BM",ROUND(OFFSET(ORÇAMENTO!AJ$15,ROW(H17)-ROW(H$15),0),15-13*ORÇAMENTO!$AF$7),SUMPRODUCT(($Q$12:$AA$12&lt;&gt;"")*ROUND($Q17:$AA17,15-13*ORÇAMENTO!$AF$7))))</f>
        <v>0</v>
      </c>
      <c r="I17" s="274"/>
      <c r="K17" s="275"/>
      <c r="L17" s="276" t="s">
        <v>347</v>
      </c>
      <c r="M17" s="277" t="str">
        <f aca="true">IF($D17&lt;&gt;"Serviço","",IF(AUTOEVENTO="manual",$A17,IF(ISERROR(MATCH($A17,$A$15:OFFSET($A17,-1,0),0)),MAX($M$15:OFFSET(M17,-1,0))+1,INDEX($M$15:OFFSET(M17,-1,0),MATCH($A17,$A$15:OFFSET($A17,-1,0),0)))))</f>
        <v/>
      </c>
      <c r="N17" s="278" t="str">
        <f aca="true">IF($D17&lt;&gt;"Serviço","",IF(AUTOEVENTO="Manual",IF($A17=0,"&lt;-- defina o número do agrupador",OFFSET(EVENTOS!$D$14,$A17,0)),OFFSET($F$15,$A17,0)))</f>
        <v/>
      </c>
      <c r="O17" s="279"/>
      <c r="Q17" s="279"/>
      <c r="R17" s="280"/>
      <c r="S17" s="280"/>
      <c r="T17" s="280"/>
      <c r="U17" s="280"/>
      <c r="V17" s="280"/>
      <c r="W17" s="280"/>
      <c r="X17" s="280"/>
      <c r="Y17" s="280"/>
      <c r="Z17" s="281"/>
      <c r="AB17" s="282" t="n">
        <f aca="true">IF(AND($D17="Serviço",AB$12&lt;&gt;0,$H17&gt;0,OR(AUTOEVENTO&lt;&gt;"manual",$M17&lt;&gt;1)),
IF(Import.TipoArredondamento&lt;&gt;"TransfereGOV",
ROUND(OFFSET($P17,0,AB$13),15-13*ORÇAMENTO!$AF$7)/$H17*OFFSET(ORÇAMENTO!$X$15,ROW(AB17)-ROW(AB$15),0),
ROUND(ROUND(OFFSET($P17,0,AB$13),15-13*ORÇAMENTO!$AF$7)*OFFSET(ORÇAMENTO!$W$15,ROW(AB17)-ROW(AB$15),0),15-13*ORÇAMENTO!$AF$11)),0)</f>
        <v>0</v>
      </c>
      <c r="AC17" s="283" t="n">
        <f aca="true">IF(AND($D17="Serviço",AC$12&lt;&gt;0,$H17&gt;0,OR(AUTOEVENTO&lt;&gt;"manual",$M17&lt;&gt;1)),
IF(Import.TipoArredondamento&lt;&gt;"TransfereGOV",
ROUND(OFFSET($P17,0,AC$13),15-13*ORÇAMENTO!$AF$7)/$H17*OFFSET(ORÇAMENTO!$X$15,ROW(AC17)-ROW(AC$15),0),
ROUND(ROUND(OFFSET($P17,0,AC$13),15-13*ORÇAMENTO!$AF$7)*OFFSET(ORÇAMENTO!$W$15,ROW(AC17)-ROW(AC$15),0),15-13*ORÇAMENTO!$AF$11)),0)</f>
        <v>0</v>
      </c>
      <c r="AD17" s="283" t="n">
        <f aca="true">IF(AND($D17="Serviço",AD$12&lt;&gt;0,$H17&gt;0,OR(AUTOEVENTO&lt;&gt;"manual",$M17&lt;&gt;1)),
IF(Import.TipoArredondamento&lt;&gt;"TransfereGOV",
ROUND(OFFSET($P17,0,AD$13),15-13*ORÇAMENTO!$AF$7)/$H17*OFFSET(ORÇAMENTO!$X$15,ROW(AD17)-ROW(AD$15),0),
ROUND(ROUND(OFFSET($P17,0,AD$13),15-13*ORÇAMENTO!$AF$7)*OFFSET(ORÇAMENTO!$W$15,ROW(AD17)-ROW(AD$15),0),15-13*ORÇAMENTO!$AF$11)),0)</f>
        <v>0</v>
      </c>
      <c r="AE17" s="283" t="n">
        <f aca="true">IF(AND($D17="Serviço",AE$12&lt;&gt;0,$H17&gt;0,OR(AUTOEVENTO&lt;&gt;"manual",$M17&lt;&gt;1)),
IF(Import.TipoArredondamento&lt;&gt;"TransfereGOV",
ROUND(OFFSET($P17,0,AE$13),15-13*ORÇAMENTO!$AF$7)/$H17*OFFSET(ORÇAMENTO!$X$15,ROW(AE17)-ROW(AE$15),0),
ROUND(ROUND(OFFSET($P17,0,AE$13),15-13*ORÇAMENTO!$AF$7)*OFFSET(ORÇAMENTO!$W$15,ROW(AE17)-ROW(AE$15),0),15-13*ORÇAMENTO!$AF$11)),0)</f>
        <v>0</v>
      </c>
      <c r="AF17" s="283" t="n">
        <f aca="true">IF(AND($D17="Serviço",AF$12&lt;&gt;0,$H17&gt;0,OR(AUTOEVENTO&lt;&gt;"manual",$M17&lt;&gt;1)),
IF(Import.TipoArredondamento&lt;&gt;"TransfereGOV",
ROUND(OFFSET($P17,0,AF$13),15-13*ORÇAMENTO!$AF$7)/$H17*OFFSET(ORÇAMENTO!$X$15,ROW(AF17)-ROW(AF$15),0),
ROUND(ROUND(OFFSET($P17,0,AF$13),15-13*ORÇAMENTO!$AF$7)*OFFSET(ORÇAMENTO!$W$15,ROW(AF17)-ROW(AF$15),0),15-13*ORÇAMENTO!$AF$11)),0)</f>
        <v>0</v>
      </c>
      <c r="AG17" s="283" t="n">
        <f aca="true">IF(AND($D17="Serviço",AG$12&lt;&gt;0,$H17&gt;0,OR(AUTOEVENTO&lt;&gt;"manual",$M17&lt;&gt;1)),
IF(Import.TipoArredondamento&lt;&gt;"TransfereGOV",
ROUND(OFFSET($P17,0,AG$13),15-13*ORÇAMENTO!$AF$7)/$H17*OFFSET(ORÇAMENTO!$X$15,ROW(AG17)-ROW(AG$15),0),
ROUND(ROUND(OFFSET($P17,0,AG$13),15-13*ORÇAMENTO!$AF$7)*OFFSET(ORÇAMENTO!$W$15,ROW(AG17)-ROW(AG$15),0),15-13*ORÇAMENTO!$AF$11)),0)</f>
        <v>0</v>
      </c>
      <c r="AH17" s="283" t="n">
        <f aca="true">IF(AND($D17="Serviço",AH$12&lt;&gt;0,$H17&gt;0,OR(AUTOEVENTO&lt;&gt;"manual",$M17&lt;&gt;1)),
IF(Import.TipoArredondamento&lt;&gt;"TransfereGOV",
ROUND(OFFSET($P17,0,AH$13),15-13*ORÇAMENTO!$AF$7)/$H17*OFFSET(ORÇAMENTO!$X$15,ROW(AH17)-ROW(AH$15),0),
ROUND(ROUND(OFFSET($P17,0,AH$13),15-13*ORÇAMENTO!$AF$7)*OFFSET(ORÇAMENTO!$W$15,ROW(AH17)-ROW(AH$15),0),15-13*ORÇAMENTO!$AF$11)),0)</f>
        <v>0</v>
      </c>
      <c r="AI17" s="283" t="n">
        <f aca="true">IF(AND($D17="Serviço",AI$12&lt;&gt;0,$H17&gt;0,OR(AUTOEVENTO&lt;&gt;"manual",$M17&lt;&gt;1)),
IF(Import.TipoArredondamento&lt;&gt;"TransfereGOV",
ROUND(OFFSET($P17,0,AI$13),15-13*ORÇAMENTO!$AF$7)/$H17*OFFSET(ORÇAMENTO!$X$15,ROW(AI17)-ROW(AI$15),0),
ROUND(ROUND(OFFSET($P17,0,AI$13),15-13*ORÇAMENTO!$AF$7)*OFFSET(ORÇAMENTO!$W$15,ROW(AI17)-ROW(AI$15),0),15-13*ORÇAMENTO!$AF$11)),0)</f>
        <v>0</v>
      </c>
      <c r="AJ17" s="283" t="n">
        <f aca="true">IF(AND($D17="Serviço",AJ$12&lt;&gt;0,$H17&gt;0,OR(AUTOEVENTO&lt;&gt;"manual",$M17&lt;&gt;1)),
IF(Import.TipoArredondamento&lt;&gt;"TransfereGOV",
ROUND(OFFSET($P17,0,AJ$13),15-13*ORÇAMENTO!$AF$7)/$H17*OFFSET(ORÇAMENTO!$X$15,ROW(AJ17)-ROW(AJ$15),0),
ROUND(ROUND(OFFSET($P17,0,AJ$13),15-13*ORÇAMENTO!$AF$7)*OFFSET(ORÇAMENTO!$W$15,ROW(AJ17)-ROW(AJ$15),0),15-13*ORÇAMENTO!$AF$11)),0)</f>
        <v>0</v>
      </c>
      <c r="AK17" s="284" t="n">
        <f aca="true">IF(AND($D17="Serviço",AK$12&lt;&gt;0,$H17&gt;0,OR(AUTOEVENTO&lt;&gt;"manual",$M17&lt;&gt;1)),
IF(Import.TipoArredondamento&lt;&gt;"TransfereGOV",
ROUND(OFFSET($P17,0,AK$13),15-13*ORÇAMENTO!$AF$7)/$H17*OFFSET(ORÇAMENTO!$X$15,ROW(AK17)-ROW(AK$15),0),
ROUND(ROUND(OFFSET($P17,0,AK$13),15-13*ORÇAMENTO!$AF$7)*OFFSET(ORÇAMENTO!$W$15,ROW(AK17)-ROW(AK$15),0),15-13*ORÇAMENTO!$AF$11)),0)</f>
        <v>0</v>
      </c>
      <c r="AM17" s="285" t="n">
        <f aca="true">IF($D17&lt;&gt;"Serviço",0,IF(AND(AUTOEVENTO="Manual",$M17=1),0,IF(OFFSET(CRONOPLE!$F$14,$M17,AM$13)="",10^12,OFFSET(CRONOPLE!$F$14,$M17,AM$13))))</f>
        <v>0</v>
      </c>
      <c r="AN17" s="285" t="n">
        <f aca="true">IF($D17&lt;&gt;"Serviço",0,IF(AND(AUTOEVENTO="Manual",$M17=1),0,IF(OFFSET(CRONOPLE!$F$14,$M17,AN$13)="",10^12,OFFSET(CRONOPLE!$F$14,$M17,AN$13))))</f>
        <v>0</v>
      </c>
      <c r="AO17" s="285" t="n">
        <f aca="true">IF($D17&lt;&gt;"Serviço",0,IF(AND(AUTOEVENTO="Manual",$M17=1),0,IF(OFFSET(CRONOPLE!$F$14,$M17,AO$13)="",10^12,OFFSET(CRONOPLE!$F$14,$M17,AO$13))))</f>
        <v>0</v>
      </c>
      <c r="AP17" s="285" t="n">
        <f aca="true">IF($D17&lt;&gt;"Serviço",0,IF(AND(AUTOEVENTO="Manual",$M17=1),0,IF(OFFSET(CRONOPLE!$F$14,$M17,AP$13)="",10^12,OFFSET(CRONOPLE!$F$14,$M17,AP$13))))</f>
        <v>0</v>
      </c>
      <c r="AQ17" s="285" t="n">
        <f aca="true">IF($D17&lt;&gt;"Serviço",0,IF(AND(AUTOEVENTO="Manual",$M17=1),0,IF(OFFSET(CRONOPLE!$F$14,$M17,AQ$13)="",10^12,OFFSET(CRONOPLE!$F$14,$M17,AQ$13))))</f>
        <v>0</v>
      </c>
      <c r="AR17" s="285" t="n">
        <f aca="true">IF($D17&lt;&gt;"Serviço",0,IF(AND(AUTOEVENTO="Manual",$M17=1),0,IF(OFFSET(CRONOPLE!$F$14,$M17,AR$13)="",10^12,OFFSET(CRONOPLE!$F$14,$M17,AR$13))))</f>
        <v>0</v>
      </c>
      <c r="AS17" s="285" t="n">
        <f aca="true">IF($D17&lt;&gt;"Serviço",0,IF(AND(AUTOEVENTO="Manual",$M17=1),0,IF(OFFSET(CRONOPLE!$F$14,$M17,AS$13)="",10^12,OFFSET(CRONOPLE!$F$14,$M17,AS$13))))</f>
        <v>0</v>
      </c>
      <c r="AT17" s="285" t="n">
        <f aca="true">IF($D17&lt;&gt;"Serviço",0,IF(AND(AUTOEVENTO="Manual",$M17=1),0,IF(OFFSET(CRONOPLE!$F$14,$M17,AT$13)="",10^12,OFFSET(CRONOPLE!$F$14,$M17,AT$13))))</f>
        <v>0</v>
      </c>
      <c r="AU17" s="285" t="n">
        <f aca="true">IF($D17&lt;&gt;"Serviço",0,IF(AND(AUTOEVENTO="Manual",$M17=1),0,IF(OFFSET(CRONOPLE!$F$14,$M17,AU$13)="",10^12,OFFSET(CRONOPLE!$F$14,$M17,AU$13))))</f>
        <v>0</v>
      </c>
      <c r="AV17" s="285" t="n">
        <f aca="true">IF($D17&lt;&gt;"Serviço",0,IF(AND(AUTOEVENTO="Manual",$M17=1),0,IF(OFFSET(CRONOPLE!$F$14,$M17,AV$13)="",10^12,OFFSET(CRONOPLE!$F$14,$M17,AV$13))))</f>
        <v>0</v>
      </c>
      <c r="AX17" s="286" t="n">
        <f aca="true">IF($D17&lt;&gt;"Serviço",0,IF(OR(AND(AUTOEVENTO="Manual",$M17=1),$M17&gt;(ROW(PLE.lastrow)-ROW(PLE.firstrow))),0,IF(OFFSET(PLE!$G$14,$M17,AX$13)="",10^12,OFFSET(PLE!$G$14,$M17,AX$13))))</f>
        <v>0</v>
      </c>
      <c r="AY17" s="286" t="n">
        <f aca="true">IF($D17&lt;&gt;"Serviço",0,IF(OR(AND(AUTOEVENTO="Manual",$M17=1),$M17&gt;(ROW(PLE.lastrow)-ROW(PLE.firstrow))),0,IF(OFFSET(PLE!$G$14,$M17,AY$13)="",10^12,OFFSET(PLE!$G$14,$M17,AY$13))))</f>
        <v>0</v>
      </c>
      <c r="AZ17" s="286" t="n">
        <f aca="true">IF($D17&lt;&gt;"Serviço",0,IF(OR(AND(AUTOEVENTO="Manual",$M17=1),$M17&gt;(ROW(PLE.lastrow)-ROW(PLE.firstrow))),0,IF(OFFSET(PLE!$G$14,$M17,AZ$13)="",10^12,OFFSET(PLE!$G$14,$M17,AZ$13))))</f>
        <v>0</v>
      </c>
      <c r="BA17" s="286" t="n">
        <f aca="true">IF($D17&lt;&gt;"Serviço",0,IF(OR(AND(AUTOEVENTO="Manual",$M17=1),$M17&gt;(ROW(PLE.lastrow)-ROW(PLE.firstrow))),0,IF(OFFSET(PLE!$G$14,$M17,BA$13)="",10^12,OFFSET(PLE!$G$14,$M17,BA$13))))</f>
        <v>0</v>
      </c>
      <c r="BB17" s="286" t="n">
        <f aca="true">IF($D17&lt;&gt;"Serviço",0,IF(OR(AND(AUTOEVENTO="Manual",$M17=1),$M17&gt;(ROW(PLE.lastrow)-ROW(PLE.firstrow))),0,IF(OFFSET(PLE!$G$14,$M17,BB$13)="",10^12,OFFSET(PLE!$G$14,$M17,BB$13))))</f>
        <v>0</v>
      </c>
      <c r="BC17" s="286" t="n">
        <f aca="true">IF($D17&lt;&gt;"Serviço",0,IF(OR(AND(AUTOEVENTO="Manual",$M17=1),$M17&gt;(ROW(PLE.lastrow)-ROW(PLE.firstrow))),0,IF(OFFSET(PLE!$G$14,$M17,BC$13)="",10^12,OFFSET(PLE!$G$14,$M17,BC$13))))</f>
        <v>0</v>
      </c>
      <c r="BD17" s="286" t="n">
        <f aca="true">IF($D17&lt;&gt;"Serviço",0,IF(OR(AND(AUTOEVENTO="Manual",$M17=1),$M17&gt;(ROW(PLE.lastrow)-ROW(PLE.firstrow))),0,IF(OFFSET(PLE!$G$14,$M17,BD$13)="",10^12,OFFSET(PLE!$G$14,$M17,BD$13))))</f>
        <v>0</v>
      </c>
      <c r="BE17" s="286" t="n">
        <f aca="true">IF($D17&lt;&gt;"Serviço",0,IF(OR(AND(AUTOEVENTO="Manual",$M17=1),$M17&gt;(ROW(PLE.lastrow)-ROW(PLE.firstrow))),0,IF(OFFSET(PLE!$G$14,$M17,BE$13)="",10^12,OFFSET(PLE!$G$14,$M17,BE$13))))</f>
        <v>0</v>
      </c>
      <c r="BF17" s="286" t="n">
        <f aca="true">IF($D17&lt;&gt;"Serviço",0,IF(OR(AND(AUTOEVENTO="Manual",$M17=1),$M17&gt;(ROW(PLE.lastrow)-ROW(PLE.firstrow))),0,IF(OFFSET(PLE!$G$14,$M17,BF$13)="",10^12,OFFSET(PLE!$G$14,$M17,BF$13))))</f>
        <v>0</v>
      </c>
      <c r="BG17" s="286" t="n">
        <f aca="true">IF($D17&lt;&gt;"Serviço",0,IF(OR(AND(AUTOEVENTO="Manual",$M17=1),$M17&gt;(ROW(PLE.lastrow)-ROW(PLE.firstrow))),0,IF(OFFSET(PLE!$G$14,$M17,BG$13)="",10^12,OFFSET(PLE!$G$14,$M17,BG$13))))</f>
        <v>0</v>
      </c>
    </row>
    <row r="18" customFormat="false" ht="12.8" hidden="false" customHeight="false" outlineLevel="0" collapsed="false">
      <c r="A18" s="34" t="n">
        <f aca="true">IF(AUTOEVENTO="Manual",IF(K18&lt;&gt;"",MIN(VALUE(LEFT(K18,FIND(".",K18)-1)),COUNTA(EVENTOS.Lista)),0),IF(OR($B18&gt;AUTOEVENTO,$B18="S",$B18=0),SUBSTITUTE(OFFSET($A18,-1,0),IF($D18="Serviço",".",""),""),ROW(A18)-ROW($A$15)&amp;"."))</f>
        <v>2</v>
      </c>
      <c r="B18" s="34" t="str">
        <f aca="true">OFFSET(ORÇAMENTO!C$15,ROW(B18)-ROW(B$15),0)</f>
        <v>S</v>
      </c>
      <c r="C18" s="34" t="str">
        <f aca="true">OFFSET(ORÇAMENTO!L$15,ROW(C18)-ROW(C$15),0)</f>
        <v/>
      </c>
      <c r="D18" s="187" t="str">
        <f aca="true">OFFSET(ORÇAMENTO!N$15,ROW(D18)-ROW(D$15),0)</f>
        <v>Serviço</v>
      </c>
      <c r="E18" s="188" t="str">
        <f aca="true">OFFSET(ORÇAMENTO!O$15,ROW(E18)-ROW(E$15),0)</f>
        <v>-</v>
      </c>
      <c r="F18" s="272" t="str">
        <f aca="true">OFFSET(ORÇAMENTO!R$15,ROW(F18)-ROW(F$15),0)</f>
        <v>(abra o arquivo 'Referência 02-Thursday.xlsm)</v>
      </c>
      <c r="G18" s="273" t="str">
        <f aca="true">IF($D18&lt;&gt;"Serviço","",OFFSET(ORÇAMENTO!S$15,ROW(G18)-ROW(G$15),0))</f>
        <v>-</v>
      </c>
      <c r="H18" s="193" t="n">
        <f aca="true">IF($D18&lt;&gt;"Serviço",0,IF(ACOMPANHAMENTO="BM",ROUND(OFFSET(ORÇAMENTO!AJ$15,ROW(H18)-ROW(H$15),0),15-13*ORÇAMENTO!$AF$7),SUMPRODUCT(($Q$12:$AA$12&lt;&gt;"")*ROUND($Q18:$AA18,15-13*ORÇAMENTO!$AF$7))))</f>
        <v>1</v>
      </c>
      <c r="I18" s="274" t="s">
        <v>357</v>
      </c>
      <c r="K18" s="275" t="s">
        <v>358</v>
      </c>
      <c r="L18" s="276" t="s">
        <v>347</v>
      </c>
      <c r="M18" s="277" t="n">
        <f aca="true">IF($D18&lt;&gt;"Serviço","",IF(AUTOEVENTO="manual",$A18,IF(ISERROR(MATCH($A18,$A$15:OFFSET($A18,-1,0),0)),MAX($M$15:OFFSET(M18,-1,0))+1,INDEX($M$15:OFFSET(M18,-1,0),MATCH($A18,$A$15:OFFSET($A18,-1,0),0)))))</f>
        <v>2</v>
      </c>
      <c r="N18" s="278" t="str">
        <f aca="true">IF($D18&lt;&gt;"Serviço","",IF(AUTOEVENTO="Manual",IF($A18=0,"&lt;-- defina o número do agrupador",OFFSET(EVENTOS!$D$14,$A18,0)),OFFSET($F$15,$A18,0)))</f>
        <v>Serviços Iniciais</v>
      </c>
      <c r="O18" s="279"/>
      <c r="Q18" s="279" t="n">
        <v>1</v>
      </c>
      <c r="R18" s="280"/>
      <c r="S18" s="280"/>
      <c r="T18" s="280"/>
      <c r="U18" s="280"/>
      <c r="V18" s="280"/>
      <c r="W18" s="280"/>
      <c r="X18" s="280"/>
      <c r="Y18" s="280"/>
      <c r="Z18" s="281"/>
      <c r="AB18" s="282" t="n">
        <f aca="true">IF(AND($D18="Serviço",AB$12&lt;&gt;0,$H18&gt;0,OR(AUTOEVENTO&lt;&gt;"manual",$M18&lt;&gt;1)),
IF(Import.TipoArredondamento&lt;&gt;"TransfereGOV",
ROUND(OFFSET($P18,0,AB$13),15-13*ORÇAMENTO!$AF$7)/$H18*OFFSET(ORÇAMENTO!$X$15,ROW(AB18)-ROW(AB$15),0),
ROUND(ROUND(OFFSET($P18,0,AB$13),15-13*ORÇAMENTO!$AF$7)*OFFSET(ORÇAMENTO!$W$15,ROW(AB18)-ROW(AB$15),0),15-13*ORÇAMENTO!$AF$11)),0)</f>
        <v>0</v>
      </c>
      <c r="AC18" s="283" t="n">
        <f aca="true">IF(AND($D18="Serviço",AC$12&lt;&gt;0,$H18&gt;0,OR(AUTOEVENTO&lt;&gt;"manual",$M18&lt;&gt;1)),
IF(Import.TipoArredondamento&lt;&gt;"TransfereGOV",
ROUND(OFFSET($P18,0,AC$13),15-13*ORÇAMENTO!$AF$7)/$H18*OFFSET(ORÇAMENTO!$X$15,ROW(AC18)-ROW(AC$15),0),
ROUND(ROUND(OFFSET($P18,0,AC$13),15-13*ORÇAMENTO!$AF$7)*OFFSET(ORÇAMENTO!$W$15,ROW(AC18)-ROW(AC$15),0),15-13*ORÇAMENTO!$AF$11)),0)</f>
        <v>0</v>
      </c>
      <c r="AD18" s="283" t="n">
        <f aca="true">IF(AND($D18="Serviço",AD$12&lt;&gt;0,$H18&gt;0,OR(AUTOEVENTO&lt;&gt;"manual",$M18&lt;&gt;1)),
IF(Import.TipoArredondamento&lt;&gt;"TransfereGOV",
ROUND(OFFSET($P18,0,AD$13),15-13*ORÇAMENTO!$AF$7)/$H18*OFFSET(ORÇAMENTO!$X$15,ROW(AD18)-ROW(AD$15),0),
ROUND(ROUND(OFFSET($P18,0,AD$13),15-13*ORÇAMENTO!$AF$7)*OFFSET(ORÇAMENTO!$W$15,ROW(AD18)-ROW(AD$15),0),15-13*ORÇAMENTO!$AF$11)),0)</f>
        <v>0</v>
      </c>
      <c r="AE18" s="283" t="n">
        <f aca="true">IF(AND($D18="Serviço",AE$12&lt;&gt;0,$H18&gt;0,OR(AUTOEVENTO&lt;&gt;"manual",$M18&lt;&gt;1)),
IF(Import.TipoArredondamento&lt;&gt;"TransfereGOV",
ROUND(OFFSET($P18,0,AE$13),15-13*ORÇAMENTO!$AF$7)/$H18*OFFSET(ORÇAMENTO!$X$15,ROW(AE18)-ROW(AE$15),0),
ROUND(ROUND(OFFSET($P18,0,AE$13),15-13*ORÇAMENTO!$AF$7)*OFFSET(ORÇAMENTO!$W$15,ROW(AE18)-ROW(AE$15),0),15-13*ORÇAMENTO!$AF$11)),0)</f>
        <v>0</v>
      </c>
      <c r="AF18" s="283" t="n">
        <f aca="true">IF(AND($D18="Serviço",AF$12&lt;&gt;0,$H18&gt;0,OR(AUTOEVENTO&lt;&gt;"manual",$M18&lt;&gt;1)),
IF(Import.TipoArredondamento&lt;&gt;"TransfereGOV",
ROUND(OFFSET($P18,0,AF$13),15-13*ORÇAMENTO!$AF$7)/$H18*OFFSET(ORÇAMENTO!$X$15,ROW(AF18)-ROW(AF$15),0),
ROUND(ROUND(OFFSET($P18,0,AF$13),15-13*ORÇAMENTO!$AF$7)*OFFSET(ORÇAMENTO!$W$15,ROW(AF18)-ROW(AF$15),0),15-13*ORÇAMENTO!$AF$11)),0)</f>
        <v>0</v>
      </c>
      <c r="AG18" s="283" t="n">
        <f aca="true">IF(AND($D18="Serviço",AG$12&lt;&gt;0,$H18&gt;0,OR(AUTOEVENTO&lt;&gt;"manual",$M18&lt;&gt;1)),
IF(Import.TipoArredondamento&lt;&gt;"TransfereGOV",
ROUND(OFFSET($P18,0,AG$13),15-13*ORÇAMENTO!$AF$7)/$H18*OFFSET(ORÇAMENTO!$X$15,ROW(AG18)-ROW(AG$15),0),
ROUND(ROUND(OFFSET($P18,0,AG$13),15-13*ORÇAMENTO!$AF$7)*OFFSET(ORÇAMENTO!$W$15,ROW(AG18)-ROW(AG$15),0),15-13*ORÇAMENTO!$AF$11)),0)</f>
        <v>0</v>
      </c>
      <c r="AH18" s="283" t="n">
        <f aca="true">IF(AND($D18="Serviço",AH$12&lt;&gt;0,$H18&gt;0,OR(AUTOEVENTO&lt;&gt;"manual",$M18&lt;&gt;1)),
IF(Import.TipoArredondamento&lt;&gt;"TransfereGOV",
ROUND(OFFSET($P18,0,AH$13),15-13*ORÇAMENTO!$AF$7)/$H18*OFFSET(ORÇAMENTO!$X$15,ROW(AH18)-ROW(AH$15),0),
ROUND(ROUND(OFFSET($P18,0,AH$13),15-13*ORÇAMENTO!$AF$7)*OFFSET(ORÇAMENTO!$W$15,ROW(AH18)-ROW(AH$15),0),15-13*ORÇAMENTO!$AF$11)),0)</f>
        <v>0</v>
      </c>
      <c r="AI18" s="283" t="n">
        <f aca="true">IF(AND($D18="Serviço",AI$12&lt;&gt;0,$H18&gt;0,OR(AUTOEVENTO&lt;&gt;"manual",$M18&lt;&gt;1)),
IF(Import.TipoArredondamento&lt;&gt;"TransfereGOV",
ROUND(OFFSET($P18,0,AI$13),15-13*ORÇAMENTO!$AF$7)/$H18*OFFSET(ORÇAMENTO!$X$15,ROW(AI18)-ROW(AI$15),0),
ROUND(ROUND(OFFSET($P18,0,AI$13),15-13*ORÇAMENTO!$AF$7)*OFFSET(ORÇAMENTO!$W$15,ROW(AI18)-ROW(AI$15),0),15-13*ORÇAMENTO!$AF$11)),0)</f>
        <v>0</v>
      </c>
      <c r="AJ18" s="283" t="n">
        <f aca="true">IF(AND($D18="Serviço",AJ$12&lt;&gt;0,$H18&gt;0,OR(AUTOEVENTO&lt;&gt;"manual",$M18&lt;&gt;1)),
IF(Import.TipoArredondamento&lt;&gt;"TransfereGOV",
ROUND(OFFSET($P18,0,AJ$13),15-13*ORÇAMENTO!$AF$7)/$H18*OFFSET(ORÇAMENTO!$X$15,ROW(AJ18)-ROW(AJ$15),0),
ROUND(ROUND(OFFSET($P18,0,AJ$13),15-13*ORÇAMENTO!$AF$7)*OFFSET(ORÇAMENTO!$W$15,ROW(AJ18)-ROW(AJ$15),0),15-13*ORÇAMENTO!$AF$11)),0)</f>
        <v>0</v>
      </c>
      <c r="AK18" s="284" t="n">
        <f aca="true">IF(AND($D18="Serviço",AK$12&lt;&gt;0,$H18&gt;0,OR(AUTOEVENTO&lt;&gt;"manual",$M18&lt;&gt;1)),
IF(Import.TipoArredondamento&lt;&gt;"TransfereGOV",
ROUND(OFFSET($P18,0,AK$13),15-13*ORÇAMENTO!$AF$7)/$H18*OFFSET(ORÇAMENTO!$X$15,ROW(AK18)-ROW(AK$15),0),
ROUND(ROUND(OFFSET($P18,0,AK$13),15-13*ORÇAMENTO!$AF$7)*OFFSET(ORÇAMENTO!$W$15,ROW(AK18)-ROW(AK$15),0),15-13*ORÇAMENTO!$AF$11)),0)</f>
        <v>0</v>
      </c>
      <c r="AM18" s="285" t="n">
        <f aca="true">IF($D18&lt;&gt;"Serviço",0,IF(AND(AUTOEVENTO="Manual",$M18=1),0,IF(OFFSET(CRONOPLE!$F$14,$M18,AM$13)="",10^12,OFFSET(CRONOPLE!$F$14,$M18,AM$13))))</f>
        <v>1</v>
      </c>
      <c r="AN18" s="285" t="n">
        <f aca="true">IF($D18&lt;&gt;"Serviço",0,IF(AND(AUTOEVENTO="Manual",$M18=1),0,IF(OFFSET(CRONOPLE!$F$14,$M18,AN$13)="",10^12,OFFSET(CRONOPLE!$F$14,$M18,AN$13))))</f>
        <v>1000000000000</v>
      </c>
      <c r="AO18" s="285" t="n">
        <f aca="true">IF($D18&lt;&gt;"Serviço",0,IF(AND(AUTOEVENTO="Manual",$M18=1),0,IF(OFFSET(CRONOPLE!$F$14,$M18,AO$13)="",10^12,OFFSET(CRONOPLE!$F$14,$M18,AO$13))))</f>
        <v>1000000000000</v>
      </c>
      <c r="AP18" s="285" t="n">
        <f aca="true">IF($D18&lt;&gt;"Serviço",0,IF(AND(AUTOEVENTO="Manual",$M18=1),0,IF(OFFSET(CRONOPLE!$F$14,$M18,AP$13)="",10^12,OFFSET(CRONOPLE!$F$14,$M18,AP$13))))</f>
        <v>1000000000000</v>
      </c>
      <c r="AQ18" s="285" t="n">
        <f aca="true">IF($D18&lt;&gt;"Serviço",0,IF(AND(AUTOEVENTO="Manual",$M18=1),0,IF(OFFSET(CRONOPLE!$F$14,$M18,AQ$13)="",10^12,OFFSET(CRONOPLE!$F$14,$M18,AQ$13))))</f>
        <v>1000000000000</v>
      </c>
      <c r="AR18" s="285" t="n">
        <f aca="true">IF($D18&lt;&gt;"Serviço",0,IF(AND(AUTOEVENTO="Manual",$M18=1),0,IF(OFFSET(CRONOPLE!$F$14,$M18,AR$13)="",10^12,OFFSET(CRONOPLE!$F$14,$M18,AR$13))))</f>
        <v>1000000000000</v>
      </c>
      <c r="AS18" s="285" t="n">
        <f aca="true">IF($D18&lt;&gt;"Serviço",0,IF(AND(AUTOEVENTO="Manual",$M18=1),0,IF(OFFSET(CRONOPLE!$F$14,$M18,AS$13)="",10^12,OFFSET(CRONOPLE!$F$14,$M18,AS$13))))</f>
        <v>1000000000000</v>
      </c>
      <c r="AT18" s="285" t="n">
        <f aca="true">IF($D18&lt;&gt;"Serviço",0,IF(AND(AUTOEVENTO="Manual",$M18=1),0,IF(OFFSET(CRONOPLE!$F$14,$M18,AT$13)="",10^12,OFFSET(CRONOPLE!$F$14,$M18,AT$13))))</f>
        <v>1000000000000</v>
      </c>
      <c r="AU18" s="285" t="n">
        <f aca="true">IF($D18&lt;&gt;"Serviço",0,IF(AND(AUTOEVENTO="Manual",$M18=1),0,IF(OFFSET(CRONOPLE!$F$14,$M18,AU$13)="",10^12,OFFSET(CRONOPLE!$F$14,$M18,AU$13))))</f>
        <v>1000000000000</v>
      </c>
      <c r="AV18" s="285" t="n">
        <f aca="true">IF($D18&lt;&gt;"Serviço",0,IF(AND(AUTOEVENTO="Manual",$M18=1),0,IF(OFFSET(CRONOPLE!$F$14,$M18,AV$13)="",10^12,OFFSET(CRONOPLE!$F$14,$M18,AV$13))))</f>
        <v>1000000000000</v>
      </c>
      <c r="AX18" s="286" t="n">
        <f aca="true">IF($D18&lt;&gt;"Serviço",0,IF(OR(AND(AUTOEVENTO="Manual",$M18=1),$M18&gt;(ROW(PLE.lastrow)-ROW(PLE.firstrow))),0,IF(OFFSET(PLE!$G$14,$M18,AX$13)="",10^12,OFFSET(PLE!$G$14,$M18,AX$13))))</f>
        <v>1000000000000</v>
      </c>
      <c r="AY18" s="286" t="n">
        <f aca="true">IF($D18&lt;&gt;"Serviço",0,IF(OR(AND(AUTOEVENTO="Manual",$M18=1),$M18&gt;(ROW(PLE.lastrow)-ROW(PLE.firstrow))),0,IF(OFFSET(PLE!$G$14,$M18,AY$13)="",10^12,OFFSET(PLE!$G$14,$M18,AY$13))))</f>
        <v>1000000000000</v>
      </c>
      <c r="AZ18" s="286" t="n">
        <f aca="true">IF($D18&lt;&gt;"Serviço",0,IF(OR(AND(AUTOEVENTO="Manual",$M18=1),$M18&gt;(ROW(PLE.lastrow)-ROW(PLE.firstrow))),0,IF(OFFSET(PLE!$G$14,$M18,AZ$13)="",10^12,OFFSET(PLE!$G$14,$M18,AZ$13))))</f>
        <v>1000000000000</v>
      </c>
      <c r="BA18" s="286" t="n">
        <f aca="true">IF($D18&lt;&gt;"Serviço",0,IF(OR(AND(AUTOEVENTO="Manual",$M18=1),$M18&gt;(ROW(PLE.lastrow)-ROW(PLE.firstrow))),0,IF(OFFSET(PLE!$G$14,$M18,BA$13)="",10^12,OFFSET(PLE!$G$14,$M18,BA$13))))</f>
        <v>1000000000000</v>
      </c>
      <c r="BB18" s="286" t="n">
        <f aca="true">IF($D18&lt;&gt;"Serviço",0,IF(OR(AND(AUTOEVENTO="Manual",$M18=1),$M18&gt;(ROW(PLE.lastrow)-ROW(PLE.firstrow))),0,IF(OFFSET(PLE!$G$14,$M18,BB$13)="",10^12,OFFSET(PLE!$G$14,$M18,BB$13))))</f>
        <v>1000000000000</v>
      </c>
      <c r="BC18" s="286" t="n">
        <f aca="true">IF($D18&lt;&gt;"Serviço",0,IF(OR(AND(AUTOEVENTO="Manual",$M18=1),$M18&gt;(ROW(PLE.lastrow)-ROW(PLE.firstrow))),0,IF(OFFSET(PLE!$G$14,$M18,BC$13)="",10^12,OFFSET(PLE!$G$14,$M18,BC$13))))</f>
        <v>1000000000000</v>
      </c>
      <c r="BD18" s="286" t="n">
        <f aca="true">IF($D18&lt;&gt;"Serviço",0,IF(OR(AND(AUTOEVENTO="Manual",$M18=1),$M18&gt;(ROW(PLE.lastrow)-ROW(PLE.firstrow))),0,IF(OFFSET(PLE!$G$14,$M18,BD$13)="",10^12,OFFSET(PLE!$G$14,$M18,BD$13))))</f>
        <v>1000000000000</v>
      </c>
      <c r="BE18" s="286" t="n">
        <f aca="true">IF($D18&lt;&gt;"Serviço",0,IF(OR(AND(AUTOEVENTO="Manual",$M18=1),$M18&gt;(ROW(PLE.lastrow)-ROW(PLE.firstrow))),0,IF(OFFSET(PLE!$G$14,$M18,BE$13)="",10^12,OFFSET(PLE!$G$14,$M18,BE$13))))</f>
        <v>1000000000000</v>
      </c>
      <c r="BF18" s="286" t="n">
        <f aca="true">IF($D18&lt;&gt;"Serviço",0,IF(OR(AND(AUTOEVENTO="Manual",$M18=1),$M18&gt;(ROW(PLE.lastrow)-ROW(PLE.firstrow))),0,IF(OFFSET(PLE!$G$14,$M18,BF$13)="",10^12,OFFSET(PLE!$G$14,$M18,BF$13))))</f>
        <v>1000000000000</v>
      </c>
      <c r="BG18" s="286" t="n">
        <f aca="true">IF($D18&lt;&gt;"Serviço",0,IF(OR(AND(AUTOEVENTO="Manual",$M18=1),$M18&gt;(ROW(PLE.lastrow)-ROW(PLE.firstrow))),0,IF(OFFSET(PLE!$G$14,$M18,BG$13)="",10^12,OFFSET(PLE!$G$14,$M18,BG$13))))</f>
        <v>1000000000000</v>
      </c>
    </row>
    <row r="19" customFormat="false" ht="12.8" hidden="false" customHeight="false" outlineLevel="0" collapsed="false">
      <c r="A19" s="34" t="n">
        <f aca="true">IF(AUTOEVENTO="Manual",IF(K19&lt;&gt;"",MIN(VALUE(LEFT(K19,FIND(".",K19)-1)),COUNTA(EVENTOS.Lista)),0),IF(OR($B19&gt;AUTOEVENTO,$B19="S",$B19=0),SUBSTITUTE(OFFSET($A19,-1,0),IF($D19="Serviço",".",""),""),ROW(A19)-ROW($A$15)&amp;"."))</f>
        <v>0</v>
      </c>
      <c r="B19" s="34" t="n">
        <f aca="true">OFFSET(ORÇAMENTO!C$15,ROW(B19)-ROW(B$15),0)</f>
        <v>2</v>
      </c>
      <c r="C19" s="34" t="str">
        <f aca="true">OFFSET(ORÇAMENTO!L$15,ROW(C19)-ROW(C$15),0)</f>
        <v>F</v>
      </c>
      <c r="D19" s="187" t="str">
        <f aca="true">OFFSET(ORÇAMENTO!N$15,ROW(D19)-ROW(D$15),0)</f>
        <v>Nível 2</v>
      </c>
      <c r="E19" s="188" t="str">
        <f aca="true">OFFSET(ORÇAMENTO!O$15,ROW(E19)-ROW(E$15),0)</f>
        <v>1.2.</v>
      </c>
      <c r="F19" s="272" t="str">
        <f aca="true">OFFSET(ORÇAMENTO!R$15,ROW(F19)-ROW(F$15),0)</f>
        <v>Acompanhamento de Obra</v>
      </c>
      <c r="G19" s="273" t="str">
        <f aca="true">IF($D19&lt;&gt;"Serviço","",OFFSET(ORÇAMENTO!S$15,ROW(G19)-ROW(G$15),0))</f>
        <v/>
      </c>
      <c r="H19" s="193" t="n">
        <f aca="true">IF($D19&lt;&gt;"Serviço",0,IF(ACOMPANHAMENTO="BM",ROUND(OFFSET(ORÇAMENTO!AJ$15,ROW(H19)-ROW(H$15),0),15-13*ORÇAMENTO!$AF$7),SUMPRODUCT(($Q$12:$AA$12&lt;&gt;"")*ROUND($Q19:$AA19,15-13*ORÇAMENTO!$AF$7))))</f>
        <v>0</v>
      </c>
      <c r="I19" s="274"/>
      <c r="K19" s="275"/>
      <c r="L19" s="276" t="s">
        <v>347</v>
      </c>
      <c r="M19" s="277" t="str">
        <f aca="true">IF($D19&lt;&gt;"Serviço","",IF(AUTOEVENTO="manual",$A19,IF(ISERROR(MATCH($A19,$A$15:OFFSET($A19,-1,0),0)),MAX($M$15:OFFSET(M19,-1,0))+1,INDEX($M$15:OFFSET(M19,-1,0),MATCH($A19,$A$15:OFFSET($A19,-1,0),0)))))</f>
        <v/>
      </c>
      <c r="N19" s="278" t="str">
        <f aca="true">IF($D19&lt;&gt;"Serviço","",IF(AUTOEVENTO="Manual",IF($A19=0,"&lt;-- defina o número do agrupador",OFFSET(EVENTOS!$D$14,$A19,0)),OFFSET($F$15,$A19,0)))</f>
        <v/>
      </c>
      <c r="O19" s="279"/>
      <c r="Q19" s="279"/>
      <c r="R19" s="280"/>
      <c r="S19" s="280"/>
      <c r="T19" s="280"/>
      <c r="U19" s="280"/>
      <c r="V19" s="280"/>
      <c r="W19" s="280"/>
      <c r="X19" s="280"/>
      <c r="Y19" s="280"/>
      <c r="Z19" s="281"/>
      <c r="AB19" s="282" t="n">
        <f aca="true">IF(AND($D19="Serviço",AB$12&lt;&gt;0,$H19&gt;0,OR(AUTOEVENTO&lt;&gt;"manual",$M19&lt;&gt;1)),
IF(Import.TipoArredondamento&lt;&gt;"TransfereGOV",
ROUND(OFFSET($P19,0,AB$13),15-13*ORÇAMENTO!$AF$7)/$H19*OFFSET(ORÇAMENTO!$X$15,ROW(AB19)-ROW(AB$15),0),
ROUND(ROUND(OFFSET($P19,0,AB$13),15-13*ORÇAMENTO!$AF$7)*OFFSET(ORÇAMENTO!$W$15,ROW(AB19)-ROW(AB$15),0),15-13*ORÇAMENTO!$AF$11)),0)</f>
        <v>0</v>
      </c>
      <c r="AC19" s="283" t="n">
        <f aca="true">IF(AND($D19="Serviço",AC$12&lt;&gt;0,$H19&gt;0,OR(AUTOEVENTO&lt;&gt;"manual",$M19&lt;&gt;1)),
IF(Import.TipoArredondamento&lt;&gt;"TransfereGOV",
ROUND(OFFSET($P19,0,AC$13),15-13*ORÇAMENTO!$AF$7)/$H19*OFFSET(ORÇAMENTO!$X$15,ROW(AC19)-ROW(AC$15),0),
ROUND(ROUND(OFFSET($P19,0,AC$13),15-13*ORÇAMENTO!$AF$7)*OFFSET(ORÇAMENTO!$W$15,ROW(AC19)-ROW(AC$15),0),15-13*ORÇAMENTO!$AF$11)),0)</f>
        <v>0</v>
      </c>
      <c r="AD19" s="283" t="n">
        <f aca="true">IF(AND($D19="Serviço",AD$12&lt;&gt;0,$H19&gt;0,OR(AUTOEVENTO&lt;&gt;"manual",$M19&lt;&gt;1)),
IF(Import.TipoArredondamento&lt;&gt;"TransfereGOV",
ROUND(OFFSET($P19,0,AD$13),15-13*ORÇAMENTO!$AF$7)/$H19*OFFSET(ORÇAMENTO!$X$15,ROW(AD19)-ROW(AD$15),0),
ROUND(ROUND(OFFSET($P19,0,AD$13),15-13*ORÇAMENTO!$AF$7)*OFFSET(ORÇAMENTO!$W$15,ROW(AD19)-ROW(AD$15),0),15-13*ORÇAMENTO!$AF$11)),0)</f>
        <v>0</v>
      </c>
      <c r="AE19" s="283" t="n">
        <f aca="true">IF(AND($D19="Serviço",AE$12&lt;&gt;0,$H19&gt;0,OR(AUTOEVENTO&lt;&gt;"manual",$M19&lt;&gt;1)),
IF(Import.TipoArredondamento&lt;&gt;"TransfereGOV",
ROUND(OFFSET($P19,0,AE$13),15-13*ORÇAMENTO!$AF$7)/$H19*OFFSET(ORÇAMENTO!$X$15,ROW(AE19)-ROW(AE$15),0),
ROUND(ROUND(OFFSET($P19,0,AE$13),15-13*ORÇAMENTO!$AF$7)*OFFSET(ORÇAMENTO!$W$15,ROW(AE19)-ROW(AE$15),0),15-13*ORÇAMENTO!$AF$11)),0)</f>
        <v>0</v>
      </c>
      <c r="AF19" s="283" t="n">
        <f aca="true">IF(AND($D19="Serviço",AF$12&lt;&gt;0,$H19&gt;0,OR(AUTOEVENTO&lt;&gt;"manual",$M19&lt;&gt;1)),
IF(Import.TipoArredondamento&lt;&gt;"TransfereGOV",
ROUND(OFFSET($P19,0,AF$13),15-13*ORÇAMENTO!$AF$7)/$H19*OFFSET(ORÇAMENTO!$X$15,ROW(AF19)-ROW(AF$15),0),
ROUND(ROUND(OFFSET($P19,0,AF$13),15-13*ORÇAMENTO!$AF$7)*OFFSET(ORÇAMENTO!$W$15,ROW(AF19)-ROW(AF$15),0),15-13*ORÇAMENTO!$AF$11)),0)</f>
        <v>0</v>
      </c>
      <c r="AG19" s="283" t="n">
        <f aca="true">IF(AND($D19="Serviço",AG$12&lt;&gt;0,$H19&gt;0,OR(AUTOEVENTO&lt;&gt;"manual",$M19&lt;&gt;1)),
IF(Import.TipoArredondamento&lt;&gt;"TransfereGOV",
ROUND(OFFSET($P19,0,AG$13),15-13*ORÇAMENTO!$AF$7)/$H19*OFFSET(ORÇAMENTO!$X$15,ROW(AG19)-ROW(AG$15),0),
ROUND(ROUND(OFFSET($P19,0,AG$13),15-13*ORÇAMENTO!$AF$7)*OFFSET(ORÇAMENTO!$W$15,ROW(AG19)-ROW(AG$15),0),15-13*ORÇAMENTO!$AF$11)),0)</f>
        <v>0</v>
      </c>
      <c r="AH19" s="283" t="n">
        <f aca="true">IF(AND($D19="Serviço",AH$12&lt;&gt;0,$H19&gt;0,OR(AUTOEVENTO&lt;&gt;"manual",$M19&lt;&gt;1)),
IF(Import.TipoArredondamento&lt;&gt;"TransfereGOV",
ROUND(OFFSET($P19,0,AH$13),15-13*ORÇAMENTO!$AF$7)/$H19*OFFSET(ORÇAMENTO!$X$15,ROW(AH19)-ROW(AH$15),0),
ROUND(ROUND(OFFSET($P19,0,AH$13),15-13*ORÇAMENTO!$AF$7)*OFFSET(ORÇAMENTO!$W$15,ROW(AH19)-ROW(AH$15),0),15-13*ORÇAMENTO!$AF$11)),0)</f>
        <v>0</v>
      </c>
      <c r="AI19" s="283" t="n">
        <f aca="true">IF(AND($D19="Serviço",AI$12&lt;&gt;0,$H19&gt;0,OR(AUTOEVENTO&lt;&gt;"manual",$M19&lt;&gt;1)),
IF(Import.TipoArredondamento&lt;&gt;"TransfereGOV",
ROUND(OFFSET($P19,0,AI$13),15-13*ORÇAMENTO!$AF$7)/$H19*OFFSET(ORÇAMENTO!$X$15,ROW(AI19)-ROW(AI$15),0),
ROUND(ROUND(OFFSET($P19,0,AI$13),15-13*ORÇAMENTO!$AF$7)*OFFSET(ORÇAMENTO!$W$15,ROW(AI19)-ROW(AI$15),0),15-13*ORÇAMENTO!$AF$11)),0)</f>
        <v>0</v>
      </c>
      <c r="AJ19" s="283" t="n">
        <f aca="true">IF(AND($D19="Serviço",AJ$12&lt;&gt;0,$H19&gt;0,OR(AUTOEVENTO&lt;&gt;"manual",$M19&lt;&gt;1)),
IF(Import.TipoArredondamento&lt;&gt;"TransfereGOV",
ROUND(OFFSET($P19,0,AJ$13),15-13*ORÇAMENTO!$AF$7)/$H19*OFFSET(ORÇAMENTO!$X$15,ROW(AJ19)-ROW(AJ$15),0),
ROUND(ROUND(OFFSET($P19,0,AJ$13),15-13*ORÇAMENTO!$AF$7)*OFFSET(ORÇAMENTO!$W$15,ROW(AJ19)-ROW(AJ$15),0),15-13*ORÇAMENTO!$AF$11)),0)</f>
        <v>0</v>
      </c>
      <c r="AK19" s="284" t="n">
        <f aca="true">IF(AND($D19="Serviço",AK$12&lt;&gt;0,$H19&gt;0,OR(AUTOEVENTO&lt;&gt;"manual",$M19&lt;&gt;1)),
IF(Import.TipoArredondamento&lt;&gt;"TransfereGOV",
ROUND(OFFSET($P19,0,AK$13),15-13*ORÇAMENTO!$AF$7)/$H19*OFFSET(ORÇAMENTO!$X$15,ROW(AK19)-ROW(AK$15),0),
ROUND(ROUND(OFFSET($P19,0,AK$13),15-13*ORÇAMENTO!$AF$7)*OFFSET(ORÇAMENTO!$W$15,ROW(AK19)-ROW(AK$15),0),15-13*ORÇAMENTO!$AF$11)),0)</f>
        <v>0</v>
      </c>
      <c r="AM19" s="285" t="n">
        <f aca="true">IF($D19&lt;&gt;"Serviço",0,IF(AND(AUTOEVENTO="Manual",$M19=1),0,IF(OFFSET(CRONOPLE!$F$14,$M19,AM$13)="",10^12,OFFSET(CRONOPLE!$F$14,$M19,AM$13))))</f>
        <v>0</v>
      </c>
      <c r="AN19" s="285" t="n">
        <f aca="true">IF($D19&lt;&gt;"Serviço",0,IF(AND(AUTOEVENTO="Manual",$M19=1),0,IF(OFFSET(CRONOPLE!$F$14,$M19,AN$13)="",10^12,OFFSET(CRONOPLE!$F$14,$M19,AN$13))))</f>
        <v>0</v>
      </c>
      <c r="AO19" s="285" t="n">
        <f aca="true">IF($D19&lt;&gt;"Serviço",0,IF(AND(AUTOEVENTO="Manual",$M19=1),0,IF(OFFSET(CRONOPLE!$F$14,$M19,AO$13)="",10^12,OFFSET(CRONOPLE!$F$14,$M19,AO$13))))</f>
        <v>0</v>
      </c>
      <c r="AP19" s="285" t="n">
        <f aca="true">IF($D19&lt;&gt;"Serviço",0,IF(AND(AUTOEVENTO="Manual",$M19=1),0,IF(OFFSET(CRONOPLE!$F$14,$M19,AP$13)="",10^12,OFFSET(CRONOPLE!$F$14,$M19,AP$13))))</f>
        <v>0</v>
      </c>
      <c r="AQ19" s="285" t="n">
        <f aca="true">IF($D19&lt;&gt;"Serviço",0,IF(AND(AUTOEVENTO="Manual",$M19=1),0,IF(OFFSET(CRONOPLE!$F$14,$M19,AQ$13)="",10^12,OFFSET(CRONOPLE!$F$14,$M19,AQ$13))))</f>
        <v>0</v>
      </c>
      <c r="AR19" s="285" t="n">
        <f aca="true">IF($D19&lt;&gt;"Serviço",0,IF(AND(AUTOEVENTO="Manual",$M19=1),0,IF(OFFSET(CRONOPLE!$F$14,$M19,AR$13)="",10^12,OFFSET(CRONOPLE!$F$14,$M19,AR$13))))</f>
        <v>0</v>
      </c>
      <c r="AS19" s="285" t="n">
        <f aca="true">IF($D19&lt;&gt;"Serviço",0,IF(AND(AUTOEVENTO="Manual",$M19=1),0,IF(OFFSET(CRONOPLE!$F$14,$M19,AS$13)="",10^12,OFFSET(CRONOPLE!$F$14,$M19,AS$13))))</f>
        <v>0</v>
      </c>
      <c r="AT19" s="285" t="n">
        <f aca="true">IF($D19&lt;&gt;"Serviço",0,IF(AND(AUTOEVENTO="Manual",$M19=1),0,IF(OFFSET(CRONOPLE!$F$14,$M19,AT$13)="",10^12,OFFSET(CRONOPLE!$F$14,$M19,AT$13))))</f>
        <v>0</v>
      </c>
      <c r="AU19" s="285" t="n">
        <f aca="true">IF($D19&lt;&gt;"Serviço",0,IF(AND(AUTOEVENTO="Manual",$M19=1),0,IF(OFFSET(CRONOPLE!$F$14,$M19,AU$13)="",10^12,OFFSET(CRONOPLE!$F$14,$M19,AU$13))))</f>
        <v>0</v>
      </c>
      <c r="AV19" s="285" t="n">
        <f aca="true">IF($D19&lt;&gt;"Serviço",0,IF(AND(AUTOEVENTO="Manual",$M19=1),0,IF(OFFSET(CRONOPLE!$F$14,$M19,AV$13)="",10^12,OFFSET(CRONOPLE!$F$14,$M19,AV$13))))</f>
        <v>0</v>
      </c>
      <c r="AX19" s="286" t="n">
        <f aca="true">IF($D19&lt;&gt;"Serviço",0,IF(OR(AND(AUTOEVENTO="Manual",$M19=1),$M19&gt;(ROW(PLE.lastrow)-ROW(PLE.firstrow))),0,IF(OFFSET(PLE!$G$14,$M19,AX$13)="",10^12,OFFSET(PLE!$G$14,$M19,AX$13))))</f>
        <v>0</v>
      </c>
      <c r="AY19" s="286" t="n">
        <f aca="true">IF($D19&lt;&gt;"Serviço",0,IF(OR(AND(AUTOEVENTO="Manual",$M19=1),$M19&gt;(ROW(PLE.lastrow)-ROW(PLE.firstrow))),0,IF(OFFSET(PLE!$G$14,$M19,AY$13)="",10^12,OFFSET(PLE!$G$14,$M19,AY$13))))</f>
        <v>0</v>
      </c>
      <c r="AZ19" s="286" t="n">
        <f aca="true">IF($D19&lt;&gt;"Serviço",0,IF(OR(AND(AUTOEVENTO="Manual",$M19=1),$M19&gt;(ROW(PLE.lastrow)-ROW(PLE.firstrow))),0,IF(OFFSET(PLE!$G$14,$M19,AZ$13)="",10^12,OFFSET(PLE!$G$14,$M19,AZ$13))))</f>
        <v>0</v>
      </c>
      <c r="BA19" s="286" t="n">
        <f aca="true">IF($D19&lt;&gt;"Serviço",0,IF(OR(AND(AUTOEVENTO="Manual",$M19=1),$M19&gt;(ROW(PLE.lastrow)-ROW(PLE.firstrow))),0,IF(OFFSET(PLE!$G$14,$M19,BA$13)="",10^12,OFFSET(PLE!$G$14,$M19,BA$13))))</f>
        <v>0</v>
      </c>
      <c r="BB19" s="286" t="n">
        <f aca="true">IF($D19&lt;&gt;"Serviço",0,IF(OR(AND(AUTOEVENTO="Manual",$M19=1),$M19&gt;(ROW(PLE.lastrow)-ROW(PLE.firstrow))),0,IF(OFFSET(PLE!$G$14,$M19,BB$13)="",10^12,OFFSET(PLE!$G$14,$M19,BB$13))))</f>
        <v>0</v>
      </c>
      <c r="BC19" s="286" t="n">
        <f aca="true">IF($D19&lt;&gt;"Serviço",0,IF(OR(AND(AUTOEVENTO="Manual",$M19=1),$M19&gt;(ROW(PLE.lastrow)-ROW(PLE.firstrow))),0,IF(OFFSET(PLE!$G$14,$M19,BC$13)="",10^12,OFFSET(PLE!$G$14,$M19,BC$13))))</f>
        <v>0</v>
      </c>
      <c r="BD19" s="286" t="n">
        <f aca="true">IF($D19&lt;&gt;"Serviço",0,IF(OR(AND(AUTOEVENTO="Manual",$M19=1),$M19&gt;(ROW(PLE.lastrow)-ROW(PLE.firstrow))),0,IF(OFFSET(PLE!$G$14,$M19,BD$13)="",10^12,OFFSET(PLE!$G$14,$M19,BD$13))))</f>
        <v>0</v>
      </c>
      <c r="BE19" s="286" t="n">
        <f aca="true">IF($D19&lt;&gt;"Serviço",0,IF(OR(AND(AUTOEVENTO="Manual",$M19=1),$M19&gt;(ROW(PLE.lastrow)-ROW(PLE.firstrow))),0,IF(OFFSET(PLE!$G$14,$M19,BE$13)="",10^12,OFFSET(PLE!$G$14,$M19,BE$13))))</f>
        <v>0</v>
      </c>
      <c r="BF19" s="286" t="n">
        <f aca="true">IF($D19&lt;&gt;"Serviço",0,IF(OR(AND(AUTOEVENTO="Manual",$M19=1),$M19&gt;(ROW(PLE.lastrow)-ROW(PLE.firstrow))),0,IF(OFFSET(PLE!$G$14,$M19,BF$13)="",10^12,OFFSET(PLE!$G$14,$M19,BF$13))))</f>
        <v>0</v>
      </c>
      <c r="BG19" s="286" t="n">
        <f aca="true">IF($D19&lt;&gt;"Serviço",0,IF(OR(AND(AUTOEVENTO="Manual",$M19=1),$M19&gt;(ROW(PLE.lastrow)-ROW(PLE.firstrow))),0,IF(OFFSET(PLE!$G$14,$M19,BG$13)="",10^12,OFFSET(PLE!$G$14,$M19,BG$13))))</f>
        <v>0</v>
      </c>
    </row>
    <row r="20" customFormat="false" ht="12.8" hidden="false" customHeight="false" outlineLevel="0" collapsed="false">
      <c r="A20" s="34" t="n">
        <f aca="true">IF(AUTOEVENTO="Manual",IF(K20&lt;&gt;"",MIN(VALUE(LEFT(K20,FIND(".",K20)-1)),COUNTA(EVENTOS.Lista)),0),IF(OR($B20&gt;AUTOEVENTO,$B20="S",$B20=0),SUBSTITUTE(OFFSET($A20,-1,0),IF($D20="Serviço",".",""),""),ROW(A20)-ROW($A$15)&amp;"."))</f>
        <v>1</v>
      </c>
      <c r="B20" s="34" t="str">
        <f aca="true">OFFSET(ORÇAMENTO!C$15,ROW(B20)-ROW(B$15),0)</f>
        <v>S</v>
      </c>
      <c r="C20" s="34" t="str">
        <f aca="true">OFFSET(ORÇAMENTO!L$15,ROW(C20)-ROW(C$15),0)</f>
        <v/>
      </c>
      <c r="D20" s="187" t="str">
        <f aca="true">OFFSET(ORÇAMENTO!N$15,ROW(D20)-ROW(D$15),0)</f>
        <v>Serviço</v>
      </c>
      <c r="E20" s="188" t="str">
        <f aca="true">OFFSET(ORÇAMENTO!O$15,ROW(E20)-ROW(E$15),0)</f>
        <v>-</v>
      </c>
      <c r="F20" s="272" t="str">
        <f aca="true">OFFSET(ORÇAMENTO!R$15,ROW(F20)-ROW(F$15),0)</f>
        <v>(abra o arquivo 'Referência 02-Thursday.xlsm)</v>
      </c>
      <c r="G20" s="273" t="str">
        <f aca="true">IF($D20&lt;&gt;"Serviço","",OFFSET(ORÇAMENTO!S$15,ROW(G20)-ROW(G$15),0))</f>
        <v>-</v>
      </c>
      <c r="H20" s="193" t="n">
        <f aca="true">IF($D20&lt;&gt;"Serviço",0,IF(ACOMPANHAMENTO="BM",ROUND(OFFSET(ORÇAMENTO!AJ$15,ROW(H20)-ROW(H$15),0),15-13*ORÇAMENTO!$AF$7),SUMPRODUCT(($Q$12:$AA$12&lt;&gt;"")*ROUND($Q20:$AA20,15-13*ORÇAMENTO!$AF$7))))</f>
        <v>3</v>
      </c>
      <c r="I20" s="274" t="s">
        <v>359</v>
      </c>
      <c r="K20" s="275" t="s">
        <v>360</v>
      </c>
      <c r="L20" s="276" t="s">
        <v>347</v>
      </c>
      <c r="M20" s="277" t="n">
        <f aca="true">IF($D20&lt;&gt;"Serviço","",IF(AUTOEVENTO="manual",$A20,IF(ISERROR(MATCH($A20,$A$15:OFFSET($A20,-1,0),0)),MAX($M$15:OFFSET(M20,-1,0))+1,INDEX($M$15:OFFSET(M20,-1,0),MATCH($A20,$A$15:OFFSET($A20,-1,0),0)))))</f>
        <v>1</v>
      </c>
      <c r="N20" s="278" t="str">
        <f aca="true">IF($D20&lt;&gt;"Serviço","",IF(AUTOEVENTO="Manual",IF($A20=0,"&lt;-- defina o número do agrupador",OFFSET(EVENTOS!$D$14,$A20,0)),OFFSET($F$15,$A20,0)))</f>
        <v>Administração Local</v>
      </c>
      <c r="O20" s="279"/>
      <c r="Q20" s="279" t="n">
        <v>3</v>
      </c>
      <c r="R20" s="280"/>
      <c r="S20" s="280"/>
      <c r="T20" s="280"/>
      <c r="U20" s="280"/>
      <c r="V20" s="280"/>
      <c r="W20" s="280"/>
      <c r="X20" s="280"/>
      <c r="Y20" s="280"/>
      <c r="Z20" s="281"/>
      <c r="AB20" s="282" t="n">
        <f aca="true">IF(AND($D20="Serviço",AB$12&lt;&gt;0,$H20&gt;0,OR(AUTOEVENTO&lt;&gt;"manual",$M20&lt;&gt;1)),
IF(Import.TipoArredondamento&lt;&gt;"TransfereGOV",
ROUND(OFFSET($P20,0,AB$13),15-13*ORÇAMENTO!$AF$7)/$H20*OFFSET(ORÇAMENTO!$X$15,ROW(AB20)-ROW(AB$15),0),
ROUND(ROUND(OFFSET($P20,0,AB$13),15-13*ORÇAMENTO!$AF$7)*OFFSET(ORÇAMENTO!$W$15,ROW(AB20)-ROW(AB$15),0),15-13*ORÇAMENTO!$AF$11)),0)</f>
        <v>0</v>
      </c>
      <c r="AC20" s="283" t="n">
        <f aca="true">IF(AND($D20="Serviço",AC$12&lt;&gt;0,$H20&gt;0,OR(AUTOEVENTO&lt;&gt;"manual",$M20&lt;&gt;1)),
IF(Import.TipoArredondamento&lt;&gt;"TransfereGOV",
ROUND(OFFSET($P20,0,AC$13),15-13*ORÇAMENTO!$AF$7)/$H20*OFFSET(ORÇAMENTO!$X$15,ROW(AC20)-ROW(AC$15),0),
ROUND(ROUND(OFFSET($P20,0,AC$13),15-13*ORÇAMENTO!$AF$7)*OFFSET(ORÇAMENTO!$W$15,ROW(AC20)-ROW(AC$15),0),15-13*ORÇAMENTO!$AF$11)),0)</f>
        <v>0</v>
      </c>
      <c r="AD20" s="283" t="n">
        <f aca="true">IF(AND($D20="Serviço",AD$12&lt;&gt;0,$H20&gt;0,OR(AUTOEVENTO&lt;&gt;"manual",$M20&lt;&gt;1)),
IF(Import.TipoArredondamento&lt;&gt;"TransfereGOV",
ROUND(OFFSET($P20,0,AD$13),15-13*ORÇAMENTO!$AF$7)/$H20*OFFSET(ORÇAMENTO!$X$15,ROW(AD20)-ROW(AD$15),0),
ROUND(ROUND(OFFSET($P20,0,AD$13),15-13*ORÇAMENTO!$AF$7)*OFFSET(ORÇAMENTO!$W$15,ROW(AD20)-ROW(AD$15),0),15-13*ORÇAMENTO!$AF$11)),0)</f>
        <v>0</v>
      </c>
      <c r="AE20" s="283" t="n">
        <f aca="true">IF(AND($D20="Serviço",AE$12&lt;&gt;0,$H20&gt;0,OR(AUTOEVENTO&lt;&gt;"manual",$M20&lt;&gt;1)),
IF(Import.TipoArredondamento&lt;&gt;"TransfereGOV",
ROUND(OFFSET($P20,0,AE$13),15-13*ORÇAMENTO!$AF$7)/$H20*OFFSET(ORÇAMENTO!$X$15,ROW(AE20)-ROW(AE$15),0),
ROUND(ROUND(OFFSET($P20,0,AE$13),15-13*ORÇAMENTO!$AF$7)*OFFSET(ORÇAMENTO!$W$15,ROW(AE20)-ROW(AE$15),0),15-13*ORÇAMENTO!$AF$11)),0)</f>
        <v>0</v>
      </c>
      <c r="AF20" s="283" t="n">
        <f aca="true">IF(AND($D20="Serviço",AF$12&lt;&gt;0,$H20&gt;0,OR(AUTOEVENTO&lt;&gt;"manual",$M20&lt;&gt;1)),
IF(Import.TipoArredondamento&lt;&gt;"TransfereGOV",
ROUND(OFFSET($P20,0,AF$13),15-13*ORÇAMENTO!$AF$7)/$H20*OFFSET(ORÇAMENTO!$X$15,ROW(AF20)-ROW(AF$15),0),
ROUND(ROUND(OFFSET($P20,0,AF$13),15-13*ORÇAMENTO!$AF$7)*OFFSET(ORÇAMENTO!$W$15,ROW(AF20)-ROW(AF$15),0),15-13*ORÇAMENTO!$AF$11)),0)</f>
        <v>0</v>
      </c>
      <c r="AG20" s="283" t="n">
        <f aca="true">IF(AND($D20="Serviço",AG$12&lt;&gt;0,$H20&gt;0,OR(AUTOEVENTO&lt;&gt;"manual",$M20&lt;&gt;1)),
IF(Import.TipoArredondamento&lt;&gt;"TransfereGOV",
ROUND(OFFSET($P20,0,AG$13),15-13*ORÇAMENTO!$AF$7)/$H20*OFFSET(ORÇAMENTO!$X$15,ROW(AG20)-ROW(AG$15),0),
ROUND(ROUND(OFFSET($P20,0,AG$13),15-13*ORÇAMENTO!$AF$7)*OFFSET(ORÇAMENTO!$W$15,ROW(AG20)-ROW(AG$15),0),15-13*ORÇAMENTO!$AF$11)),0)</f>
        <v>0</v>
      </c>
      <c r="AH20" s="283" t="n">
        <f aca="true">IF(AND($D20="Serviço",AH$12&lt;&gt;0,$H20&gt;0,OR(AUTOEVENTO&lt;&gt;"manual",$M20&lt;&gt;1)),
IF(Import.TipoArredondamento&lt;&gt;"TransfereGOV",
ROUND(OFFSET($P20,0,AH$13),15-13*ORÇAMENTO!$AF$7)/$H20*OFFSET(ORÇAMENTO!$X$15,ROW(AH20)-ROW(AH$15),0),
ROUND(ROUND(OFFSET($P20,0,AH$13),15-13*ORÇAMENTO!$AF$7)*OFFSET(ORÇAMENTO!$W$15,ROW(AH20)-ROW(AH$15),0),15-13*ORÇAMENTO!$AF$11)),0)</f>
        <v>0</v>
      </c>
      <c r="AI20" s="283" t="n">
        <f aca="true">IF(AND($D20="Serviço",AI$12&lt;&gt;0,$H20&gt;0,OR(AUTOEVENTO&lt;&gt;"manual",$M20&lt;&gt;1)),
IF(Import.TipoArredondamento&lt;&gt;"TransfereGOV",
ROUND(OFFSET($P20,0,AI$13),15-13*ORÇAMENTO!$AF$7)/$H20*OFFSET(ORÇAMENTO!$X$15,ROW(AI20)-ROW(AI$15),0),
ROUND(ROUND(OFFSET($P20,0,AI$13),15-13*ORÇAMENTO!$AF$7)*OFFSET(ORÇAMENTO!$W$15,ROW(AI20)-ROW(AI$15),0),15-13*ORÇAMENTO!$AF$11)),0)</f>
        <v>0</v>
      </c>
      <c r="AJ20" s="283" t="n">
        <f aca="true">IF(AND($D20="Serviço",AJ$12&lt;&gt;0,$H20&gt;0,OR(AUTOEVENTO&lt;&gt;"manual",$M20&lt;&gt;1)),
IF(Import.TipoArredondamento&lt;&gt;"TransfereGOV",
ROUND(OFFSET($P20,0,AJ$13),15-13*ORÇAMENTO!$AF$7)/$H20*OFFSET(ORÇAMENTO!$X$15,ROW(AJ20)-ROW(AJ$15),0),
ROUND(ROUND(OFFSET($P20,0,AJ$13),15-13*ORÇAMENTO!$AF$7)*OFFSET(ORÇAMENTO!$W$15,ROW(AJ20)-ROW(AJ$15),0),15-13*ORÇAMENTO!$AF$11)),0)</f>
        <v>0</v>
      </c>
      <c r="AK20" s="284" t="n">
        <f aca="true">IF(AND($D20="Serviço",AK$12&lt;&gt;0,$H20&gt;0,OR(AUTOEVENTO&lt;&gt;"manual",$M20&lt;&gt;1)),
IF(Import.TipoArredondamento&lt;&gt;"TransfereGOV",
ROUND(OFFSET($P20,0,AK$13),15-13*ORÇAMENTO!$AF$7)/$H20*OFFSET(ORÇAMENTO!$X$15,ROW(AK20)-ROW(AK$15),0),
ROUND(ROUND(OFFSET($P20,0,AK$13),15-13*ORÇAMENTO!$AF$7)*OFFSET(ORÇAMENTO!$W$15,ROW(AK20)-ROW(AK$15),0),15-13*ORÇAMENTO!$AF$11)),0)</f>
        <v>0</v>
      </c>
      <c r="AM20" s="285" t="n">
        <f aca="true">IF($D20&lt;&gt;"Serviço",0,IF(AND(AUTOEVENTO="Manual",$M20=1),0,IF(OFFSET(CRONOPLE!$F$14,$M20,AM$13)="",10^12,OFFSET(CRONOPLE!$F$14,$M20,AM$13))))</f>
        <v>0</v>
      </c>
      <c r="AN20" s="285" t="n">
        <f aca="true">IF($D20&lt;&gt;"Serviço",0,IF(AND(AUTOEVENTO="Manual",$M20=1),0,IF(OFFSET(CRONOPLE!$F$14,$M20,AN$13)="",10^12,OFFSET(CRONOPLE!$F$14,$M20,AN$13))))</f>
        <v>0</v>
      </c>
      <c r="AO20" s="285" t="n">
        <f aca="true">IF($D20&lt;&gt;"Serviço",0,IF(AND(AUTOEVENTO="Manual",$M20=1),0,IF(OFFSET(CRONOPLE!$F$14,$M20,AO$13)="",10^12,OFFSET(CRONOPLE!$F$14,$M20,AO$13))))</f>
        <v>0</v>
      </c>
      <c r="AP20" s="285" t="n">
        <f aca="true">IF($D20&lt;&gt;"Serviço",0,IF(AND(AUTOEVENTO="Manual",$M20=1),0,IF(OFFSET(CRONOPLE!$F$14,$M20,AP$13)="",10^12,OFFSET(CRONOPLE!$F$14,$M20,AP$13))))</f>
        <v>0</v>
      </c>
      <c r="AQ20" s="285" t="n">
        <f aca="true">IF($D20&lt;&gt;"Serviço",0,IF(AND(AUTOEVENTO="Manual",$M20=1),0,IF(OFFSET(CRONOPLE!$F$14,$M20,AQ$13)="",10^12,OFFSET(CRONOPLE!$F$14,$M20,AQ$13))))</f>
        <v>0</v>
      </c>
      <c r="AR20" s="285" t="n">
        <f aca="true">IF($D20&lt;&gt;"Serviço",0,IF(AND(AUTOEVENTO="Manual",$M20=1),0,IF(OFFSET(CRONOPLE!$F$14,$M20,AR$13)="",10^12,OFFSET(CRONOPLE!$F$14,$M20,AR$13))))</f>
        <v>0</v>
      </c>
      <c r="AS20" s="285" t="n">
        <f aca="true">IF($D20&lt;&gt;"Serviço",0,IF(AND(AUTOEVENTO="Manual",$M20=1),0,IF(OFFSET(CRONOPLE!$F$14,$M20,AS$13)="",10^12,OFFSET(CRONOPLE!$F$14,$M20,AS$13))))</f>
        <v>0</v>
      </c>
      <c r="AT20" s="285" t="n">
        <f aca="true">IF($D20&lt;&gt;"Serviço",0,IF(AND(AUTOEVENTO="Manual",$M20=1),0,IF(OFFSET(CRONOPLE!$F$14,$M20,AT$13)="",10^12,OFFSET(CRONOPLE!$F$14,$M20,AT$13))))</f>
        <v>0</v>
      </c>
      <c r="AU20" s="285" t="n">
        <f aca="true">IF($D20&lt;&gt;"Serviço",0,IF(AND(AUTOEVENTO="Manual",$M20=1),0,IF(OFFSET(CRONOPLE!$F$14,$M20,AU$13)="",10^12,OFFSET(CRONOPLE!$F$14,$M20,AU$13))))</f>
        <v>0</v>
      </c>
      <c r="AV20" s="285" t="n">
        <f aca="true">IF($D20&lt;&gt;"Serviço",0,IF(AND(AUTOEVENTO="Manual",$M20=1),0,IF(OFFSET(CRONOPLE!$F$14,$M20,AV$13)="",10^12,OFFSET(CRONOPLE!$F$14,$M20,AV$13))))</f>
        <v>0</v>
      </c>
      <c r="AX20" s="286" t="n">
        <f aca="true">IF($D20&lt;&gt;"Serviço",0,IF(OR(AND(AUTOEVENTO="Manual",$M20=1),$M20&gt;(ROW(PLE.lastrow)-ROW(PLE.firstrow))),0,IF(OFFSET(PLE!$G$14,$M20,AX$13)="",10^12,OFFSET(PLE!$G$14,$M20,AX$13))))</f>
        <v>0</v>
      </c>
      <c r="AY20" s="286" t="n">
        <f aca="true">IF($D20&lt;&gt;"Serviço",0,IF(OR(AND(AUTOEVENTO="Manual",$M20=1),$M20&gt;(ROW(PLE.lastrow)-ROW(PLE.firstrow))),0,IF(OFFSET(PLE!$G$14,$M20,AY$13)="",10^12,OFFSET(PLE!$G$14,$M20,AY$13))))</f>
        <v>0</v>
      </c>
      <c r="AZ20" s="286" t="n">
        <f aca="true">IF($D20&lt;&gt;"Serviço",0,IF(OR(AND(AUTOEVENTO="Manual",$M20=1),$M20&gt;(ROW(PLE.lastrow)-ROW(PLE.firstrow))),0,IF(OFFSET(PLE!$G$14,$M20,AZ$13)="",10^12,OFFSET(PLE!$G$14,$M20,AZ$13))))</f>
        <v>0</v>
      </c>
      <c r="BA20" s="286" t="n">
        <f aca="true">IF($D20&lt;&gt;"Serviço",0,IF(OR(AND(AUTOEVENTO="Manual",$M20=1),$M20&gt;(ROW(PLE.lastrow)-ROW(PLE.firstrow))),0,IF(OFFSET(PLE!$G$14,$M20,BA$13)="",10^12,OFFSET(PLE!$G$14,$M20,BA$13))))</f>
        <v>0</v>
      </c>
      <c r="BB20" s="286" t="n">
        <f aca="true">IF($D20&lt;&gt;"Serviço",0,IF(OR(AND(AUTOEVENTO="Manual",$M20=1),$M20&gt;(ROW(PLE.lastrow)-ROW(PLE.firstrow))),0,IF(OFFSET(PLE!$G$14,$M20,BB$13)="",10^12,OFFSET(PLE!$G$14,$M20,BB$13))))</f>
        <v>0</v>
      </c>
      <c r="BC20" s="286" t="n">
        <f aca="true">IF($D20&lt;&gt;"Serviço",0,IF(OR(AND(AUTOEVENTO="Manual",$M20=1),$M20&gt;(ROW(PLE.lastrow)-ROW(PLE.firstrow))),0,IF(OFFSET(PLE!$G$14,$M20,BC$13)="",10^12,OFFSET(PLE!$G$14,$M20,BC$13))))</f>
        <v>0</v>
      </c>
      <c r="BD20" s="286" t="n">
        <f aca="true">IF($D20&lt;&gt;"Serviço",0,IF(OR(AND(AUTOEVENTO="Manual",$M20=1),$M20&gt;(ROW(PLE.lastrow)-ROW(PLE.firstrow))),0,IF(OFFSET(PLE!$G$14,$M20,BD$13)="",10^12,OFFSET(PLE!$G$14,$M20,BD$13))))</f>
        <v>0</v>
      </c>
      <c r="BE20" s="286" t="n">
        <f aca="true">IF($D20&lt;&gt;"Serviço",0,IF(OR(AND(AUTOEVENTO="Manual",$M20=1),$M20&gt;(ROW(PLE.lastrow)-ROW(PLE.firstrow))),0,IF(OFFSET(PLE!$G$14,$M20,BE$13)="",10^12,OFFSET(PLE!$G$14,$M20,BE$13))))</f>
        <v>0</v>
      </c>
      <c r="BF20" s="286" t="n">
        <f aca="true">IF($D20&lt;&gt;"Serviço",0,IF(OR(AND(AUTOEVENTO="Manual",$M20=1),$M20&gt;(ROW(PLE.lastrow)-ROW(PLE.firstrow))),0,IF(OFFSET(PLE!$G$14,$M20,BF$13)="",10^12,OFFSET(PLE!$G$14,$M20,BF$13))))</f>
        <v>0</v>
      </c>
      <c r="BG20" s="286" t="n">
        <f aca="true">IF($D20&lt;&gt;"Serviço",0,IF(OR(AND(AUTOEVENTO="Manual",$M20=1),$M20&gt;(ROW(PLE.lastrow)-ROW(PLE.firstrow))),0,IF(OFFSET(PLE!$G$14,$M20,BG$13)="",10^12,OFFSET(PLE!$G$14,$M20,BG$13))))</f>
        <v>0</v>
      </c>
    </row>
    <row r="21" customFormat="false" ht="12.8" hidden="false" customHeight="false" outlineLevel="0" collapsed="false">
      <c r="A21" s="34" t="n">
        <f aca="true">IF(AUTOEVENTO="Manual",IF(K21&lt;&gt;"",MIN(VALUE(LEFT(K21,FIND(".",K21)-1)),COUNTA(EVENTOS.Lista)),0),IF(OR($B21&gt;AUTOEVENTO,$B21="S",$B21=0),SUBSTITUTE(OFFSET($A21,-1,0),IF($D21="Serviço",".",""),""),ROW(A21)-ROW($A$15)&amp;"."))</f>
        <v>0</v>
      </c>
      <c r="B21" s="34" t="n">
        <f aca="true">OFFSET(ORÇAMENTO!C$15,ROW(B21)-ROW(B$15),0)</f>
        <v>2</v>
      </c>
      <c r="C21" s="34" t="str">
        <f aca="true">OFFSET(ORÇAMENTO!L$15,ROW(C21)-ROW(C$15),0)</f>
        <v>F</v>
      </c>
      <c r="D21" s="187" t="str">
        <f aca="true">OFFSET(ORÇAMENTO!N$15,ROW(D21)-ROW(D$15),0)</f>
        <v>Nível 2</v>
      </c>
      <c r="E21" s="188" t="str">
        <f aca="true">OFFSET(ORÇAMENTO!O$15,ROW(E21)-ROW(E$15),0)</f>
        <v>1.3.</v>
      </c>
      <c r="F21" s="272" t="str">
        <f aca="true">OFFSET(ORÇAMENTO!R$15,ROW(F21)-ROW(F$15),0)</f>
        <v>Canteiro</v>
      </c>
      <c r="G21" s="273" t="str">
        <f aca="true">IF($D21&lt;&gt;"Serviço","",OFFSET(ORÇAMENTO!S$15,ROW(G21)-ROW(G$15),0))</f>
        <v/>
      </c>
      <c r="H21" s="193" t="n">
        <f aca="true">IF($D21&lt;&gt;"Serviço",0,IF(ACOMPANHAMENTO="BM",ROUND(OFFSET(ORÇAMENTO!AJ$15,ROW(H21)-ROW(H$15),0),15-13*ORÇAMENTO!$AF$7),SUMPRODUCT(($Q$12:$AA$12&lt;&gt;"")*ROUND($Q21:$AA21,15-13*ORÇAMENTO!$AF$7))))</f>
        <v>0</v>
      </c>
      <c r="I21" s="274"/>
      <c r="K21" s="275"/>
      <c r="L21" s="276" t="s">
        <v>347</v>
      </c>
      <c r="M21" s="277" t="str">
        <f aca="true">IF($D21&lt;&gt;"Serviço","",IF(AUTOEVENTO="manual",$A21,IF(ISERROR(MATCH($A21,$A$15:OFFSET($A21,-1,0),0)),MAX($M$15:OFFSET(M21,-1,0))+1,INDEX($M$15:OFFSET(M21,-1,0),MATCH($A21,$A$15:OFFSET($A21,-1,0),0)))))</f>
        <v/>
      </c>
      <c r="N21" s="278" t="str">
        <f aca="true">IF($D21&lt;&gt;"Serviço","",IF(AUTOEVENTO="Manual",IF($A21=0,"&lt;-- defina o número do agrupador",OFFSET(EVENTOS!$D$14,$A21,0)),OFFSET($F$15,$A21,0)))</f>
        <v/>
      </c>
      <c r="O21" s="279"/>
      <c r="Q21" s="279"/>
      <c r="R21" s="280"/>
      <c r="S21" s="280"/>
      <c r="T21" s="280"/>
      <c r="U21" s="280"/>
      <c r="V21" s="280"/>
      <c r="W21" s="280"/>
      <c r="X21" s="280"/>
      <c r="Y21" s="280"/>
      <c r="Z21" s="281"/>
      <c r="AB21" s="282" t="n">
        <f aca="true">IF(AND($D21="Serviço",AB$12&lt;&gt;0,$H21&gt;0,OR(AUTOEVENTO&lt;&gt;"manual",$M21&lt;&gt;1)),
IF(Import.TipoArredondamento&lt;&gt;"TransfereGOV",
ROUND(OFFSET($P21,0,AB$13),15-13*ORÇAMENTO!$AF$7)/$H21*OFFSET(ORÇAMENTO!$X$15,ROW(AB21)-ROW(AB$15),0),
ROUND(ROUND(OFFSET($P21,0,AB$13),15-13*ORÇAMENTO!$AF$7)*OFFSET(ORÇAMENTO!$W$15,ROW(AB21)-ROW(AB$15),0),15-13*ORÇAMENTO!$AF$11)),0)</f>
        <v>0</v>
      </c>
      <c r="AC21" s="283" t="n">
        <f aca="true">IF(AND($D21="Serviço",AC$12&lt;&gt;0,$H21&gt;0,OR(AUTOEVENTO&lt;&gt;"manual",$M21&lt;&gt;1)),
IF(Import.TipoArredondamento&lt;&gt;"TransfereGOV",
ROUND(OFFSET($P21,0,AC$13),15-13*ORÇAMENTO!$AF$7)/$H21*OFFSET(ORÇAMENTO!$X$15,ROW(AC21)-ROW(AC$15),0),
ROUND(ROUND(OFFSET($P21,0,AC$13),15-13*ORÇAMENTO!$AF$7)*OFFSET(ORÇAMENTO!$W$15,ROW(AC21)-ROW(AC$15),0),15-13*ORÇAMENTO!$AF$11)),0)</f>
        <v>0</v>
      </c>
      <c r="AD21" s="283" t="n">
        <f aca="true">IF(AND($D21="Serviço",AD$12&lt;&gt;0,$H21&gt;0,OR(AUTOEVENTO&lt;&gt;"manual",$M21&lt;&gt;1)),
IF(Import.TipoArredondamento&lt;&gt;"TransfereGOV",
ROUND(OFFSET($P21,0,AD$13),15-13*ORÇAMENTO!$AF$7)/$H21*OFFSET(ORÇAMENTO!$X$15,ROW(AD21)-ROW(AD$15),0),
ROUND(ROUND(OFFSET($P21,0,AD$13),15-13*ORÇAMENTO!$AF$7)*OFFSET(ORÇAMENTO!$W$15,ROW(AD21)-ROW(AD$15),0),15-13*ORÇAMENTO!$AF$11)),0)</f>
        <v>0</v>
      </c>
      <c r="AE21" s="283" t="n">
        <f aca="true">IF(AND($D21="Serviço",AE$12&lt;&gt;0,$H21&gt;0,OR(AUTOEVENTO&lt;&gt;"manual",$M21&lt;&gt;1)),
IF(Import.TipoArredondamento&lt;&gt;"TransfereGOV",
ROUND(OFFSET($P21,0,AE$13),15-13*ORÇAMENTO!$AF$7)/$H21*OFFSET(ORÇAMENTO!$X$15,ROW(AE21)-ROW(AE$15),0),
ROUND(ROUND(OFFSET($P21,0,AE$13),15-13*ORÇAMENTO!$AF$7)*OFFSET(ORÇAMENTO!$W$15,ROW(AE21)-ROW(AE$15),0),15-13*ORÇAMENTO!$AF$11)),0)</f>
        <v>0</v>
      </c>
      <c r="AF21" s="283" t="n">
        <f aca="true">IF(AND($D21="Serviço",AF$12&lt;&gt;0,$H21&gt;0,OR(AUTOEVENTO&lt;&gt;"manual",$M21&lt;&gt;1)),
IF(Import.TipoArredondamento&lt;&gt;"TransfereGOV",
ROUND(OFFSET($P21,0,AF$13),15-13*ORÇAMENTO!$AF$7)/$H21*OFFSET(ORÇAMENTO!$X$15,ROW(AF21)-ROW(AF$15),0),
ROUND(ROUND(OFFSET($P21,0,AF$13),15-13*ORÇAMENTO!$AF$7)*OFFSET(ORÇAMENTO!$W$15,ROW(AF21)-ROW(AF$15),0),15-13*ORÇAMENTO!$AF$11)),0)</f>
        <v>0</v>
      </c>
      <c r="AG21" s="283" t="n">
        <f aca="true">IF(AND($D21="Serviço",AG$12&lt;&gt;0,$H21&gt;0,OR(AUTOEVENTO&lt;&gt;"manual",$M21&lt;&gt;1)),
IF(Import.TipoArredondamento&lt;&gt;"TransfereGOV",
ROUND(OFFSET($P21,0,AG$13),15-13*ORÇAMENTO!$AF$7)/$H21*OFFSET(ORÇAMENTO!$X$15,ROW(AG21)-ROW(AG$15),0),
ROUND(ROUND(OFFSET($P21,0,AG$13),15-13*ORÇAMENTO!$AF$7)*OFFSET(ORÇAMENTO!$W$15,ROW(AG21)-ROW(AG$15),0),15-13*ORÇAMENTO!$AF$11)),0)</f>
        <v>0</v>
      </c>
      <c r="AH21" s="283" t="n">
        <f aca="true">IF(AND($D21="Serviço",AH$12&lt;&gt;0,$H21&gt;0,OR(AUTOEVENTO&lt;&gt;"manual",$M21&lt;&gt;1)),
IF(Import.TipoArredondamento&lt;&gt;"TransfereGOV",
ROUND(OFFSET($P21,0,AH$13),15-13*ORÇAMENTO!$AF$7)/$H21*OFFSET(ORÇAMENTO!$X$15,ROW(AH21)-ROW(AH$15),0),
ROUND(ROUND(OFFSET($P21,0,AH$13),15-13*ORÇAMENTO!$AF$7)*OFFSET(ORÇAMENTO!$W$15,ROW(AH21)-ROW(AH$15),0),15-13*ORÇAMENTO!$AF$11)),0)</f>
        <v>0</v>
      </c>
      <c r="AI21" s="283" t="n">
        <f aca="true">IF(AND($D21="Serviço",AI$12&lt;&gt;0,$H21&gt;0,OR(AUTOEVENTO&lt;&gt;"manual",$M21&lt;&gt;1)),
IF(Import.TipoArredondamento&lt;&gt;"TransfereGOV",
ROUND(OFFSET($P21,0,AI$13),15-13*ORÇAMENTO!$AF$7)/$H21*OFFSET(ORÇAMENTO!$X$15,ROW(AI21)-ROW(AI$15),0),
ROUND(ROUND(OFFSET($P21,0,AI$13),15-13*ORÇAMENTO!$AF$7)*OFFSET(ORÇAMENTO!$W$15,ROW(AI21)-ROW(AI$15),0),15-13*ORÇAMENTO!$AF$11)),0)</f>
        <v>0</v>
      </c>
      <c r="AJ21" s="283" t="n">
        <f aca="true">IF(AND($D21="Serviço",AJ$12&lt;&gt;0,$H21&gt;0,OR(AUTOEVENTO&lt;&gt;"manual",$M21&lt;&gt;1)),
IF(Import.TipoArredondamento&lt;&gt;"TransfereGOV",
ROUND(OFFSET($P21,0,AJ$13),15-13*ORÇAMENTO!$AF$7)/$H21*OFFSET(ORÇAMENTO!$X$15,ROW(AJ21)-ROW(AJ$15),0),
ROUND(ROUND(OFFSET($P21,0,AJ$13),15-13*ORÇAMENTO!$AF$7)*OFFSET(ORÇAMENTO!$W$15,ROW(AJ21)-ROW(AJ$15),0),15-13*ORÇAMENTO!$AF$11)),0)</f>
        <v>0</v>
      </c>
      <c r="AK21" s="284" t="n">
        <f aca="true">IF(AND($D21="Serviço",AK$12&lt;&gt;0,$H21&gt;0,OR(AUTOEVENTO&lt;&gt;"manual",$M21&lt;&gt;1)),
IF(Import.TipoArredondamento&lt;&gt;"TransfereGOV",
ROUND(OFFSET($P21,0,AK$13),15-13*ORÇAMENTO!$AF$7)/$H21*OFFSET(ORÇAMENTO!$X$15,ROW(AK21)-ROW(AK$15),0),
ROUND(ROUND(OFFSET($P21,0,AK$13),15-13*ORÇAMENTO!$AF$7)*OFFSET(ORÇAMENTO!$W$15,ROW(AK21)-ROW(AK$15),0),15-13*ORÇAMENTO!$AF$11)),0)</f>
        <v>0</v>
      </c>
      <c r="AM21" s="285" t="n">
        <f aca="true">IF($D21&lt;&gt;"Serviço",0,IF(AND(AUTOEVENTO="Manual",$M21=1),0,IF(OFFSET(CRONOPLE!$F$14,$M21,AM$13)="",10^12,OFFSET(CRONOPLE!$F$14,$M21,AM$13))))</f>
        <v>0</v>
      </c>
      <c r="AN21" s="285" t="n">
        <f aca="true">IF($D21&lt;&gt;"Serviço",0,IF(AND(AUTOEVENTO="Manual",$M21=1),0,IF(OFFSET(CRONOPLE!$F$14,$M21,AN$13)="",10^12,OFFSET(CRONOPLE!$F$14,$M21,AN$13))))</f>
        <v>0</v>
      </c>
      <c r="AO21" s="285" t="n">
        <f aca="true">IF($D21&lt;&gt;"Serviço",0,IF(AND(AUTOEVENTO="Manual",$M21=1),0,IF(OFFSET(CRONOPLE!$F$14,$M21,AO$13)="",10^12,OFFSET(CRONOPLE!$F$14,$M21,AO$13))))</f>
        <v>0</v>
      </c>
      <c r="AP21" s="285" t="n">
        <f aca="true">IF($D21&lt;&gt;"Serviço",0,IF(AND(AUTOEVENTO="Manual",$M21=1),0,IF(OFFSET(CRONOPLE!$F$14,$M21,AP$13)="",10^12,OFFSET(CRONOPLE!$F$14,$M21,AP$13))))</f>
        <v>0</v>
      </c>
      <c r="AQ21" s="285" t="n">
        <f aca="true">IF($D21&lt;&gt;"Serviço",0,IF(AND(AUTOEVENTO="Manual",$M21=1),0,IF(OFFSET(CRONOPLE!$F$14,$M21,AQ$13)="",10^12,OFFSET(CRONOPLE!$F$14,$M21,AQ$13))))</f>
        <v>0</v>
      </c>
      <c r="AR21" s="285" t="n">
        <f aca="true">IF($D21&lt;&gt;"Serviço",0,IF(AND(AUTOEVENTO="Manual",$M21=1),0,IF(OFFSET(CRONOPLE!$F$14,$M21,AR$13)="",10^12,OFFSET(CRONOPLE!$F$14,$M21,AR$13))))</f>
        <v>0</v>
      </c>
      <c r="AS21" s="285" t="n">
        <f aca="true">IF($D21&lt;&gt;"Serviço",0,IF(AND(AUTOEVENTO="Manual",$M21=1),0,IF(OFFSET(CRONOPLE!$F$14,$M21,AS$13)="",10^12,OFFSET(CRONOPLE!$F$14,$M21,AS$13))))</f>
        <v>0</v>
      </c>
      <c r="AT21" s="285" t="n">
        <f aca="true">IF($D21&lt;&gt;"Serviço",0,IF(AND(AUTOEVENTO="Manual",$M21=1),0,IF(OFFSET(CRONOPLE!$F$14,$M21,AT$13)="",10^12,OFFSET(CRONOPLE!$F$14,$M21,AT$13))))</f>
        <v>0</v>
      </c>
      <c r="AU21" s="285" t="n">
        <f aca="true">IF($D21&lt;&gt;"Serviço",0,IF(AND(AUTOEVENTO="Manual",$M21=1),0,IF(OFFSET(CRONOPLE!$F$14,$M21,AU$13)="",10^12,OFFSET(CRONOPLE!$F$14,$M21,AU$13))))</f>
        <v>0</v>
      </c>
      <c r="AV21" s="285" t="n">
        <f aca="true">IF($D21&lt;&gt;"Serviço",0,IF(AND(AUTOEVENTO="Manual",$M21=1),0,IF(OFFSET(CRONOPLE!$F$14,$M21,AV$13)="",10^12,OFFSET(CRONOPLE!$F$14,$M21,AV$13))))</f>
        <v>0</v>
      </c>
      <c r="AX21" s="286" t="n">
        <f aca="true">IF($D21&lt;&gt;"Serviço",0,IF(OR(AND(AUTOEVENTO="Manual",$M21=1),$M21&gt;(ROW(PLE.lastrow)-ROW(PLE.firstrow))),0,IF(OFFSET(PLE!$G$14,$M21,AX$13)="",10^12,OFFSET(PLE!$G$14,$M21,AX$13))))</f>
        <v>0</v>
      </c>
      <c r="AY21" s="286" t="n">
        <f aca="true">IF($D21&lt;&gt;"Serviço",0,IF(OR(AND(AUTOEVENTO="Manual",$M21=1),$M21&gt;(ROW(PLE.lastrow)-ROW(PLE.firstrow))),0,IF(OFFSET(PLE!$G$14,$M21,AY$13)="",10^12,OFFSET(PLE!$G$14,$M21,AY$13))))</f>
        <v>0</v>
      </c>
      <c r="AZ21" s="286" t="n">
        <f aca="true">IF($D21&lt;&gt;"Serviço",0,IF(OR(AND(AUTOEVENTO="Manual",$M21=1),$M21&gt;(ROW(PLE.lastrow)-ROW(PLE.firstrow))),0,IF(OFFSET(PLE!$G$14,$M21,AZ$13)="",10^12,OFFSET(PLE!$G$14,$M21,AZ$13))))</f>
        <v>0</v>
      </c>
      <c r="BA21" s="286" t="n">
        <f aca="true">IF($D21&lt;&gt;"Serviço",0,IF(OR(AND(AUTOEVENTO="Manual",$M21=1),$M21&gt;(ROW(PLE.lastrow)-ROW(PLE.firstrow))),0,IF(OFFSET(PLE!$G$14,$M21,BA$13)="",10^12,OFFSET(PLE!$G$14,$M21,BA$13))))</f>
        <v>0</v>
      </c>
      <c r="BB21" s="286" t="n">
        <f aca="true">IF($D21&lt;&gt;"Serviço",0,IF(OR(AND(AUTOEVENTO="Manual",$M21=1),$M21&gt;(ROW(PLE.lastrow)-ROW(PLE.firstrow))),0,IF(OFFSET(PLE!$G$14,$M21,BB$13)="",10^12,OFFSET(PLE!$G$14,$M21,BB$13))))</f>
        <v>0</v>
      </c>
      <c r="BC21" s="286" t="n">
        <f aca="true">IF($D21&lt;&gt;"Serviço",0,IF(OR(AND(AUTOEVENTO="Manual",$M21=1),$M21&gt;(ROW(PLE.lastrow)-ROW(PLE.firstrow))),0,IF(OFFSET(PLE!$G$14,$M21,BC$13)="",10^12,OFFSET(PLE!$G$14,$M21,BC$13))))</f>
        <v>0</v>
      </c>
      <c r="BD21" s="286" t="n">
        <f aca="true">IF($D21&lt;&gt;"Serviço",0,IF(OR(AND(AUTOEVENTO="Manual",$M21=1),$M21&gt;(ROW(PLE.lastrow)-ROW(PLE.firstrow))),0,IF(OFFSET(PLE!$G$14,$M21,BD$13)="",10^12,OFFSET(PLE!$G$14,$M21,BD$13))))</f>
        <v>0</v>
      </c>
      <c r="BE21" s="286" t="n">
        <f aca="true">IF($D21&lt;&gt;"Serviço",0,IF(OR(AND(AUTOEVENTO="Manual",$M21=1),$M21&gt;(ROW(PLE.lastrow)-ROW(PLE.firstrow))),0,IF(OFFSET(PLE!$G$14,$M21,BE$13)="",10^12,OFFSET(PLE!$G$14,$M21,BE$13))))</f>
        <v>0</v>
      </c>
      <c r="BF21" s="286" t="n">
        <f aca="true">IF($D21&lt;&gt;"Serviço",0,IF(OR(AND(AUTOEVENTO="Manual",$M21=1),$M21&gt;(ROW(PLE.lastrow)-ROW(PLE.firstrow))),0,IF(OFFSET(PLE!$G$14,$M21,BF$13)="",10^12,OFFSET(PLE!$G$14,$M21,BF$13))))</f>
        <v>0</v>
      </c>
      <c r="BG21" s="286" t="n">
        <f aca="true">IF($D21&lt;&gt;"Serviço",0,IF(OR(AND(AUTOEVENTO="Manual",$M21=1),$M21&gt;(ROW(PLE.lastrow)-ROW(PLE.firstrow))),0,IF(OFFSET(PLE!$G$14,$M21,BG$13)="",10^12,OFFSET(PLE!$G$14,$M21,BG$13))))</f>
        <v>0</v>
      </c>
    </row>
    <row r="22" customFormat="false" ht="12.8" hidden="false" customHeight="false" outlineLevel="0" collapsed="false">
      <c r="A22" s="34" t="n">
        <f aca="true">IF(AUTOEVENTO="Manual",IF(K22&lt;&gt;"",MIN(VALUE(LEFT(K22,FIND(".",K22)-1)),COUNTA(EVENTOS.Lista)),0),IF(OR($B22&gt;AUTOEVENTO,$B22="S",$B22=0),SUBSTITUTE(OFFSET($A22,-1,0),IF($D22="Serviço",".",""),""),ROW(A22)-ROW($A$15)&amp;"."))</f>
        <v>3</v>
      </c>
      <c r="B22" s="34" t="str">
        <f aca="true">OFFSET(ORÇAMENTO!C$15,ROW(B22)-ROW(B$15),0)</f>
        <v>S</v>
      </c>
      <c r="C22" s="34" t="str">
        <f aca="true">OFFSET(ORÇAMENTO!L$15,ROW(C22)-ROW(C$15),0)</f>
        <v/>
      </c>
      <c r="D22" s="187" t="str">
        <f aca="true">OFFSET(ORÇAMENTO!N$15,ROW(D22)-ROW(D$15),0)</f>
        <v>Serviço</v>
      </c>
      <c r="E22" s="188" t="str">
        <f aca="true">OFFSET(ORÇAMENTO!O$15,ROW(E22)-ROW(E$15),0)</f>
        <v>-</v>
      </c>
      <c r="F22" s="272" t="str">
        <f aca="true">OFFSET(ORÇAMENTO!R$15,ROW(F22)-ROW(F$15),0)</f>
        <v>(abra o arquivo 'Referência 02-Thursday.xlsm)</v>
      </c>
      <c r="G22" s="273" t="str">
        <f aca="true">IF($D22&lt;&gt;"Serviço","",OFFSET(ORÇAMENTO!S$15,ROW(G22)-ROW(G$15),0))</f>
        <v>-</v>
      </c>
      <c r="H22" s="193" t="n">
        <f aca="true">IF($D22&lt;&gt;"Serviço",0,IF(ACOMPANHAMENTO="BM",ROUND(OFFSET(ORÇAMENTO!AJ$15,ROW(H22)-ROW(H$15),0),15-13*ORÇAMENTO!$AF$7),SUMPRODUCT(($Q$12:$AA$12&lt;&gt;"")*ROUND($Q22:$AA22,15-13*ORÇAMENTO!$AF$7))))</f>
        <v>3</v>
      </c>
      <c r="I22" s="274" t="s">
        <v>361</v>
      </c>
      <c r="K22" s="275" t="s">
        <v>362</v>
      </c>
      <c r="L22" s="276" t="s">
        <v>347</v>
      </c>
      <c r="M22" s="277" t="n">
        <f aca="true">IF($D22&lt;&gt;"Serviço","",IF(AUTOEVENTO="manual",$A22,IF(ISERROR(MATCH($A22,$A$15:OFFSET($A22,-1,0),0)),MAX($M$15:OFFSET(M22,-1,0))+1,INDEX($M$15:OFFSET(M22,-1,0),MATCH($A22,$A$15:OFFSET($A22,-1,0),0)))))</f>
        <v>3</v>
      </c>
      <c r="N22" s="278" t="str">
        <f aca="true">IF($D22&lt;&gt;"Serviço","",IF(AUTOEVENTO="Manual",IF($A22=0,"&lt;-- defina o número do agrupador",OFFSET(EVENTOS!$D$14,$A22,0)),OFFSET($F$15,$A22,0)))</f>
        <v>Canteiro</v>
      </c>
      <c r="O22" s="279"/>
      <c r="Q22" s="279" t="n">
        <v>3</v>
      </c>
      <c r="R22" s="280"/>
      <c r="S22" s="280"/>
      <c r="T22" s="280"/>
      <c r="U22" s="280"/>
      <c r="V22" s="280"/>
      <c r="W22" s="280"/>
      <c r="X22" s="280"/>
      <c r="Y22" s="280"/>
      <c r="Z22" s="281"/>
      <c r="AB22" s="282" t="n">
        <f aca="true">IF(AND($D22="Serviço",AB$12&lt;&gt;0,$H22&gt;0,OR(AUTOEVENTO&lt;&gt;"manual",$M22&lt;&gt;1)),
IF(Import.TipoArredondamento&lt;&gt;"TransfereGOV",
ROUND(OFFSET($P22,0,AB$13),15-13*ORÇAMENTO!$AF$7)/$H22*OFFSET(ORÇAMENTO!$X$15,ROW(AB22)-ROW(AB$15),0),
ROUND(ROUND(OFFSET($P22,0,AB$13),15-13*ORÇAMENTO!$AF$7)*OFFSET(ORÇAMENTO!$W$15,ROW(AB22)-ROW(AB$15),0),15-13*ORÇAMENTO!$AF$11)),0)</f>
        <v>0</v>
      </c>
      <c r="AC22" s="283" t="n">
        <f aca="true">IF(AND($D22="Serviço",AC$12&lt;&gt;0,$H22&gt;0,OR(AUTOEVENTO&lt;&gt;"manual",$M22&lt;&gt;1)),
IF(Import.TipoArredondamento&lt;&gt;"TransfereGOV",
ROUND(OFFSET($P22,0,AC$13),15-13*ORÇAMENTO!$AF$7)/$H22*OFFSET(ORÇAMENTO!$X$15,ROW(AC22)-ROW(AC$15),0),
ROUND(ROUND(OFFSET($P22,0,AC$13),15-13*ORÇAMENTO!$AF$7)*OFFSET(ORÇAMENTO!$W$15,ROW(AC22)-ROW(AC$15),0),15-13*ORÇAMENTO!$AF$11)),0)</f>
        <v>0</v>
      </c>
      <c r="AD22" s="283" t="n">
        <f aca="true">IF(AND($D22="Serviço",AD$12&lt;&gt;0,$H22&gt;0,OR(AUTOEVENTO&lt;&gt;"manual",$M22&lt;&gt;1)),
IF(Import.TipoArredondamento&lt;&gt;"TransfereGOV",
ROUND(OFFSET($P22,0,AD$13),15-13*ORÇAMENTO!$AF$7)/$H22*OFFSET(ORÇAMENTO!$X$15,ROW(AD22)-ROW(AD$15),0),
ROUND(ROUND(OFFSET($P22,0,AD$13),15-13*ORÇAMENTO!$AF$7)*OFFSET(ORÇAMENTO!$W$15,ROW(AD22)-ROW(AD$15),0),15-13*ORÇAMENTO!$AF$11)),0)</f>
        <v>0</v>
      </c>
      <c r="AE22" s="283" t="n">
        <f aca="true">IF(AND($D22="Serviço",AE$12&lt;&gt;0,$H22&gt;0,OR(AUTOEVENTO&lt;&gt;"manual",$M22&lt;&gt;1)),
IF(Import.TipoArredondamento&lt;&gt;"TransfereGOV",
ROUND(OFFSET($P22,0,AE$13),15-13*ORÇAMENTO!$AF$7)/$H22*OFFSET(ORÇAMENTO!$X$15,ROW(AE22)-ROW(AE$15),0),
ROUND(ROUND(OFFSET($P22,0,AE$13),15-13*ORÇAMENTO!$AF$7)*OFFSET(ORÇAMENTO!$W$15,ROW(AE22)-ROW(AE$15),0),15-13*ORÇAMENTO!$AF$11)),0)</f>
        <v>0</v>
      </c>
      <c r="AF22" s="283" t="n">
        <f aca="true">IF(AND($D22="Serviço",AF$12&lt;&gt;0,$H22&gt;0,OR(AUTOEVENTO&lt;&gt;"manual",$M22&lt;&gt;1)),
IF(Import.TipoArredondamento&lt;&gt;"TransfereGOV",
ROUND(OFFSET($P22,0,AF$13),15-13*ORÇAMENTO!$AF$7)/$H22*OFFSET(ORÇAMENTO!$X$15,ROW(AF22)-ROW(AF$15),0),
ROUND(ROUND(OFFSET($P22,0,AF$13),15-13*ORÇAMENTO!$AF$7)*OFFSET(ORÇAMENTO!$W$15,ROW(AF22)-ROW(AF$15),0),15-13*ORÇAMENTO!$AF$11)),0)</f>
        <v>0</v>
      </c>
      <c r="AG22" s="283" t="n">
        <f aca="true">IF(AND($D22="Serviço",AG$12&lt;&gt;0,$H22&gt;0,OR(AUTOEVENTO&lt;&gt;"manual",$M22&lt;&gt;1)),
IF(Import.TipoArredondamento&lt;&gt;"TransfereGOV",
ROUND(OFFSET($P22,0,AG$13),15-13*ORÇAMENTO!$AF$7)/$H22*OFFSET(ORÇAMENTO!$X$15,ROW(AG22)-ROW(AG$15),0),
ROUND(ROUND(OFFSET($P22,0,AG$13),15-13*ORÇAMENTO!$AF$7)*OFFSET(ORÇAMENTO!$W$15,ROW(AG22)-ROW(AG$15),0),15-13*ORÇAMENTO!$AF$11)),0)</f>
        <v>0</v>
      </c>
      <c r="AH22" s="283" t="n">
        <f aca="true">IF(AND($D22="Serviço",AH$12&lt;&gt;0,$H22&gt;0,OR(AUTOEVENTO&lt;&gt;"manual",$M22&lt;&gt;1)),
IF(Import.TipoArredondamento&lt;&gt;"TransfereGOV",
ROUND(OFFSET($P22,0,AH$13),15-13*ORÇAMENTO!$AF$7)/$H22*OFFSET(ORÇAMENTO!$X$15,ROW(AH22)-ROW(AH$15),0),
ROUND(ROUND(OFFSET($P22,0,AH$13),15-13*ORÇAMENTO!$AF$7)*OFFSET(ORÇAMENTO!$W$15,ROW(AH22)-ROW(AH$15),0),15-13*ORÇAMENTO!$AF$11)),0)</f>
        <v>0</v>
      </c>
      <c r="AI22" s="283" t="n">
        <f aca="true">IF(AND($D22="Serviço",AI$12&lt;&gt;0,$H22&gt;0,OR(AUTOEVENTO&lt;&gt;"manual",$M22&lt;&gt;1)),
IF(Import.TipoArredondamento&lt;&gt;"TransfereGOV",
ROUND(OFFSET($P22,0,AI$13),15-13*ORÇAMENTO!$AF$7)/$H22*OFFSET(ORÇAMENTO!$X$15,ROW(AI22)-ROW(AI$15),0),
ROUND(ROUND(OFFSET($P22,0,AI$13),15-13*ORÇAMENTO!$AF$7)*OFFSET(ORÇAMENTO!$W$15,ROW(AI22)-ROW(AI$15),0),15-13*ORÇAMENTO!$AF$11)),0)</f>
        <v>0</v>
      </c>
      <c r="AJ22" s="283" t="n">
        <f aca="true">IF(AND($D22="Serviço",AJ$12&lt;&gt;0,$H22&gt;0,OR(AUTOEVENTO&lt;&gt;"manual",$M22&lt;&gt;1)),
IF(Import.TipoArredondamento&lt;&gt;"TransfereGOV",
ROUND(OFFSET($P22,0,AJ$13),15-13*ORÇAMENTO!$AF$7)/$H22*OFFSET(ORÇAMENTO!$X$15,ROW(AJ22)-ROW(AJ$15),0),
ROUND(ROUND(OFFSET($P22,0,AJ$13),15-13*ORÇAMENTO!$AF$7)*OFFSET(ORÇAMENTO!$W$15,ROW(AJ22)-ROW(AJ$15),0),15-13*ORÇAMENTO!$AF$11)),0)</f>
        <v>0</v>
      </c>
      <c r="AK22" s="284" t="n">
        <f aca="true">IF(AND($D22="Serviço",AK$12&lt;&gt;0,$H22&gt;0,OR(AUTOEVENTO&lt;&gt;"manual",$M22&lt;&gt;1)),
IF(Import.TipoArredondamento&lt;&gt;"TransfereGOV",
ROUND(OFFSET($P22,0,AK$13),15-13*ORÇAMENTO!$AF$7)/$H22*OFFSET(ORÇAMENTO!$X$15,ROW(AK22)-ROW(AK$15),0),
ROUND(ROUND(OFFSET($P22,0,AK$13),15-13*ORÇAMENTO!$AF$7)*OFFSET(ORÇAMENTO!$W$15,ROW(AK22)-ROW(AK$15),0),15-13*ORÇAMENTO!$AF$11)),0)</f>
        <v>0</v>
      </c>
      <c r="AM22" s="285" t="n">
        <f aca="true">IF($D22&lt;&gt;"Serviço",0,IF(AND(AUTOEVENTO="Manual",$M22=1),0,IF(OFFSET(CRONOPLE!$F$14,$M22,AM$13)="",10^12,OFFSET(CRONOPLE!$F$14,$M22,AM$13))))</f>
        <v>1</v>
      </c>
      <c r="AN22" s="285" t="n">
        <f aca="true">IF($D22&lt;&gt;"Serviço",0,IF(AND(AUTOEVENTO="Manual",$M22=1),0,IF(OFFSET(CRONOPLE!$F$14,$M22,AN$13)="",10^12,OFFSET(CRONOPLE!$F$14,$M22,AN$13))))</f>
        <v>1000000000000</v>
      </c>
      <c r="AO22" s="285" t="n">
        <f aca="true">IF($D22&lt;&gt;"Serviço",0,IF(AND(AUTOEVENTO="Manual",$M22=1),0,IF(OFFSET(CRONOPLE!$F$14,$M22,AO$13)="",10^12,OFFSET(CRONOPLE!$F$14,$M22,AO$13))))</f>
        <v>1000000000000</v>
      </c>
      <c r="AP22" s="285" t="n">
        <f aca="true">IF($D22&lt;&gt;"Serviço",0,IF(AND(AUTOEVENTO="Manual",$M22=1),0,IF(OFFSET(CRONOPLE!$F$14,$M22,AP$13)="",10^12,OFFSET(CRONOPLE!$F$14,$M22,AP$13))))</f>
        <v>1000000000000</v>
      </c>
      <c r="AQ22" s="285" t="n">
        <f aca="true">IF($D22&lt;&gt;"Serviço",0,IF(AND(AUTOEVENTO="Manual",$M22=1),0,IF(OFFSET(CRONOPLE!$F$14,$M22,AQ$13)="",10^12,OFFSET(CRONOPLE!$F$14,$M22,AQ$13))))</f>
        <v>1000000000000</v>
      </c>
      <c r="AR22" s="285" t="n">
        <f aca="true">IF($D22&lt;&gt;"Serviço",0,IF(AND(AUTOEVENTO="Manual",$M22=1),0,IF(OFFSET(CRONOPLE!$F$14,$M22,AR$13)="",10^12,OFFSET(CRONOPLE!$F$14,$M22,AR$13))))</f>
        <v>1000000000000</v>
      </c>
      <c r="AS22" s="285" t="n">
        <f aca="true">IF($D22&lt;&gt;"Serviço",0,IF(AND(AUTOEVENTO="Manual",$M22=1),0,IF(OFFSET(CRONOPLE!$F$14,$M22,AS$13)="",10^12,OFFSET(CRONOPLE!$F$14,$M22,AS$13))))</f>
        <v>1000000000000</v>
      </c>
      <c r="AT22" s="285" t="n">
        <f aca="true">IF($D22&lt;&gt;"Serviço",0,IF(AND(AUTOEVENTO="Manual",$M22=1),0,IF(OFFSET(CRONOPLE!$F$14,$M22,AT$13)="",10^12,OFFSET(CRONOPLE!$F$14,$M22,AT$13))))</f>
        <v>1000000000000</v>
      </c>
      <c r="AU22" s="285" t="n">
        <f aca="true">IF($D22&lt;&gt;"Serviço",0,IF(AND(AUTOEVENTO="Manual",$M22=1),0,IF(OFFSET(CRONOPLE!$F$14,$M22,AU$13)="",10^12,OFFSET(CRONOPLE!$F$14,$M22,AU$13))))</f>
        <v>1000000000000</v>
      </c>
      <c r="AV22" s="285" t="n">
        <f aca="true">IF($D22&lt;&gt;"Serviço",0,IF(AND(AUTOEVENTO="Manual",$M22=1),0,IF(OFFSET(CRONOPLE!$F$14,$M22,AV$13)="",10^12,OFFSET(CRONOPLE!$F$14,$M22,AV$13))))</f>
        <v>1000000000000</v>
      </c>
      <c r="AX22" s="286" t="n">
        <f aca="true">IF($D22&lt;&gt;"Serviço",0,IF(OR(AND(AUTOEVENTO="Manual",$M22=1),$M22&gt;(ROW(PLE.lastrow)-ROW(PLE.firstrow))),0,IF(OFFSET(PLE!$G$14,$M22,AX$13)="",10^12,OFFSET(PLE!$G$14,$M22,AX$13))))</f>
        <v>1000000000000</v>
      </c>
      <c r="AY22" s="286" t="n">
        <f aca="true">IF($D22&lt;&gt;"Serviço",0,IF(OR(AND(AUTOEVENTO="Manual",$M22=1),$M22&gt;(ROW(PLE.lastrow)-ROW(PLE.firstrow))),0,IF(OFFSET(PLE!$G$14,$M22,AY$13)="",10^12,OFFSET(PLE!$G$14,$M22,AY$13))))</f>
        <v>1000000000000</v>
      </c>
      <c r="AZ22" s="286" t="n">
        <f aca="true">IF($D22&lt;&gt;"Serviço",0,IF(OR(AND(AUTOEVENTO="Manual",$M22=1),$M22&gt;(ROW(PLE.lastrow)-ROW(PLE.firstrow))),0,IF(OFFSET(PLE!$G$14,$M22,AZ$13)="",10^12,OFFSET(PLE!$G$14,$M22,AZ$13))))</f>
        <v>1000000000000</v>
      </c>
      <c r="BA22" s="286" t="n">
        <f aca="true">IF($D22&lt;&gt;"Serviço",0,IF(OR(AND(AUTOEVENTO="Manual",$M22=1),$M22&gt;(ROW(PLE.lastrow)-ROW(PLE.firstrow))),0,IF(OFFSET(PLE!$G$14,$M22,BA$13)="",10^12,OFFSET(PLE!$G$14,$M22,BA$13))))</f>
        <v>1000000000000</v>
      </c>
      <c r="BB22" s="286" t="n">
        <f aca="true">IF($D22&lt;&gt;"Serviço",0,IF(OR(AND(AUTOEVENTO="Manual",$M22=1),$M22&gt;(ROW(PLE.lastrow)-ROW(PLE.firstrow))),0,IF(OFFSET(PLE!$G$14,$M22,BB$13)="",10^12,OFFSET(PLE!$G$14,$M22,BB$13))))</f>
        <v>1000000000000</v>
      </c>
      <c r="BC22" s="286" t="n">
        <f aca="true">IF($D22&lt;&gt;"Serviço",0,IF(OR(AND(AUTOEVENTO="Manual",$M22=1),$M22&gt;(ROW(PLE.lastrow)-ROW(PLE.firstrow))),0,IF(OFFSET(PLE!$G$14,$M22,BC$13)="",10^12,OFFSET(PLE!$G$14,$M22,BC$13))))</f>
        <v>1000000000000</v>
      </c>
      <c r="BD22" s="286" t="n">
        <f aca="true">IF($D22&lt;&gt;"Serviço",0,IF(OR(AND(AUTOEVENTO="Manual",$M22=1),$M22&gt;(ROW(PLE.lastrow)-ROW(PLE.firstrow))),0,IF(OFFSET(PLE!$G$14,$M22,BD$13)="",10^12,OFFSET(PLE!$G$14,$M22,BD$13))))</f>
        <v>1000000000000</v>
      </c>
      <c r="BE22" s="286" t="n">
        <f aca="true">IF($D22&lt;&gt;"Serviço",0,IF(OR(AND(AUTOEVENTO="Manual",$M22=1),$M22&gt;(ROW(PLE.lastrow)-ROW(PLE.firstrow))),0,IF(OFFSET(PLE!$G$14,$M22,BE$13)="",10^12,OFFSET(PLE!$G$14,$M22,BE$13))))</f>
        <v>1000000000000</v>
      </c>
      <c r="BF22" s="286" t="n">
        <f aca="true">IF($D22&lt;&gt;"Serviço",0,IF(OR(AND(AUTOEVENTO="Manual",$M22=1),$M22&gt;(ROW(PLE.lastrow)-ROW(PLE.firstrow))),0,IF(OFFSET(PLE!$G$14,$M22,BF$13)="",10^12,OFFSET(PLE!$G$14,$M22,BF$13))))</f>
        <v>1000000000000</v>
      </c>
      <c r="BG22" s="286" t="n">
        <f aca="true">IF($D22&lt;&gt;"Serviço",0,IF(OR(AND(AUTOEVENTO="Manual",$M22=1),$M22&gt;(ROW(PLE.lastrow)-ROW(PLE.firstrow))),0,IF(OFFSET(PLE!$G$14,$M22,BG$13)="",10^12,OFFSET(PLE!$G$14,$M22,BG$13))))</f>
        <v>1000000000000</v>
      </c>
    </row>
    <row r="23" customFormat="false" ht="12.8" hidden="false" customHeight="false" outlineLevel="0" collapsed="false">
      <c r="A23" s="34" t="n">
        <f aca="true">IF(AUTOEVENTO="Manual",IF(K23&lt;&gt;"",MIN(VALUE(LEFT(K23,FIND(".",K23)-1)),COUNTA(EVENTOS.Lista)),0),IF(OR($B23&gt;AUTOEVENTO,$B23="S",$B23=0),SUBSTITUTE(OFFSET($A23,-1,0),IF($D23="Serviço",".",""),""),ROW(A23)-ROW($A$15)&amp;"."))</f>
        <v>3</v>
      </c>
      <c r="B23" s="34" t="str">
        <f aca="true">OFFSET(ORÇAMENTO!C$15,ROW(B23)-ROW(B$15),0)</f>
        <v>S</v>
      </c>
      <c r="C23" s="34" t="str">
        <f aca="true">OFFSET(ORÇAMENTO!L$15,ROW(C23)-ROW(C$15),0)</f>
        <v/>
      </c>
      <c r="D23" s="187" t="str">
        <f aca="true">OFFSET(ORÇAMENTO!N$15,ROW(D23)-ROW(D$15),0)</f>
        <v>Serviço</v>
      </c>
      <c r="E23" s="188" t="str">
        <f aca="true">OFFSET(ORÇAMENTO!O$15,ROW(E23)-ROW(E$15),0)</f>
        <v>-</v>
      </c>
      <c r="F23" s="272" t="str">
        <f aca="true">OFFSET(ORÇAMENTO!R$15,ROW(F23)-ROW(F$15),0)</f>
        <v>(abra o arquivo 'Referência 02-Thursday.xlsm)</v>
      </c>
      <c r="G23" s="273" t="str">
        <f aca="true">IF($D23&lt;&gt;"Serviço","",OFFSET(ORÇAMENTO!S$15,ROW(G23)-ROW(G$15),0))</f>
        <v>-</v>
      </c>
      <c r="H23" s="193" t="n">
        <f aca="true">IF($D23&lt;&gt;"Serviço",0,IF(ACOMPANHAMENTO="BM",ROUND(OFFSET(ORÇAMENTO!AJ$15,ROW(H23)-ROW(H$15),0),15-13*ORÇAMENTO!$AF$7),SUMPRODUCT(($Q$12:$AA$12&lt;&gt;"")*ROUND($Q23:$AA23,15-13*ORÇAMENTO!$AF$7))))</f>
        <v>1</v>
      </c>
      <c r="I23" s="274" t="s">
        <v>363</v>
      </c>
      <c r="K23" s="275" t="s">
        <v>362</v>
      </c>
      <c r="L23" s="276" t="s">
        <v>347</v>
      </c>
      <c r="M23" s="277" t="n">
        <f aca="true">IF($D23&lt;&gt;"Serviço","",IF(AUTOEVENTO="manual",$A23,IF(ISERROR(MATCH($A23,$A$15:OFFSET($A23,-1,0),0)),MAX($M$15:OFFSET(M23,-1,0))+1,INDEX($M$15:OFFSET(M23,-1,0),MATCH($A23,$A$15:OFFSET($A23,-1,0),0)))))</f>
        <v>3</v>
      </c>
      <c r="N23" s="278" t="str">
        <f aca="true">IF($D23&lt;&gt;"Serviço","",IF(AUTOEVENTO="Manual",IF($A23=0,"&lt;-- defina o número do agrupador",OFFSET(EVENTOS!$D$14,$A23,0)),OFFSET($F$15,$A23,0)))</f>
        <v>Canteiro</v>
      </c>
      <c r="O23" s="279"/>
      <c r="Q23" s="279" t="n">
        <v>1</v>
      </c>
      <c r="R23" s="280"/>
      <c r="S23" s="280"/>
      <c r="T23" s="280"/>
      <c r="U23" s="280"/>
      <c r="V23" s="280"/>
      <c r="W23" s="280"/>
      <c r="X23" s="280"/>
      <c r="Y23" s="280"/>
      <c r="Z23" s="281"/>
      <c r="AB23" s="282" t="n">
        <f aca="true">IF(AND($D23="Serviço",AB$12&lt;&gt;0,$H23&gt;0,OR(AUTOEVENTO&lt;&gt;"manual",$M23&lt;&gt;1)),
IF(Import.TipoArredondamento&lt;&gt;"TransfereGOV",
ROUND(OFFSET($P23,0,AB$13),15-13*ORÇAMENTO!$AF$7)/$H23*OFFSET(ORÇAMENTO!$X$15,ROW(AB23)-ROW(AB$15),0),
ROUND(ROUND(OFFSET($P23,0,AB$13),15-13*ORÇAMENTO!$AF$7)*OFFSET(ORÇAMENTO!$W$15,ROW(AB23)-ROW(AB$15),0),15-13*ORÇAMENTO!$AF$11)),0)</f>
        <v>0</v>
      </c>
      <c r="AC23" s="283" t="n">
        <f aca="true">IF(AND($D23="Serviço",AC$12&lt;&gt;0,$H23&gt;0,OR(AUTOEVENTO&lt;&gt;"manual",$M23&lt;&gt;1)),
IF(Import.TipoArredondamento&lt;&gt;"TransfereGOV",
ROUND(OFFSET($P23,0,AC$13),15-13*ORÇAMENTO!$AF$7)/$H23*OFFSET(ORÇAMENTO!$X$15,ROW(AC23)-ROW(AC$15),0),
ROUND(ROUND(OFFSET($P23,0,AC$13),15-13*ORÇAMENTO!$AF$7)*OFFSET(ORÇAMENTO!$W$15,ROW(AC23)-ROW(AC$15),0),15-13*ORÇAMENTO!$AF$11)),0)</f>
        <v>0</v>
      </c>
      <c r="AD23" s="283" t="n">
        <f aca="true">IF(AND($D23="Serviço",AD$12&lt;&gt;0,$H23&gt;0,OR(AUTOEVENTO&lt;&gt;"manual",$M23&lt;&gt;1)),
IF(Import.TipoArredondamento&lt;&gt;"TransfereGOV",
ROUND(OFFSET($P23,0,AD$13),15-13*ORÇAMENTO!$AF$7)/$H23*OFFSET(ORÇAMENTO!$X$15,ROW(AD23)-ROW(AD$15),0),
ROUND(ROUND(OFFSET($P23,0,AD$13),15-13*ORÇAMENTO!$AF$7)*OFFSET(ORÇAMENTO!$W$15,ROW(AD23)-ROW(AD$15),0),15-13*ORÇAMENTO!$AF$11)),0)</f>
        <v>0</v>
      </c>
      <c r="AE23" s="283" t="n">
        <f aca="true">IF(AND($D23="Serviço",AE$12&lt;&gt;0,$H23&gt;0,OR(AUTOEVENTO&lt;&gt;"manual",$M23&lt;&gt;1)),
IF(Import.TipoArredondamento&lt;&gt;"TransfereGOV",
ROUND(OFFSET($P23,0,AE$13),15-13*ORÇAMENTO!$AF$7)/$H23*OFFSET(ORÇAMENTO!$X$15,ROW(AE23)-ROW(AE$15),0),
ROUND(ROUND(OFFSET($P23,0,AE$13),15-13*ORÇAMENTO!$AF$7)*OFFSET(ORÇAMENTO!$W$15,ROW(AE23)-ROW(AE$15),0),15-13*ORÇAMENTO!$AF$11)),0)</f>
        <v>0</v>
      </c>
      <c r="AF23" s="283" t="n">
        <f aca="true">IF(AND($D23="Serviço",AF$12&lt;&gt;0,$H23&gt;0,OR(AUTOEVENTO&lt;&gt;"manual",$M23&lt;&gt;1)),
IF(Import.TipoArredondamento&lt;&gt;"TransfereGOV",
ROUND(OFFSET($P23,0,AF$13),15-13*ORÇAMENTO!$AF$7)/$H23*OFFSET(ORÇAMENTO!$X$15,ROW(AF23)-ROW(AF$15),0),
ROUND(ROUND(OFFSET($P23,0,AF$13),15-13*ORÇAMENTO!$AF$7)*OFFSET(ORÇAMENTO!$W$15,ROW(AF23)-ROW(AF$15),0),15-13*ORÇAMENTO!$AF$11)),0)</f>
        <v>0</v>
      </c>
      <c r="AG23" s="283" t="n">
        <f aca="true">IF(AND($D23="Serviço",AG$12&lt;&gt;0,$H23&gt;0,OR(AUTOEVENTO&lt;&gt;"manual",$M23&lt;&gt;1)),
IF(Import.TipoArredondamento&lt;&gt;"TransfereGOV",
ROUND(OFFSET($P23,0,AG$13),15-13*ORÇAMENTO!$AF$7)/$H23*OFFSET(ORÇAMENTO!$X$15,ROW(AG23)-ROW(AG$15),0),
ROUND(ROUND(OFFSET($P23,0,AG$13),15-13*ORÇAMENTO!$AF$7)*OFFSET(ORÇAMENTO!$W$15,ROW(AG23)-ROW(AG$15),0),15-13*ORÇAMENTO!$AF$11)),0)</f>
        <v>0</v>
      </c>
      <c r="AH23" s="283" t="n">
        <f aca="true">IF(AND($D23="Serviço",AH$12&lt;&gt;0,$H23&gt;0,OR(AUTOEVENTO&lt;&gt;"manual",$M23&lt;&gt;1)),
IF(Import.TipoArredondamento&lt;&gt;"TransfereGOV",
ROUND(OFFSET($P23,0,AH$13),15-13*ORÇAMENTO!$AF$7)/$H23*OFFSET(ORÇAMENTO!$X$15,ROW(AH23)-ROW(AH$15),0),
ROUND(ROUND(OFFSET($P23,0,AH$13),15-13*ORÇAMENTO!$AF$7)*OFFSET(ORÇAMENTO!$W$15,ROW(AH23)-ROW(AH$15),0),15-13*ORÇAMENTO!$AF$11)),0)</f>
        <v>0</v>
      </c>
      <c r="AI23" s="283" t="n">
        <f aca="true">IF(AND($D23="Serviço",AI$12&lt;&gt;0,$H23&gt;0,OR(AUTOEVENTO&lt;&gt;"manual",$M23&lt;&gt;1)),
IF(Import.TipoArredondamento&lt;&gt;"TransfereGOV",
ROUND(OFFSET($P23,0,AI$13),15-13*ORÇAMENTO!$AF$7)/$H23*OFFSET(ORÇAMENTO!$X$15,ROW(AI23)-ROW(AI$15),0),
ROUND(ROUND(OFFSET($P23,0,AI$13),15-13*ORÇAMENTO!$AF$7)*OFFSET(ORÇAMENTO!$W$15,ROW(AI23)-ROW(AI$15),0),15-13*ORÇAMENTO!$AF$11)),0)</f>
        <v>0</v>
      </c>
      <c r="AJ23" s="283" t="n">
        <f aca="true">IF(AND($D23="Serviço",AJ$12&lt;&gt;0,$H23&gt;0,OR(AUTOEVENTO&lt;&gt;"manual",$M23&lt;&gt;1)),
IF(Import.TipoArredondamento&lt;&gt;"TransfereGOV",
ROUND(OFFSET($P23,0,AJ$13),15-13*ORÇAMENTO!$AF$7)/$H23*OFFSET(ORÇAMENTO!$X$15,ROW(AJ23)-ROW(AJ$15),0),
ROUND(ROUND(OFFSET($P23,0,AJ$13),15-13*ORÇAMENTO!$AF$7)*OFFSET(ORÇAMENTO!$W$15,ROW(AJ23)-ROW(AJ$15),0),15-13*ORÇAMENTO!$AF$11)),0)</f>
        <v>0</v>
      </c>
      <c r="AK23" s="284" t="n">
        <f aca="true">IF(AND($D23="Serviço",AK$12&lt;&gt;0,$H23&gt;0,OR(AUTOEVENTO&lt;&gt;"manual",$M23&lt;&gt;1)),
IF(Import.TipoArredondamento&lt;&gt;"TransfereGOV",
ROUND(OFFSET($P23,0,AK$13),15-13*ORÇAMENTO!$AF$7)/$H23*OFFSET(ORÇAMENTO!$X$15,ROW(AK23)-ROW(AK$15),0),
ROUND(ROUND(OFFSET($P23,0,AK$13),15-13*ORÇAMENTO!$AF$7)*OFFSET(ORÇAMENTO!$W$15,ROW(AK23)-ROW(AK$15),0),15-13*ORÇAMENTO!$AF$11)),0)</f>
        <v>0</v>
      </c>
      <c r="AM23" s="285" t="n">
        <f aca="true">IF($D23&lt;&gt;"Serviço",0,IF(AND(AUTOEVENTO="Manual",$M23=1),0,IF(OFFSET(CRONOPLE!$F$14,$M23,AM$13)="",10^12,OFFSET(CRONOPLE!$F$14,$M23,AM$13))))</f>
        <v>1</v>
      </c>
      <c r="AN23" s="285" t="n">
        <f aca="true">IF($D23&lt;&gt;"Serviço",0,IF(AND(AUTOEVENTO="Manual",$M23=1),0,IF(OFFSET(CRONOPLE!$F$14,$M23,AN$13)="",10^12,OFFSET(CRONOPLE!$F$14,$M23,AN$13))))</f>
        <v>1000000000000</v>
      </c>
      <c r="AO23" s="285" t="n">
        <f aca="true">IF($D23&lt;&gt;"Serviço",0,IF(AND(AUTOEVENTO="Manual",$M23=1),0,IF(OFFSET(CRONOPLE!$F$14,$M23,AO$13)="",10^12,OFFSET(CRONOPLE!$F$14,$M23,AO$13))))</f>
        <v>1000000000000</v>
      </c>
      <c r="AP23" s="285" t="n">
        <f aca="true">IF($D23&lt;&gt;"Serviço",0,IF(AND(AUTOEVENTO="Manual",$M23=1),0,IF(OFFSET(CRONOPLE!$F$14,$M23,AP$13)="",10^12,OFFSET(CRONOPLE!$F$14,$M23,AP$13))))</f>
        <v>1000000000000</v>
      </c>
      <c r="AQ23" s="285" t="n">
        <f aca="true">IF($D23&lt;&gt;"Serviço",0,IF(AND(AUTOEVENTO="Manual",$M23=1),0,IF(OFFSET(CRONOPLE!$F$14,$M23,AQ$13)="",10^12,OFFSET(CRONOPLE!$F$14,$M23,AQ$13))))</f>
        <v>1000000000000</v>
      </c>
      <c r="AR23" s="285" t="n">
        <f aca="true">IF($D23&lt;&gt;"Serviço",0,IF(AND(AUTOEVENTO="Manual",$M23=1),0,IF(OFFSET(CRONOPLE!$F$14,$M23,AR$13)="",10^12,OFFSET(CRONOPLE!$F$14,$M23,AR$13))))</f>
        <v>1000000000000</v>
      </c>
      <c r="AS23" s="285" t="n">
        <f aca="true">IF($D23&lt;&gt;"Serviço",0,IF(AND(AUTOEVENTO="Manual",$M23=1),0,IF(OFFSET(CRONOPLE!$F$14,$M23,AS$13)="",10^12,OFFSET(CRONOPLE!$F$14,$M23,AS$13))))</f>
        <v>1000000000000</v>
      </c>
      <c r="AT23" s="285" t="n">
        <f aca="true">IF($D23&lt;&gt;"Serviço",0,IF(AND(AUTOEVENTO="Manual",$M23=1),0,IF(OFFSET(CRONOPLE!$F$14,$M23,AT$13)="",10^12,OFFSET(CRONOPLE!$F$14,$M23,AT$13))))</f>
        <v>1000000000000</v>
      </c>
      <c r="AU23" s="285" t="n">
        <f aca="true">IF($D23&lt;&gt;"Serviço",0,IF(AND(AUTOEVENTO="Manual",$M23=1),0,IF(OFFSET(CRONOPLE!$F$14,$M23,AU$13)="",10^12,OFFSET(CRONOPLE!$F$14,$M23,AU$13))))</f>
        <v>1000000000000</v>
      </c>
      <c r="AV23" s="285" t="n">
        <f aca="true">IF($D23&lt;&gt;"Serviço",0,IF(AND(AUTOEVENTO="Manual",$M23=1),0,IF(OFFSET(CRONOPLE!$F$14,$M23,AV$13)="",10^12,OFFSET(CRONOPLE!$F$14,$M23,AV$13))))</f>
        <v>1000000000000</v>
      </c>
      <c r="AX23" s="286" t="n">
        <f aca="true">IF($D23&lt;&gt;"Serviço",0,IF(OR(AND(AUTOEVENTO="Manual",$M23=1),$M23&gt;(ROW(PLE.lastrow)-ROW(PLE.firstrow))),0,IF(OFFSET(PLE!$G$14,$M23,AX$13)="",10^12,OFFSET(PLE!$G$14,$M23,AX$13))))</f>
        <v>1000000000000</v>
      </c>
      <c r="AY23" s="286" t="n">
        <f aca="true">IF($D23&lt;&gt;"Serviço",0,IF(OR(AND(AUTOEVENTO="Manual",$M23=1),$M23&gt;(ROW(PLE.lastrow)-ROW(PLE.firstrow))),0,IF(OFFSET(PLE!$G$14,$M23,AY$13)="",10^12,OFFSET(PLE!$G$14,$M23,AY$13))))</f>
        <v>1000000000000</v>
      </c>
      <c r="AZ23" s="286" t="n">
        <f aca="true">IF($D23&lt;&gt;"Serviço",0,IF(OR(AND(AUTOEVENTO="Manual",$M23=1),$M23&gt;(ROW(PLE.lastrow)-ROW(PLE.firstrow))),0,IF(OFFSET(PLE!$G$14,$M23,AZ$13)="",10^12,OFFSET(PLE!$G$14,$M23,AZ$13))))</f>
        <v>1000000000000</v>
      </c>
      <c r="BA23" s="286" t="n">
        <f aca="true">IF($D23&lt;&gt;"Serviço",0,IF(OR(AND(AUTOEVENTO="Manual",$M23=1),$M23&gt;(ROW(PLE.lastrow)-ROW(PLE.firstrow))),0,IF(OFFSET(PLE!$G$14,$M23,BA$13)="",10^12,OFFSET(PLE!$G$14,$M23,BA$13))))</f>
        <v>1000000000000</v>
      </c>
      <c r="BB23" s="286" t="n">
        <f aca="true">IF($D23&lt;&gt;"Serviço",0,IF(OR(AND(AUTOEVENTO="Manual",$M23=1),$M23&gt;(ROW(PLE.lastrow)-ROW(PLE.firstrow))),0,IF(OFFSET(PLE!$G$14,$M23,BB$13)="",10^12,OFFSET(PLE!$G$14,$M23,BB$13))))</f>
        <v>1000000000000</v>
      </c>
      <c r="BC23" s="286" t="n">
        <f aca="true">IF($D23&lt;&gt;"Serviço",0,IF(OR(AND(AUTOEVENTO="Manual",$M23=1),$M23&gt;(ROW(PLE.lastrow)-ROW(PLE.firstrow))),0,IF(OFFSET(PLE!$G$14,$M23,BC$13)="",10^12,OFFSET(PLE!$G$14,$M23,BC$13))))</f>
        <v>1000000000000</v>
      </c>
      <c r="BD23" s="286" t="n">
        <f aca="true">IF($D23&lt;&gt;"Serviço",0,IF(OR(AND(AUTOEVENTO="Manual",$M23=1),$M23&gt;(ROW(PLE.lastrow)-ROW(PLE.firstrow))),0,IF(OFFSET(PLE!$G$14,$M23,BD$13)="",10^12,OFFSET(PLE!$G$14,$M23,BD$13))))</f>
        <v>1000000000000</v>
      </c>
      <c r="BE23" s="286" t="n">
        <f aca="true">IF($D23&lt;&gt;"Serviço",0,IF(OR(AND(AUTOEVENTO="Manual",$M23=1),$M23&gt;(ROW(PLE.lastrow)-ROW(PLE.firstrow))),0,IF(OFFSET(PLE!$G$14,$M23,BE$13)="",10^12,OFFSET(PLE!$G$14,$M23,BE$13))))</f>
        <v>1000000000000</v>
      </c>
      <c r="BF23" s="286" t="n">
        <f aca="true">IF($D23&lt;&gt;"Serviço",0,IF(OR(AND(AUTOEVENTO="Manual",$M23=1),$M23&gt;(ROW(PLE.lastrow)-ROW(PLE.firstrow))),0,IF(OFFSET(PLE!$G$14,$M23,BF$13)="",10^12,OFFSET(PLE!$G$14,$M23,BF$13))))</f>
        <v>1000000000000</v>
      </c>
      <c r="BG23" s="286" t="n">
        <f aca="true">IF($D23&lt;&gt;"Serviço",0,IF(OR(AND(AUTOEVENTO="Manual",$M23=1),$M23&gt;(ROW(PLE.lastrow)-ROW(PLE.firstrow))),0,IF(OFFSET(PLE!$G$14,$M23,BG$13)="",10^12,OFFSET(PLE!$G$14,$M23,BG$13))))</f>
        <v>1000000000000</v>
      </c>
    </row>
    <row r="24" customFormat="false" ht="12.8" hidden="false" customHeight="false" outlineLevel="0" collapsed="false">
      <c r="A24" s="34" t="n">
        <f aca="true">IF(AUTOEVENTO="Manual",IF(K24&lt;&gt;"",MIN(VALUE(LEFT(K24,FIND(".",K24)-1)),COUNTA(EVENTOS.Lista)),0),IF(OR($B24&gt;AUTOEVENTO,$B24="S",$B24=0),SUBSTITUTE(OFFSET($A24,-1,0),IF($D24="Serviço",".",""),""),ROW(A24)-ROW($A$15)&amp;"."))</f>
        <v>3</v>
      </c>
      <c r="B24" s="34" t="str">
        <f aca="true">OFFSET(ORÇAMENTO!C$15,ROW(B24)-ROW(B$15),0)</f>
        <v>S</v>
      </c>
      <c r="C24" s="34" t="str">
        <f aca="true">OFFSET(ORÇAMENTO!L$15,ROW(C24)-ROW(C$15),0)</f>
        <v/>
      </c>
      <c r="D24" s="187" t="str">
        <f aca="true">OFFSET(ORÇAMENTO!N$15,ROW(D24)-ROW(D$15),0)</f>
        <v>Serviço</v>
      </c>
      <c r="E24" s="188" t="str">
        <f aca="true">OFFSET(ORÇAMENTO!O$15,ROW(E24)-ROW(E$15),0)</f>
        <v>-</v>
      </c>
      <c r="F24" s="272" t="str">
        <f aca="true">OFFSET(ORÇAMENTO!R$15,ROW(F24)-ROW(F$15),0)</f>
        <v>(abra o arquivo 'Referência 02-Thursday.xlsm)</v>
      </c>
      <c r="G24" s="273" t="str">
        <f aca="true">IF($D24&lt;&gt;"Serviço","",OFFSET(ORÇAMENTO!S$15,ROW(G24)-ROW(G$15),0))</f>
        <v>-</v>
      </c>
      <c r="H24" s="193" t="n">
        <f aca="true">IF($D24&lt;&gt;"Serviço",0,IF(ACOMPANHAMENTO="BM",ROUND(OFFSET(ORÇAMENTO!AJ$15,ROW(H24)-ROW(H$15),0),15-13*ORÇAMENTO!$AF$7),SUMPRODUCT(($Q$12:$AA$12&lt;&gt;"")*ROUND($Q24:$AA24,15-13*ORÇAMENTO!$AF$7))))</f>
        <v>3</v>
      </c>
      <c r="I24" s="274" t="s">
        <v>361</v>
      </c>
      <c r="K24" s="275" t="s">
        <v>362</v>
      </c>
      <c r="L24" s="276" t="s">
        <v>347</v>
      </c>
      <c r="M24" s="277" t="n">
        <f aca="true">IF($D24&lt;&gt;"Serviço","",IF(AUTOEVENTO="manual",$A24,IF(ISERROR(MATCH($A24,$A$15:OFFSET($A24,-1,0),0)),MAX($M$15:OFFSET(M24,-1,0))+1,INDEX($M$15:OFFSET(M24,-1,0),MATCH($A24,$A$15:OFFSET($A24,-1,0),0)))))</f>
        <v>3</v>
      </c>
      <c r="N24" s="278" t="str">
        <f aca="true">IF($D24&lt;&gt;"Serviço","",IF(AUTOEVENTO="Manual",IF($A24=0,"&lt;-- defina o número do agrupador",OFFSET(EVENTOS!$D$14,$A24,0)),OFFSET($F$15,$A24,0)))</f>
        <v>Canteiro</v>
      </c>
      <c r="O24" s="279"/>
      <c r="Q24" s="279" t="n">
        <v>3</v>
      </c>
      <c r="R24" s="280"/>
      <c r="S24" s="280"/>
      <c r="T24" s="280"/>
      <c r="U24" s="280"/>
      <c r="V24" s="280"/>
      <c r="W24" s="280"/>
      <c r="X24" s="280"/>
      <c r="Y24" s="280"/>
      <c r="Z24" s="281"/>
      <c r="AB24" s="282" t="n">
        <f aca="true">IF(AND($D24="Serviço",AB$12&lt;&gt;0,$H24&gt;0,OR(AUTOEVENTO&lt;&gt;"manual",$M24&lt;&gt;1)),
IF(Import.TipoArredondamento&lt;&gt;"TransfereGOV",
ROUND(OFFSET($P24,0,AB$13),15-13*ORÇAMENTO!$AF$7)/$H24*OFFSET(ORÇAMENTO!$X$15,ROW(AB24)-ROW(AB$15),0),
ROUND(ROUND(OFFSET($P24,0,AB$13),15-13*ORÇAMENTO!$AF$7)*OFFSET(ORÇAMENTO!$W$15,ROW(AB24)-ROW(AB$15),0),15-13*ORÇAMENTO!$AF$11)),0)</f>
        <v>0</v>
      </c>
      <c r="AC24" s="283" t="n">
        <f aca="true">IF(AND($D24="Serviço",AC$12&lt;&gt;0,$H24&gt;0,OR(AUTOEVENTO&lt;&gt;"manual",$M24&lt;&gt;1)),
IF(Import.TipoArredondamento&lt;&gt;"TransfereGOV",
ROUND(OFFSET($P24,0,AC$13),15-13*ORÇAMENTO!$AF$7)/$H24*OFFSET(ORÇAMENTO!$X$15,ROW(AC24)-ROW(AC$15),0),
ROUND(ROUND(OFFSET($P24,0,AC$13),15-13*ORÇAMENTO!$AF$7)*OFFSET(ORÇAMENTO!$W$15,ROW(AC24)-ROW(AC$15),0),15-13*ORÇAMENTO!$AF$11)),0)</f>
        <v>0</v>
      </c>
      <c r="AD24" s="283" t="n">
        <f aca="true">IF(AND($D24="Serviço",AD$12&lt;&gt;0,$H24&gt;0,OR(AUTOEVENTO&lt;&gt;"manual",$M24&lt;&gt;1)),
IF(Import.TipoArredondamento&lt;&gt;"TransfereGOV",
ROUND(OFFSET($P24,0,AD$13),15-13*ORÇAMENTO!$AF$7)/$H24*OFFSET(ORÇAMENTO!$X$15,ROW(AD24)-ROW(AD$15),0),
ROUND(ROUND(OFFSET($P24,0,AD$13),15-13*ORÇAMENTO!$AF$7)*OFFSET(ORÇAMENTO!$W$15,ROW(AD24)-ROW(AD$15),0),15-13*ORÇAMENTO!$AF$11)),0)</f>
        <v>0</v>
      </c>
      <c r="AE24" s="283" t="n">
        <f aca="true">IF(AND($D24="Serviço",AE$12&lt;&gt;0,$H24&gt;0,OR(AUTOEVENTO&lt;&gt;"manual",$M24&lt;&gt;1)),
IF(Import.TipoArredondamento&lt;&gt;"TransfereGOV",
ROUND(OFFSET($P24,0,AE$13),15-13*ORÇAMENTO!$AF$7)/$H24*OFFSET(ORÇAMENTO!$X$15,ROW(AE24)-ROW(AE$15),0),
ROUND(ROUND(OFFSET($P24,0,AE$13),15-13*ORÇAMENTO!$AF$7)*OFFSET(ORÇAMENTO!$W$15,ROW(AE24)-ROW(AE$15),0),15-13*ORÇAMENTO!$AF$11)),0)</f>
        <v>0</v>
      </c>
      <c r="AF24" s="283" t="n">
        <f aca="true">IF(AND($D24="Serviço",AF$12&lt;&gt;0,$H24&gt;0,OR(AUTOEVENTO&lt;&gt;"manual",$M24&lt;&gt;1)),
IF(Import.TipoArredondamento&lt;&gt;"TransfereGOV",
ROUND(OFFSET($P24,0,AF$13),15-13*ORÇAMENTO!$AF$7)/$H24*OFFSET(ORÇAMENTO!$X$15,ROW(AF24)-ROW(AF$15),0),
ROUND(ROUND(OFFSET($P24,0,AF$13),15-13*ORÇAMENTO!$AF$7)*OFFSET(ORÇAMENTO!$W$15,ROW(AF24)-ROW(AF$15),0),15-13*ORÇAMENTO!$AF$11)),0)</f>
        <v>0</v>
      </c>
      <c r="AG24" s="283" t="n">
        <f aca="true">IF(AND($D24="Serviço",AG$12&lt;&gt;0,$H24&gt;0,OR(AUTOEVENTO&lt;&gt;"manual",$M24&lt;&gt;1)),
IF(Import.TipoArredondamento&lt;&gt;"TransfereGOV",
ROUND(OFFSET($P24,0,AG$13),15-13*ORÇAMENTO!$AF$7)/$H24*OFFSET(ORÇAMENTO!$X$15,ROW(AG24)-ROW(AG$15),0),
ROUND(ROUND(OFFSET($P24,0,AG$13),15-13*ORÇAMENTO!$AF$7)*OFFSET(ORÇAMENTO!$W$15,ROW(AG24)-ROW(AG$15),0),15-13*ORÇAMENTO!$AF$11)),0)</f>
        <v>0</v>
      </c>
      <c r="AH24" s="283" t="n">
        <f aca="true">IF(AND($D24="Serviço",AH$12&lt;&gt;0,$H24&gt;0,OR(AUTOEVENTO&lt;&gt;"manual",$M24&lt;&gt;1)),
IF(Import.TipoArredondamento&lt;&gt;"TransfereGOV",
ROUND(OFFSET($P24,0,AH$13),15-13*ORÇAMENTO!$AF$7)/$H24*OFFSET(ORÇAMENTO!$X$15,ROW(AH24)-ROW(AH$15),0),
ROUND(ROUND(OFFSET($P24,0,AH$13),15-13*ORÇAMENTO!$AF$7)*OFFSET(ORÇAMENTO!$W$15,ROW(AH24)-ROW(AH$15),0),15-13*ORÇAMENTO!$AF$11)),0)</f>
        <v>0</v>
      </c>
      <c r="AI24" s="283" t="n">
        <f aca="true">IF(AND($D24="Serviço",AI$12&lt;&gt;0,$H24&gt;0,OR(AUTOEVENTO&lt;&gt;"manual",$M24&lt;&gt;1)),
IF(Import.TipoArredondamento&lt;&gt;"TransfereGOV",
ROUND(OFFSET($P24,0,AI$13),15-13*ORÇAMENTO!$AF$7)/$H24*OFFSET(ORÇAMENTO!$X$15,ROW(AI24)-ROW(AI$15),0),
ROUND(ROUND(OFFSET($P24,0,AI$13),15-13*ORÇAMENTO!$AF$7)*OFFSET(ORÇAMENTO!$W$15,ROW(AI24)-ROW(AI$15),0),15-13*ORÇAMENTO!$AF$11)),0)</f>
        <v>0</v>
      </c>
      <c r="AJ24" s="283" t="n">
        <f aca="true">IF(AND($D24="Serviço",AJ$12&lt;&gt;0,$H24&gt;0,OR(AUTOEVENTO&lt;&gt;"manual",$M24&lt;&gt;1)),
IF(Import.TipoArredondamento&lt;&gt;"TransfereGOV",
ROUND(OFFSET($P24,0,AJ$13),15-13*ORÇAMENTO!$AF$7)/$H24*OFFSET(ORÇAMENTO!$X$15,ROW(AJ24)-ROW(AJ$15),0),
ROUND(ROUND(OFFSET($P24,0,AJ$13),15-13*ORÇAMENTO!$AF$7)*OFFSET(ORÇAMENTO!$W$15,ROW(AJ24)-ROW(AJ$15),0),15-13*ORÇAMENTO!$AF$11)),0)</f>
        <v>0</v>
      </c>
      <c r="AK24" s="284" t="n">
        <f aca="true">IF(AND($D24="Serviço",AK$12&lt;&gt;0,$H24&gt;0,OR(AUTOEVENTO&lt;&gt;"manual",$M24&lt;&gt;1)),
IF(Import.TipoArredondamento&lt;&gt;"TransfereGOV",
ROUND(OFFSET($P24,0,AK$13),15-13*ORÇAMENTO!$AF$7)/$H24*OFFSET(ORÇAMENTO!$X$15,ROW(AK24)-ROW(AK$15),0),
ROUND(ROUND(OFFSET($P24,0,AK$13),15-13*ORÇAMENTO!$AF$7)*OFFSET(ORÇAMENTO!$W$15,ROW(AK24)-ROW(AK$15),0),15-13*ORÇAMENTO!$AF$11)),0)</f>
        <v>0</v>
      </c>
      <c r="AM24" s="285" t="n">
        <f aca="true">IF($D24&lt;&gt;"Serviço",0,IF(AND(AUTOEVENTO="Manual",$M24=1),0,IF(OFFSET(CRONOPLE!$F$14,$M24,AM$13)="",10^12,OFFSET(CRONOPLE!$F$14,$M24,AM$13))))</f>
        <v>1</v>
      </c>
      <c r="AN24" s="285" t="n">
        <f aca="true">IF($D24&lt;&gt;"Serviço",0,IF(AND(AUTOEVENTO="Manual",$M24=1),0,IF(OFFSET(CRONOPLE!$F$14,$M24,AN$13)="",10^12,OFFSET(CRONOPLE!$F$14,$M24,AN$13))))</f>
        <v>1000000000000</v>
      </c>
      <c r="AO24" s="285" t="n">
        <f aca="true">IF($D24&lt;&gt;"Serviço",0,IF(AND(AUTOEVENTO="Manual",$M24=1),0,IF(OFFSET(CRONOPLE!$F$14,$M24,AO$13)="",10^12,OFFSET(CRONOPLE!$F$14,$M24,AO$13))))</f>
        <v>1000000000000</v>
      </c>
      <c r="AP24" s="285" t="n">
        <f aca="true">IF($D24&lt;&gt;"Serviço",0,IF(AND(AUTOEVENTO="Manual",$M24=1),0,IF(OFFSET(CRONOPLE!$F$14,$M24,AP$13)="",10^12,OFFSET(CRONOPLE!$F$14,$M24,AP$13))))</f>
        <v>1000000000000</v>
      </c>
      <c r="AQ24" s="285" t="n">
        <f aca="true">IF($D24&lt;&gt;"Serviço",0,IF(AND(AUTOEVENTO="Manual",$M24=1),0,IF(OFFSET(CRONOPLE!$F$14,$M24,AQ$13)="",10^12,OFFSET(CRONOPLE!$F$14,$M24,AQ$13))))</f>
        <v>1000000000000</v>
      </c>
      <c r="AR24" s="285" t="n">
        <f aca="true">IF($D24&lt;&gt;"Serviço",0,IF(AND(AUTOEVENTO="Manual",$M24=1),0,IF(OFFSET(CRONOPLE!$F$14,$M24,AR$13)="",10^12,OFFSET(CRONOPLE!$F$14,$M24,AR$13))))</f>
        <v>1000000000000</v>
      </c>
      <c r="AS24" s="285" t="n">
        <f aca="true">IF($D24&lt;&gt;"Serviço",0,IF(AND(AUTOEVENTO="Manual",$M24=1),0,IF(OFFSET(CRONOPLE!$F$14,$M24,AS$13)="",10^12,OFFSET(CRONOPLE!$F$14,$M24,AS$13))))</f>
        <v>1000000000000</v>
      </c>
      <c r="AT24" s="285" t="n">
        <f aca="true">IF($D24&lt;&gt;"Serviço",0,IF(AND(AUTOEVENTO="Manual",$M24=1),0,IF(OFFSET(CRONOPLE!$F$14,$M24,AT$13)="",10^12,OFFSET(CRONOPLE!$F$14,$M24,AT$13))))</f>
        <v>1000000000000</v>
      </c>
      <c r="AU24" s="285" t="n">
        <f aca="true">IF($D24&lt;&gt;"Serviço",0,IF(AND(AUTOEVENTO="Manual",$M24=1),0,IF(OFFSET(CRONOPLE!$F$14,$M24,AU$13)="",10^12,OFFSET(CRONOPLE!$F$14,$M24,AU$13))))</f>
        <v>1000000000000</v>
      </c>
      <c r="AV24" s="285" t="n">
        <f aca="true">IF($D24&lt;&gt;"Serviço",0,IF(AND(AUTOEVENTO="Manual",$M24=1),0,IF(OFFSET(CRONOPLE!$F$14,$M24,AV$13)="",10^12,OFFSET(CRONOPLE!$F$14,$M24,AV$13))))</f>
        <v>1000000000000</v>
      </c>
      <c r="AX24" s="286" t="n">
        <f aca="true">IF($D24&lt;&gt;"Serviço",0,IF(OR(AND(AUTOEVENTO="Manual",$M24=1),$M24&gt;(ROW(PLE.lastrow)-ROW(PLE.firstrow))),0,IF(OFFSET(PLE!$G$14,$M24,AX$13)="",10^12,OFFSET(PLE!$G$14,$M24,AX$13))))</f>
        <v>1000000000000</v>
      </c>
      <c r="AY24" s="286" t="n">
        <f aca="true">IF($D24&lt;&gt;"Serviço",0,IF(OR(AND(AUTOEVENTO="Manual",$M24=1),$M24&gt;(ROW(PLE.lastrow)-ROW(PLE.firstrow))),0,IF(OFFSET(PLE!$G$14,$M24,AY$13)="",10^12,OFFSET(PLE!$G$14,$M24,AY$13))))</f>
        <v>1000000000000</v>
      </c>
      <c r="AZ24" s="286" t="n">
        <f aca="true">IF($D24&lt;&gt;"Serviço",0,IF(OR(AND(AUTOEVENTO="Manual",$M24=1),$M24&gt;(ROW(PLE.lastrow)-ROW(PLE.firstrow))),0,IF(OFFSET(PLE!$G$14,$M24,AZ$13)="",10^12,OFFSET(PLE!$G$14,$M24,AZ$13))))</f>
        <v>1000000000000</v>
      </c>
      <c r="BA24" s="286" t="n">
        <f aca="true">IF($D24&lt;&gt;"Serviço",0,IF(OR(AND(AUTOEVENTO="Manual",$M24=1),$M24&gt;(ROW(PLE.lastrow)-ROW(PLE.firstrow))),0,IF(OFFSET(PLE!$G$14,$M24,BA$13)="",10^12,OFFSET(PLE!$G$14,$M24,BA$13))))</f>
        <v>1000000000000</v>
      </c>
      <c r="BB24" s="286" t="n">
        <f aca="true">IF($D24&lt;&gt;"Serviço",0,IF(OR(AND(AUTOEVENTO="Manual",$M24=1),$M24&gt;(ROW(PLE.lastrow)-ROW(PLE.firstrow))),0,IF(OFFSET(PLE!$G$14,$M24,BB$13)="",10^12,OFFSET(PLE!$G$14,$M24,BB$13))))</f>
        <v>1000000000000</v>
      </c>
      <c r="BC24" s="286" t="n">
        <f aca="true">IF($D24&lt;&gt;"Serviço",0,IF(OR(AND(AUTOEVENTO="Manual",$M24=1),$M24&gt;(ROW(PLE.lastrow)-ROW(PLE.firstrow))),0,IF(OFFSET(PLE!$G$14,$M24,BC$13)="",10^12,OFFSET(PLE!$G$14,$M24,BC$13))))</f>
        <v>1000000000000</v>
      </c>
      <c r="BD24" s="286" t="n">
        <f aca="true">IF($D24&lt;&gt;"Serviço",0,IF(OR(AND(AUTOEVENTO="Manual",$M24=1),$M24&gt;(ROW(PLE.lastrow)-ROW(PLE.firstrow))),0,IF(OFFSET(PLE!$G$14,$M24,BD$13)="",10^12,OFFSET(PLE!$G$14,$M24,BD$13))))</f>
        <v>1000000000000</v>
      </c>
      <c r="BE24" s="286" t="n">
        <f aca="true">IF($D24&lt;&gt;"Serviço",0,IF(OR(AND(AUTOEVENTO="Manual",$M24=1),$M24&gt;(ROW(PLE.lastrow)-ROW(PLE.firstrow))),0,IF(OFFSET(PLE!$G$14,$M24,BE$13)="",10^12,OFFSET(PLE!$G$14,$M24,BE$13))))</f>
        <v>1000000000000</v>
      </c>
      <c r="BF24" s="286" t="n">
        <f aca="true">IF($D24&lt;&gt;"Serviço",0,IF(OR(AND(AUTOEVENTO="Manual",$M24=1),$M24&gt;(ROW(PLE.lastrow)-ROW(PLE.firstrow))),0,IF(OFFSET(PLE!$G$14,$M24,BF$13)="",10^12,OFFSET(PLE!$G$14,$M24,BF$13))))</f>
        <v>1000000000000</v>
      </c>
      <c r="BG24" s="286" t="n">
        <f aca="true">IF($D24&lt;&gt;"Serviço",0,IF(OR(AND(AUTOEVENTO="Manual",$M24=1),$M24&gt;(ROW(PLE.lastrow)-ROW(PLE.firstrow))),0,IF(OFFSET(PLE!$G$14,$M24,BG$13)="",10^12,OFFSET(PLE!$G$14,$M24,BG$13))))</f>
        <v>1000000000000</v>
      </c>
    </row>
    <row r="25" customFormat="false" ht="12.8" hidden="false" customHeight="false" outlineLevel="0" collapsed="false">
      <c r="A25" s="34" t="n">
        <f aca="true">IF(AUTOEVENTO="Manual",IF(K25&lt;&gt;"",MIN(VALUE(LEFT(K25,FIND(".",K25)-1)),COUNTA(EVENTOS.Lista)),0),IF(OR($B25&gt;AUTOEVENTO,$B25="S",$B25=0),SUBSTITUTE(OFFSET($A25,-1,0),IF($D25="Serviço",".",""),""),ROW(A25)-ROW($A$15)&amp;"."))</f>
        <v>3</v>
      </c>
      <c r="B25" s="34" t="str">
        <f aca="true">OFFSET(ORÇAMENTO!C$15,ROW(B25)-ROW(B$15),0)</f>
        <v>S</v>
      </c>
      <c r="C25" s="34" t="str">
        <f aca="true">OFFSET(ORÇAMENTO!L$15,ROW(C25)-ROW(C$15),0)</f>
        <v/>
      </c>
      <c r="D25" s="187" t="str">
        <f aca="true">OFFSET(ORÇAMENTO!N$15,ROW(D25)-ROW(D$15),0)</f>
        <v>Serviço</v>
      </c>
      <c r="E25" s="188" t="str">
        <f aca="true">OFFSET(ORÇAMENTO!O$15,ROW(E25)-ROW(E$15),0)</f>
        <v>-</v>
      </c>
      <c r="F25" s="272" t="str">
        <f aca="true">OFFSET(ORÇAMENTO!R$15,ROW(F25)-ROW(F$15),0)</f>
        <v>(abra o arquivo 'Referência 02-Thursday.xlsm)</v>
      </c>
      <c r="G25" s="273" t="str">
        <f aca="true">IF($D25&lt;&gt;"Serviço","",OFFSET(ORÇAMENTO!S$15,ROW(G25)-ROW(G$15),0))</f>
        <v>-</v>
      </c>
      <c r="H25" s="193" t="n">
        <f aca="true">IF($D25&lt;&gt;"Serviço",0,IF(ACOMPANHAMENTO="BM",ROUND(OFFSET(ORÇAMENTO!AJ$15,ROW(H25)-ROW(H$15),0),15-13*ORÇAMENTO!$AF$7),SUMPRODUCT(($Q$12:$AA$12&lt;&gt;"")*ROUND($Q25:$AA25,15-13*ORÇAMENTO!$AF$7))))</f>
        <v>1</v>
      </c>
      <c r="I25" s="274" t="s">
        <v>363</v>
      </c>
      <c r="K25" s="275" t="s">
        <v>362</v>
      </c>
      <c r="L25" s="276" t="s">
        <v>347</v>
      </c>
      <c r="M25" s="277" t="n">
        <f aca="true">IF($D25&lt;&gt;"Serviço","",IF(AUTOEVENTO="manual",$A25,IF(ISERROR(MATCH($A25,$A$15:OFFSET($A25,-1,0),0)),MAX($M$15:OFFSET(M25,-1,0))+1,INDEX($M$15:OFFSET(M25,-1,0),MATCH($A25,$A$15:OFFSET($A25,-1,0),0)))))</f>
        <v>3</v>
      </c>
      <c r="N25" s="278" t="str">
        <f aca="true">IF($D25&lt;&gt;"Serviço","",IF(AUTOEVENTO="Manual",IF($A25=0,"&lt;-- defina o número do agrupador",OFFSET(EVENTOS!$D$14,$A25,0)),OFFSET($F$15,$A25,0)))</f>
        <v>Canteiro</v>
      </c>
      <c r="O25" s="279"/>
      <c r="Q25" s="279" t="n">
        <v>1</v>
      </c>
      <c r="R25" s="280"/>
      <c r="S25" s="280"/>
      <c r="T25" s="280"/>
      <c r="U25" s="280"/>
      <c r="V25" s="280"/>
      <c r="W25" s="280"/>
      <c r="X25" s="280"/>
      <c r="Y25" s="280"/>
      <c r="Z25" s="281"/>
      <c r="AB25" s="282" t="n">
        <f aca="true">IF(AND($D25="Serviço",AB$12&lt;&gt;0,$H25&gt;0,OR(AUTOEVENTO&lt;&gt;"manual",$M25&lt;&gt;1)),
IF(Import.TipoArredondamento&lt;&gt;"TransfereGOV",
ROUND(OFFSET($P25,0,AB$13),15-13*ORÇAMENTO!$AF$7)/$H25*OFFSET(ORÇAMENTO!$X$15,ROW(AB25)-ROW(AB$15),0),
ROUND(ROUND(OFFSET($P25,0,AB$13),15-13*ORÇAMENTO!$AF$7)*OFFSET(ORÇAMENTO!$W$15,ROW(AB25)-ROW(AB$15),0),15-13*ORÇAMENTO!$AF$11)),0)</f>
        <v>0</v>
      </c>
      <c r="AC25" s="283" t="n">
        <f aca="true">IF(AND($D25="Serviço",AC$12&lt;&gt;0,$H25&gt;0,OR(AUTOEVENTO&lt;&gt;"manual",$M25&lt;&gt;1)),
IF(Import.TipoArredondamento&lt;&gt;"TransfereGOV",
ROUND(OFFSET($P25,0,AC$13),15-13*ORÇAMENTO!$AF$7)/$H25*OFFSET(ORÇAMENTO!$X$15,ROW(AC25)-ROW(AC$15),0),
ROUND(ROUND(OFFSET($P25,0,AC$13),15-13*ORÇAMENTO!$AF$7)*OFFSET(ORÇAMENTO!$W$15,ROW(AC25)-ROW(AC$15),0),15-13*ORÇAMENTO!$AF$11)),0)</f>
        <v>0</v>
      </c>
      <c r="AD25" s="283" t="n">
        <f aca="true">IF(AND($D25="Serviço",AD$12&lt;&gt;0,$H25&gt;0,OR(AUTOEVENTO&lt;&gt;"manual",$M25&lt;&gt;1)),
IF(Import.TipoArredondamento&lt;&gt;"TransfereGOV",
ROUND(OFFSET($P25,0,AD$13),15-13*ORÇAMENTO!$AF$7)/$H25*OFFSET(ORÇAMENTO!$X$15,ROW(AD25)-ROW(AD$15),0),
ROUND(ROUND(OFFSET($P25,0,AD$13),15-13*ORÇAMENTO!$AF$7)*OFFSET(ORÇAMENTO!$W$15,ROW(AD25)-ROW(AD$15),0),15-13*ORÇAMENTO!$AF$11)),0)</f>
        <v>0</v>
      </c>
      <c r="AE25" s="283" t="n">
        <f aca="true">IF(AND($D25="Serviço",AE$12&lt;&gt;0,$H25&gt;0,OR(AUTOEVENTO&lt;&gt;"manual",$M25&lt;&gt;1)),
IF(Import.TipoArredondamento&lt;&gt;"TransfereGOV",
ROUND(OFFSET($P25,0,AE$13),15-13*ORÇAMENTO!$AF$7)/$H25*OFFSET(ORÇAMENTO!$X$15,ROW(AE25)-ROW(AE$15),0),
ROUND(ROUND(OFFSET($P25,0,AE$13),15-13*ORÇAMENTO!$AF$7)*OFFSET(ORÇAMENTO!$W$15,ROW(AE25)-ROW(AE$15),0),15-13*ORÇAMENTO!$AF$11)),0)</f>
        <v>0</v>
      </c>
      <c r="AF25" s="283" t="n">
        <f aca="true">IF(AND($D25="Serviço",AF$12&lt;&gt;0,$H25&gt;0,OR(AUTOEVENTO&lt;&gt;"manual",$M25&lt;&gt;1)),
IF(Import.TipoArredondamento&lt;&gt;"TransfereGOV",
ROUND(OFFSET($P25,0,AF$13),15-13*ORÇAMENTO!$AF$7)/$H25*OFFSET(ORÇAMENTO!$X$15,ROW(AF25)-ROW(AF$15),0),
ROUND(ROUND(OFFSET($P25,0,AF$13),15-13*ORÇAMENTO!$AF$7)*OFFSET(ORÇAMENTO!$W$15,ROW(AF25)-ROW(AF$15),0),15-13*ORÇAMENTO!$AF$11)),0)</f>
        <v>0</v>
      </c>
      <c r="AG25" s="283" t="n">
        <f aca="true">IF(AND($D25="Serviço",AG$12&lt;&gt;0,$H25&gt;0,OR(AUTOEVENTO&lt;&gt;"manual",$M25&lt;&gt;1)),
IF(Import.TipoArredondamento&lt;&gt;"TransfereGOV",
ROUND(OFFSET($P25,0,AG$13),15-13*ORÇAMENTO!$AF$7)/$H25*OFFSET(ORÇAMENTO!$X$15,ROW(AG25)-ROW(AG$15),0),
ROUND(ROUND(OFFSET($P25,0,AG$13),15-13*ORÇAMENTO!$AF$7)*OFFSET(ORÇAMENTO!$W$15,ROW(AG25)-ROW(AG$15),0),15-13*ORÇAMENTO!$AF$11)),0)</f>
        <v>0</v>
      </c>
      <c r="AH25" s="283" t="n">
        <f aca="true">IF(AND($D25="Serviço",AH$12&lt;&gt;0,$H25&gt;0,OR(AUTOEVENTO&lt;&gt;"manual",$M25&lt;&gt;1)),
IF(Import.TipoArredondamento&lt;&gt;"TransfereGOV",
ROUND(OFFSET($P25,0,AH$13),15-13*ORÇAMENTO!$AF$7)/$H25*OFFSET(ORÇAMENTO!$X$15,ROW(AH25)-ROW(AH$15),0),
ROUND(ROUND(OFFSET($P25,0,AH$13),15-13*ORÇAMENTO!$AF$7)*OFFSET(ORÇAMENTO!$W$15,ROW(AH25)-ROW(AH$15),0),15-13*ORÇAMENTO!$AF$11)),0)</f>
        <v>0</v>
      </c>
      <c r="AI25" s="283" t="n">
        <f aca="true">IF(AND($D25="Serviço",AI$12&lt;&gt;0,$H25&gt;0,OR(AUTOEVENTO&lt;&gt;"manual",$M25&lt;&gt;1)),
IF(Import.TipoArredondamento&lt;&gt;"TransfereGOV",
ROUND(OFFSET($P25,0,AI$13),15-13*ORÇAMENTO!$AF$7)/$H25*OFFSET(ORÇAMENTO!$X$15,ROW(AI25)-ROW(AI$15),0),
ROUND(ROUND(OFFSET($P25,0,AI$13),15-13*ORÇAMENTO!$AF$7)*OFFSET(ORÇAMENTO!$W$15,ROW(AI25)-ROW(AI$15),0),15-13*ORÇAMENTO!$AF$11)),0)</f>
        <v>0</v>
      </c>
      <c r="AJ25" s="283" t="n">
        <f aca="true">IF(AND($D25="Serviço",AJ$12&lt;&gt;0,$H25&gt;0,OR(AUTOEVENTO&lt;&gt;"manual",$M25&lt;&gt;1)),
IF(Import.TipoArredondamento&lt;&gt;"TransfereGOV",
ROUND(OFFSET($P25,0,AJ$13),15-13*ORÇAMENTO!$AF$7)/$H25*OFFSET(ORÇAMENTO!$X$15,ROW(AJ25)-ROW(AJ$15),0),
ROUND(ROUND(OFFSET($P25,0,AJ$13),15-13*ORÇAMENTO!$AF$7)*OFFSET(ORÇAMENTO!$W$15,ROW(AJ25)-ROW(AJ$15),0),15-13*ORÇAMENTO!$AF$11)),0)</f>
        <v>0</v>
      </c>
      <c r="AK25" s="284" t="n">
        <f aca="true">IF(AND($D25="Serviço",AK$12&lt;&gt;0,$H25&gt;0,OR(AUTOEVENTO&lt;&gt;"manual",$M25&lt;&gt;1)),
IF(Import.TipoArredondamento&lt;&gt;"TransfereGOV",
ROUND(OFFSET($P25,0,AK$13),15-13*ORÇAMENTO!$AF$7)/$H25*OFFSET(ORÇAMENTO!$X$15,ROW(AK25)-ROW(AK$15),0),
ROUND(ROUND(OFFSET($P25,0,AK$13),15-13*ORÇAMENTO!$AF$7)*OFFSET(ORÇAMENTO!$W$15,ROW(AK25)-ROW(AK$15),0),15-13*ORÇAMENTO!$AF$11)),0)</f>
        <v>0</v>
      </c>
      <c r="AM25" s="285" t="n">
        <f aca="true">IF($D25&lt;&gt;"Serviço",0,IF(AND(AUTOEVENTO="Manual",$M25=1),0,IF(OFFSET(CRONOPLE!$F$14,$M25,AM$13)="",10^12,OFFSET(CRONOPLE!$F$14,$M25,AM$13))))</f>
        <v>1</v>
      </c>
      <c r="AN25" s="285" t="n">
        <f aca="true">IF($D25&lt;&gt;"Serviço",0,IF(AND(AUTOEVENTO="Manual",$M25=1),0,IF(OFFSET(CRONOPLE!$F$14,$M25,AN$13)="",10^12,OFFSET(CRONOPLE!$F$14,$M25,AN$13))))</f>
        <v>1000000000000</v>
      </c>
      <c r="AO25" s="285" t="n">
        <f aca="true">IF($D25&lt;&gt;"Serviço",0,IF(AND(AUTOEVENTO="Manual",$M25=1),0,IF(OFFSET(CRONOPLE!$F$14,$M25,AO$13)="",10^12,OFFSET(CRONOPLE!$F$14,$M25,AO$13))))</f>
        <v>1000000000000</v>
      </c>
      <c r="AP25" s="285" t="n">
        <f aca="true">IF($D25&lt;&gt;"Serviço",0,IF(AND(AUTOEVENTO="Manual",$M25=1),0,IF(OFFSET(CRONOPLE!$F$14,$M25,AP$13)="",10^12,OFFSET(CRONOPLE!$F$14,$M25,AP$13))))</f>
        <v>1000000000000</v>
      </c>
      <c r="AQ25" s="285" t="n">
        <f aca="true">IF($D25&lt;&gt;"Serviço",0,IF(AND(AUTOEVENTO="Manual",$M25=1),0,IF(OFFSET(CRONOPLE!$F$14,$M25,AQ$13)="",10^12,OFFSET(CRONOPLE!$F$14,$M25,AQ$13))))</f>
        <v>1000000000000</v>
      </c>
      <c r="AR25" s="285" t="n">
        <f aca="true">IF($D25&lt;&gt;"Serviço",0,IF(AND(AUTOEVENTO="Manual",$M25=1),0,IF(OFFSET(CRONOPLE!$F$14,$M25,AR$13)="",10^12,OFFSET(CRONOPLE!$F$14,$M25,AR$13))))</f>
        <v>1000000000000</v>
      </c>
      <c r="AS25" s="285" t="n">
        <f aca="true">IF($D25&lt;&gt;"Serviço",0,IF(AND(AUTOEVENTO="Manual",$M25=1),0,IF(OFFSET(CRONOPLE!$F$14,$M25,AS$13)="",10^12,OFFSET(CRONOPLE!$F$14,$M25,AS$13))))</f>
        <v>1000000000000</v>
      </c>
      <c r="AT25" s="285" t="n">
        <f aca="true">IF($D25&lt;&gt;"Serviço",0,IF(AND(AUTOEVENTO="Manual",$M25=1),0,IF(OFFSET(CRONOPLE!$F$14,$M25,AT$13)="",10^12,OFFSET(CRONOPLE!$F$14,$M25,AT$13))))</f>
        <v>1000000000000</v>
      </c>
      <c r="AU25" s="285" t="n">
        <f aca="true">IF($D25&lt;&gt;"Serviço",0,IF(AND(AUTOEVENTO="Manual",$M25=1),0,IF(OFFSET(CRONOPLE!$F$14,$M25,AU$13)="",10^12,OFFSET(CRONOPLE!$F$14,$M25,AU$13))))</f>
        <v>1000000000000</v>
      </c>
      <c r="AV25" s="285" t="n">
        <f aca="true">IF($D25&lt;&gt;"Serviço",0,IF(AND(AUTOEVENTO="Manual",$M25=1),0,IF(OFFSET(CRONOPLE!$F$14,$M25,AV$13)="",10^12,OFFSET(CRONOPLE!$F$14,$M25,AV$13))))</f>
        <v>1000000000000</v>
      </c>
      <c r="AX25" s="286" t="n">
        <f aca="true">IF($D25&lt;&gt;"Serviço",0,IF(OR(AND(AUTOEVENTO="Manual",$M25=1),$M25&gt;(ROW(PLE.lastrow)-ROW(PLE.firstrow))),0,IF(OFFSET(PLE!$G$14,$M25,AX$13)="",10^12,OFFSET(PLE!$G$14,$M25,AX$13))))</f>
        <v>1000000000000</v>
      </c>
      <c r="AY25" s="286" t="n">
        <f aca="true">IF($D25&lt;&gt;"Serviço",0,IF(OR(AND(AUTOEVENTO="Manual",$M25=1),$M25&gt;(ROW(PLE.lastrow)-ROW(PLE.firstrow))),0,IF(OFFSET(PLE!$G$14,$M25,AY$13)="",10^12,OFFSET(PLE!$G$14,$M25,AY$13))))</f>
        <v>1000000000000</v>
      </c>
      <c r="AZ25" s="286" t="n">
        <f aca="true">IF($D25&lt;&gt;"Serviço",0,IF(OR(AND(AUTOEVENTO="Manual",$M25=1),$M25&gt;(ROW(PLE.lastrow)-ROW(PLE.firstrow))),0,IF(OFFSET(PLE!$G$14,$M25,AZ$13)="",10^12,OFFSET(PLE!$G$14,$M25,AZ$13))))</f>
        <v>1000000000000</v>
      </c>
      <c r="BA25" s="286" t="n">
        <f aca="true">IF($D25&lt;&gt;"Serviço",0,IF(OR(AND(AUTOEVENTO="Manual",$M25=1),$M25&gt;(ROW(PLE.lastrow)-ROW(PLE.firstrow))),0,IF(OFFSET(PLE!$G$14,$M25,BA$13)="",10^12,OFFSET(PLE!$G$14,$M25,BA$13))))</f>
        <v>1000000000000</v>
      </c>
      <c r="BB25" s="286" t="n">
        <f aca="true">IF($D25&lt;&gt;"Serviço",0,IF(OR(AND(AUTOEVENTO="Manual",$M25=1),$M25&gt;(ROW(PLE.lastrow)-ROW(PLE.firstrow))),0,IF(OFFSET(PLE!$G$14,$M25,BB$13)="",10^12,OFFSET(PLE!$G$14,$M25,BB$13))))</f>
        <v>1000000000000</v>
      </c>
      <c r="BC25" s="286" t="n">
        <f aca="true">IF($D25&lt;&gt;"Serviço",0,IF(OR(AND(AUTOEVENTO="Manual",$M25=1),$M25&gt;(ROW(PLE.lastrow)-ROW(PLE.firstrow))),0,IF(OFFSET(PLE!$G$14,$M25,BC$13)="",10^12,OFFSET(PLE!$G$14,$M25,BC$13))))</f>
        <v>1000000000000</v>
      </c>
      <c r="BD25" s="286" t="n">
        <f aca="true">IF($D25&lt;&gt;"Serviço",0,IF(OR(AND(AUTOEVENTO="Manual",$M25=1),$M25&gt;(ROW(PLE.lastrow)-ROW(PLE.firstrow))),0,IF(OFFSET(PLE!$G$14,$M25,BD$13)="",10^12,OFFSET(PLE!$G$14,$M25,BD$13))))</f>
        <v>1000000000000</v>
      </c>
      <c r="BE25" s="286" t="n">
        <f aca="true">IF($D25&lt;&gt;"Serviço",0,IF(OR(AND(AUTOEVENTO="Manual",$M25=1),$M25&gt;(ROW(PLE.lastrow)-ROW(PLE.firstrow))),0,IF(OFFSET(PLE!$G$14,$M25,BE$13)="",10^12,OFFSET(PLE!$G$14,$M25,BE$13))))</f>
        <v>1000000000000</v>
      </c>
      <c r="BF25" s="286" t="n">
        <f aca="true">IF($D25&lt;&gt;"Serviço",0,IF(OR(AND(AUTOEVENTO="Manual",$M25=1),$M25&gt;(ROW(PLE.lastrow)-ROW(PLE.firstrow))),0,IF(OFFSET(PLE!$G$14,$M25,BF$13)="",10^12,OFFSET(PLE!$G$14,$M25,BF$13))))</f>
        <v>1000000000000</v>
      </c>
      <c r="BG25" s="286" t="n">
        <f aca="true">IF($D25&lt;&gt;"Serviço",0,IF(OR(AND(AUTOEVENTO="Manual",$M25=1),$M25&gt;(ROW(PLE.lastrow)-ROW(PLE.firstrow))),0,IF(OFFSET(PLE!$G$14,$M25,BG$13)="",10^12,OFFSET(PLE!$G$14,$M25,BG$13))))</f>
        <v>1000000000000</v>
      </c>
    </row>
    <row r="26" customFormat="false" ht="12.8" hidden="false" customHeight="false" outlineLevel="0" collapsed="false">
      <c r="A26" s="34" t="n">
        <f aca="true">IF(AUTOEVENTO="Manual",IF(K26&lt;&gt;"",MIN(VALUE(LEFT(K26,FIND(".",K26)-1)),COUNTA(EVENTOS.Lista)),0),IF(OR($B26&gt;AUTOEVENTO,$B26="S",$B26=0),SUBSTITUTE(OFFSET($A26,-1,0),IF($D26="Serviço",".",""),""),ROW(A26)-ROW($A$15)&amp;"."))</f>
        <v>3</v>
      </c>
      <c r="B26" s="34" t="str">
        <f aca="true">OFFSET(ORÇAMENTO!C$15,ROW(B26)-ROW(B$15),0)</f>
        <v>S</v>
      </c>
      <c r="C26" s="34" t="str">
        <f aca="true">OFFSET(ORÇAMENTO!L$15,ROW(C26)-ROW(C$15),0)</f>
        <v/>
      </c>
      <c r="D26" s="187" t="str">
        <f aca="true">OFFSET(ORÇAMENTO!N$15,ROW(D26)-ROW(D$15),0)</f>
        <v>Serviço</v>
      </c>
      <c r="E26" s="188" t="str">
        <f aca="true">OFFSET(ORÇAMENTO!O$15,ROW(E26)-ROW(E$15),0)</f>
        <v>-</v>
      </c>
      <c r="F26" s="272" t="str">
        <f aca="true">OFFSET(ORÇAMENTO!R$15,ROW(F26)-ROW(F$15),0)</f>
        <v>(abra o arquivo 'Referência 02-Thursday.xlsm)</v>
      </c>
      <c r="G26" s="273" t="str">
        <f aca="true">IF($D26&lt;&gt;"Serviço","",OFFSET(ORÇAMENTO!S$15,ROW(G26)-ROW(G$15),0))</f>
        <v>-</v>
      </c>
      <c r="H26" s="193" t="n">
        <f aca="true">IF($D26&lt;&gt;"Serviço",0,IF(ACOMPANHAMENTO="BM",ROUND(OFFSET(ORÇAMENTO!AJ$15,ROW(H26)-ROW(H$15),0),15-13*ORÇAMENTO!$AF$7),SUMPRODUCT(($Q$12:$AA$12&lt;&gt;"")*ROUND($Q26:$AA26,15-13*ORÇAMENTO!$AF$7))))</f>
        <v>3</v>
      </c>
      <c r="I26" s="274" t="s">
        <v>361</v>
      </c>
      <c r="K26" s="275" t="s">
        <v>362</v>
      </c>
      <c r="L26" s="276" t="s">
        <v>347</v>
      </c>
      <c r="M26" s="277" t="n">
        <f aca="true">IF($D26&lt;&gt;"Serviço","",IF(AUTOEVENTO="manual",$A26,IF(ISERROR(MATCH($A26,$A$15:OFFSET($A26,-1,0),0)),MAX($M$15:OFFSET(M26,-1,0))+1,INDEX($M$15:OFFSET(M26,-1,0),MATCH($A26,$A$15:OFFSET($A26,-1,0),0)))))</f>
        <v>3</v>
      </c>
      <c r="N26" s="278" t="str">
        <f aca="true">IF($D26&lt;&gt;"Serviço","",IF(AUTOEVENTO="Manual",IF($A26=0,"&lt;-- defina o número do agrupador",OFFSET(EVENTOS!$D$14,$A26,0)),OFFSET($F$15,$A26,0)))</f>
        <v>Canteiro</v>
      </c>
      <c r="O26" s="279"/>
      <c r="Q26" s="279" t="n">
        <v>3</v>
      </c>
      <c r="R26" s="280"/>
      <c r="S26" s="280"/>
      <c r="T26" s="280"/>
      <c r="U26" s="280"/>
      <c r="V26" s="280"/>
      <c r="W26" s="280"/>
      <c r="X26" s="280"/>
      <c r="Y26" s="280"/>
      <c r="Z26" s="281"/>
      <c r="AB26" s="282" t="n">
        <f aca="true">IF(AND($D26="Serviço",AB$12&lt;&gt;0,$H26&gt;0,OR(AUTOEVENTO&lt;&gt;"manual",$M26&lt;&gt;1)),
IF(Import.TipoArredondamento&lt;&gt;"TransfereGOV",
ROUND(OFFSET($P26,0,AB$13),15-13*ORÇAMENTO!$AF$7)/$H26*OFFSET(ORÇAMENTO!$X$15,ROW(AB26)-ROW(AB$15),0),
ROUND(ROUND(OFFSET($P26,0,AB$13),15-13*ORÇAMENTO!$AF$7)*OFFSET(ORÇAMENTO!$W$15,ROW(AB26)-ROW(AB$15),0),15-13*ORÇAMENTO!$AF$11)),0)</f>
        <v>0</v>
      </c>
      <c r="AC26" s="283" t="n">
        <f aca="true">IF(AND($D26="Serviço",AC$12&lt;&gt;0,$H26&gt;0,OR(AUTOEVENTO&lt;&gt;"manual",$M26&lt;&gt;1)),
IF(Import.TipoArredondamento&lt;&gt;"TransfereGOV",
ROUND(OFFSET($P26,0,AC$13),15-13*ORÇAMENTO!$AF$7)/$H26*OFFSET(ORÇAMENTO!$X$15,ROW(AC26)-ROW(AC$15),0),
ROUND(ROUND(OFFSET($P26,0,AC$13),15-13*ORÇAMENTO!$AF$7)*OFFSET(ORÇAMENTO!$W$15,ROW(AC26)-ROW(AC$15),0),15-13*ORÇAMENTO!$AF$11)),0)</f>
        <v>0</v>
      </c>
      <c r="AD26" s="283" t="n">
        <f aca="true">IF(AND($D26="Serviço",AD$12&lt;&gt;0,$H26&gt;0,OR(AUTOEVENTO&lt;&gt;"manual",$M26&lt;&gt;1)),
IF(Import.TipoArredondamento&lt;&gt;"TransfereGOV",
ROUND(OFFSET($P26,0,AD$13),15-13*ORÇAMENTO!$AF$7)/$H26*OFFSET(ORÇAMENTO!$X$15,ROW(AD26)-ROW(AD$15),0),
ROUND(ROUND(OFFSET($P26,0,AD$13),15-13*ORÇAMENTO!$AF$7)*OFFSET(ORÇAMENTO!$W$15,ROW(AD26)-ROW(AD$15),0),15-13*ORÇAMENTO!$AF$11)),0)</f>
        <v>0</v>
      </c>
      <c r="AE26" s="283" t="n">
        <f aca="true">IF(AND($D26="Serviço",AE$12&lt;&gt;0,$H26&gt;0,OR(AUTOEVENTO&lt;&gt;"manual",$M26&lt;&gt;1)),
IF(Import.TipoArredondamento&lt;&gt;"TransfereGOV",
ROUND(OFFSET($P26,0,AE$13),15-13*ORÇAMENTO!$AF$7)/$H26*OFFSET(ORÇAMENTO!$X$15,ROW(AE26)-ROW(AE$15),0),
ROUND(ROUND(OFFSET($P26,0,AE$13),15-13*ORÇAMENTO!$AF$7)*OFFSET(ORÇAMENTO!$W$15,ROW(AE26)-ROW(AE$15),0),15-13*ORÇAMENTO!$AF$11)),0)</f>
        <v>0</v>
      </c>
      <c r="AF26" s="283" t="n">
        <f aca="true">IF(AND($D26="Serviço",AF$12&lt;&gt;0,$H26&gt;0,OR(AUTOEVENTO&lt;&gt;"manual",$M26&lt;&gt;1)),
IF(Import.TipoArredondamento&lt;&gt;"TransfereGOV",
ROUND(OFFSET($P26,0,AF$13),15-13*ORÇAMENTO!$AF$7)/$H26*OFFSET(ORÇAMENTO!$X$15,ROW(AF26)-ROW(AF$15),0),
ROUND(ROUND(OFFSET($P26,0,AF$13),15-13*ORÇAMENTO!$AF$7)*OFFSET(ORÇAMENTO!$W$15,ROW(AF26)-ROW(AF$15),0),15-13*ORÇAMENTO!$AF$11)),0)</f>
        <v>0</v>
      </c>
      <c r="AG26" s="283" t="n">
        <f aca="true">IF(AND($D26="Serviço",AG$12&lt;&gt;0,$H26&gt;0,OR(AUTOEVENTO&lt;&gt;"manual",$M26&lt;&gt;1)),
IF(Import.TipoArredondamento&lt;&gt;"TransfereGOV",
ROUND(OFFSET($P26,0,AG$13),15-13*ORÇAMENTO!$AF$7)/$H26*OFFSET(ORÇAMENTO!$X$15,ROW(AG26)-ROW(AG$15),0),
ROUND(ROUND(OFFSET($P26,0,AG$13),15-13*ORÇAMENTO!$AF$7)*OFFSET(ORÇAMENTO!$W$15,ROW(AG26)-ROW(AG$15),0),15-13*ORÇAMENTO!$AF$11)),0)</f>
        <v>0</v>
      </c>
      <c r="AH26" s="283" t="n">
        <f aca="true">IF(AND($D26="Serviço",AH$12&lt;&gt;0,$H26&gt;0,OR(AUTOEVENTO&lt;&gt;"manual",$M26&lt;&gt;1)),
IF(Import.TipoArredondamento&lt;&gt;"TransfereGOV",
ROUND(OFFSET($P26,0,AH$13),15-13*ORÇAMENTO!$AF$7)/$H26*OFFSET(ORÇAMENTO!$X$15,ROW(AH26)-ROW(AH$15),0),
ROUND(ROUND(OFFSET($P26,0,AH$13),15-13*ORÇAMENTO!$AF$7)*OFFSET(ORÇAMENTO!$W$15,ROW(AH26)-ROW(AH$15),0),15-13*ORÇAMENTO!$AF$11)),0)</f>
        <v>0</v>
      </c>
      <c r="AI26" s="283" t="n">
        <f aca="true">IF(AND($D26="Serviço",AI$12&lt;&gt;0,$H26&gt;0,OR(AUTOEVENTO&lt;&gt;"manual",$M26&lt;&gt;1)),
IF(Import.TipoArredondamento&lt;&gt;"TransfereGOV",
ROUND(OFFSET($P26,0,AI$13),15-13*ORÇAMENTO!$AF$7)/$H26*OFFSET(ORÇAMENTO!$X$15,ROW(AI26)-ROW(AI$15),0),
ROUND(ROUND(OFFSET($P26,0,AI$13),15-13*ORÇAMENTO!$AF$7)*OFFSET(ORÇAMENTO!$W$15,ROW(AI26)-ROW(AI$15),0),15-13*ORÇAMENTO!$AF$11)),0)</f>
        <v>0</v>
      </c>
      <c r="AJ26" s="283" t="n">
        <f aca="true">IF(AND($D26="Serviço",AJ$12&lt;&gt;0,$H26&gt;0,OR(AUTOEVENTO&lt;&gt;"manual",$M26&lt;&gt;1)),
IF(Import.TipoArredondamento&lt;&gt;"TransfereGOV",
ROUND(OFFSET($P26,0,AJ$13),15-13*ORÇAMENTO!$AF$7)/$H26*OFFSET(ORÇAMENTO!$X$15,ROW(AJ26)-ROW(AJ$15),0),
ROUND(ROUND(OFFSET($P26,0,AJ$13),15-13*ORÇAMENTO!$AF$7)*OFFSET(ORÇAMENTO!$W$15,ROW(AJ26)-ROW(AJ$15),0),15-13*ORÇAMENTO!$AF$11)),0)</f>
        <v>0</v>
      </c>
      <c r="AK26" s="284" t="n">
        <f aca="true">IF(AND($D26="Serviço",AK$12&lt;&gt;0,$H26&gt;0,OR(AUTOEVENTO&lt;&gt;"manual",$M26&lt;&gt;1)),
IF(Import.TipoArredondamento&lt;&gt;"TransfereGOV",
ROUND(OFFSET($P26,0,AK$13),15-13*ORÇAMENTO!$AF$7)/$H26*OFFSET(ORÇAMENTO!$X$15,ROW(AK26)-ROW(AK$15),0),
ROUND(ROUND(OFFSET($P26,0,AK$13),15-13*ORÇAMENTO!$AF$7)*OFFSET(ORÇAMENTO!$W$15,ROW(AK26)-ROW(AK$15),0),15-13*ORÇAMENTO!$AF$11)),0)</f>
        <v>0</v>
      </c>
      <c r="AM26" s="285" t="n">
        <f aca="true">IF($D26&lt;&gt;"Serviço",0,IF(AND(AUTOEVENTO="Manual",$M26=1),0,IF(OFFSET(CRONOPLE!$F$14,$M26,AM$13)="",10^12,OFFSET(CRONOPLE!$F$14,$M26,AM$13))))</f>
        <v>1</v>
      </c>
      <c r="AN26" s="285" t="n">
        <f aca="true">IF($D26&lt;&gt;"Serviço",0,IF(AND(AUTOEVENTO="Manual",$M26=1),0,IF(OFFSET(CRONOPLE!$F$14,$M26,AN$13)="",10^12,OFFSET(CRONOPLE!$F$14,$M26,AN$13))))</f>
        <v>1000000000000</v>
      </c>
      <c r="AO26" s="285" t="n">
        <f aca="true">IF($D26&lt;&gt;"Serviço",0,IF(AND(AUTOEVENTO="Manual",$M26=1),0,IF(OFFSET(CRONOPLE!$F$14,$M26,AO$13)="",10^12,OFFSET(CRONOPLE!$F$14,$M26,AO$13))))</f>
        <v>1000000000000</v>
      </c>
      <c r="AP26" s="285" t="n">
        <f aca="true">IF($D26&lt;&gt;"Serviço",0,IF(AND(AUTOEVENTO="Manual",$M26=1),0,IF(OFFSET(CRONOPLE!$F$14,$M26,AP$13)="",10^12,OFFSET(CRONOPLE!$F$14,$M26,AP$13))))</f>
        <v>1000000000000</v>
      </c>
      <c r="AQ26" s="285" t="n">
        <f aca="true">IF($D26&lt;&gt;"Serviço",0,IF(AND(AUTOEVENTO="Manual",$M26=1),0,IF(OFFSET(CRONOPLE!$F$14,$M26,AQ$13)="",10^12,OFFSET(CRONOPLE!$F$14,$M26,AQ$13))))</f>
        <v>1000000000000</v>
      </c>
      <c r="AR26" s="285" t="n">
        <f aca="true">IF($D26&lt;&gt;"Serviço",0,IF(AND(AUTOEVENTO="Manual",$M26=1),0,IF(OFFSET(CRONOPLE!$F$14,$M26,AR$13)="",10^12,OFFSET(CRONOPLE!$F$14,$M26,AR$13))))</f>
        <v>1000000000000</v>
      </c>
      <c r="AS26" s="285" t="n">
        <f aca="true">IF($D26&lt;&gt;"Serviço",0,IF(AND(AUTOEVENTO="Manual",$M26=1),0,IF(OFFSET(CRONOPLE!$F$14,$M26,AS$13)="",10^12,OFFSET(CRONOPLE!$F$14,$M26,AS$13))))</f>
        <v>1000000000000</v>
      </c>
      <c r="AT26" s="285" t="n">
        <f aca="true">IF($D26&lt;&gt;"Serviço",0,IF(AND(AUTOEVENTO="Manual",$M26=1),0,IF(OFFSET(CRONOPLE!$F$14,$M26,AT$13)="",10^12,OFFSET(CRONOPLE!$F$14,$M26,AT$13))))</f>
        <v>1000000000000</v>
      </c>
      <c r="AU26" s="285" t="n">
        <f aca="true">IF($D26&lt;&gt;"Serviço",0,IF(AND(AUTOEVENTO="Manual",$M26=1),0,IF(OFFSET(CRONOPLE!$F$14,$M26,AU$13)="",10^12,OFFSET(CRONOPLE!$F$14,$M26,AU$13))))</f>
        <v>1000000000000</v>
      </c>
      <c r="AV26" s="285" t="n">
        <f aca="true">IF($D26&lt;&gt;"Serviço",0,IF(AND(AUTOEVENTO="Manual",$M26=1),0,IF(OFFSET(CRONOPLE!$F$14,$M26,AV$13)="",10^12,OFFSET(CRONOPLE!$F$14,$M26,AV$13))))</f>
        <v>1000000000000</v>
      </c>
      <c r="AX26" s="286" t="n">
        <f aca="true">IF($D26&lt;&gt;"Serviço",0,IF(OR(AND(AUTOEVENTO="Manual",$M26=1),$M26&gt;(ROW(PLE.lastrow)-ROW(PLE.firstrow))),0,IF(OFFSET(PLE!$G$14,$M26,AX$13)="",10^12,OFFSET(PLE!$G$14,$M26,AX$13))))</f>
        <v>1000000000000</v>
      </c>
      <c r="AY26" s="286" t="n">
        <f aca="true">IF($D26&lt;&gt;"Serviço",0,IF(OR(AND(AUTOEVENTO="Manual",$M26=1),$M26&gt;(ROW(PLE.lastrow)-ROW(PLE.firstrow))),0,IF(OFFSET(PLE!$G$14,$M26,AY$13)="",10^12,OFFSET(PLE!$G$14,$M26,AY$13))))</f>
        <v>1000000000000</v>
      </c>
      <c r="AZ26" s="286" t="n">
        <f aca="true">IF($D26&lt;&gt;"Serviço",0,IF(OR(AND(AUTOEVENTO="Manual",$M26=1),$M26&gt;(ROW(PLE.lastrow)-ROW(PLE.firstrow))),0,IF(OFFSET(PLE!$G$14,$M26,AZ$13)="",10^12,OFFSET(PLE!$G$14,$M26,AZ$13))))</f>
        <v>1000000000000</v>
      </c>
      <c r="BA26" s="286" t="n">
        <f aca="true">IF($D26&lt;&gt;"Serviço",0,IF(OR(AND(AUTOEVENTO="Manual",$M26=1),$M26&gt;(ROW(PLE.lastrow)-ROW(PLE.firstrow))),0,IF(OFFSET(PLE!$G$14,$M26,BA$13)="",10^12,OFFSET(PLE!$G$14,$M26,BA$13))))</f>
        <v>1000000000000</v>
      </c>
      <c r="BB26" s="286" t="n">
        <f aca="true">IF($D26&lt;&gt;"Serviço",0,IF(OR(AND(AUTOEVENTO="Manual",$M26=1),$M26&gt;(ROW(PLE.lastrow)-ROW(PLE.firstrow))),0,IF(OFFSET(PLE!$G$14,$M26,BB$13)="",10^12,OFFSET(PLE!$G$14,$M26,BB$13))))</f>
        <v>1000000000000</v>
      </c>
      <c r="BC26" s="286" t="n">
        <f aca="true">IF($D26&lt;&gt;"Serviço",0,IF(OR(AND(AUTOEVENTO="Manual",$M26=1),$M26&gt;(ROW(PLE.lastrow)-ROW(PLE.firstrow))),0,IF(OFFSET(PLE!$G$14,$M26,BC$13)="",10^12,OFFSET(PLE!$G$14,$M26,BC$13))))</f>
        <v>1000000000000</v>
      </c>
      <c r="BD26" s="286" t="n">
        <f aca="true">IF($D26&lt;&gt;"Serviço",0,IF(OR(AND(AUTOEVENTO="Manual",$M26=1),$M26&gt;(ROW(PLE.lastrow)-ROW(PLE.firstrow))),0,IF(OFFSET(PLE!$G$14,$M26,BD$13)="",10^12,OFFSET(PLE!$G$14,$M26,BD$13))))</f>
        <v>1000000000000</v>
      </c>
      <c r="BE26" s="286" t="n">
        <f aca="true">IF($D26&lt;&gt;"Serviço",0,IF(OR(AND(AUTOEVENTO="Manual",$M26=1),$M26&gt;(ROW(PLE.lastrow)-ROW(PLE.firstrow))),0,IF(OFFSET(PLE!$G$14,$M26,BE$13)="",10^12,OFFSET(PLE!$G$14,$M26,BE$13))))</f>
        <v>1000000000000</v>
      </c>
      <c r="BF26" s="286" t="n">
        <f aca="true">IF($D26&lt;&gt;"Serviço",0,IF(OR(AND(AUTOEVENTO="Manual",$M26=1),$M26&gt;(ROW(PLE.lastrow)-ROW(PLE.firstrow))),0,IF(OFFSET(PLE!$G$14,$M26,BF$13)="",10^12,OFFSET(PLE!$G$14,$M26,BF$13))))</f>
        <v>1000000000000</v>
      </c>
      <c r="BG26" s="286" t="n">
        <f aca="true">IF($D26&lt;&gt;"Serviço",0,IF(OR(AND(AUTOEVENTO="Manual",$M26=1),$M26&gt;(ROW(PLE.lastrow)-ROW(PLE.firstrow))),0,IF(OFFSET(PLE!$G$14,$M26,BG$13)="",10^12,OFFSET(PLE!$G$14,$M26,BG$13))))</f>
        <v>1000000000000</v>
      </c>
    </row>
    <row r="27" customFormat="false" ht="12.8" hidden="false" customHeight="false" outlineLevel="0" collapsed="false">
      <c r="A27" s="34" t="n">
        <f aca="true">IF(AUTOEVENTO="Manual",IF(K27&lt;&gt;"",MIN(VALUE(LEFT(K27,FIND(".",K27)-1)),COUNTA(EVENTOS.Lista)),0),IF(OR($B27&gt;AUTOEVENTO,$B27="S",$B27=0),SUBSTITUTE(OFFSET($A27,-1,0),IF($D27="Serviço",".",""),""),ROW(A27)-ROW($A$15)&amp;"."))</f>
        <v>3</v>
      </c>
      <c r="B27" s="34" t="str">
        <f aca="true">OFFSET(ORÇAMENTO!C$15,ROW(B27)-ROW(B$15),0)</f>
        <v>S</v>
      </c>
      <c r="C27" s="34" t="str">
        <f aca="true">OFFSET(ORÇAMENTO!L$15,ROW(C27)-ROW(C$15),0)</f>
        <v/>
      </c>
      <c r="D27" s="187" t="str">
        <f aca="true">OFFSET(ORÇAMENTO!N$15,ROW(D27)-ROW(D$15),0)</f>
        <v>Serviço</v>
      </c>
      <c r="E27" s="188" t="str">
        <f aca="true">OFFSET(ORÇAMENTO!O$15,ROW(E27)-ROW(E$15),0)</f>
        <v>-</v>
      </c>
      <c r="F27" s="272" t="str">
        <f aca="true">OFFSET(ORÇAMENTO!R$15,ROW(F27)-ROW(F$15),0)</f>
        <v>(abra o arquivo 'Referência 02-Thursday.xlsm)</v>
      </c>
      <c r="G27" s="273" t="str">
        <f aca="true">IF($D27&lt;&gt;"Serviço","",OFFSET(ORÇAMENTO!S$15,ROW(G27)-ROW(G$15),0))</f>
        <v>-</v>
      </c>
      <c r="H27" s="193" t="n">
        <f aca="true">IF($D27&lt;&gt;"Serviço",0,IF(ACOMPANHAMENTO="BM",ROUND(OFFSET(ORÇAMENTO!AJ$15,ROW(H27)-ROW(H$15),0),15-13*ORÇAMENTO!$AF$7),SUMPRODUCT(($Q$12:$AA$12&lt;&gt;"")*ROUND($Q27:$AA27,15-13*ORÇAMENTO!$AF$7))))</f>
        <v>1</v>
      </c>
      <c r="I27" s="274" t="s">
        <v>363</v>
      </c>
      <c r="K27" s="275" t="s">
        <v>362</v>
      </c>
      <c r="L27" s="276" t="s">
        <v>347</v>
      </c>
      <c r="M27" s="277" t="n">
        <f aca="true">IF($D27&lt;&gt;"Serviço","",IF(AUTOEVENTO="manual",$A27,IF(ISERROR(MATCH($A27,$A$15:OFFSET($A27,-1,0),0)),MAX($M$15:OFFSET(M27,-1,0))+1,INDEX($M$15:OFFSET(M27,-1,0),MATCH($A27,$A$15:OFFSET($A27,-1,0),0)))))</f>
        <v>3</v>
      </c>
      <c r="N27" s="278" t="str">
        <f aca="true">IF($D27&lt;&gt;"Serviço","",IF(AUTOEVENTO="Manual",IF($A27=0,"&lt;-- defina o número do agrupador",OFFSET(EVENTOS!$D$14,$A27,0)),OFFSET($F$15,$A27,0)))</f>
        <v>Canteiro</v>
      </c>
      <c r="O27" s="279"/>
      <c r="Q27" s="279" t="n">
        <v>1</v>
      </c>
      <c r="R27" s="280"/>
      <c r="S27" s="280"/>
      <c r="T27" s="280"/>
      <c r="U27" s="280"/>
      <c r="V27" s="280"/>
      <c r="W27" s="280"/>
      <c r="X27" s="280"/>
      <c r="Y27" s="280"/>
      <c r="Z27" s="281"/>
      <c r="AB27" s="282" t="n">
        <f aca="true">IF(AND($D27="Serviço",AB$12&lt;&gt;0,$H27&gt;0,OR(AUTOEVENTO&lt;&gt;"manual",$M27&lt;&gt;1)),
IF(Import.TipoArredondamento&lt;&gt;"TransfereGOV",
ROUND(OFFSET($P27,0,AB$13),15-13*ORÇAMENTO!$AF$7)/$H27*OFFSET(ORÇAMENTO!$X$15,ROW(AB27)-ROW(AB$15),0),
ROUND(ROUND(OFFSET($P27,0,AB$13),15-13*ORÇAMENTO!$AF$7)*OFFSET(ORÇAMENTO!$W$15,ROW(AB27)-ROW(AB$15),0),15-13*ORÇAMENTO!$AF$11)),0)</f>
        <v>0</v>
      </c>
      <c r="AC27" s="283" t="n">
        <f aca="true">IF(AND($D27="Serviço",AC$12&lt;&gt;0,$H27&gt;0,OR(AUTOEVENTO&lt;&gt;"manual",$M27&lt;&gt;1)),
IF(Import.TipoArredondamento&lt;&gt;"TransfereGOV",
ROUND(OFFSET($P27,0,AC$13),15-13*ORÇAMENTO!$AF$7)/$H27*OFFSET(ORÇAMENTO!$X$15,ROW(AC27)-ROW(AC$15),0),
ROUND(ROUND(OFFSET($P27,0,AC$13),15-13*ORÇAMENTO!$AF$7)*OFFSET(ORÇAMENTO!$W$15,ROW(AC27)-ROW(AC$15),0),15-13*ORÇAMENTO!$AF$11)),0)</f>
        <v>0</v>
      </c>
      <c r="AD27" s="283" t="n">
        <f aca="true">IF(AND($D27="Serviço",AD$12&lt;&gt;0,$H27&gt;0,OR(AUTOEVENTO&lt;&gt;"manual",$M27&lt;&gt;1)),
IF(Import.TipoArredondamento&lt;&gt;"TransfereGOV",
ROUND(OFFSET($P27,0,AD$13),15-13*ORÇAMENTO!$AF$7)/$H27*OFFSET(ORÇAMENTO!$X$15,ROW(AD27)-ROW(AD$15),0),
ROUND(ROUND(OFFSET($P27,0,AD$13),15-13*ORÇAMENTO!$AF$7)*OFFSET(ORÇAMENTO!$W$15,ROW(AD27)-ROW(AD$15),0),15-13*ORÇAMENTO!$AF$11)),0)</f>
        <v>0</v>
      </c>
      <c r="AE27" s="283" t="n">
        <f aca="true">IF(AND($D27="Serviço",AE$12&lt;&gt;0,$H27&gt;0,OR(AUTOEVENTO&lt;&gt;"manual",$M27&lt;&gt;1)),
IF(Import.TipoArredondamento&lt;&gt;"TransfereGOV",
ROUND(OFFSET($P27,0,AE$13),15-13*ORÇAMENTO!$AF$7)/$H27*OFFSET(ORÇAMENTO!$X$15,ROW(AE27)-ROW(AE$15),0),
ROUND(ROUND(OFFSET($P27,0,AE$13),15-13*ORÇAMENTO!$AF$7)*OFFSET(ORÇAMENTO!$W$15,ROW(AE27)-ROW(AE$15),0),15-13*ORÇAMENTO!$AF$11)),0)</f>
        <v>0</v>
      </c>
      <c r="AF27" s="283" t="n">
        <f aca="true">IF(AND($D27="Serviço",AF$12&lt;&gt;0,$H27&gt;0,OR(AUTOEVENTO&lt;&gt;"manual",$M27&lt;&gt;1)),
IF(Import.TipoArredondamento&lt;&gt;"TransfereGOV",
ROUND(OFFSET($P27,0,AF$13),15-13*ORÇAMENTO!$AF$7)/$H27*OFFSET(ORÇAMENTO!$X$15,ROW(AF27)-ROW(AF$15),0),
ROUND(ROUND(OFFSET($P27,0,AF$13),15-13*ORÇAMENTO!$AF$7)*OFFSET(ORÇAMENTO!$W$15,ROW(AF27)-ROW(AF$15),0),15-13*ORÇAMENTO!$AF$11)),0)</f>
        <v>0</v>
      </c>
      <c r="AG27" s="283" t="n">
        <f aca="true">IF(AND($D27="Serviço",AG$12&lt;&gt;0,$H27&gt;0,OR(AUTOEVENTO&lt;&gt;"manual",$M27&lt;&gt;1)),
IF(Import.TipoArredondamento&lt;&gt;"TransfereGOV",
ROUND(OFFSET($P27,0,AG$13),15-13*ORÇAMENTO!$AF$7)/$H27*OFFSET(ORÇAMENTO!$X$15,ROW(AG27)-ROW(AG$15),0),
ROUND(ROUND(OFFSET($P27,0,AG$13),15-13*ORÇAMENTO!$AF$7)*OFFSET(ORÇAMENTO!$W$15,ROW(AG27)-ROW(AG$15),0),15-13*ORÇAMENTO!$AF$11)),0)</f>
        <v>0</v>
      </c>
      <c r="AH27" s="283" t="n">
        <f aca="true">IF(AND($D27="Serviço",AH$12&lt;&gt;0,$H27&gt;0,OR(AUTOEVENTO&lt;&gt;"manual",$M27&lt;&gt;1)),
IF(Import.TipoArredondamento&lt;&gt;"TransfereGOV",
ROUND(OFFSET($P27,0,AH$13),15-13*ORÇAMENTO!$AF$7)/$H27*OFFSET(ORÇAMENTO!$X$15,ROW(AH27)-ROW(AH$15),0),
ROUND(ROUND(OFFSET($P27,0,AH$13),15-13*ORÇAMENTO!$AF$7)*OFFSET(ORÇAMENTO!$W$15,ROW(AH27)-ROW(AH$15),0),15-13*ORÇAMENTO!$AF$11)),0)</f>
        <v>0</v>
      </c>
      <c r="AI27" s="283" t="n">
        <f aca="true">IF(AND($D27="Serviço",AI$12&lt;&gt;0,$H27&gt;0,OR(AUTOEVENTO&lt;&gt;"manual",$M27&lt;&gt;1)),
IF(Import.TipoArredondamento&lt;&gt;"TransfereGOV",
ROUND(OFFSET($P27,0,AI$13),15-13*ORÇAMENTO!$AF$7)/$H27*OFFSET(ORÇAMENTO!$X$15,ROW(AI27)-ROW(AI$15),0),
ROUND(ROUND(OFFSET($P27,0,AI$13),15-13*ORÇAMENTO!$AF$7)*OFFSET(ORÇAMENTO!$W$15,ROW(AI27)-ROW(AI$15),0),15-13*ORÇAMENTO!$AF$11)),0)</f>
        <v>0</v>
      </c>
      <c r="AJ27" s="283" t="n">
        <f aca="true">IF(AND($D27="Serviço",AJ$12&lt;&gt;0,$H27&gt;0,OR(AUTOEVENTO&lt;&gt;"manual",$M27&lt;&gt;1)),
IF(Import.TipoArredondamento&lt;&gt;"TransfereGOV",
ROUND(OFFSET($P27,0,AJ$13),15-13*ORÇAMENTO!$AF$7)/$H27*OFFSET(ORÇAMENTO!$X$15,ROW(AJ27)-ROW(AJ$15),0),
ROUND(ROUND(OFFSET($P27,0,AJ$13),15-13*ORÇAMENTO!$AF$7)*OFFSET(ORÇAMENTO!$W$15,ROW(AJ27)-ROW(AJ$15),0),15-13*ORÇAMENTO!$AF$11)),0)</f>
        <v>0</v>
      </c>
      <c r="AK27" s="284" t="n">
        <f aca="true">IF(AND($D27="Serviço",AK$12&lt;&gt;0,$H27&gt;0,OR(AUTOEVENTO&lt;&gt;"manual",$M27&lt;&gt;1)),
IF(Import.TipoArredondamento&lt;&gt;"TransfereGOV",
ROUND(OFFSET($P27,0,AK$13),15-13*ORÇAMENTO!$AF$7)/$H27*OFFSET(ORÇAMENTO!$X$15,ROW(AK27)-ROW(AK$15),0),
ROUND(ROUND(OFFSET($P27,0,AK$13),15-13*ORÇAMENTO!$AF$7)*OFFSET(ORÇAMENTO!$W$15,ROW(AK27)-ROW(AK$15),0),15-13*ORÇAMENTO!$AF$11)),0)</f>
        <v>0</v>
      </c>
      <c r="AM27" s="285" t="n">
        <f aca="true">IF($D27&lt;&gt;"Serviço",0,IF(AND(AUTOEVENTO="Manual",$M27=1),0,IF(OFFSET(CRONOPLE!$F$14,$M27,AM$13)="",10^12,OFFSET(CRONOPLE!$F$14,$M27,AM$13))))</f>
        <v>1</v>
      </c>
      <c r="AN27" s="285" t="n">
        <f aca="true">IF($D27&lt;&gt;"Serviço",0,IF(AND(AUTOEVENTO="Manual",$M27=1),0,IF(OFFSET(CRONOPLE!$F$14,$M27,AN$13)="",10^12,OFFSET(CRONOPLE!$F$14,$M27,AN$13))))</f>
        <v>1000000000000</v>
      </c>
      <c r="AO27" s="285" t="n">
        <f aca="true">IF($D27&lt;&gt;"Serviço",0,IF(AND(AUTOEVENTO="Manual",$M27=1),0,IF(OFFSET(CRONOPLE!$F$14,$M27,AO$13)="",10^12,OFFSET(CRONOPLE!$F$14,$M27,AO$13))))</f>
        <v>1000000000000</v>
      </c>
      <c r="AP27" s="285" t="n">
        <f aca="true">IF($D27&lt;&gt;"Serviço",0,IF(AND(AUTOEVENTO="Manual",$M27=1),0,IF(OFFSET(CRONOPLE!$F$14,$M27,AP$13)="",10^12,OFFSET(CRONOPLE!$F$14,$M27,AP$13))))</f>
        <v>1000000000000</v>
      </c>
      <c r="AQ27" s="285" t="n">
        <f aca="true">IF($D27&lt;&gt;"Serviço",0,IF(AND(AUTOEVENTO="Manual",$M27=1),0,IF(OFFSET(CRONOPLE!$F$14,$M27,AQ$13)="",10^12,OFFSET(CRONOPLE!$F$14,$M27,AQ$13))))</f>
        <v>1000000000000</v>
      </c>
      <c r="AR27" s="285" t="n">
        <f aca="true">IF($D27&lt;&gt;"Serviço",0,IF(AND(AUTOEVENTO="Manual",$M27=1),0,IF(OFFSET(CRONOPLE!$F$14,$M27,AR$13)="",10^12,OFFSET(CRONOPLE!$F$14,$M27,AR$13))))</f>
        <v>1000000000000</v>
      </c>
      <c r="AS27" s="285" t="n">
        <f aca="true">IF($D27&lt;&gt;"Serviço",0,IF(AND(AUTOEVENTO="Manual",$M27=1),0,IF(OFFSET(CRONOPLE!$F$14,$M27,AS$13)="",10^12,OFFSET(CRONOPLE!$F$14,$M27,AS$13))))</f>
        <v>1000000000000</v>
      </c>
      <c r="AT27" s="285" t="n">
        <f aca="true">IF($D27&lt;&gt;"Serviço",0,IF(AND(AUTOEVENTO="Manual",$M27=1),0,IF(OFFSET(CRONOPLE!$F$14,$M27,AT$13)="",10^12,OFFSET(CRONOPLE!$F$14,$M27,AT$13))))</f>
        <v>1000000000000</v>
      </c>
      <c r="AU27" s="285" t="n">
        <f aca="true">IF($D27&lt;&gt;"Serviço",0,IF(AND(AUTOEVENTO="Manual",$M27=1),0,IF(OFFSET(CRONOPLE!$F$14,$M27,AU$13)="",10^12,OFFSET(CRONOPLE!$F$14,$M27,AU$13))))</f>
        <v>1000000000000</v>
      </c>
      <c r="AV27" s="285" t="n">
        <f aca="true">IF($D27&lt;&gt;"Serviço",0,IF(AND(AUTOEVENTO="Manual",$M27=1),0,IF(OFFSET(CRONOPLE!$F$14,$M27,AV$13)="",10^12,OFFSET(CRONOPLE!$F$14,$M27,AV$13))))</f>
        <v>1000000000000</v>
      </c>
      <c r="AX27" s="286" t="n">
        <f aca="true">IF($D27&lt;&gt;"Serviço",0,IF(OR(AND(AUTOEVENTO="Manual",$M27=1),$M27&gt;(ROW(PLE.lastrow)-ROW(PLE.firstrow))),0,IF(OFFSET(PLE!$G$14,$M27,AX$13)="",10^12,OFFSET(PLE!$G$14,$M27,AX$13))))</f>
        <v>1000000000000</v>
      </c>
      <c r="AY27" s="286" t="n">
        <f aca="true">IF($D27&lt;&gt;"Serviço",0,IF(OR(AND(AUTOEVENTO="Manual",$M27=1),$M27&gt;(ROW(PLE.lastrow)-ROW(PLE.firstrow))),0,IF(OFFSET(PLE!$G$14,$M27,AY$13)="",10^12,OFFSET(PLE!$G$14,$M27,AY$13))))</f>
        <v>1000000000000</v>
      </c>
      <c r="AZ27" s="286" t="n">
        <f aca="true">IF($D27&lt;&gt;"Serviço",0,IF(OR(AND(AUTOEVENTO="Manual",$M27=1),$M27&gt;(ROW(PLE.lastrow)-ROW(PLE.firstrow))),0,IF(OFFSET(PLE!$G$14,$M27,AZ$13)="",10^12,OFFSET(PLE!$G$14,$M27,AZ$13))))</f>
        <v>1000000000000</v>
      </c>
      <c r="BA27" s="286" t="n">
        <f aca="true">IF($D27&lt;&gt;"Serviço",0,IF(OR(AND(AUTOEVENTO="Manual",$M27=1),$M27&gt;(ROW(PLE.lastrow)-ROW(PLE.firstrow))),0,IF(OFFSET(PLE!$G$14,$M27,BA$13)="",10^12,OFFSET(PLE!$G$14,$M27,BA$13))))</f>
        <v>1000000000000</v>
      </c>
      <c r="BB27" s="286" t="n">
        <f aca="true">IF($D27&lt;&gt;"Serviço",0,IF(OR(AND(AUTOEVENTO="Manual",$M27=1),$M27&gt;(ROW(PLE.lastrow)-ROW(PLE.firstrow))),0,IF(OFFSET(PLE!$G$14,$M27,BB$13)="",10^12,OFFSET(PLE!$G$14,$M27,BB$13))))</f>
        <v>1000000000000</v>
      </c>
      <c r="BC27" s="286" t="n">
        <f aca="true">IF($D27&lt;&gt;"Serviço",0,IF(OR(AND(AUTOEVENTO="Manual",$M27=1),$M27&gt;(ROW(PLE.lastrow)-ROW(PLE.firstrow))),0,IF(OFFSET(PLE!$G$14,$M27,BC$13)="",10^12,OFFSET(PLE!$G$14,$M27,BC$13))))</f>
        <v>1000000000000</v>
      </c>
      <c r="BD27" s="286" t="n">
        <f aca="true">IF($D27&lt;&gt;"Serviço",0,IF(OR(AND(AUTOEVENTO="Manual",$M27=1),$M27&gt;(ROW(PLE.lastrow)-ROW(PLE.firstrow))),0,IF(OFFSET(PLE!$G$14,$M27,BD$13)="",10^12,OFFSET(PLE!$G$14,$M27,BD$13))))</f>
        <v>1000000000000</v>
      </c>
      <c r="BE27" s="286" t="n">
        <f aca="true">IF($D27&lt;&gt;"Serviço",0,IF(OR(AND(AUTOEVENTO="Manual",$M27=1),$M27&gt;(ROW(PLE.lastrow)-ROW(PLE.firstrow))),0,IF(OFFSET(PLE!$G$14,$M27,BE$13)="",10^12,OFFSET(PLE!$G$14,$M27,BE$13))))</f>
        <v>1000000000000</v>
      </c>
      <c r="BF27" s="286" t="n">
        <f aca="true">IF($D27&lt;&gt;"Serviço",0,IF(OR(AND(AUTOEVENTO="Manual",$M27=1),$M27&gt;(ROW(PLE.lastrow)-ROW(PLE.firstrow))),0,IF(OFFSET(PLE!$G$14,$M27,BF$13)="",10^12,OFFSET(PLE!$G$14,$M27,BF$13))))</f>
        <v>1000000000000</v>
      </c>
      <c r="BG27" s="286" t="n">
        <f aca="true">IF($D27&lt;&gt;"Serviço",0,IF(OR(AND(AUTOEVENTO="Manual",$M27=1),$M27&gt;(ROW(PLE.lastrow)-ROW(PLE.firstrow))),0,IF(OFFSET(PLE!$G$14,$M27,BG$13)="",10^12,OFFSET(PLE!$G$14,$M27,BG$13))))</f>
        <v>1000000000000</v>
      </c>
    </row>
    <row r="28" customFormat="false" ht="23.85" hidden="false" customHeight="false" outlineLevel="0" collapsed="false">
      <c r="A28" s="34" t="n">
        <f aca="true">IF(AUTOEVENTO="Manual",IF(K28&lt;&gt;"",MIN(VALUE(LEFT(K28,FIND(".",K28)-1)),COUNTA(EVENTOS.Lista)),0),IF(OR($B28&gt;AUTOEVENTO,$B28="S",$B28=0),SUBSTITUTE(OFFSET($A28,-1,0),IF($D28="Serviço",".",""),""),ROW(A28)-ROW($A$15)&amp;"."))</f>
        <v>3</v>
      </c>
      <c r="B28" s="34" t="str">
        <f aca="true">OFFSET(ORÇAMENTO!C$15,ROW(B28)-ROW(B$15),0)</f>
        <v>S</v>
      </c>
      <c r="C28" s="34" t="str">
        <f aca="true">OFFSET(ORÇAMENTO!L$15,ROW(C28)-ROW(C$15),0)</f>
        <v/>
      </c>
      <c r="D28" s="187" t="str">
        <f aca="true">OFFSET(ORÇAMENTO!N$15,ROW(D28)-ROW(D$15),0)</f>
        <v>Serviço</v>
      </c>
      <c r="E28" s="188" t="str">
        <f aca="true">OFFSET(ORÇAMENTO!O$15,ROW(E28)-ROW(E$15),0)</f>
        <v>-</v>
      </c>
      <c r="F28" s="272" t="str">
        <f aca="true">OFFSET(ORÇAMENTO!R$15,ROW(F28)-ROW(F$15),0)</f>
        <v>(abra o arquivo 'Referência 02-Thursday.xlsm)</v>
      </c>
      <c r="G28" s="273" t="str">
        <f aca="true">IF($D28&lt;&gt;"Serviço","",OFFSET(ORÇAMENTO!S$15,ROW(G28)-ROW(G$15),0))</f>
        <v>-</v>
      </c>
      <c r="H28" s="193" t="n">
        <f aca="true">IF($D28&lt;&gt;"Serviço",0,IF(ACOMPANHAMENTO="BM",ROUND(OFFSET(ORÇAMENTO!AJ$15,ROW(H28)-ROW(H$15),0),15-13*ORÇAMENTO!$AF$7),SUMPRODUCT(($Q$12:$AA$12&lt;&gt;"")*ROUND($Q28:$AA28,15-13*ORÇAMENTO!$AF$7))))</f>
        <v>3</v>
      </c>
      <c r="I28" s="274" t="s">
        <v>364</v>
      </c>
      <c r="K28" s="275" t="s">
        <v>362</v>
      </c>
      <c r="L28" s="276" t="s">
        <v>347</v>
      </c>
      <c r="M28" s="277" t="n">
        <f aca="true">IF($D28&lt;&gt;"Serviço","",IF(AUTOEVENTO="manual",$A28,IF(ISERROR(MATCH($A28,$A$15:OFFSET($A28,-1,0),0)),MAX($M$15:OFFSET(M28,-1,0))+1,INDEX($M$15:OFFSET(M28,-1,0),MATCH($A28,$A$15:OFFSET($A28,-1,0),0)))))</f>
        <v>3</v>
      </c>
      <c r="N28" s="278" t="str">
        <f aca="true">IF($D28&lt;&gt;"Serviço","",IF(AUTOEVENTO="Manual",IF($A28=0,"&lt;-- defina o número do agrupador",OFFSET(EVENTOS!$D$14,$A28,0)),OFFSET($F$15,$A28,0)))</f>
        <v>Canteiro</v>
      </c>
      <c r="O28" s="279"/>
      <c r="Q28" s="279" t="n">
        <v>3</v>
      </c>
      <c r="R28" s="280"/>
      <c r="S28" s="280"/>
      <c r="T28" s="280"/>
      <c r="U28" s="280"/>
      <c r="V28" s="280"/>
      <c r="W28" s="280"/>
      <c r="X28" s="280"/>
      <c r="Y28" s="280"/>
      <c r="Z28" s="281"/>
      <c r="AB28" s="282" t="n">
        <f aca="true">IF(AND($D28="Serviço",AB$12&lt;&gt;0,$H28&gt;0,OR(AUTOEVENTO&lt;&gt;"manual",$M28&lt;&gt;1)),
IF(Import.TipoArredondamento&lt;&gt;"TransfereGOV",
ROUND(OFFSET($P28,0,AB$13),15-13*ORÇAMENTO!$AF$7)/$H28*OFFSET(ORÇAMENTO!$X$15,ROW(AB28)-ROW(AB$15),0),
ROUND(ROUND(OFFSET($P28,0,AB$13),15-13*ORÇAMENTO!$AF$7)*OFFSET(ORÇAMENTO!$W$15,ROW(AB28)-ROW(AB$15),0),15-13*ORÇAMENTO!$AF$11)),0)</f>
        <v>0</v>
      </c>
      <c r="AC28" s="283" t="n">
        <f aca="true">IF(AND($D28="Serviço",AC$12&lt;&gt;0,$H28&gt;0,OR(AUTOEVENTO&lt;&gt;"manual",$M28&lt;&gt;1)),
IF(Import.TipoArredondamento&lt;&gt;"TransfereGOV",
ROUND(OFFSET($P28,0,AC$13),15-13*ORÇAMENTO!$AF$7)/$H28*OFFSET(ORÇAMENTO!$X$15,ROW(AC28)-ROW(AC$15),0),
ROUND(ROUND(OFFSET($P28,0,AC$13),15-13*ORÇAMENTO!$AF$7)*OFFSET(ORÇAMENTO!$W$15,ROW(AC28)-ROW(AC$15),0),15-13*ORÇAMENTO!$AF$11)),0)</f>
        <v>0</v>
      </c>
      <c r="AD28" s="283" t="n">
        <f aca="true">IF(AND($D28="Serviço",AD$12&lt;&gt;0,$H28&gt;0,OR(AUTOEVENTO&lt;&gt;"manual",$M28&lt;&gt;1)),
IF(Import.TipoArredondamento&lt;&gt;"TransfereGOV",
ROUND(OFFSET($P28,0,AD$13),15-13*ORÇAMENTO!$AF$7)/$H28*OFFSET(ORÇAMENTO!$X$15,ROW(AD28)-ROW(AD$15),0),
ROUND(ROUND(OFFSET($P28,0,AD$13),15-13*ORÇAMENTO!$AF$7)*OFFSET(ORÇAMENTO!$W$15,ROW(AD28)-ROW(AD$15),0),15-13*ORÇAMENTO!$AF$11)),0)</f>
        <v>0</v>
      </c>
      <c r="AE28" s="283" t="n">
        <f aca="true">IF(AND($D28="Serviço",AE$12&lt;&gt;0,$H28&gt;0,OR(AUTOEVENTO&lt;&gt;"manual",$M28&lt;&gt;1)),
IF(Import.TipoArredondamento&lt;&gt;"TransfereGOV",
ROUND(OFFSET($P28,0,AE$13),15-13*ORÇAMENTO!$AF$7)/$H28*OFFSET(ORÇAMENTO!$X$15,ROW(AE28)-ROW(AE$15),0),
ROUND(ROUND(OFFSET($P28,0,AE$13),15-13*ORÇAMENTO!$AF$7)*OFFSET(ORÇAMENTO!$W$15,ROW(AE28)-ROW(AE$15),0),15-13*ORÇAMENTO!$AF$11)),0)</f>
        <v>0</v>
      </c>
      <c r="AF28" s="283" t="n">
        <f aca="true">IF(AND($D28="Serviço",AF$12&lt;&gt;0,$H28&gt;0,OR(AUTOEVENTO&lt;&gt;"manual",$M28&lt;&gt;1)),
IF(Import.TipoArredondamento&lt;&gt;"TransfereGOV",
ROUND(OFFSET($P28,0,AF$13),15-13*ORÇAMENTO!$AF$7)/$H28*OFFSET(ORÇAMENTO!$X$15,ROW(AF28)-ROW(AF$15),0),
ROUND(ROUND(OFFSET($P28,0,AF$13),15-13*ORÇAMENTO!$AF$7)*OFFSET(ORÇAMENTO!$W$15,ROW(AF28)-ROW(AF$15),0),15-13*ORÇAMENTO!$AF$11)),0)</f>
        <v>0</v>
      </c>
      <c r="AG28" s="283" t="n">
        <f aca="true">IF(AND($D28="Serviço",AG$12&lt;&gt;0,$H28&gt;0,OR(AUTOEVENTO&lt;&gt;"manual",$M28&lt;&gt;1)),
IF(Import.TipoArredondamento&lt;&gt;"TransfereGOV",
ROUND(OFFSET($P28,0,AG$13),15-13*ORÇAMENTO!$AF$7)/$H28*OFFSET(ORÇAMENTO!$X$15,ROW(AG28)-ROW(AG$15),0),
ROUND(ROUND(OFFSET($P28,0,AG$13),15-13*ORÇAMENTO!$AF$7)*OFFSET(ORÇAMENTO!$W$15,ROW(AG28)-ROW(AG$15),0),15-13*ORÇAMENTO!$AF$11)),0)</f>
        <v>0</v>
      </c>
      <c r="AH28" s="283" t="n">
        <f aca="true">IF(AND($D28="Serviço",AH$12&lt;&gt;0,$H28&gt;0,OR(AUTOEVENTO&lt;&gt;"manual",$M28&lt;&gt;1)),
IF(Import.TipoArredondamento&lt;&gt;"TransfereGOV",
ROUND(OFFSET($P28,0,AH$13),15-13*ORÇAMENTO!$AF$7)/$H28*OFFSET(ORÇAMENTO!$X$15,ROW(AH28)-ROW(AH$15),0),
ROUND(ROUND(OFFSET($P28,0,AH$13),15-13*ORÇAMENTO!$AF$7)*OFFSET(ORÇAMENTO!$W$15,ROW(AH28)-ROW(AH$15),0),15-13*ORÇAMENTO!$AF$11)),0)</f>
        <v>0</v>
      </c>
      <c r="AI28" s="283" t="n">
        <f aca="true">IF(AND($D28="Serviço",AI$12&lt;&gt;0,$H28&gt;0,OR(AUTOEVENTO&lt;&gt;"manual",$M28&lt;&gt;1)),
IF(Import.TipoArredondamento&lt;&gt;"TransfereGOV",
ROUND(OFFSET($P28,0,AI$13),15-13*ORÇAMENTO!$AF$7)/$H28*OFFSET(ORÇAMENTO!$X$15,ROW(AI28)-ROW(AI$15),0),
ROUND(ROUND(OFFSET($P28,0,AI$13),15-13*ORÇAMENTO!$AF$7)*OFFSET(ORÇAMENTO!$W$15,ROW(AI28)-ROW(AI$15),0),15-13*ORÇAMENTO!$AF$11)),0)</f>
        <v>0</v>
      </c>
      <c r="AJ28" s="283" t="n">
        <f aca="true">IF(AND($D28="Serviço",AJ$12&lt;&gt;0,$H28&gt;0,OR(AUTOEVENTO&lt;&gt;"manual",$M28&lt;&gt;1)),
IF(Import.TipoArredondamento&lt;&gt;"TransfereGOV",
ROUND(OFFSET($P28,0,AJ$13),15-13*ORÇAMENTO!$AF$7)/$H28*OFFSET(ORÇAMENTO!$X$15,ROW(AJ28)-ROW(AJ$15),0),
ROUND(ROUND(OFFSET($P28,0,AJ$13),15-13*ORÇAMENTO!$AF$7)*OFFSET(ORÇAMENTO!$W$15,ROW(AJ28)-ROW(AJ$15),0),15-13*ORÇAMENTO!$AF$11)),0)</f>
        <v>0</v>
      </c>
      <c r="AK28" s="284" t="n">
        <f aca="true">IF(AND($D28="Serviço",AK$12&lt;&gt;0,$H28&gt;0,OR(AUTOEVENTO&lt;&gt;"manual",$M28&lt;&gt;1)),
IF(Import.TipoArredondamento&lt;&gt;"TransfereGOV",
ROUND(OFFSET($P28,0,AK$13),15-13*ORÇAMENTO!$AF$7)/$H28*OFFSET(ORÇAMENTO!$X$15,ROW(AK28)-ROW(AK$15),0),
ROUND(ROUND(OFFSET($P28,0,AK$13),15-13*ORÇAMENTO!$AF$7)*OFFSET(ORÇAMENTO!$W$15,ROW(AK28)-ROW(AK$15),0),15-13*ORÇAMENTO!$AF$11)),0)</f>
        <v>0</v>
      </c>
      <c r="AM28" s="285" t="n">
        <f aca="true">IF($D28&lt;&gt;"Serviço",0,IF(AND(AUTOEVENTO="Manual",$M28=1),0,IF(OFFSET(CRONOPLE!$F$14,$M28,AM$13)="",10^12,OFFSET(CRONOPLE!$F$14,$M28,AM$13))))</f>
        <v>1</v>
      </c>
      <c r="AN28" s="285" t="n">
        <f aca="true">IF($D28&lt;&gt;"Serviço",0,IF(AND(AUTOEVENTO="Manual",$M28=1),0,IF(OFFSET(CRONOPLE!$F$14,$M28,AN$13)="",10^12,OFFSET(CRONOPLE!$F$14,$M28,AN$13))))</f>
        <v>1000000000000</v>
      </c>
      <c r="AO28" s="285" t="n">
        <f aca="true">IF($D28&lt;&gt;"Serviço",0,IF(AND(AUTOEVENTO="Manual",$M28=1),0,IF(OFFSET(CRONOPLE!$F$14,$M28,AO$13)="",10^12,OFFSET(CRONOPLE!$F$14,$M28,AO$13))))</f>
        <v>1000000000000</v>
      </c>
      <c r="AP28" s="285" t="n">
        <f aca="true">IF($D28&lt;&gt;"Serviço",0,IF(AND(AUTOEVENTO="Manual",$M28=1),0,IF(OFFSET(CRONOPLE!$F$14,$M28,AP$13)="",10^12,OFFSET(CRONOPLE!$F$14,$M28,AP$13))))</f>
        <v>1000000000000</v>
      </c>
      <c r="AQ28" s="285" t="n">
        <f aca="true">IF($D28&lt;&gt;"Serviço",0,IF(AND(AUTOEVENTO="Manual",$M28=1),0,IF(OFFSET(CRONOPLE!$F$14,$M28,AQ$13)="",10^12,OFFSET(CRONOPLE!$F$14,$M28,AQ$13))))</f>
        <v>1000000000000</v>
      </c>
      <c r="AR28" s="285" t="n">
        <f aca="true">IF($D28&lt;&gt;"Serviço",0,IF(AND(AUTOEVENTO="Manual",$M28=1),0,IF(OFFSET(CRONOPLE!$F$14,$M28,AR$13)="",10^12,OFFSET(CRONOPLE!$F$14,$M28,AR$13))))</f>
        <v>1000000000000</v>
      </c>
      <c r="AS28" s="285" t="n">
        <f aca="true">IF($D28&lt;&gt;"Serviço",0,IF(AND(AUTOEVENTO="Manual",$M28=1),0,IF(OFFSET(CRONOPLE!$F$14,$M28,AS$13)="",10^12,OFFSET(CRONOPLE!$F$14,$M28,AS$13))))</f>
        <v>1000000000000</v>
      </c>
      <c r="AT28" s="285" t="n">
        <f aca="true">IF($D28&lt;&gt;"Serviço",0,IF(AND(AUTOEVENTO="Manual",$M28=1),0,IF(OFFSET(CRONOPLE!$F$14,$M28,AT$13)="",10^12,OFFSET(CRONOPLE!$F$14,$M28,AT$13))))</f>
        <v>1000000000000</v>
      </c>
      <c r="AU28" s="285" t="n">
        <f aca="true">IF($D28&lt;&gt;"Serviço",0,IF(AND(AUTOEVENTO="Manual",$M28=1),0,IF(OFFSET(CRONOPLE!$F$14,$M28,AU$13)="",10^12,OFFSET(CRONOPLE!$F$14,$M28,AU$13))))</f>
        <v>1000000000000</v>
      </c>
      <c r="AV28" s="285" t="n">
        <f aca="true">IF($D28&lt;&gt;"Serviço",0,IF(AND(AUTOEVENTO="Manual",$M28=1),0,IF(OFFSET(CRONOPLE!$F$14,$M28,AV$13)="",10^12,OFFSET(CRONOPLE!$F$14,$M28,AV$13))))</f>
        <v>1000000000000</v>
      </c>
      <c r="AX28" s="286" t="n">
        <f aca="true">IF($D28&lt;&gt;"Serviço",0,IF(OR(AND(AUTOEVENTO="Manual",$M28=1),$M28&gt;(ROW(PLE.lastrow)-ROW(PLE.firstrow))),0,IF(OFFSET(PLE!$G$14,$M28,AX$13)="",10^12,OFFSET(PLE!$G$14,$M28,AX$13))))</f>
        <v>1000000000000</v>
      </c>
      <c r="AY28" s="286" t="n">
        <f aca="true">IF($D28&lt;&gt;"Serviço",0,IF(OR(AND(AUTOEVENTO="Manual",$M28=1),$M28&gt;(ROW(PLE.lastrow)-ROW(PLE.firstrow))),0,IF(OFFSET(PLE!$G$14,$M28,AY$13)="",10^12,OFFSET(PLE!$G$14,$M28,AY$13))))</f>
        <v>1000000000000</v>
      </c>
      <c r="AZ28" s="286" t="n">
        <f aca="true">IF($D28&lt;&gt;"Serviço",0,IF(OR(AND(AUTOEVENTO="Manual",$M28=1),$M28&gt;(ROW(PLE.lastrow)-ROW(PLE.firstrow))),0,IF(OFFSET(PLE!$G$14,$M28,AZ$13)="",10^12,OFFSET(PLE!$G$14,$M28,AZ$13))))</f>
        <v>1000000000000</v>
      </c>
      <c r="BA28" s="286" t="n">
        <f aca="true">IF($D28&lt;&gt;"Serviço",0,IF(OR(AND(AUTOEVENTO="Manual",$M28=1),$M28&gt;(ROW(PLE.lastrow)-ROW(PLE.firstrow))),0,IF(OFFSET(PLE!$G$14,$M28,BA$13)="",10^12,OFFSET(PLE!$G$14,$M28,BA$13))))</f>
        <v>1000000000000</v>
      </c>
      <c r="BB28" s="286" t="n">
        <f aca="true">IF($D28&lt;&gt;"Serviço",0,IF(OR(AND(AUTOEVENTO="Manual",$M28=1),$M28&gt;(ROW(PLE.lastrow)-ROW(PLE.firstrow))),0,IF(OFFSET(PLE!$G$14,$M28,BB$13)="",10^12,OFFSET(PLE!$G$14,$M28,BB$13))))</f>
        <v>1000000000000</v>
      </c>
      <c r="BC28" s="286" t="n">
        <f aca="true">IF($D28&lt;&gt;"Serviço",0,IF(OR(AND(AUTOEVENTO="Manual",$M28=1),$M28&gt;(ROW(PLE.lastrow)-ROW(PLE.firstrow))),0,IF(OFFSET(PLE!$G$14,$M28,BC$13)="",10^12,OFFSET(PLE!$G$14,$M28,BC$13))))</f>
        <v>1000000000000</v>
      </c>
      <c r="BD28" s="286" t="n">
        <f aca="true">IF($D28&lt;&gt;"Serviço",0,IF(OR(AND(AUTOEVENTO="Manual",$M28=1),$M28&gt;(ROW(PLE.lastrow)-ROW(PLE.firstrow))),0,IF(OFFSET(PLE!$G$14,$M28,BD$13)="",10^12,OFFSET(PLE!$G$14,$M28,BD$13))))</f>
        <v>1000000000000</v>
      </c>
      <c r="BE28" s="286" t="n">
        <f aca="true">IF($D28&lt;&gt;"Serviço",0,IF(OR(AND(AUTOEVENTO="Manual",$M28=1),$M28&gt;(ROW(PLE.lastrow)-ROW(PLE.firstrow))),0,IF(OFFSET(PLE!$G$14,$M28,BE$13)="",10^12,OFFSET(PLE!$G$14,$M28,BE$13))))</f>
        <v>1000000000000</v>
      </c>
      <c r="BF28" s="286" t="n">
        <f aca="true">IF($D28&lt;&gt;"Serviço",0,IF(OR(AND(AUTOEVENTO="Manual",$M28=1),$M28&gt;(ROW(PLE.lastrow)-ROW(PLE.firstrow))),0,IF(OFFSET(PLE!$G$14,$M28,BF$13)="",10^12,OFFSET(PLE!$G$14,$M28,BF$13))))</f>
        <v>1000000000000</v>
      </c>
      <c r="BG28" s="286" t="n">
        <f aca="true">IF($D28&lt;&gt;"Serviço",0,IF(OR(AND(AUTOEVENTO="Manual",$M28=1),$M28&gt;(ROW(PLE.lastrow)-ROW(PLE.firstrow))),0,IF(OFFSET(PLE!$G$14,$M28,BG$13)="",10^12,OFFSET(PLE!$G$14,$M28,BG$13))))</f>
        <v>1000000000000</v>
      </c>
    </row>
    <row r="29" customFormat="false" ht="12.75" hidden="false" customHeight="false" outlineLevel="0" collapsed="false">
      <c r="A29" s="34" t="n">
        <f aca="true">IF(AUTOEVENTO="Manual",IF(K29&lt;&gt;"",MIN(VALUE(LEFT(K29,FIND(".",K29)-1)),COUNTA(EVENTOS.Lista)),0),IF(OR($B29&gt;AUTOEVENTO,$B29="S",$B29=0),SUBSTITUTE(OFFSET($A29,-1,0),IF($D29="Serviço",".",""),""),ROW(A29)-ROW($A$15)&amp;"."))</f>
        <v>0</v>
      </c>
      <c r="B29" s="34" t="n">
        <f aca="true">OFFSET(ORÇAMENTO!C$15,ROW(B29)-ROW(B$15),0)</f>
        <v>2</v>
      </c>
      <c r="C29" s="34" t="str">
        <f aca="true">OFFSET(ORÇAMENTO!L$15,ROW(C29)-ROW(C$15),0)</f>
        <v>F</v>
      </c>
      <c r="D29" s="187" t="str">
        <f aca="true">OFFSET(ORÇAMENTO!N$15,ROW(D29)-ROW(D$15),0)</f>
        <v>Nível 2</v>
      </c>
      <c r="E29" s="188" t="str">
        <f aca="true">OFFSET(ORÇAMENTO!O$15,ROW(E29)-ROW(E$15),0)</f>
        <v>1.4.</v>
      </c>
      <c r="F29" s="272" t="str">
        <f aca="true">OFFSET(ORÇAMENTO!R$15,ROW(F29)-ROW(F$15),0)</f>
        <v>MOBILIZAÇÃO E DESMOBILIZAÇÃO</v>
      </c>
      <c r="G29" s="273" t="str">
        <f aca="true">IF($D29&lt;&gt;"Serviço","",OFFSET(ORÇAMENTO!S$15,ROW(G29)-ROW(G$15),0))</f>
        <v/>
      </c>
      <c r="H29" s="193" t="n">
        <f aca="true">IF($D29&lt;&gt;"Serviço",0,IF(ACOMPANHAMENTO="BM",ROUND(OFFSET(ORÇAMENTO!AJ$15,ROW(H29)-ROW(H$15),0),15-13*ORÇAMENTO!$AF$7),SUMPRODUCT(($Q$12:$AA$12&lt;&gt;"")*ROUND($Q29:$AA29,15-13*ORÇAMENTO!$AF$7))))</f>
        <v>0</v>
      </c>
      <c r="I29" s="274"/>
      <c r="K29" s="275"/>
      <c r="L29" s="276" t="s">
        <v>347</v>
      </c>
      <c r="M29" s="277" t="str">
        <f aca="true">IF($D29&lt;&gt;"Serviço","",IF(AUTOEVENTO="manual",$A29,IF(ISERROR(MATCH($A29,$A$15:OFFSET($A29,-1,0),0)),MAX($M$15:OFFSET(M29,-1,0))+1,INDEX($M$15:OFFSET(M29,-1,0),MATCH($A29,$A$15:OFFSET($A29,-1,0),0)))))</f>
        <v/>
      </c>
      <c r="N29" s="278" t="str">
        <f aca="true">IF($D29&lt;&gt;"Serviço","",IF(AUTOEVENTO="Manual",IF($A29=0,"&lt;-- defina o número do agrupador",OFFSET(EVENTOS!$D$14,$A29,0)),OFFSET($F$15,$A29,0)))</f>
        <v/>
      </c>
      <c r="O29" s="279"/>
      <c r="Q29" s="279"/>
      <c r="R29" s="280"/>
      <c r="S29" s="280"/>
      <c r="T29" s="280"/>
      <c r="U29" s="280"/>
      <c r="V29" s="280"/>
      <c r="W29" s="280"/>
      <c r="X29" s="280"/>
      <c r="Y29" s="280"/>
      <c r="Z29" s="281"/>
      <c r="AB29" s="282" t="n">
        <f aca="true">IF(AND($D29="Serviço",AB$12&lt;&gt;0,$H29&gt;0,OR(AUTOEVENTO&lt;&gt;"manual",$M29&lt;&gt;1)),
IF(Import.TipoArredondamento&lt;&gt;"TransfereGOV",
ROUND(OFFSET($P29,0,AB$13),15-13*ORÇAMENTO!$AF$7)/$H29*OFFSET(ORÇAMENTO!$X$15,ROW(AB29)-ROW(AB$15),0),
ROUND(ROUND(OFFSET($P29,0,AB$13),15-13*ORÇAMENTO!$AF$7)*OFFSET(ORÇAMENTO!$W$15,ROW(AB29)-ROW(AB$15),0),15-13*ORÇAMENTO!$AF$11)),0)</f>
        <v>0</v>
      </c>
      <c r="AC29" s="283" t="n">
        <f aca="true">IF(AND($D29="Serviço",AC$12&lt;&gt;0,$H29&gt;0,OR(AUTOEVENTO&lt;&gt;"manual",$M29&lt;&gt;1)),
IF(Import.TipoArredondamento&lt;&gt;"TransfereGOV",
ROUND(OFFSET($P29,0,AC$13),15-13*ORÇAMENTO!$AF$7)/$H29*OFFSET(ORÇAMENTO!$X$15,ROW(AC29)-ROW(AC$15),0),
ROUND(ROUND(OFFSET($P29,0,AC$13),15-13*ORÇAMENTO!$AF$7)*OFFSET(ORÇAMENTO!$W$15,ROW(AC29)-ROW(AC$15),0),15-13*ORÇAMENTO!$AF$11)),0)</f>
        <v>0</v>
      </c>
      <c r="AD29" s="283" t="n">
        <f aca="true">IF(AND($D29="Serviço",AD$12&lt;&gt;0,$H29&gt;0,OR(AUTOEVENTO&lt;&gt;"manual",$M29&lt;&gt;1)),
IF(Import.TipoArredondamento&lt;&gt;"TransfereGOV",
ROUND(OFFSET($P29,0,AD$13),15-13*ORÇAMENTO!$AF$7)/$H29*OFFSET(ORÇAMENTO!$X$15,ROW(AD29)-ROW(AD$15),0),
ROUND(ROUND(OFFSET($P29,0,AD$13),15-13*ORÇAMENTO!$AF$7)*OFFSET(ORÇAMENTO!$W$15,ROW(AD29)-ROW(AD$15),0),15-13*ORÇAMENTO!$AF$11)),0)</f>
        <v>0</v>
      </c>
      <c r="AE29" s="283" t="n">
        <f aca="true">IF(AND($D29="Serviço",AE$12&lt;&gt;0,$H29&gt;0,OR(AUTOEVENTO&lt;&gt;"manual",$M29&lt;&gt;1)),
IF(Import.TipoArredondamento&lt;&gt;"TransfereGOV",
ROUND(OFFSET($P29,0,AE$13),15-13*ORÇAMENTO!$AF$7)/$H29*OFFSET(ORÇAMENTO!$X$15,ROW(AE29)-ROW(AE$15),0),
ROUND(ROUND(OFFSET($P29,0,AE$13),15-13*ORÇAMENTO!$AF$7)*OFFSET(ORÇAMENTO!$W$15,ROW(AE29)-ROW(AE$15),0),15-13*ORÇAMENTO!$AF$11)),0)</f>
        <v>0</v>
      </c>
      <c r="AF29" s="283" t="n">
        <f aca="true">IF(AND($D29="Serviço",AF$12&lt;&gt;0,$H29&gt;0,OR(AUTOEVENTO&lt;&gt;"manual",$M29&lt;&gt;1)),
IF(Import.TipoArredondamento&lt;&gt;"TransfereGOV",
ROUND(OFFSET($P29,0,AF$13),15-13*ORÇAMENTO!$AF$7)/$H29*OFFSET(ORÇAMENTO!$X$15,ROW(AF29)-ROW(AF$15),0),
ROUND(ROUND(OFFSET($P29,0,AF$13),15-13*ORÇAMENTO!$AF$7)*OFFSET(ORÇAMENTO!$W$15,ROW(AF29)-ROW(AF$15),0),15-13*ORÇAMENTO!$AF$11)),0)</f>
        <v>0</v>
      </c>
      <c r="AG29" s="283" t="n">
        <f aca="true">IF(AND($D29="Serviço",AG$12&lt;&gt;0,$H29&gt;0,OR(AUTOEVENTO&lt;&gt;"manual",$M29&lt;&gt;1)),
IF(Import.TipoArredondamento&lt;&gt;"TransfereGOV",
ROUND(OFFSET($P29,0,AG$13),15-13*ORÇAMENTO!$AF$7)/$H29*OFFSET(ORÇAMENTO!$X$15,ROW(AG29)-ROW(AG$15),0),
ROUND(ROUND(OFFSET($P29,0,AG$13),15-13*ORÇAMENTO!$AF$7)*OFFSET(ORÇAMENTO!$W$15,ROW(AG29)-ROW(AG$15),0),15-13*ORÇAMENTO!$AF$11)),0)</f>
        <v>0</v>
      </c>
      <c r="AH29" s="283" t="n">
        <f aca="true">IF(AND($D29="Serviço",AH$12&lt;&gt;0,$H29&gt;0,OR(AUTOEVENTO&lt;&gt;"manual",$M29&lt;&gt;1)),
IF(Import.TipoArredondamento&lt;&gt;"TransfereGOV",
ROUND(OFFSET($P29,0,AH$13),15-13*ORÇAMENTO!$AF$7)/$H29*OFFSET(ORÇAMENTO!$X$15,ROW(AH29)-ROW(AH$15),0),
ROUND(ROUND(OFFSET($P29,0,AH$13),15-13*ORÇAMENTO!$AF$7)*OFFSET(ORÇAMENTO!$W$15,ROW(AH29)-ROW(AH$15),0),15-13*ORÇAMENTO!$AF$11)),0)</f>
        <v>0</v>
      </c>
      <c r="AI29" s="283" t="n">
        <f aca="true">IF(AND($D29="Serviço",AI$12&lt;&gt;0,$H29&gt;0,OR(AUTOEVENTO&lt;&gt;"manual",$M29&lt;&gt;1)),
IF(Import.TipoArredondamento&lt;&gt;"TransfereGOV",
ROUND(OFFSET($P29,0,AI$13),15-13*ORÇAMENTO!$AF$7)/$H29*OFFSET(ORÇAMENTO!$X$15,ROW(AI29)-ROW(AI$15),0),
ROUND(ROUND(OFFSET($P29,0,AI$13),15-13*ORÇAMENTO!$AF$7)*OFFSET(ORÇAMENTO!$W$15,ROW(AI29)-ROW(AI$15),0),15-13*ORÇAMENTO!$AF$11)),0)</f>
        <v>0</v>
      </c>
      <c r="AJ29" s="283" t="n">
        <f aca="true">IF(AND($D29="Serviço",AJ$12&lt;&gt;0,$H29&gt;0,OR(AUTOEVENTO&lt;&gt;"manual",$M29&lt;&gt;1)),
IF(Import.TipoArredondamento&lt;&gt;"TransfereGOV",
ROUND(OFFSET($P29,0,AJ$13),15-13*ORÇAMENTO!$AF$7)/$H29*OFFSET(ORÇAMENTO!$X$15,ROW(AJ29)-ROW(AJ$15),0),
ROUND(ROUND(OFFSET($P29,0,AJ$13),15-13*ORÇAMENTO!$AF$7)*OFFSET(ORÇAMENTO!$W$15,ROW(AJ29)-ROW(AJ$15),0),15-13*ORÇAMENTO!$AF$11)),0)</f>
        <v>0</v>
      </c>
      <c r="AK29" s="284" t="n">
        <f aca="true">IF(AND($D29="Serviço",AK$12&lt;&gt;0,$H29&gt;0,OR(AUTOEVENTO&lt;&gt;"manual",$M29&lt;&gt;1)),
IF(Import.TipoArredondamento&lt;&gt;"TransfereGOV",
ROUND(OFFSET($P29,0,AK$13),15-13*ORÇAMENTO!$AF$7)/$H29*OFFSET(ORÇAMENTO!$X$15,ROW(AK29)-ROW(AK$15),0),
ROUND(ROUND(OFFSET($P29,0,AK$13),15-13*ORÇAMENTO!$AF$7)*OFFSET(ORÇAMENTO!$W$15,ROW(AK29)-ROW(AK$15),0),15-13*ORÇAMENTO!$AF$11)),0)</f>
        <v>0</v>
      </c>
      <c r="AM29" s="285" t="n">
        <f aca="true">IF($D29&lt;&gt;"Serviço",0,IF(AND(AUTOEVENTO="Manual",$M29=1),0,IF(OFFSET(CRONOPLE!$F$14,$M29,AM$13)="",10^12,OFFSET(CRONOPLE!$F$14,$M29,AM$13))))</f>
        <v>0</v>
      </c>
      <c r="AN29" s="285" t="n">
        <f aca="true">IF($D29&lt;&gt;"Serviço",0,IF(AND(AUTOEVENTO="Manual",$M29=1),0,IF(OFFSET(CRONOPLE!$F$14,$M29,AN$13)="",10^12,OFFSET(CRONOPLE!$F$14,$M29,AN$13))))</f>
        <v>0</v>
      </c>
      <c r="AO29" s="285" t="n">
        <f aca="true">IF($D29&lt;&gt;"Serviço",0,IF(AND(AUTOEVENTO="Manual",$M29=1),0,IF(OFFSET(CRONOPLE!$F$14,$M29,AO$13)="",10^12,OFFSET(CRONOPLE!$F$14,$M29,AO$13))))</f>
        <v>0</v>
      </c>
      <c r="AP29" s="285" t="n">
        <f aca="true">IF($D29&lt;&gt;"Serviço",0,IF(AND(AUTOEVENTO="Manual",$M29=1),0,IF(OFFSET(CRONOPLE!$F$14,$M29,AP$13)="",10^12,OFFSET(CRONOPLE!$F$14,$M29,AP$13))))</f>
        <v>0</v>
      </c>
      <c r="AQ29" s="285" t="n">
        <f aca="true">IF($D29&lt;&gt;"Serviço",0,IF(AND(AUTOEVENTO="Manual",$M29=1),0,IF(OFFSET(CRONOPLE!$F$14,$M29,AQ$13)="",10^12,OFFSET(CRONOPLE!$F$14,$M29,AQ$13))))</f>
        <v>0</v>
      </c>
      <c r="AR29" s="285" t="n">
        <f aca="true">IF($D29&lt;&gt;"Serviço",0,IF(AND(AUTOEVENTO="Manual",$M29=1),0,IF(OFFSET(CRONOPLE!$F$14,$M29,AR$13)="",10^12,OFFSET(CRONOPLE!$F$14,$M29,AR$13))))</f>
        <v>0</v>
      </c>
      <c r="AS29" s="285" t="n">
        <f aca="true">IF($D29&lt;&gt;"Serviço",0,IF(AND(AUTOEVENTO="Manual",$M29=1),0,IF(OFFSET(CRONOPLE!$F$14,$M29,AS$13)="",10^12,OFFSET(CRONOPLE!$F$14,$M29,AS$13))))</f>
        <v>0</v>
      </c>
      <c r="AT29" s="285" t="n">
        <f aca="true">IF($D29&lt;&gt;"Serviço",0,IF(AND(AUTOEVENTO="Manual",$M29=1),0,IF(OFFSET(CRONOPLE!$F$14,$M29,AT$13)="",10^12,OFFSET(CRONOPLE!$F$14,$M29,AT$13))))</f>
        <v>0</v>
      </c>
      <c r="AU29" s="285" t="n">
        <f aca="true">IF($D29&lt;&gt;"Serviço",0,IF(AND(AUTOEVENTO="Manual",$M29=1),0,IF(OFFSET(CRONOPLE!$F$14,$M29,AU$13)="",10^12,OFFSET(CRONOPLE!$F$14,$M29,AU$13))))</f>
        <v>0</v>
      </c>
      <c r="AV29" s="285" t="n">
        <f aca="true">IF($D29&lt;&gt;"Serviço",0,IF(AND(AUTOEVENTO="Manual",$M29=1),0,IF(OFFSET(CRONOPLE!$F$14,$M29,AV$13)="",10^12,OFFSET(CRONOPLE!$F$14,$M29,AV$13))))</f>
        <v>0</v>
      </c>
      <c r="AX29" s="286" t="n">
        <f aca="true">IF($D29&lt;&gt;"Serviço",0,IF(OR(AND(AUTOEVENTO="Manual",$M29=1),$M29&gt;(ROW(PLE.lastrow)-ROW(PLE.firstrow))),0,IF(OFFSET(PLE!$G$14,$M29,AX$13)="",10^12,OFFSET(PLE!$G$14,$M29,AX$13))))</f>
        <v>0</v>
      </c>
      <c r="AY29" s="286" t="n">
        <f aca="true">IF($D29&lt;&gt;"Serviço",0,IF(OR(AND(AUTOEVENTO="Manual",$M29=1),$M29&gt;(ROW(PLE.lastrow)-ROW(PLE.firstrow))),0,IF(OFFSET(PLE!$G$14,$M29,AY$13)="",10^12,OFFSET(PLE!$G$14,$M29,AY$13))))</f>
        <v>0</v>
      </c>
      <c r="AZ29" s="286" t="n">
        <f aca="true">IF($D29&lt;&gt;"Serviço",0,IF(OR(AND(AUTOEVENTO="Manual",$M29=1),$M29&gt;(ROW(PLE.lastrow)-ROW(PLE.firstrow))),0,IF(OFFSET(PLE!$G$14,$M29,AZ$13)="",10^12,OFFSET(PLE!$G$14,$M29,AZ$13))))</f>
        <v>0</v>
      </c>
      <c r="BA29" s="286" t="n">
        <f aca="true">IF($D29&lt;&gt;"Serviço",0,IF(OR(AND(AUTOEVENTO="Manual",$M29=1),$M29&gt;(ROW(PLE.lastrow)-ROW(PLE.firstrow))),0,IF(OFFSET(PLE!$G$14,$M29,BA$13)="",10^12,OFFSET(PLE!$G$14,$M29,BA$13))))</f>
        <v>0</v>
      </c>
      <c r="BB29" s="286" t="n">
        <f aca="true">IF($D29&lt;&gt;"Serviço",0,IF(OR(AND(AUTOEVENTO="Manual",$M29=1),$M29&gt;(ROW(PLE.lastrow)-ROW(PLE.firstrow))),0,IF(OFFSET(PLE!$G$14,$M29,BB$13)="",10^12,OFFSET(PLE!$G$14,$M29,BB$13))))</f>
        <v>0</v>
      </c>
      <c r="BC29" s="286" t="n">
        <f aca="true">IF($D29&lt;&gt;"Serviço",0,IF(OR(AND(AUTOEVENTO="Manual",$M29=1),$M29&gt;(ROW(PLE.lastrow)-ROW(PLE.firstrow))),0,IF(OFFSET(PLE!$G$14,$M29,BC$13)="",10^12,OFFSET(PLE!$G$14,$M29,BC$13))))</f>
        <v>0</v>
      </c>
      <c r="BD29" s="286" t="n">
        <f aca="true">IF($D29&lt;&gt;"Serviço",0,IF(OR(AND(AUTOEVENTO="Manual",$M29=1),$M29&gt;(ROW(PLE.lastrow)-ROW(PLE.firstrow))),0,IF(OFFSET(PLE!$G$14,$M29,BD$13)="",10^12,OFFSET(PLE!$G$14,$M29,BD$13))))</f>
        <v>0</v>
      </c>
      <c r="BE29" s="286" t="n">
        <f aca="true">IF($D29&lt;&gt;"Serviço",0,IF(OR(AND(AUTOEVENTO="Manual",$M29=1),$M29&gt;(ROW(PLE.lastrow)-ROW(PLE.firstrow))),0,IF(OFFSET(PLE!$G$14,$M29,BE$13)="",10^12,OFFSET(PLE!$G$14,$M29,BE$13))))</f>
        <v>0</v>
      </c>
      <c r="BF29" s="286" t="n">
        <f aca="true">IF($D29&lt;&gt;"Serviço",0,IF(OR(AND(AUTOEVENTO="Manual",$M29=1),$M29&gt;(ROW(PLE.lastrow)-ROW(PLE.firstrow))),0,IF(OFFSET(PLE!$G$14,$M29,BF$13)="",10^12,OFFSET(PLE!$G$14,$M29,BF$13))))</f>
        <v>0</v>
      </c>
      <c r="BG29" s="286" t="n">
        <f aca="true">IF($D29&lt;&gt;"Serviço",0,IF(OR(AND(AUTOEVENTO="Manual",$M29=1),$M29&gt;(ROW(PLE.lastrow)-ROW(PLE.firstrow))),0,IF(OFFSET(PLE!$G$14,$M29,BG$13)="",10^12,OFFSET(PLE!$G$14,$M29,BG$13))))</f>
        <v>0</v>
      </c>
    </row>
    <row r="30" customFormat="false" ht="23.85" hidden="false" customHeight="false" outlineLevel="0" collapsed="false">
      <c r="A30" s="34" t="n">
        <f aca="true">IF(AUTOEVENTO="Manual",IF(K30&lt;&gt;"",MIN(VALUE(LEFT(K30,FIND(".",K30)-1)),COUNTA(EVENTOS.Lista)),0),IF(OR($B30&gt;AUTOEVENTO,$B30="S",$B30=0),SUBSTITUTE(OFFSET($A30,-1,0),IF($D30="Serviço",".",""),""),ROW(A30)-ROW($A$15)&amp;"."))</f>
        <v>4</v>
      </c>
      <c r="B30" s="34" t="str">
        <f aca="true">OFFSET(ORÇAMENTO!C$15,ROW(B30)-ROW(B$15),0)</f>
        <v>S</v>
      </c>
      <c r="C30" s="34" t="str">
        <f aca="true">OFFSET(ORÇAMENTO!L$15,ROW(C30)-ROW(C$15),0)</f>
        <v/>
      </c>
      <c r="D30" s="187" t="str">
        <f aca="true">OFFSET(ORÇAMENTO!N$15,ROW(D30)-ROW(D$15),0)</f>
        <v>Serviço</v>
      </c>
      <c r="E30" s="188" t="str">
        <f aca="true">OFFSET(ORÇAMENTO!O$15,ROW(E30)-ROW(E$15),0)</f>
        <v>-</v>
      </c>
      <c r="F30" s="272" t="str">
        <f aca="true">OFFSET(ORÇAMENTO!R$15,ROW(F30)-ROW(F$15),0)</f>
        <v>(abra o arquivo 'Referência 02-Thursday.xlsm)</v>
      </c>
      <c r="G30" s="273" t="str">
        <f aca="true">IF($D30&lt;&gt;"Serviço","",OFFSET(ORÇAMENTO!S$15,ROW(G30)-ROW(G$15),0))</f>
        <v>-</v>
      </c>
      <c r="H30" s="193" t="n">
        <f aca="true">IF($D30&lt;&gt;"Serviço",0,IF(ACOMPANHAMENTO="BM",ROUND(OFFSET(ORÇAMENTO!AJ$15,ROW(H30)-ROW(H$15),0),15-13*ORÇAMENTO!$AF$7),SUMPRODUCT(($Q$12:$AA$12&lt;&gt;"")*ROUND($Q30:$AA30,15-13*ORÇAMENTO!$AF$7))))</f>
        <v>2</v>
      </c>
      <c r="I30" s="274" t="s">
        <v>365</v>
      </c>
      <c r="K30" s="275" t="s">
        <v>366</v>
      </c>
      <c r="L30" s="276" t="s">
        <v>347</v>
      </c>
      <c r="M30" s="277" t="n">
        <f aca="true">IF($D30&lt;&gt;"Serviço","",IF(AUTOEVENTO="manual",$A30,IF(ISERROR(MATCH($A30,$A$15:OFFSET($A30,-1,0),0)),MAX($M$15:OFFSET(M30,-1,0))+1,INDEX($M$15:OFFSET(M30,-1,0),MATCH($A30,$A$15:OFFSET($A30,-1,0),0)))))</f>
        <v>4</v>
      </c>
      <c r="N30" s="278" t="str">
        <f aca="true">IF($D30&lt;&gt;"Serviço","",IF(AUTOEVENTO="Manual",IF($A30=0,"&lt;-- defina o número do agrupador",OFFSET(EVENTOS!$D$14,$A30,0)),OFFSET($F$15,$A30,0)))</f>
        <v>Mobilização e Desmobilização</v>
      </c>
      <c r="O30" s="279"/>
      <c r="Q30" s="279" t="n">
        <v>2</v>
      </c>
      <c r="R30" s="280"/>
      <c r="S30" s="280"/>
      <c r="T30" s="280"/>
      <c r="U30" s="280"/>
      <c r="V30" s="280"/>
      <c r="W30" s="280"/>
      <c r="X30" s="280"/>
      <c r="Y30" s="280"/>
      <c r="Z30" s="281"/>
      <c r="AB30" s="282" t="n">
        <f aca="true">IF(AND($D30="Serviço",AB$12&lt;&gt;0,$H30&gt;0,OR(AUTOEVENTO&lt;&gt;"manual",$M30&lt;&gt;1)),
IF(Import.TipoArredondamento&lt;&gt;"TransfereGOV",
ROUND(OFFSET($P30,0,AB$13),15-13*ORÇAMENTO!$AF$7)/$H30*OFFSET(ORÇAMENTO!$X$15,ROW(AB30)-ROW(AB$15),0),
ROUND(ROUND(OFFSET($P30,0,AB$13),15-13*ORÇAMENTO!$AF$7)*OFFSET(ORÇAMENTO!$W$15,ROW(AB30)-ROW(AB$15),0),15-13*ORÇAMENTO!$AF$11)),0)</f>
        <v>0</v>
      </c>
      <c r="AC30" s="283" t="n">
        <f aca="true">IF(AND($D30="Serviço",AC$12&lt;&gt;0,$H30&gt;0,OR(AUTOEVENTO&lt;&gt;"manual",$M30&lt;&gt;1)),
IF(Import.TipoArredondamento&lt;&gt;"TransfereGOV",
ROUND(OFFSET($P30,0,AC$13),15-13*ORÇAMENTO!$AF$7)/$H30*OFFSET(ORÇAMENTO!$X$15,ROW(AC30)-ROW(AC$15),0),
ROUND(ROUND(OFFSET($P30,0,AC$13),15-13*ORÇAMENTO!$AF$7)*OFFSET(ORÇAMENTO!$W$15,ROW(AC30)-ROW(AC$15),0),15-13*ORÇAMENTO!$AF$11)),0)</f>
        <v>0</v>
      </c>
      <c r="AD30" s="283" t="n">
        <f aca="true">IF(AND($D30="Serviço",AD$12&lt;&gt;0,$H30&gt;0,OR(AUTOEVENTO&lt;&gt;"manual",$M30&lt;&gt;1)),
IF(Import.TipoArredondamento&lt;&gt;"TransfereGOV",
ROUND(OFFSET($P30,0,AD$13),15-13*ORÇAMENTO!$AF$7)/$H30*OFFSET(ORÇAMENTO!$X$15,ROW(AD30)-ROW(AD$15),0),
ROUND(ROUND(OFFSET($P30,0,AD$13),15-13*ORÇAMENTO!$AF$7)*OFFSET(ORÇAMENTO!$W$15,ROW(AD30)-ROW(AD$15),0),15-13*ORÇAMENTO!$AF$11)),0)</f>
        <v>0</v>
      </c>
      <c r="AE30" s="283" t="n">
        <f aca="true">IF(AND($D30="Serviço",AE$12&lt;&gt;0,$H30&gt;0,OR(AUTOEVENTO&lt;&gt;"manual",$M30&lt;&gt;1)),
IF(Import.TipoArredondamento&lt;&gt;"TransfereGOV",
ROUND(OFFSET($P30,0,AE$13),15-13*ORÇAMENTO!$AF$7)/$H30*OFFSET(ORÇAMENTO!$X$15,ROW(AE30)-ROW(AE$15),0),
ROUND(ROUND(OFFSET($P30,0,AE$13),15-13*ORÇAMENTO!$AF$7)*OFFSET(ORÇAMENTO!$W$15,ROW(AE30)-ROW(AE$15),0),15-13*ORÇAMENTO!$AF$11)),0)</f>
        <v>0</v>
      </c>
      <c r="AF30" s="283" t="n">
        <f aca="true">IF(AND($D30="Serviço",AF$12&lt;&gt;0,$H30&gt;0,OR(AUTOEVENTO&lt;&gt;"manual",$M30&lt;&gt;1)),
IF(Import.TipoArredondamento&lt;&gt;"TransfereGOV",
ROUND(OFFSET($P30,0,AF$13),15-13*ORÇAMENTO!$AF$7)/$H30*OFFSET(ORÇAMENTO!$X$15,ROW(AF30)-ROW(AF$15),0),
ROUND(ROUND(OFFSET($P30,0,AF$13),15-13*ORÇAMENTO!$AF$7)*OFFSET(ORÇAMENTO!$W$15,ROW(AF30)-ROW(AF$15),0),15-13*ORÇAMENTO!$AF$11)),0)</f>
        <v>0</v>
      </c>
      <c r="AG30" s="283" t="n">
        <f aca="true">IF(AND($D30="Serviço",AG$12&lt;&gt;0,$H30&gt;0,OR(AUTOEVENTO&lt;&gt;"manual",$M30&lt;&gt;1)),
IF(Import.TipoArredondamento&lt;&gt;"TransfereGOV",
ROUND(OFFSET($P30,0,AG$13),15-13*ORÇAMENTO!$AF$7)/$H30*OFFSET(ORÇAMENTO!$X$15,ROW(AG30)-ROW(AG$15),0),
ROUND(ROUND(OFFSET($P30,0,AG$13),15-13*ORÇAMENTO!$AF$7)*OFFSET(ORÇAMENTO!$W$15,ROW(AG30)-ROW(AG$15),0),15-13*ORÇAMENTO!$AF$11)),0)</f>
        <v>0</v>
      </c>
      <c r="AH30" s="283" t="n">
        <f aca="true">IF(AND($D30="Serviço",AH$12&lt;&gt;0,$H30&gt;0,OR(AUTOEVENTO&lt;&gt;"manual",$M30&lt;&gt;1)),
IF(Import.TipoArredondamento&lt;&gt;"TransfereGOV",
ROUND(OFFSET($P30,0,AH$13),15-13*ORÇAMENTO!$AF$7)/$H30*OFFSET(ORÇAMENTO!$X$15,ROW(AH30)-ROW(AH$15),0),
ROUND(ROUND(OFFSET($P30,0,AH$13),15-13*ORÇAMENTO!$AF$7)*OFFSET(ORÇAMENTO!$W$15,ROW(AH30)-ROW(AH$15),0),15-13*ORÇAMENTO!$AF$11)),0)</f>
        <v>0</v>
      </c>
      <c r="AI30" s="283" t="n">
        <f aca="true">IF(AND($D30="Serviço",AI$12&lt;&gt;0,$H30&gt;0,OR(AUTOEVENTO&lt;&gt;"manual",$M30&lt;&gt;1)),
IF(Import.TipoArredondamento&lt;&gt;"TransfereGOV",
ROUND(OFFSET($P30,0,AI$13),15-13*ORÇAMENTO!$AF$7)/$H30*OFFSET(ORÇAMENTO!$X$15,ROW(AI30)-ROW(AI$15),0),
ROUND(ROUND(OFFSET($P30,0,AI$13),15-13*ORÇAMENTO!$AF$7)*OFFSET(ORÇAMENTO!$W$15,ROW(AI30)-ROW(AI$15),0),15-13*ORÇAMENTO!$AF$11)),0)</f>
        <v>0</v>
      </c>
      <c r="AJ30" s="283" t="n">
        <f aca="true">IF(AND($D30="Serviço",AJ$12&lt;&gt;0,$H30&gt;0,OR(AUTOEVENTO&lt;&gt;"manual",$M30&lt;&gt;1)),
IF(Import.TipoArredondamento&lt;&gt;"TransfereGOV",
ROUND(OFFSET($P30,0,AJ$13),15-13*ORÇAMENTO!$AF$7)/$H30*OFFSET(ORÇAMENTO!$X$15,ROW(AJ30)-ROW(AJ$15),0),
ROUND(ROUND(OFFSET($P30,0,AJ$13),15-13*ORÇAMENTO!$AF$7)*OFFSET(ORÇAMENTO!$W$15,ROW(AJ30)-ROW(AJ$15),0),15-13*ORÇAMENTO!$AF$11)),0)</f>
        <v>0</v>
      </c>
      <c r="AK30" s="284" t="n">
        <f aca="true">IF(AND($D30="Serviço",AK$12&lt;&gt;0,$H30&gt;0,OR(AUTOEVENTO&lt;&gt;"manual",$M30&lt;&gt;1)),
IF(Import.TipoArredondamento&lt;&gt;"TransfereGOV",
ROUND(OFFSET($P30,0,AK$13),15-13*ORÇAMENTO!$AF$7)/$H30*OFFSET(ORÇAMENTO!$X$15,ROW(AK30)-ROW(AK$15),0),
ROUND(ROUND(OFFSET($P30,0,AK$13),15-13*ORÇAMENTO!$AF$7)*OFFSET(ORÇAMENTO!$W$15,ROW(AK30)-ROW(AK$15),0),15-13*ORÇAMENTO!$AF$11)),0)</f>
        <v>0</v>
      </c>
      <c r="AM30" s="285" t="n">
        <f aca="true">IF($D30&lt;&gt;"Serviço",0,IF(AND(AUTOEVENTO="Manual",$M30=1),0,IF(OFFSET(CRONOPLE!$F$14,$M30,AM$13)="",10^12,OFFSET(CRONOPLE!$F$14,$M30,AM$13))))</f>
        <v>1</v>
      </c>
      <c r="AN30" s="285" t="n">
        <f aca="true">IF($D30&lt;&gt;"Serviço",0,IF(AND(AUTOEVENTO="Manual",$M30=1),0,IF(OFFSET(CRONOPLE!$F$14,$M30,AN$13)="",10^12,OFFSET(CRONOPLE!$F$14,$M30,AN$13))))</f>
        <v>1000000000000</v>
      </c>
      <c r="AO30" s="285" t="n">
        <f aca="true">IF($D30&lt;&gt;"Serviço",0,IF(AND(AUTOEVENTO="Manual",$M30=1),0,IF(OFFSET(CRONOPLE!$F$14,$M30,AO$13)="",10^12,OFFSET(CRONOPLE!$F$14,$M30,AO$13))))</f>
        <v>1000000000000</v>
      </c>
      <c r="AP30" s="285" t="n">
        <f aca="true">IF($D30&lt;&gt;"Serviço",0,IF(AND(AUTOEVENTO="Manual",$M30=1),0,IF(OFFSET(CRONOPLE!$F$14,$M30,AP$13)="",10^12,OFFSET(CRONOPLE!$F$14,$M30,AP$13))))</f>
        <v>1000000000000</v>
      </c>
      <c r="AQ30" s="285" t="n">
        <f aca="true">IF($D30&lt;&gt;"Serviço",0,IF(AND(AUTOEVENTO="Manual",$M30=1),0,IF(OFFSET(CRONOPLE!$F$14,$M30,AQ$13)="",10^12,OFFSET(CRONOPLE!$F$14,$M30,AQ$13))))</f>
        <v>1000000000000</v>
      </c>
      <c r="AR30" s="285" t="n">
        <f aca="true">IF($D30&lt;&gt;"Serviço",0,IF(AND(AUTOEVENTO="Manual",$M30=1),0,IF(OFFSET(CRONOPLE!$F$14,$M30,AR$13)="",10^12,OFFSET(CRONOPLE!$F$14,$M30,AR$13))))</f>
        <v>1000000000000</v>
      </c>
      <c r="AS30" s="285" t="n">
        <f aca="true">IF($D30&lt;&gt;"Serviço",0,IF(AND(AUTOEVENTO="Manual",$M30=1),0,IF(OFFSET(CRONOPLE!$F$14,$M30,AS$13)="",10^12,OFFSET(CRONOPLE!$F$14,$M30,AS$13))))</f>
        <v>1000000000000</v>
      </c>
      <c r="AT30" s="285" t="n">
        <f aca="true">IF($D30&lt;&gt;"Serviço",0,IF(AND(AUTOEVENTO="Manual",$M30=1),0,IF(OFFSET(CRONOPLE!$F$14,$M30,AT$13)="",10^12,OFFSET(CRONOPLE!$F$14,$M30,AT$13))))</f>
        <v>1000000000000</v>
      </c>
      <c r="AU30" s="285" t="n">
        <f aca="true">IF($D30&lt;&gt;"Serviço",0,IF(AND(AUTOEVENTO="Manual",$M30=1),0,IF(OFFSET(CRONOPLE!$F$14,$M30,AU$13)="",10^12,OFFSET(CRONOPLE!$F$14,$M30,AU$13))))</f>
        <v>1000000000000</v>
      </c>
      <c r="AV30" s="285" t="n">
        <f aca="true">IF($D30&lt;&gt;"Serviço",0,IF(AND(AUTOEVENTO="Manual",$M30=1),0,IF(OFFSET(CRONOPLE!$F$14,$M30,AV$13)="",10^12,OFFSET(CRONOPLE!$F$14,$M30,AV$13))))</f>
        <v>1000000000000</v>
      </c>
      <c r="AX30" s="286" t="n">
        <f aca="true">IF($D30&lt;&gt;"Serviço",0,IF(OR(AND(AUTOEVENTO="Manual",$M30=1),$M30&gt;(ROW(PLE.lastrow)-ROW(PLE.firstrow))),0,IF(OFFSET(PLE!$G$14,$M30,AX$13)="",10^12,OFFSET(PLE!$G$14,$M30,AX$13))))</f>
        <v>1000000000000</v>
      </c>
      <c r="AY30" s="286" t="n">
        <f aca="true">IF($D30&lt;&gt;"Serviço",0,IF(OR(AND(AUTOEVENTO="Manual",$M30=1),$M30&gt;(ROW(PLE.lastrow)-ROW(PLE.firstrow))),0,IF(OFFSET(PLE!$G$14,$M30,AY$13)="",10^12,OFFSET(PLE!$G$14,$M30,AY$13))))</f>
        <v>1000000000000</v>
      </c>
      <c r="AZ30" s="286" t="n">
        <f aca="true">IF($D30&lt;&gt;"Serviço",0,IF(OR(AND(AUTOEVENTO="Manual",$M30=1),$M30&gt;(ROW(PLE.lastrow)-ROW(PLE.firstrow))),0,IF(OFFSET(PLE!$G$14,$M30,AZ$13)="",10^12,OFFSET(PLE!$G$14,$M30,AZ$13))))</f>
        <v>1000000000000</v>
      </c>
      <c r="BA30" s="286" t="n">
        <f aca="true">IF($D30&lt;&gt;"Serviço",0,IF(OR(AND(AUTOEVENTO="Manual",$M30=1),$M30&gt;(ROW(PLE.lastrow)-ROW(PLE.firstrow))),0,IF(OFFSET(PLE!$G$14,$M30,BA$13)="",10^12,OFFSET(PLE!$G$14,$M30,BA$13))))</f>
        <v>1000000000000</v>
      </c>
      <c r="BB30" s="286" t="n">
        <f aca="true">IF($D30&lt;&gt;"Serviço",0,IF(OR(AND(AUTOEVENTO="Manual",$M30=1),$M30&gt;(ROW(PLE.lastrow)-ROW(PLE.firstrow))),0,IF(OFFSET(PLE!$G$14,$M30,BB$13)="",10^12,OFFSET(PLE!$G$14,$M30,BB$13))))</f>
        <v>1000000000000</v>
      </c>
      <c r="BC30" s="286" t="n">
        <f aca="true">IF($D30&lt;&gt;"Serviço",0,IF(OR(AND(AUTOEVENTO="Manual",$M30=1),$M30&gt;(ROW(PLE.lastrow)-ROW(PLE.firstrow))),0,IF(OFFSET(PLE!$G$14,$M30,BC$13)="",10^12,OFFSET(PLE!$G$14,$M30,BC$13))))</f>
        <v>1000000000000</v>
      </c>
      <c r="BD30" s="286" t="n">
        <f aca="true">IF($D30&lt;&gt;"Serviço",0,IF(OR(AND(AUTOEVENTO="Manual",$M30=1),$M30&gt;(ROW(PLE.lastrow)-ROW(PLE.firstrow))),0,IF(OFFSET(PLE!$G$14,$M30,BD$13)="",10^12,OFFSET(PLE!$G$14,$M30,BD$13))))</f>
        <v>1000000000000</v>
      </c>
      <c r="BE30" s="286" t="n">
        <f aca="true">IF($D30&lt;&gt;"Serviço",0,IF(OR(AND(AUTOEVENTO="Manual",$M30=1),$M30&gt;(ROW(PLE.lastrow)-ROW(PLE.firstrow))),0,IF(OFFSET(PLE!$G$14,$M30,BE$13)="",10^12,OFFSET(PLE!$G$14,$M30,BE$13))))</f>
        <v>1000000000000</v>
      </c>
      <c r="BF30" s="286" t="n">
        <f aca="true">IF($D30&lt;&gt;"Serviço",0,IF(OR(AND(AUTOEVENTO="Manual",$M30=1),$M30&gt;(ROW(PLE.lastrow)-ROW(PLE.firstrow))),0,IF(OFFSET(PLE!$G$14,$M30,BF$13)="",10^12,OFFSET(PLE!$G$14,$M30,BF$13))))</f>
        <v>1000000000000</v>
      </c>
      <c r="BG30" s="286" t="n">
        <f aca="true">IF($D30&lt;&gt;"Serviço",0,IF(OR(AND(AUTOEVENTO="Manual",$M30=1),$M30&gt;(ROW(PLE.lastrow)-ROW(PLE.firstrow))),0,IF(OFFSET(PLE!$G$14,$M30,BG$13)="",10^12,OFFSET(PLE!$G$14,$M30,BG$13))))</f>
        <v>1000000000000</v>
      </c>
    </row>
    <row r="31" customFormat="false" ht="12.75" hidden="false" customHeight="false" outlineLevel="0" collapsed="false">
      <c r="A31" s="34" t="n">
        <f aca="true">IF(AUTOEVENTO="Manual",IF(K31&lt;&gt;"",MIN(VALUE(LEFT(K31,FIND(".",K31)-1)),COUNTA(EVENTOS.Lista)),0),IF(OR($B31&gt;AUTOEVENTO,$B31="S",$B31=0),SUBSTITUTE(OFFSET($A31,-1,0),IF($D31="Serviço",".",""),""),ROW(A31)-ROW($A$15)&amp;"."))</f>
        <v>0</v>
      </c>
      <c r="B31" s="34" t="n">
        <f aca="true">OFFSET(ORÇAMENTO!C$15,ROW(B31)-ROW(B$15),0)</f>
        <v>2</v>
      </c>
      <c r="C31" s="34" t="str">
        <f aca="true">OFFSET(ORÇAMENTO!L$15,ROW(C31)-ROW(C$15),0)</f>
        <v>F</v>
      </c>
      <c r="D31" s="187" t="str">
        <f aca="true">OFFSET(ORÇAMENTO!N$15,ROW(D31)-ROW(D$15),0)</f>
        <v>Nível 2</v>
      </c>
      <c r="E31" s="188" t="str">
        <f aca="true">OFFSET(ORÇAMENTO!O$15,ROW(E31)-ROW(E$15),0)</f>
        <v>1.5.</v>
      </c>
      <c r="F31" s="272" t="str">
        <f aca="true">OFFSET(ORÇAMENTO!R$15,ROW(F31)-ROW(F$15),0)</f>
        <v>Terraplanagem</v>
      </c>
      <c r="G31" s="273" t="str">
        <f aca="true">IF($D31&lt;&gt;"Serviço","",OFFSET(ORÇAMENTO!S$15,ROW(G31)-ROW(G$15),0))</f>
        <v/>
      </c>
      <c r="H31" s="193" t="n">
        <f aca="true">IF($D31&lt;&gt;"Serviço",0,IF(ACOMPANHAMENTO="BM",ROUND(OFFSET(ORÇAMENTO!AJ$15,ROW(H31)-ROW(H$15),0),15-13*ORÇAMENTO!$AF$7),SUMPRODUCT(($Q$12:$AA$12&lt;&gt;"")*ROUND($Q31:$AA31,15-13*ORÇAMENTO!$AF$7))))</f>
        <v>0</v>
      </c>
      <c r="I31" s="274"/>
      <c r="K31" s="275"/>
      <c r="L31" s="276" t="s">
        <v>347</v>
      </c>
      <c r="M31" s="277" t="str">
        <f aca="true">IF($D31&lt;&gt;"Serviço","",IF(AUTOEVENTO="manual",$A31,IF(ISERROR(MATCH($A31,$A$15:OFFSET($A31,-1,0),0)),MAX($M$15:OFFSET(M31,-1,0))+1,INDEX($M$15:OFFSET(M31,-1,0),MATCH($A31,$A$15:OFFSET($A31,-1,0),0)))))</f>
        <v/>
      </c>
      <c r="N31" s="278" t="str">
        <f aca="true">IF($D31&lt;&gt;"Serviço","",IF(AUTOEVENTO="Manual",IF($A31=0,"&lt;-- defina o número do agrupador",OFFSET(EVENTOS!$D$14,$A31,0)),OFFSET($F$15,$A31,0)))</f>
        <v/>
      </c>
      <c r="O31" s="279"/>
      <c r="Q31" s="279"/>
      <c r="R31" s="280"/>
      <c r="S31" s="280"/>
      <c r="T31" s="280"/>
      <c r="U31" s="280"/>
      <c r="V31" s="280"/>
      <c r="W31" s="280"/>
      <c r="X31" s="280"/>
      <c r="Y31" s="280"/>
      <c r="Z31" s="281"/>
      <c r="AB31" s="282" t="n">
        <f aca="true">IF(AND($D31="Serviço",AB$12&lt;&gt;0,$H31&gt;0,OR(AUTOEVENTO&lt;&gt;"manual",$M31&lt;&gt;1)),
IF(Import.TipoArredondamento&lt;&gt;"TransfereGOV",
ROUND(OFFSET($P31,0,AB$13),15-13*ORÇAMENTO!$AF$7)/$H31*OFFSET(ORÇAMENTO!$X$15,ROW(AB31)-ROW(AB$15),0),
ROUND(ROUND(OFFSET($P31,0,AB$13),15-13*ORÇAMENTO!$AF$7)*OFFSET(ORÇAMENTO!$W$15,ROW(AB31)-ROW(AB$15),0),15-13*ORÇAMENTO!$AF$11)),0)</f>
        <v>0</v>
      </c>
      <c r="AC31" s="283" t="n">
        <f aca="true">IF(AND($D31="Serviço",AC$12&lt;&gt;0,$H31&gt;0,OR(AUTOEVENTO&lt;&gt;"manual",$M31&lt;&gt;1)),
IF(Import.TipoArredondamento&lt;&gt;"TransfereGOV",
ROUND(OFFSET($P31,0,AC$13),15-13*ORÇAMENTO!$AF$7)/$H31*OFFSET(ORÇAMENTO!$X$15,ROW(AC31)-ROW(AC$15),0),
ROUND(ROUND(OFFSET($P31,0,AC$13),15-13*ORÇAMENTO!$AF$7)*OFFSET(ORÇAMENTO!$W$15,ROW(AC31)-ROW(AC$15),0),15-13*ORÇAMENTO!$AF$11)),0)</f>
        <v>0</v>
      </c>
      <c r="AD31" s="283" t="n">
        <f aca="true">IF(AND($D31="Serviço",AD$12&lt;&gt;0,$H31&gt;0,OR(AUTOEVENTO&lt;&gt;"manual",$M31&lt;&gt;1)),
IF(Import.TipoArredondamento&lt;&gt;"TransfereGOV",
ROUND(OFFSET($P31,0,AD$13),15-13*ORÇAMENTO!$AF$7)/$H31*OFFSET(ORÇAMENTO!$X$15,ROW(AD31)-ROW(AD$15),0),
ROUND(ROUND(OFFSET($P31,0,AD$13),15-13*ORÇAMENTO!$AF$7)*OFFSET(ORÇAMENTO!$W$15,ROW(AD31)-ROW(AD$15),0),15-13*ORÇAMENTO!$AF$11)),0)</f>
        <v>0</v>
      </c>
      <c r="AE31" s="283" t="n">
        <f aca="true">IF(AND($D31="Serviço",AE$12&lt;&gt;0,$H31&gt;0,OR(AUTOEVENTO&lt;&gt;"manual",$M31&lt;&gt;1)),
IF(Import.TipoArredondamento&lt;&gt;"TransfereGOV",
ROUND(OFFSET($P31,0,AE$13),15-13*ORÇAMENTO!$AF$7)/$H31*OFFSET(ORÇAMENTO!$X$15,ROW(AE31)-ROW(AE$15),0),
ROUND(ROUND(OFFSET($P31,0,AE$13),15-13*ORÇAMENTO!$AF$7)*OFFSET(ORÇAMENTO!$W$15,ROW(AE31)-ROW(AE$15),0),15-13*ORÇAMENTO!$AF$11)),0)</f>
        <v>0</v>
      </c>
      <c r="AF31" s="283" t="n">
        <f aca="true">IF(AND($D31="Serviço",AF$12&lt;&gt;0,$H31&gt;0,OR(AUTOEVENTO&lt;&gt;"manual",$M31&lt;&gt;1)),
IF(Import.TipoArredondamento&lt;&gt;"TransfereGOV",
ROUND(OFFSET($P31,0,AF$13),15-13*ORÇAMENTO!$AF$7)/$H31*OFFSET(ORÇAMENTO!$X$15,ROW(AF31)-ROW(AF$15),0),
ROUND(ROUND(OFFSET($P31,0,AF$13),15-13*ORÇAMENTO!$AF$7)*OFFSET(ORÇAMENTO!$W$15,ROW(AF31)-ROW(AF$15),0),15-13*ORÇAMENTO!$AF$11)),0)</f>
        <v>0</v>
      </c>
      <c r="AG31" s="283" t="n">
        <f aca="true">IF(AND($D31="Serviço",AG$12&lt;&gt;0,$H31&gt;0,OR(AUTOEVENTO&lt;&gt;"manual",$M31&lt;&gt;1)),
IF(Import.TipoArredondamento&lt;&gt;"TransfereGOV",
ROUND(OFFSET($P31,0,AG$13),15-13*ORÇAMENTO!$AF$7)/$H31*OFFSET(ORÇAMENTO!$X$15,ROW(AG31)-ROW(AG$15),0),
ROUND(ROUND(OFFSET($P31,0,AG$13),15-13*ORÇAMENTO!$AF$7)*OFFSET(ORÇAMENTO!$W$15,ROW(AG31)-ROW(AG$15),0),15-13*ORÇAMENTO!$AF$11)),0)</f>
        <v>0</v>
      </c>
      <c r="AH31" s="283" t="n">
        <f aca="true">IF(AND($D31="Serviço",AH$12&lt;&gt;0,$H31&gt;0,OR(AUTOEVENTO&lt;&gt;"manual",$M31&lt;&gt;1)),
IF(Import.TipoArredondamento&lt;&gt;"TransfereGOV",
ROUND(OFFSET($P31,0,AH$13),15-13*ORÇAMENTO!$AF$7)/$H31*OFFSET(ORÇAMENTO!$X$15,ROW(AH31)-ROW(AH$15),0),
ROUND(ROUND(OFFSET($P31,0,AH$13),15-13*ORÇAMENTO!$AF$7)*OFFSET(ORÇAMENTO!$W$15,ROW(AH31)-ROW(AH$15),0),15-13*ORÇAMENTO!$AF$11)),0)</f>
        <v>0</v>
      </c>
      <c r="AI31" s="283" t="n">
        <f aca="true">IF(AND($D31="Serviço",AI$12&lt;&gt;0,$H31&gt;0,OR(AUTOEVENTO&lt;&gt;"manual",$M31&lt;&gt;1)),
IF(Import.TipoArredondamento&lt;&gt;"TransfereGOV",
ROUND(OFFSET($P31,0,AI$13),15-13*ORÇAMENTO!$AF$7)/$H31*OFFSET(ORÇAMENTO!$X$15,ROW(AI31)-ROW(AI$15),0),
ROUND(ROUND(OFFSET($P31,0,AI$13),15-13*ORÇAMENTO!$AF$7)*OFFSET(ORÇAMENTO!$W$15,ROW(AI31)-ROW(AI$15),0),15-13*ORÇAMENTO!$AF$11)),0)</f>
        <v>0</v>
      </c>
      <c r="AJ31" s="283" t="n">
        <f aca="true">IF(AND($D31="Serviço",AJ$12&lt;&gt;0,$H31&gt;0,OR(AUTOEVENTO&lt;&gt;"manual",$M31&lt;&gt;1)),
IF(Import.TipoArredondamento&lt;&gt;"TransfereGOV",
ROUND(OFFSET($P31,0,AJ$13),15-13*ORÇAMENTO!$AF$7)/$H31*OFFSET(ORÇAMENTO!$X$15,ROW(AJ31)-ROW(AJ$15),0),
ROUND(ROUND(OFFSET($P31,0,AJ$13),15-13*ORÇAMENTO!$AF$7)*OFFSET(ORÇAMENTO!$W$15,ROW(AJ31)-ROW(AJ$15),0),15-13*ORÇAMENTO!$AF$11)),0)</f>
        <v>0</v>
      </c>
      <c r="AK31" s="284" t="n">
        <f aca="true">IF(AND($D31="Serviço",AK$12&lt;&gt;0,$H31&gt;0,OR(AUTOEVENTO&lt;&gt;"manual",$M31&lt;&gt;1)),
IF(Import.TipoArredondamento&lt;&gt;"TransfereGOV",
ROUND(OFFSET($P31,0,AK$13),15-13*ORÇAMENTO!$AF$7)/$H31*OFFSET(ORÇAMENTO!$X$15,ROW(AK31)-ROW(AK$15),0),
ROUND(ROUND(OFFSET($P31,0,AK$13),15-13*ORÇAMENTO!$AF$7)*OFFSET(ORÇAMENTO!$W$15,ROW(AK31)-ROW(AK$15),0),15-13*ORÇAMENTO!$AF$11)),0)</f>
        <v>0</v>
      </c>
      <c r="AM31" s="285" t="n">
        <f aca="true">IF($D31&lt;&gt;"Serviço",0,IF(AND(AUTOEVENTO="Manual",$M31=1),0,IF(OFFSET(CRONOPLE!$F$14,$M31,AM$13)="",10^12,OFFSET(CRONOPLE!$F$14,$M31,AM$13))))</f>
        <v>0</v>
      </c>
      <c r="AN31" s="285" t="n">
        <f aca="true">IF($D31&lt;&gt;"Serviço",0,IF(AND(AUTOEVENTO="Manual",$M31=1),0,IF(OFFSET(CRONOPLE!$F$14,$M31,AN$13)="",10^12,OFFSET(CRONOPLE!$F$14,$M31,AN$13))))</f>
        <v>0</v>
      </c>
      <c r="AO31" s="285" t="n">
        <f aca="true">IF($D31&lt;&gt;"Serviço",0,IF(AND(AUTOEVENTO="Manual",$M31=1),0,IF(OFFSET(CRONOPLE!$F$14,$M31,AO$13)="",10^12,OFFSET(CRONOPLE!$F$14,$M31,AO$13))))</f>
        <v>0</v>
      </c>
      <c r="AP31" s="285" t="n">
        <f aca="true">IF($D31&lt;&gt;"Serviço",0,IF(AND(AUTOEVENTO="Manual",$M31=1),0,IF(OFFSET(CRONOPLE!$F$14,$M31,AP$13)="",10^12,OFFSET(CRONOPLE!$F$14,$M31,AP$13))))</f>
        <v>0</v>
      </c>
      <c r="AQ31" s="285" t="n">
        <f aca="true">IF($D31&lt;&gt;"Serviço",0,IF(AND(AUTOEVENTO="Manual",$M31=1),0,IF(OFFSET(CRONOPLE!$F$14,$M31,AQ$13)="",10^12,OFFSET(CRONOPLE!$F$14,$M31,AQ$13))))</f>
        <v>0</v>
      </c>
      <c r="AR31" s="285" t="n">
        <f aca="true">IF($D31&lt;&gt;"Serviço",0,IF(AND(AUTOEVENTO="Manual",$M31=1),0,IF(OFFSET(CRONOPLE!$F$14,$M31,AR$13)="",10^12,OFFSET(CRONOPLE!$F$14,$M31,AR$13))))</f>
        <v>0</v>
      </c>
      <c r="AS31" s="285" t="n">
        <f aca="true">IF($D31&lt;&gt;"Serviço",0,IF(AND(AUTOEVENTO="Manual",$M31=1),0,IF(OFFSET(CRONOPLE!$F$14,$M31,AS$13)="",10^12,OFFSET(CRONOPLE!$F$14,$M31,AS$13))))</f>
        <v>0</v>
      </c>
      <c r="AT31" s="285" t="n">
        <f aca="true">IF($D31&lt;&gt;"Serviço",0,IF(AND(AUTOEVENTO="Manual",$M31=1),0,IF(OFFSET(CRONOPLE!$F$14,$M31,AT$13)="",10^12,OFFSET(CRONOPLE!$F$14,$M31,AT$13))))</f>
        <v>0</v>
      </c>
      <c r="AU31" s="285" t="n">
        <f aca="true">IF($D31&lt;&gt;"Serviço",0,IF(AND(AUTOEVENTO="Manual",$M31=1),0,IF(OFFSET(CRONOPLE!$F$14,$M31,AU$13)="",10^12,OFFSET(CRONOPLE!$F$14,$M31,AU$13))))</f>
        <v>0</v>
      </c>
      <c r="AV31" s="285" t="n">
        <f aca="true">IF($D31&lt;&gt;"Serviço",0,IF(AND(AUTOEVENTO="Manual",$M31=1),0,IF(OFFSET(CRONOPLE!$F$14,$M31,AV$13)="",10^12,OFFSET(CRONOPLE!$F$14,$M31,AV$13))))</f>
        <v>0</v>
      </c>
      <c r="AX31" s="286" t="n">
        <f aca="true">IF($D31&lt;&gt;"Serviço",0,IF(OR(AND(AUTOEVENTO="Manual",$M31=1),$M31&gt;(ROW(PLE.lastrow)-ROW(PLE.firstrow))),0,IF(OFFSET(PLE!$G$14,$M31,AX$13)="",10^12,OFFSET(PLE!$G$14,$M31,AX$13))))</f>
        <v>0</v>
      </c>
      <c r="AY31" s="286" t="n">
        <f aca="true">IF($D31&lt;&gt;"Serviço",0,IF(OR(AND(AUTOEVENTO="Manual",$M31=1),$M31&gt;(ROW(PLE.lastrow)-ROW(PLE.firstrow))),0,IF(OFFSET(PLE!$G$14,$M31,AY$13)="",10^12,OFFSET(PLE!$G$14,$M31,AY$13))))</f>
        <v>0</v>
      </c>
      <c r="AZ31" s="286" t="n">
        <f aca="true">IF($D31&lt;&gt;"Serviço",0,IF(OR(AND(AUTOEVENTO="Manual",$M31=1),$M31&gt;(ROW(PLE.lastrow)-ROW(PLE.firstrow))),0,IF(OFFSET(PLE!$G$14,$M31,AZ$13)="",10^12,OFFSET(PLE!$G$14,$M31,AZ$13))))</f>
        <v>0</v>
      </c>
      <c r="BA31" s="286" t="n">
        <f aca="true">IF($D31&lt;&gt;"Serviço",0,IF(OR(AND(AUTOEVENTO="Manual",$M31=1),$M31&gt;(ROW(PLE.lastrow)-ROW(PLE.firstrow))),0,IF(OFFSET(PLE!$G$14,$M31,BA$13)="",10^12,OFFSET(PLE!$G$14,$M31,BA$13))))</f>
        <v>0</v>
      </c>
      <c r="BB31" s="286" t="n">
        <f aca="true">IF($D31&lt;&gt;"Serviço",0,IF(OR(AND(AUTOEVENTO="Manual",$M31=1),$M31&gt;(ROW(PLE.lastrow)-ROW(PLE.firstrow))),0,IF(OFFSET(PLE!$G$14,$M31,BB$13)="",10^12,OFFSET(PLE!$G$14,$M31,BB$13))))</f>
        <v>0</v>
      </c>
      <c r="BC31" s="286" t="n">
        <f aca="true">IF($D31&lt;&gt;"Serviço",0,IF(OR(AND(AUTOEVENTO="Manual",$M31=1),$M31&gt;(ROW(PLE.lastrow)-ROW(PLE.firstrow))),0,IF(OFFSET(PLE!$G$14,$M31,BC$13)="",10^12,OFFSET(PLE!$G$14,$M31,BC$13))))</f>
        <v>0</v>
      </c>
      <c r="BD31" s="286" t="n">
        <f aca="true">IF($D31&lt;&gt;"Serviço",0,IF(OR(AND(AUTOEVENTO="Manual",$M31=1),$M31&gt;(ROW(PLE.lastrow)-ROW(PLE.firstrow))),0,IF(OFFSET(PLE!$G$14,$M31,BD$13)="",10^12,OFFSET(PLE!$G$14,$M31,BD$13))))</f>
        <v>0</v>
      </c>
      <c r="BE31" s="286" t="n">
        <f aca="true">IF($D31&lt;&gt;"Serviço",0,IF(OR(AND(AUTOEVENTO="Manual",$M31=1),$M31&gt;(ROW(PLE.lastrow)-ROW(PLE.firstrow))),0,IF(OFFSET(PLE!$G$14,$M31,BE$13)="",10^12,OFFSET(PLE!$G$14,$M31,BE$13))))</f>
        <v>0</v>
      </c>
      <c r="BF31" s="286" t="n">
        <f aca="true">IF($D31&lt;&gt;"Serviço",0,IF(OR(AND(AUTOEVENTO="Manual",$M31=1),$M31&gt;(ROW(PLE.lastrow)-ROW(PLE.firstrow))),0,IF(OFFSET(PLE!$G$14,$M31,BF$13)="",10^12,OFFSET(PLE!$G$14,$M31,BF$13))))</f>
        <v>0</v>
      </c>
      <c r="BG31" s="286" t="n">
        <f aca="true">IF($D31&lt;&gt;"Serviço",0,IF(OR(AND(AUTOEVENTO="Manual",$M31=1),$M31&gt;(ROW(PLE.lastrow)-ROW(PLE.firstrow))),0,IF(OFFSET(PLE!$G$14,$M31,BG$13)="",10^12,OFFSET(PLE!$G$14,$M31,BG$13))))</f>
        <v>0</v>
      </c>
    </row>
    <row r="32" customFormat="false" ht="23.85" hidden="false" customHeight="false" outlineLevel="0" collapsed="false">
      <c r="A32" s="34" t="n">
        <f aca="true">IF(AUTOEVENTO="Manual",IF(K32&lt;&gt;"",MIN(VALUE(LEFT(K32,FIND(".",K32)-1)),COUNTA(EVENTOS.Lista)),0),IF(OR($B32&gt;AUTOEVENTO,$B32="S",$B32=0),SUBSTITUTE(OFFSET($A32,-1,0),IF($D32="Serviço",".",""),""),ROW(A32)-ROW($A$15)&amp;"."))</f>
        <v>5</v>
      </c>
      <c r="B32" s="34" t="str">
        <f aca="true">OFFSET(ORÇAMENTO!C$15,ROW(B32)-ROW(B$15),0)</f>
        <v>S</v>
      </c>
      <c r="C32" s="34" t="str">
        <f aca="true">OFFSET(ORÇAMENTO!L$15,ROW(C32)-ROW(C$15),0)</f>
        <v/>
      </c>
      <c r="D32" s="187" t="str">
        <f aca="true">OFFSET(ORÇAMENTO!N$15,ROW(D32)-ROW(D$15),0)</f>
        <v>Serviço</v>
      </c>
      <c r="E32" s="188" t="str">
        <f aca="true">OFFSET(ORÇAMENTO!O$15,ROW(E32)-ROW(E$15),0)</f>
        <v>-</v>
      </c>
      <c r="F32" s="272" t="str">
        <f aca="true">OFFSET(ORÇAMENTO!R$15,ROW(F32)-ROW(F$15),0)</f>
        <v>(abra o arquivo 'Referência 02-Thursday.xlsm)</v>
      </c>
      <c r="G32" s="273" t="str">
        <f aca="true">IF($D32&lt;&gt;"Serviço","",OFFSET(ORÇAMENTO!S$15,ROW(G32)-ROW(G$15),0))</f>
        <v>-</v>
      </c>
      <c r="H32" s="193" t="n">
        <f aca="true">IF($D32&lt;&gt;"Serviço",0,IF(ACOMPANHAMENTO="BM",ROUND(OFFSET(ORÇAMENTO!AJ$15,ROW(H32)-ROW(H$15),0),15-13*ORÇAMENTO!$AF$7),SUMPRODUCT(($Q$12:$AA$12&lt;&gt;"")*ROUND($Q32:$AA32,15-13*ORÇAMENTO!$AF$7))))</f>
        <v>5860.76</v>
      </c>
      <c r="I32" s="274" t="s">
        <v>367</v>
      </c>
      <c r="K32" s="275" t="s">
        <v>368</v>
      </c>
      <c r="L32" s="276" t="s">
        <v>347</v>
      </c>
      <c r="M32" s="277" t="n">
        <f aca="true">IF($D32&lt;&gt;"Serviço","",IF(AUTOEVENTO="manual",$A32,IF(ISERROR(MATCH($A32,$A$15:OFFSET($A32,-1,0),0)),MAX($M$15:OFFSET(M32,-1,0))+1,INDEX($M$15:OFFSET(M32,-1,0),MATCH($A32,$A$15:OFFSET($A32,-1,0),0)))))</f>
        <v>5</v>
      </c>
      <c r="N32" s="278" t="str">
        <f aca="true">IF($D32&lt;&gt;"Serviço","",IF(AUTOEVENTO="Manual",IF($A32=0,"&lt;-- defina o número do agrupador",OFFSET(EVENTOS!$D$14,$A32,0)),OFFSET($F$15,$A32,0)))</f>
        <v>Terraplanagem</v>
      </c>
      <c r="O32" s="279"/>
      <c r="Q32" s="279" t="n">
        <v>5860.76</v>
      </c>
      <c r="R32" s="280"/>
      <c r="S32" s="280"/>
      <c r="T32" s="280"/>
      <c r="U32" s="280"/>
      <c r="V32" s="280"/>
      <c r="W32" s="280"/>
      <c r="X32" s="280"/>
      <c r="Y32" s="280"/>
      <c r="Z32" s="281"/>
      <c r="AB32" s="282" t="n">
        <f aca="true">IF(AND($D32="Serviço",AB$12&lt;&gt;0,$H32&gt;0,OR(AUTOEVENTO&lt;&gt;"manual",$M32&lt;&gt;1)),
IF(Import.TipoArredondamento&lt;&gt;"TransfereGOV",
ROUND(OFFSET($P32,0,AB$13),15-13*ORÇAMENTO!$AF$7)/$H32*OFFSET(ORÇAMENTO!$X$15,ROW(AB32)-ROW(AB$15),0),
ROUND(ROUND(OFFSET($P32,0,AB$13),15-13*ORÇAMENTO!$AF$7)*OFFSET(ORÇAMENTO!$W$15,ROW(AB32)-ROW(AB$15),0),15-13*ORÇAMENTO!$AF$11)),0)</f>
        <v>0</v>
      </c>
      <c r="AC32" s="283" t="n">
        <f aca="true">IF(AND($D32="Serviço",AC$12&lt;&gt;0,$H32&gt;0,OR(AUTOEVENTO&lt;&gt;"manual",$M32&lt;&gt;1)),
IF(Import.TipoArredondamento&lt;&gt;"TransfereGOV",
ROUND(OFFSET($P32,0,AC$13),15-13*ORÇAMENTO!$AF$7)/$H32*OFFSET(ORÇAMENTO!$X$15,ROW(AC32)-ROW(AC$15),0),
ROUND(ROUND(OFFSET($P32,0,AC$13),15-13*ORÇAMENTO!$AF$7)*OFFSET(ORÇAMENTO!$W$15,ROW(AC32)-ROW(AC$15),0),15-13*ORÇAMENTO!$AF$11)),0)</f>
        <v>0</v>
      </c>
      <c r="AD32" s="283" t="n">
        <f aca="true">IF(AND($D32="Serviço",AD$12&lt;&gt;0,$H32&gt;0,OR(AUTOEVENTO&lt;&gt;"manual",$M32&lt;&gt;1)),
IF(Import.TipoArredondamento&lt;&gt;"TransfereGOV",
ROUND(OFFSET($P32,0,AD$13),15-13*ORÇAMENTO!$AF$7)/$H32*OFFSET(ORÇAMENTO!$X$15,ROW(AD32)-ROW(AD$15),0),
ROUND(ROUND(OFFSET($P32,0,AD$13),15-13*ORÇAMENTO!$AF$7)*OFFSET(ORÇAMENTO!$W$15,ROW(AD32)-ROW(AD$15),0),15-13*ORÇAMENTO!$AF$11)),0)</f>
        <v>0</v>
      </c>
      <c r="AE32" s="283" t="n">
        <f aca="true">IF(AND($D32="Serviço",AE$12&lt;&gt;0,$H32&gt;0,OR(AUTOEVENTO&lt;&gt;"manual",$M32&lt;&gt;1)),
IF(Import.TipoArredondamento&lt;&gt;"TransfereGOV",
ROUND(OFFSET($P32,0,AE$13),15-13*ORÇAMENTO!$AF$7)/$H32*OFFSET(ORÇAMENTO!$X$15,ROW(AE32)-ROW(AE$15),0),
ROUND(ROUND(OFFSET($P32,0,AE$13),15-13*ORÇAMENTO!$AF$7)*OFFSET(ORÇAMENTO!$W$15,ROW(AE32)-ROW(AE$15),0),15-13*ORÇAMENTO!$AF$11)),0)</f>
        <v>0</v>
      </c>
      <c r="AF32" s="283" t="n">
        <f aca="true">IF(AND($D32="Serviço",AF$12&lt;&gt;0,$H32&gt;0,OR(AUTOEVENTO&lt;&gt;"manual",$M32&lt;&gt;1)),
IF(Import.TipoArredondamento&lt;&gt;"TransfereGOV",
ROUND(OFFSET($P32,0,AF$13),15-13*ORÇAMENTO!$AF$7)/$H32*OFFSET(ORÇAMENTO!$X$15,ROW(AF32)-ROW(AF$15),0),
ROUND(ROUND(OFFSET($P32,0,AF$13),15-13*ORÇAMENTO!$AF$7)*OFFSET(ORÇAMENTO!$W$15,ROW(AF32)-ROW(AF$15),0),15-13*ORÇAMENTO!$AF$11)),0)</f>
        <v>0</v>
      </c>
      <c r="AG32" s="283" t="n">
        <f aca="true">IF(AND($D32="Serviço",AG$12&lt;&gt;0,$H32&gt;0,OR(AUTOEVENTO&lt;&gt;"manual",$M32&lt;&gt;1)),
IF(Import.TipoArredondamento&lt;&gt;"TransfereGOV",
ROUND(OFFSET($P32,0,AG$13),15-13*ORÇAMENTO!$AF$7)/$H32*OFFSET(ORÇAMENTO!$X$15,ROW(AG32)-ROW(AG$15),0),
ROUND(ROUND(OFFSET($P32,0,AG$13),15-13*ORÇAMENTO!$AF$7)*OFFSET(ORÇAMENTO!$W$15,ROW(AG32)-ROW(AG$15),0),15-13*ORÇAMENTO!$AF$11)),0)</f>
        <v>0</v>
      </c>
      <c r="AH32" s="283" t="n">
        <f aca="true">IF(AND($D32="Serviço",AH$12&lt;&gt;0,$H32&gt;0,OR(AUTOEVENTO&lt;&gt;"manual",$M32&lt;&gt;1)),
IF(Import.TipoArredondamento&lt;&gt;"TransfereGOV",
ROUND(OFFSET($P32,0,AH$13),15-13*ORÇAMENTO!$AF$7)/$H32*OFFSET(ORÇAMENTO!$X$15,ROW(AH32)-ROW(AH$15),0),
ROUND(ROUND(OFFSET($P32,0,AH$13),15-13*ORÇAMENTO!$AF$7)*OFFSET(ORÇAMENTO!$W$15,ROW(AH32)-ROW(AH$15),0),15-13*ORÇAMENTO!$AF$11)),0)</f>
        <v>0</v>
      </c>
      <c r="AI32" s="283" t="n">
        <f aca="true">IF(AND($D32="Serviço",AI$12&lt;&gt;0,$H32&gt;0,OR(AUTOEVENTO&lt;&gt;"manual",$M32&lt;&gt;1)),
IF(Import.TipoArredondamento&lt;&gt;"TransfereGOV",
ROUND(OFFSET($P32,0,AI$13),15-13*ORÇAMENTO!$AF$7)/$H32*OFFSET(ORÇAMENTO!$X$15,ROW(AI32)-ROW(AI$15),0),
ROUND(ROUND(OFFSET($P32,0,AI$13),15-13*ORÇAMENTO!$AF$7)*OFFSET(ORÇAMENTO!$W$15,ROW(AI32)-ROW(AI$15),0),15-13*ORÇAMENTO!$AF$11)),0)</f>
        <v>0</v>
      </c>
      <c r="AJ32" s="283" t="n">
        <f aca="true">IF(AND($D32="Serviço",AJ$12&lt;&gt;0,$H32&gt;0,OR(AUTOEVENTO&lt;&gt;"manual",$M32&lt;&gt;1)),
IF(Import.TipoArredondamento&lt;&gt;"TransfereGOV",
ROUND(OFFSET($P32,0,AJ$13),15-13*ORÇAMENTO!$AF$7)/$H32*OFFSET(ORÇAMENTO!$X$15,ROW(AJ32)-ROW(AJ$15),0),
ROUND(ROUND(OFFSET($P32,0,AJ$13),15-13*ORÇAMENTO!$AF$7)*OFFSET(ORÇAMENTO!$W$15,ROW(AJ32)-ROW(AJ$15),0),15-13*ORÇAMENTO!$AF$11)),0)</f>
        <v>0</v>
      </c>
      <c r="AK32" s="284" t="n">
        <f aca="true">IF(AND($D32="Serviço",AK$12&lt;&gt;0,$H32&gt;0,OR(AUTOEVENTO&lt;&gt;"manual",$M32&lt;&gt;1)),
IF(Import.TipoArredondamento&lt;&gt;"TransfereGOV",
ROUND(OFFSET($P32,0,AK$13),15-13*ORÇAMENTO!$AF$7)/$H32*OFFSET(ORÇAMENTO!$X$15,ROW(AK32)-ROW(AK$15),0),
ROUND(ROUND(OFFSET($P32,0,AK$13),15-13*ORÇAMENTO!$AF$7)*OFFSET(ORÇAMENTO!$W$15,ROW(AK32)-ROW(AK$15),0),15-13*ORÇAMENTO!$AF$11)),0)</f>
        <v>0</v>
      </c>
      <c r="AM32" s="285" t="n">
        <f aca="true">IF($D32&lt;&gt;"Serviço",0,IF(AND(AUTOEVENTO="Manual",$M32=1),0,IF(OFFSET(CRONOPLE!$F$14,$M32,AM$13)="",10^12,OFFSET(CRONOPLE!$F$14,$M32,AM$13))))</f>
        <v>1</v>
      </c>
      <c r="AN32" s="285" t="n">
        <f aca="true">IF($D32&lt;&gt;"Serviço",0,IF(AND(AUTOEVENTO="Manual",$M32=1),0,IF(OFFSET(CRONOPLE!$F$14,$M32,AN$13)="",10^12,OFFSET(CRONOPLE!$F$14,$M32,AN$13))))</f>
        <v>1000000000000</v>
      </c>
      <c r="AO32" s="285" t="n">
        <f aca="true">IF($D32&lt;&gt;"Serviço",0,IF(AND(AUTOEVENTO="Manual",$M32=1),0,IF(OFFSET(CRONOPLE!$F$14,$M32,AO$13)="",10^12,OFFSET(CRONOPLE!$F$14,$M32,AO$13))))</f>
        <v>1000000000000</v>
      </c>
      <c r="AP32" s="285" t="n">
        <f aca="true">IF($D32&lt;&gt;"Serviço",0,IF(AND(AUTOEVENTO="Manual",$M32=1),0,IF(OFFSET(CRONOPLE!$F$14,$M32,AP$13)="",10^12,OFFSET(CRONOPLE!$F$14,$M32,AP$13))))</f>
        <v>1000000000000</v>
      </c>
      <c r="AQ32" s="285" t="n">
        <f aca="true">IF($D32&lt;&gt;"Serviço",0,IF(AND(AUTOEVENTO="Manual",$M32=1),0,IF(OFFSET(CRONOPLE!$F$14,$M32,AQ$13)="",10^12,OFFSET(CRONOPLE!$F$14,$M32,AQ$13))))</f>
        <v>1000000000000</v>
      </c>
      <c r="AR32" s="285" t="n">
        <f aca="true">IF($D32&lt;&gt;"Serviço",0,IF(AND(AUTOEVENTO="Manual",$M32=1),0,IF(OFFSET(CRONOPLE!$F$14,$M32,AR$13)="",10^12,OFFSET(CRONOPLE!$F$14,$M32,AR$13))))</f>
        <v>1000000000000</v>
      </c>
      <c r="AS32" s="285" t="n">
        <f aca="true">IF($D32&lt;&gt;"Serviço",0,IF(AND(AUTOEVENTO="Manual",$M32=1),0,IF(OFFSET(CRONOPLE!$F$14,$M32,AS$13)="",10^12,OFFSET(CRONOPLE!$F$14,$M32,AS$13))))</f>
        <v>1000000000000</v>
      </c>
      <c r="AT32" s="285" t="n">
        <f aca="true">IF($D32&lt;&gt;"Serviço",0,IF(AND(AUTOEVENTO="Manual",$M32=1),0,IF(OFFSET(CRONOPLE!$F$14,$M32,AT$13)="",10^12,OFFSET(CRONOPLE!$F$14,$M32,AT$13))))</f>
        <v>1000000000000</v>
      </c>
      <c r="AU32" s="285" t="n">
        <f aca="true">IF($D32&lt;&gt;"Serviço",0,IF(AND(AUTOEVENTO="Manual",$M32=1),0,IF(OFFSET(CRONOPLE!$F$14,$M32,AU$13)="",10^12,OFFSET(CRONOPLE!$F$14,$M32,AU$13))))</f>
        <v>1000000000000</v>
      </c>
      <c r="AV32" s="285" t="n">
        <f aca="true">IF($D32&lt;&gt;"Serviço",0,IF(AND(AUTOEVENTO="Manual",$M32=1),0,IF(OFFSET(CRONOPLE!$F$14,$M32,AV$13)="",10^12,OFFSET(CRONOPLE!$F$14,$M32,AV$13))))</f>
        <v>1000000000000</v>
      </c>
      <c r="AX32" s="286" t="n">
        <f aca="true">IF($D32&lt;&gt;"Serviço",0,IF(OR(AND(AUTOEVENTO="Manual",$M32=1),$M32&gt;(ROW(PLE.lastrow)-ROW(PLE.firstrow))),0,IF(OFFSET(PLE!$G$14,$M32,AX$13)="",10^12,OFFSET(PLE!$G$14,$M32,AX$13))))</f>
        <v>1000000000000</v>
      </c>
      <c r="AY32" s="286" t="n">
        <f aca="true">IF($D32&lt;&gt;"Serviço",0,IF(OR(AND(AUTOEVENTO="Manual",$M32=1),$M32&gt;(ROW(PLE.lastrow)-ROW(PLE.firstrow))),0,IF(OFFSET(PLE!$G$14,$M32,AY$13)="",10^12,OFFSET(PLE!$G$14,$M32,AY$13))))</f>
        <v>1000000000000</v>
      </c>
      <c r="AZ32" s="286" t="n">
        <f aca="true">IF($D32&lt;&gt;"Serviço",0,IF(OR(AND(AUTOEVENTO="Manual",$M32=1),$M32&gt;(ROW(PLE.lastrow)-ROW(PLE.firstrow))),0,IF(OFFSET(PLE!$G$14,$M32,AZ$13)="",10^12,OFFSET(PLE!$G$14,$M32,AZ$13))))</f>
        <v>1000000000000</v>
      </c>
      <c r="BA32" s="286" t="n">
        <f aca="true">IF($D32&lt;&gt;"Serviço",0,IF(OR(AND(AUTOEVENTO="Manual",$M32=1),$M32&gt;(ROW(PLE.lastrow)-ROW(PLE.firstrow))),0,IF(OFFSET(PLE!$G$14,$M32,BA$13)="",10^12,OFFSET(PLE!$G$14,$M32,BA$13))))</f>
        <v>1000000000000</v>
      </c>
      <c r="BB32" s="286" t="n">
        <f aca="true">IF($D32&lt;&gt;"Serviço",0,IF(OR(AND(AUTOEVENTO="Manual",$M32=1),$M32&gt;(ROW(PLE.lastrow)-ROW(PLE.firstrow))),0,IF(OFFSET(PLE!$G$14,$M32,BB$13)="",10^12,OFFSET(PLE!$G$14,$M32,BB$13))))</f>
        <v>1000000000000</v>
      </c>
      <c r="BC32" s="286" t="n">
        <f aca="true">IF($D32&lt;&gt;"Serviço",0,IF(OR(AND(AUTOEVENTO="Manual",$M32=1),$M32&gt;(ROW(PLE.lastrow)-ROW(PLE.firstrow))),0,IF(OFFSET(PLE!$G$14,$M32,BC$13)="",10^12,OFFSET(PLE!$G$14,$M32,BC$13))))</f>
        <v>1000000000000</v>
      </c>
      <c r="BD32" s="286" t="n">
        <f aca="true">IF($D32&lt;&gt;"Serviço",0,IF(OR(AND(AUTOEVENTO="Manual",$M32=1),$M32&gt;(ROW(PLE.lastrow)-ROW(PLE.firstrow))),0,IF(OFFSET(PLE!$G$14,$M32,BD$13)="",10^12,OFFSET(PLE!$G$14,$M32,BD$13))))</f>
        <v>1000000000000</v>
      </c>
      <c r="BE32" s="286" t="n">
        <f aca="true">IF($D32&lt;&gt;"Serviço",0,IF(OR(AND(AUTOEVENTO="Manual",$M32=1),$M32&gt;(ROW(PLE.lastrow)-ROW(PLE.firstrow))),0,IF(OFFSET(PLE!$G$14,$M32,BE$13)="",10^12,OFFSET(PLE!$G$14,$M32,BE$13))))</f>
        <v>1000000000000</v>
      </c>
      <c r="BF32" s="286" t="n">
        <f aca="true">IF($D32&lt;&gt;"Serviço",0,IF(OR(AND(AUTOEVENTO="Manual",$M32=1),$M32&gt;(ROW(PLE.lastrow)-ROW(PLE.firstrow))),0,IF(OFFSET(PLE!$G$14,$M32,BF$13)="",10^12,OFFSET(PLE!$G$14,$M32,BF$13))))</f>
        <v>1000000000000</v>
      </c>
      <c r="BG32" s="286" t="n">
        <f aca="true">IF($D32&lt;&gt;"Serviço",0,IF(OR(AND(AUTOEVENTO="Manual",$M32=1),$M32&gt;(ROW(PLE.lastrow)-ROW(PLE.firstrow))),0,IF(OFFSET(PLE!$G$14,$M32,BG$13)="",10^12,OFFSET(PLE!$G$14,$M32,BG$13))))</f>
        <v>1000000000000</v>
      </c>
    </row>
    <row r="33" customFormat="false" ht="23.85" hidden="false" customHeight="false" outlineLevel="0" collapsed="false">
      <c r="A33" s="34" t="n">
        <f aca="true">IF(AUTOEVENTO="Manual",IF(K33&lt;&gt;"",MIN(VALUE(LEFT(K33,FIND(".",K33)-1)),COUNTA(EVENTOS.Lista)),0),IF(OR($B33&gt;AUTOEVENTO,$B33="S",$B33=0),SUBSTITUTE(OFFSET($A33,-1,0),IF($D33="Serviço",".",""),""),ROW(A33)-ROW($A$15)&amp;"."))</f>
        <v>5</v>
      </c>
      <c r="B33" s="34" t="str">
        <f aca="true">OFFSET(ORÇAMENTO!C$15,ROW(B33)-ROW(B$15),0)</f>
        <v>S</v>
      </c>
      <c r="C33" s="34" t="str">
        <f aca="true">OFFSET(ORÇAMENTO!L$15,ROW(C33)-ROW(C$15),0)</f>
        <v/>
      </c>
      <c r="D33" s="187" t="str">
        <f aca="true">OFFSET(ORÇAMENTO!N$15,ROW(D33)-ROW(D$15),0)</f>
        <v>Serviço</v>
      </c>
      <c r="E33" s="188" t="str">
        <f aca="true">OFFSET(ORÇAMENTO!O$15,ROW(E33)-ROW(E$15),0)</f>
        <v>-</v>
      </c>
      <c r="F33" s="272" t="str">
        <f aca="true">OFFSET(ORÇAMENTO!R$15,ROW(F33)-ROW(F$15),0)</f>
        <v>(abra o arquivo 'Referência 02-Thursday.xlsm)</v>
      </c>
      <c r="G33" s="273" t="str">
        <f aca="true">IF($D33&lt;&gt;"Serviço","",OFFSET(ORÇAMENTO!S$15,ROW(G33)-ROW(G$15),0))</f>
        <v>-</v>
      </c>
      <c r="H33" s="193" t="n">
        <f aca="true">IF($D33&lt;&gt;"Serviço",0,IF(ACOMPANHAMENTO="BM",ROUND(OFFSET(ORÇAMENTO!AJ$15,ROW(H33)-ROW(H$15),0),15-13*ORÇAMENTO!$AF$7),SUMPRODUCT(($Q$12:$AA$12&lt;&gt;"")*ROUND($Q33:$AA33,15-13*ORÇAMENTO!$AF$7))))</f>
        <v>1464.31</v>
      </c>
      <c r="I33" s="274" t="s">
        <v>369</v>
      </c>
      <c r="K33" s="275" t="s">
        <v>368</v>
      </c>
      <c r="L33" s="276" t="s">
        <v>347</v>
      </c>
      <c r="M33" s="277" t="n">
        <f aca="true">IF($D33&lt;&gt;"Serviço","",IF(AUTOEVENTO="manual",$A33,IF(ISERROR(MATCH($A33,$A$15:OFFSET($A33,-1,0),0)),MAX($M$15:OFFSET(M33,-1,0))+1,INDEX($M$15:OFFSET(M33,-1,0),MATCH($A33,$A$15:OFFSET($A33,-1,0),0)))))</f>
        <v>5</v>
      </c>
      <c r="N33" s="278" t="str">
        <f aca="true">IF($D33&lt;&gt;"Serviço","",IF(AUTOEVENTO="Manual",IF($A33=0,"&lt;-- defina o número do agrupador",OFFSET(EVENTOS!$D$14,$A33,0)),OFFSET($F$15,$A33,0)))</f>
        <v>Terraplanagem</v>
      </c>
      <c r="O33" s="279"/>
      <c r="Q33" s="279" t="n">
        <v>1464.31</v>
      </c>
      <c r="R33" s="280"/>
      <c r="S33" s="280"/>
      <c r="T33" s="280"/>
      <c r="U33" s="280"/>
      <c r="V33" s="280"/>
      <c r="W33" s="280"/>
      <c r="X33" s="280"/>
      <c r="Y33" s="280"/>
      <c r="Z33" s="281"/>
      <c r="AB33" s="282" t="n">
        <f aca="true">IF(AND($D33="Serviço",AB$12&lt;&gt;0,$H33&gt;0,OR(AUTOEVENTO&lt;&gt;"manual",$M33&lt;&gt;1)),
IF(Import.TipoArredondamento&lt;&gt;"TransfereGOV",
ROUND(OFFSET($P33,0,AB$13),15-13*ORÇAMENTO!$AF$7)/$H33*OFFSET(ORÇAMENTO!$X$15,ROW(AB33)-ROW(AB$15),0),
ROUND(ROUND(OFFSET($P33,0,AB$13),15-13*ORÇAMENTO!$AF$7)*OFFSET(ORÇAMENTO!$W$15,ROW(AB33)-ROW(AB$15),0),15-13*ORÇAMENTO!$AF$11)),0)</f>
        <v>0</v>
      </c>
      <c r="AC33" s="283" t="n">
        <f aca="true">IF(AND($D33="Serviço",AC$12&lt;&gt;0,$H33&gt;0,OR(AUTOEVENTO&lt;&gt;"manual",$M33&lt;&gt;1)),
IF(Import.TipoArredondamento&lt;&gt;"TransfereGOV",
ROUND(OFFSET($P33,0,AC$13),15-13*ORÇAMENTO!$AF$7)/$H33*OFFSET(ORÇAMENTO!$X$15,ROW(AC33)-ROW(AC$15),0),
ROUND(ROUND(OFFSET($P33,0,AC$13),15-13*ORÇAMENTO!$AF$7)*OFFSET(ORÇAMENTO!$W$15,ROW(AC33)-ROW(AC$15),0),15-13*ORÇAMENTO!$AF$11)),0)</f>
        <v>0</v>
      </c>
      <c r="AD33" s="283" t="n">
        <f aca="true">IF(AND($D33="Serviço",AD$12&lt;&gt;0,$H33&gt;0,OR(AUTOEVENTO&lt;&gt;"manual",$M33&lt;&gt;1)),
IF(Import.TipoArredondamento&lt;&gt;"TransfereGOV",
ROUND(OFFSET($P33,0,AD$13),15-13*ORÇAMENTO!$AF$7)/$H33*OFFSET(ORÇAMENTO!$X$15,ROW(AD33)-ROW(AD$15),0),
ROUND(ROUND(OFFSET($P33,0,AD$13),15-13*ORÇAMENTO!$AF$7)*OFFSET(ORÇAMENTO!$W$15,ROW(AD33)-ROW(AD$15),0),15-13*ORÇAMENTO!$AF$11)),0)</f>
        <v>0</v>
      </c>
      <c r="AE33" s="283" t="n">
        <f aca="true">IF(AND($D33="Serviço",AE$12&lt;&gt;0,$H33&gt;0,OR(AUTOEVENTO&lt;&gt;"manual",$M33&lt;&gt;1)),
IF(Import.TipoArredondamento&lt;&gt;"TransfereGOV",
ROUND(OFFSET($P33,0,AE$13),15-13*ORÇAMENTO!$AF$7)/$H33*OFFSET(ORÇAMENTO!$X$15,ROW(AE33)-ROW(AE$15),0),
ROUND(ROUND(OFFSET($P33,0,AE$13),15-13*ORÇAMENTO!$AF$7)*OFFSET(ORÇAMENTO!$W$15,ROW(AE33)-ROW(AE$15),0),15-13*ORÇAMENTO!$AF$11)),0)</f>
        <v>0</v>
      </c>
      <c r="AF33" s="283" t="n">
        <f aca="true">IF(AND($D33="Serviço",AF$12&lt;&gt;0,$H33&gt;0,OR(AUTOEVENTO&lt;&gt;"manual",$M33&lt;&gt;1)),
IF(Import.TipoArredondamento&lt;&gt;"TransfereGOV",
ROUND(OFFSET($P33,0,AF$13),15-13*ORÇAMENTO!$AF$7)/$H33*OFFSET(ORÇAMENTO!$X$15,ROW(AF33)-ROW(AF$15),0),
ROUND(ROUND(OFFSET($P33,0,AF$13),15-13*ORÇAMENTO!$AF$7)*OFFSET(ORÇAMENTO!$W$15,ROW(AF33)-ROW(AF$15),0),15-13*ORÇAMENTO!$AF$11)),0)</f>
        <v>0</v>
      </c>
      <c r="AG33" s="283" t="n">
        <f aca="true">IF(AND($D33="Serviço",AG$12&lt;&gt;0,$H33&gt;0,OR(AUTOEVENTO&lt;&gt;"manual",$M33&lt;&gt;1)),
IF(Import.TipoArredondamento&lt;&gt;"TransfereGOV",
ROUND(OFFSET($P33,0,AG$13),15-13*ORÇAMENTO!$AF$7)/$H33*OFFSET(ORÇAMENTO!$X$15,ROW(AG33)-ROW(AG$15),0),
ROUND(ROUND(OFFSET($P33,0,AG$13),15-13*ORÇAMENTO!$AF$7)*OFFSET(ORÇAMENTO!$W$15,ROW(AG33)-ROW(AG$15),0),15-13*ORÇAMENTO!$AF$11)),0)</f>
        <v>0</v>
      </c>
      <c r="AH33" s="283" t="n">
        <f aca="true">IF(AND($D33="Serviço",AH$12&lt;&gt;0,$H33&gt;0,OR(AUTOEVENTO&lt;&gt;"manual",$M33&lt;&gt;1)),
IF(Import.TipoArredondamento&lt;&gt;"TransfereGOV",
ROUND(OFFSET($P33,0,AH$13),15-13*ORÇAMENTO!$AF$7)/$H33*OFFSET(ORÇAMENTO!$X$15,ROW(AH33)-ROW(AH$15),0),
ROUND(ROUND(OFFSET($P33,0,AH$13),15-13*ORÇAMENTO!$AF$7)*OFFSET(ORÇAMENTO!$W$15,ROW(AH33)-ROW(AH$15),0),15-13*ORÇAMENTO!$AF$11)),0)</f>
        <v>0</v>
      </c>
      <c r="AI33" s="283" t="n">
        <f aca="true">IF(AND($D33="Serviço",AI$12&lt;&gt;0,$H33&gt;0,OR(AUTOEVENTO&lt;&gt;"manual",$M33&lt;&gt;1)),
IF(Import.TipoArredondamento&lt;&gt;"TransfereGOV",
ROUND(OFFSET($P33,0,AI$13),15-13*ORÇAMENTO!$AF$7)/$H33*OFFSET(ORÇAMENTO!$X$15,ROW(AI33)-ROW(AI$15),0),
ROUND(ROUND(OFFSET($P33,0,AI$13),15-13*ORÇAMENTO!$AF$7)*OFFSET(ORÇAMENTO!$W$15,ROW(AI33)-ROW(AI$15),0),15-13*ORÇAMENTO!$AF$11)),0)</f>
        <v>0</v>
      </c>
      <c r="AJ33" s="283" t="n">
        <f aca="true">IF(AND($D33="Serviço",AJ$12&lt;&gt;0,$H33&gt;0,OR(AUTOEVENTO&lt;&gt;"manual",$M33&lt;&gt;1)),
IF(Import.TipoArredondamento&lt;&gt;"TransfereGOV",
ROUND(OFFSET($P33,0,AJ$13),15-13*ORÇAMENTO!$AF$7)/$H33*OFFSET(ORÇAMENTO!$X$15,ROW(AJ33)-ROW(AJ$15),0),
ROUND(ROUND(OFFSET($P33,0,AJ$13),15-13*ORÇAMENTO!$AF$7)*OFFSET(ORÇAMENTO!$W$15,ROW(AJ33)-ROW(AJ$15),0),15-13*ORÇAMENTO!$AF$11)),0)</f>
        <v>0</v>
      </c>
      <c r="AK33" s="284" t="n">
        <f aca="true">IF(AND($D33="Serviço",AK$12&lt;&gt;0,$H33&gt;0,OR(AUTOEVENTO&lt;&gt;"manual",$M33&lt;&gt;1)),
IF(Import.TipoArredondamento&lt;&gt;"TransfereGOV",
ROUND(OFFSET($P33,0,AK$13),15-13*ORÇAMENTO!$AF$7)/$H33*OFFSET(ORÇAMENTO!$X$15,ROW(AK33)-ROW(AK$15),0),
ROUND(ROUND(OFFSET($P33,0,AK$13),15-13*ORÇAMENTO!$AF$7)*OFFSET(ORÇAMENTO!$W$15,ROW(AK33)-ROW(AK$15),0),15-13*ORÇAMENTO!$AF$11)),0)</f>
        <v>0</v>
      </c>
      <c r="AM33" s="285" t="n">
        <f aca="true">IF($D33&lt;&gt;"Serviço",0,IF(AND(AUTOEVENTO="Manual",$M33=1),0,IF(OFFSET(CRONOPLE!$F$14,$M33,AM$13)="",10^12,OFFSET(CRONOPLE!$F$14,$M33,AM$13))))</f>
        <v>1</v>
      </c>
      <c r="AN33" s="285" t="n">
        <f aca="true">IF($D33&lt;&gt;"Serviço",0,IF(AND(AUTOEVENTO="Manual",$M33=1),0,IF(OFFSET(CRONOPLE!$F$14,$M33,AN$13)="",10^12,OFFSET(CRONOPLE!$F$14,$M33,AN$13))))</f>
        <v>1000000000000</v>
      </c>
      <c r="AO33" s="285" t="n">
        <f aca="true">IF($D33&lt;&gt;"Serviço",0,IF(AND(AUTOEVENTO="Manual",$M33=1),0,IF(OFFSET(CRONOPLE!$F$14,$M33,AO$13)="",10^12,OFFSET(CRONOPLE!$F$14,$M33,AO$13))))</f>
        <v>1000000000000</v>
      </c>
      <c r="AP33" s="285" t="n">
        <f aca="true">IF($D33&lt;&gt;"Serviço",0,IF(AND(AUTOEVENTO="Manual",$M33=1),0,IF(OFFSET(CRONOPLE!$F$14,$M33,AP$13)="",10^12,OFFSET(CRONOPLE!$F$14,$M33,AP$13))))</f>
        <v>1000000000000</v>
      </c>
      <c r="AQ33" s="285" t="n">
        <f aca="true">IF($D33&lt;&gt;"Serviço",0,IF(AND(AUTOEVENTO="Manual",$M33=1),0,IF(OFFSET(CRONOPLE!$F$14,$M33,AQ$13)="",10^12,OFFSET(CRONOPLE!$F$14,$M33,AQ$13))))</f>
        <v>1000000000000</v>
      </c>
      <c r="AR33" s="285" t="n">
        <f aca="true">IF($D33&lt;&gt;"Serviço",0,IF(AND(AUTOEVENTO="Manual",$M33=1),0,IF(OFFSET(CRONOPLE!$F$14,$M33,AR$13)="",10^12,OFFSET(CRONOPLE!$F$14,$M33,AR$13))))</f>
        <v>1000000000000</v>
      </c>
      <c r="AS33" s="285" t="n">
        <f aca="true">IF($D33&lt;&gt;"Serviço",0,IF(AND(AUTOEVENTO="Manual",$M33=1),0,IF(OFFSET(CRONOPLE!$F$14,$M33,AS$13)="",10^12,OFFSET(CRONOPLE!$F$14,$M33,AS$13))))</f>
        <v>1000000000000</v>
      </c>
      <c r="AT33" s="285" t="n">
        <f aca="true">IF($D33&lt;&gt;"Serviço",0,IF(AND(AUTOEVENTO="Manual",$M33=1),0,IF(OFFSET(CRONOPLE!$F$14,$M33,AT$13)="",10^12,OFFSET(CRONOPLE!$F$14,$M33,AT$13))))</f>
        <v>1000000000000</v>
      </c>
      <c r="AU33" s="285" t="n">
        <f aca="true">IF($D33&lt;&gt;"Serviço",0,IF(AND(AUTOEVENTO="Manual",$M33=1),0,IF(OFFSET(CRONOPLE!$F$14,$M33,AU$13)="",10^12,OFFSET(CRONOPLE!$F$14,$M33,AU$13))))</f>
        <v>1000000000000</v>
      </c>
      <c r="AV33" s="285" t="n">
        <f aca="true">IF($D33&lt;&gt;"Serviço",0,IF(AND(AUTOEVENTO="Manual",$M33=1),0,IF(OFFSET(CRONOPLE!$F$14,$M33,AV$13)="",10^12,OFFSET(CRONOPLE!$F$14,$M33,AV$13))))</f>
        <v>1000000000000</v>
      </c>
      <c r="AX33" s="286" t="n">
        <f aca="true">IF($D33&lt;&gt;"Serviço",0,IF(OR(AND(AUTOEVENTO="Manual",$M33=1),$M33&gt;(ROW(PLE.lastrow)-ROW(PLE.firstrow))),0,IF(OFFSET(PLE!$G$14,$M33,AX$13)="",10^12,OFFSET(PLE!$G$14,$M33,AX$13))))</f>
        <v>1000000000000</v>
      </c>
      <c r="AY33" s="286" t="n">
        <f aca="true">IF($D33&lt;&gt;"Serviço",0,IF(OR(AND(AUTOEVENTO="Manual",$M33=1),$M33&gt;(ROW(PLE.lastrow)-ROW(PLE.firstrow))),0,IF(OFFSET(PLE!$G$14,$M33,AY$13)="",10^12,OFFSET(PLE!$G$14,$M33,AY$13))))</f>
        <v>1000000000000</v>
      </c>
      <c r="AZ33" s="286" t="n">
        <f aca="true">IF($D33&lt;&gt;"Serviço",0,IF(OR(AND(AUTOEVENTO="Manual",$M33=1),$M33&gt;(ROW(PLE.lastrow)-ROW(PLE.firstrow))),0,IF(OFFSET(PLE!$G$14,$M33,AZ$13)="",10^12,OFFSET(PLE!$G$14,$M33,AZ$13))))</f>
        <v>1000000000000</v>
      </c>
      <c r="BA33" s="286" t="n">
        <f aca="true">IF($D33&lt;&gt;"Serviço",0,IF(OR(AND(AUTOEVENTO="Manual",$M33=1),$M33&gt;(ROW(PLE.lastrow)-ROW(PLE.firstrow))),0,IF(OFFSET(PLE!$G$14,$M33,BA$13)="",10^12,OFFSET(PLE!$G$14,$M33,BA$13))))</f>
        <v>1000000000000</v>
      </c>
      <c r="BB33" s="286" t="n">
        <f aca="true">IF($D33&lt;&gt;"Serviço",0,IF(OR(AND(AUTOEVENTO="Manual",$M33=1),$M33&gt;(ROW(PLE.lastrow)-ROW(PLE.firstrow))),0,IF(OFFSET(PLE!$G$14,$M33,BB$13)="",10^12,OFFSET(PLE!$G$14,$M33,BB$13))))</f>
        <v>1000000000000</v>
      </c>
      <c r="BC33" s="286" t="n">
        <f aca="true">IF($D33&lt;&gt;"Serviço",0,IF(OR(AND(AUTOEVENTO="Manual",$M33=1),$M33&gt;(ROW(PLE.lastrow)-ROW(PLE.firstrow))),0,IF(OFFSET(PLE!$G$14,$M33,BC$13)="",10^12,OFFSET(PLE!$G$14,$M33,BC$13))))</f>
        <v>1000000000000</v>
      </c>
      <c r="BD33" s="286" t="n">
        <f aca="true">IF($D33&lt;&gt;"Serviço",0,IF(OR(AND(AUTOEVENTO="Manual",$M33=1),$M33&gt;(ROW(PLE.lastrow)-ROW(PLE.firstrow))),0,IF(OFFSET(PLE!$G$14,$M33,BD$13)="",10^12,OFFSET(PLE!$G$14,$M33,BD$13))))</f>
        <v>1000000000000</v>
      </c>
      <c r="BE33" s="286" t="n">
        <f aca="true">IF($D33&lt;&gt;"Serviço",0,IF(OR(AND(AUTOEVENTO="Manual",$M33=1),$M33&gt;(ROW(PLE.lastrow)-ROW(PLE.firstrow))),0,IF(OFFSET(PLE!$G$14,$M33,BE$13)="",10^12,OFFSET(PLE!$G$14,$M33,BE$13))))</f>
        <v>1000000000000</v>
      </c>
      <c r="BF33" s="286" t="n">
        <f aca="true">IF($D33&lt;&gt;"Serviço",0,IF(OR(AND(AUTOEVENTO="Manual",$M33=1),$M33&gt;(ROW(PLE.lastrow)-ROW(PLE.firstrow))),0,IF(OFFSET(PLE!$G$14,$M33,BF$13)="",10^12,OFFSET(PLE!$G$14,$M33,BF$13))))</f>
        <v>1000000000000</v>
      </c>
      <c r="BG33" s="286" t="n">
        <f aca="true">IF($D33&lt;&gt;"Serviço",0,IF(OR(AND(AUTOEVENTO="Manual",$M33=1),$M33&gt;(ROW(PLE.lastrow)-ROW(PLE.firstrow))),0,IF(OFFSET(PLE!$G$14,$M33,BG$13)="",10^12,OFFSET(PLE!$G$14,$M33,BG$13))))</f>
        <v>1000000000000</v>
      </c>
    </row>
    <row r="34" customFormat="false" ht="23.85" hidden="false" customHeight="false" outlineLevel="0" collapsed="false">
      <c r="A34" s="34" t="n">
        <f aca="true">IF(AUTOEVENTO="Manual",IF(K34&lt;&gt;"",MIN(VALUE(LEFT(K34,FIND(".",K34)-1)),COUNTA(EVENTOS.Lista)),0),IF(OR($B34&gt;AUTOEVENTO,$B34="S",$B34=0),SUBSTITUTE(OFFSET($A34,-1,0),IF($D34="Serviço",".",""),""),ROW(A34)-ROW($A$15)&amp;"."))</f>
        <v>5</v>
      </c>
      <c r="B34" s="34" t="str">
        <f aca="true">OFFSET(ORÇAMENTO!C$15,ROW(B34)-ROW(B$15),0)</f>
        <v>S</v>
      </c>
      <c r="C34" s="34" t="str">
        <f aca="true">OFFSET(ORÇAMENTO!L$15,ROW(C34)-ROW(C$15),0)</f>
        <v/>
      </c>
      <c r="D34" s="187" t="str">
        <f aca="true">OFFSET(ORÇAMENTO!N$15,ROW(D34)-ROW(D$15),0)</f>
        <v>Serviço</v>
      </c>
      <c r="E34" s="188" t="str">
        <f aca="true">OFFSET(ORÇAMENTO!O$15,ROW(E34)-ROW(E$15),0)</f>
        <v>-</v>
      </c>
      <c r="F34" s="272" t="str">
        <f aca="true">OFFSET(ORÇAMENTO!R$15,ROW(F34)-ROW(F$15),0)</f>
        <v>(abra o arquivo 'Referência 02-Thursday.xlsm)</v>
      </c>
      <c r="G34" s="273" t="str">
        <f aca="true">IF($D34&lt;&gt;"Serviço","",OFFSET(ORÇAMENTO!S$15,ROW(G34)-ROW(G$15),0))</f>
        <v>-</v>
      </c>
      <c r="H34" s="193" t="n">
        <f aca="true">IF($D34&lt;&gt;"Serviço",0,IF(ACOMPANHAMENTO="BM",ROUND(OFFSET(ORÇAMENTO!AJ$15,ROW(H34)-ROW(H$15),0),15-13*ORÇAMENTO!$AF$7),SUMPRODUCT(($Q$12:$AA$12&lt;&gt;"")*ROUND($Q34:$AA34,15-13*ORÇAMENTO!$AF$7))))</f>
        <v>4500</v>
      </c>
      <c r="I34" s="274" t="s">
        <v>370</v>
      </c>
      <c r="K34" s="275" t="s">
        <v>368</v>
      </c>
      <c r="L34" s="276" t="s">
        <v>347</v>
      </c>
      <c r="M34" s="277" t="n">
        <f aca="true">IF($D34&lt;&gt;"Serviço","",IF(AUTOEVENTO="manual",$A34,IF(ISERROR(MATCH($A34,$A$15:OFFSET($A34,-1,0),0)),MAX($M$15:OFFSET(M34,-1,0))+1,INDEX($M$15:OFFSET(M34,-1,0),MATCH($A34,$A$15:OFFSET($A34,-1,0),0)))))</f>
        <v>5</v>
      </c>
      <c r="N34" s="278" t="str">
        <f aca="true">IF($D34&lt;&gt;"Serviço","",IF(AUTOEVENTO="Manual",IF($A34=0,"&lt;-- defina o número do agrupador",OFFSET(EVENTOS!$D$14,$A34,0)),OFFSET($F$15,$A34,0)))</f>
        <v>Terraplanagem</v>
      </c>
      <c r="O34" s="279"/>
      <c r="Q34" s="279" t="n">
        <v>4500</v>
      </c>
      <c r="R34" s="280"/>
      <c r="S34" s="280"/>
      <c r="T34" s="280"/>
      <c r="U34" s="280"/>
      <c r="V34" s="280"/>
      <c r="W34" s="280"/>
      <c r="X34" s="280"/>
      <c r="Y34" s="280"/>
      <c r="Z34" s="281"/>
      <c r="AB34" s="282" t="n">
        <f aca="true">IF(AND($D34="Serviço",AB$12&lt;&gt;0,$H34&gt;0,OR(AUTOEVENTO&lt;&gt;"manual",$M34&lt;&gt;1)),
IF(Import.TipoArredondamento&lt;&gt;"TransfereGOV",
ROUND(OFFSET($P34,0,AB$13),15-13*ORÇAMENTO!$AF$7)/$H34*OFFSET(ORÇAMENTO!$X$15,ROW(AB34)-ROW(AB$15),0),
ROUND(ROUND(OFFSET($P34,0,AB$13),15-13*ORÇAMENTO!$AF$7)*OFFSET(ORÇAMENTO!$W$15,ROW(AB34)-ROW(AB$15),0),15-13*ORÇAMENTO!$AF$11)),0)</f>
        <v>0</v>
      </c>
      <c r="AC34" s="283" t="n">
        <f aca="true">IF(AND($D34="Serviço",AC$12&lt;&gt;0,$H34&gt;0,OR(AUTOEVENTO&lt;&gt;"manual",$M34&lt;&gt;1)),
IF(Import.TipoArredondamento&lt;&gt;"TransfereGOV",
ROUND(OFFSET($P34,0,AC$13),15-13*ORÇAMENTO!$AF$7)/$H34*OFFSET(ORÇAMENTO!$X$15,ROW(AC34)-ROW(AC$15),0),
ROUND(ROUND(OFFSET($P34,0,AC$13),15-13*ORÇAMENTO!$AF$7)*OFFSET(ORÇAMENTO!$W$15,ROW(AC34)-ROW(AC$15),0),15-13*ORÇAMENTO!$AF$11)),0)</f>
        <v>0</v>
      </c>
      <c r="AD34" s="283" t="n">
        <f aca="true">IF(AND($D34="Serviço",AD$12&lt;&gt;0,$H34&gt;0,OR(AUTOEVENTO&lt;&gt;"manual",$M34&lt;&gt;1)),
IF(Import.TipoArredondamento&lt;&gt;"TransfereGOV",
ROUND(OFFSET($P34,0,AD$13),15-13*ORÇAMENTO!$AF$7)/$H34*OFFSET(ORÇAMENTO!$X$15,ROW(AD34)-ROW(AD$15),0),
ROUND(ROUND(OFFSET($P34,0,AD$13),15-13*ORÇAMENTO!$AF$7)*OFFSET(ORÇAMENTO!$W$15,ROW(AD34)-ROW(AD$15),0),15-13*ORÇAMENTO!$AF$11)),0)</f>
        <v>0</v>
      </c>
      <c r="AE34" s="283" t="n">
        <f aca="true">IF(AND($D34="Serviço",AE$12&lt;&gt;0,$H34&gt;0,OR(AUTOEVENTO&lt;&gt;"manual",$M34&lt;&gt;1)),
IF(Import.TipoArredondamento&lt;&gt;"TransfereGOV",
ROUND(OFFSET($P34,0,AE$13),15-13*ORÇAMENTO!$AF$7)/$H34*OFFSET(ORÇAMENTO!$X$15,ROW(AE34)-ROW(AE$15),0),
ROUND(ROUND(OFFSET($P34,0,AE$13),15-13*ORÇAMENTO!$AF$7)*OFFSET(ORÇAMENTO!$W$15,ROW(AE34)-ROW(AE$15),0),15-13*ORÇAMENTO!$AF$11)),0)</f>
        <v>0</v>
      </c>
      <c r="AF34" s="283" t="n">
        <f aca="true">IF(AND($D34="Serviço",AF$12&lt;&gt;0,$H34&gt;0,OR(AUTOEVENTO&lt;&gt;"manual",$M34&lt;&gt;1)),
IF(Import.TipoArredondamento&lt;&gt;"TransfereGOV",
ROUND(OFFSET($P34,0,AF$13),15-13*ORÇAMENTO!$AF$7)/$H34*OFFSET(ORÇAMENTO!$X$15,ROW(AF34)-ROW(AF$15),0),
ROUND(ROUND(OFFSET($P34,0,AF$13),15-13*ORÇAMENTO!$AF$7)*OFFSET(ORÇAMENTO!$W$15,ROW(AF34)-ROW(AF$15),0),15-13*ORÇAMENTO!$AF$11)),0)</f>
        <v>0</v>
      </c>
      <c r="AG34" s="283" t="n">
        <f aca="true">IF(AND($D34="Serviço",AG$12&lt;&gt;0,$H34&gt;0,OR(AUTOEVENTO&lt;&gt;"manual",$M34&lt;&gt;1)),
IF(Import.TipoArredondamento&lt;&gt;"TransfereGOV",
ROUND(OFFSET($P34,0,AG$13),15-13*ORÇAMENTO!$AF$7)/$H34*OFFSET(ORÇAMENTO!$X$15,ROW(AG34)-ROW(AG$15),0),
ROUND(ROUND(OFFSET($P34,0,AG$13),15-13*ORÇAMENTO!$AF$7)*OFFSET(ORÇAMENTO!$W$15,ROW(AG34)-ROW(AG$15),0),15-13*ORÇAMENTO!$AF$11)),0)</f>
        <v>0</v>
      </c>
      <c r="AH34" s="283" t="n">
        <f aca="true">IF(AND($D34="Serviço",AH$12&lt;&gt;0,$H34&gt;0,OR(AUTOEVENTO&lt;&gt;"manual",$M34&lt;&gt;1)),
IF(Import.TipoArredondamento&lt;&gt;"TransfereGOV",
ROUND(OFFSET($P34,0,AH$13),15-13*ORÇAMENTO!$AF$7)/$H34*OFFSET(ORÇAMENTO!$X$15,ROW(AH34)-ROW(AH$15),0),
ROUND(ROUND(OFFSET($P34,0,AH$13),15-13*ORÇAMENTO!$AF$7)*OFFSET(ORÇAMENTO!$W$15,ROW(AH34)-ROW(AH$15),0),15-13*ORÇAMENTO!$AF$11)),0)</f>
        <v>0</v>
      </c>
      <c r="AI34" s="283" t="n">
        <f aca="true">IF(AND($D34="Serviço",AI$12&lt;&gt;0,$H34&gt;0,OR(AUTOEVENTO&lt;&gt;"manual",$M34&lt;&gt;1)),
IF(Import.TipoArredondamento&lt;&gt;"TransfereGOV",
ROUND(OFFSET($P34,0,AI$13),15-13*ORÇAMENTO!$AF$7)/$H34*OFFSET(ORÇAMENTO!$X$15,ROW(AI34)-ROW(AI$15),0),
ROUND(ROUND(OFFSET($P34,0,AI$13),15-13*ORÇAMENTO!$AF$7)*OFFSET(ORÇAMENTO!$W$15,ROW(AI34)-ROW(AI$15),0),15-13*ORÇAMENTO!$AF$11)),0)</f>
        <v>0</v>
      </c>
      <c r="AJ34" s="283" t="n">
        <f aca="true">IF(AND($D34="Serviço",AJ$12&lt;&gt;0,$H34&gt;0,OR(AUTOEVENTO&lt;&gt;"manual",$M34&lt;&gt;1)),
IF(Import.TipoArredondamento&lt;&gt;"TransfereGOV",
ROUND(OFFSET($P34,0,AJ$13),15-13*ORÇAMENTO!$AF$7)/$H34*OFFSET(ORÇAMENTO!$X$15,ROW(AJ34)-ROW(AJ$15),0),
ROUND(ROUND(OFFSET($P34,0,AJ$13),15-13*ORÇAMENTO!$AF$7)*OFFSET(ORÇAMENTO!$W$15,ROW(AJ34)-ROW(AJ$15),0),15-13*ORÇAMENTO!$AF$11)),0)</f>
        <v>0</v>
      </c>
      <c r="AK34" s="284" t="n">
        <f aca="true">IF(AND($D34="Serviço",AK$12&lt;&gt;0,$H34&gt;0,OR(AUTOEVENTO&lt;&gt;"manual",$M34&lt;&gt;1)),
IF(Import.TipoArredondamento&lt;&gt;"TransfereGOV",
ROUND(OFFSET($P34,0,AK$13),15-13*ORÇAMENTO!$AF$7)/$H34*OFFSET(ORÇAMENTO!$X$15,ROW(AK34)-ROW(AK$15),0),
ROUND(ROUND(OFFSET($P34,0,AK$13),15-13*ORÇAMENTO!$AF$7)*OFFSET(ORÇAMENTO!$W$15,ROW(AK34)-ROW(AK$15),0),15-13*ORÇAMENTO!$AF$11)),0)</f>
        <v>0</v>
      </c>
      <c r="AM34" s="285" t="n">
        <f aca="true">IF($D34&lt;&gt;"Serviço",0,IF(AND(AUTOEVENTO="Manual",$M34=1),0,IF(OFFSET(CRONOPLE!$F$14,$M34,AM$13)="",10^12,OFFSET(CRONOPLE!$F$14,$M34,AM$13))))</f>
        <v>1</v>
      </c>
      <c r="AN34" s="285" t="n">
        <f aca="true">IF($D34&lt;&gt;"Serviço",0,IF(AND(AUTOEVENTO="Manual",$M34=1),0,IF(OFFSET(CRONOPLE!$F$14,$M34,AN$13)="",10^12,OFFSET(CRONOPLE!$F$14,$M34,AN$13))))</f>
        <v>1000000000000</v>
      </c>
      <c r="AO34" s="285" t="n">
        <f aca="true">IF($D34&lt;&gt;"Serviço",0,IF(AND(AUTOEVENTO="Manual",$M34=1),0,IF(OFFSET(CRONOPLE!$F$14,$M34,AO$13)="",10^12,OFFSET(CRONOPLE!$F$14,$M34,AO$13))))</f>
        <v>1000000000000</v>
      </c>
      <c r="AP34" s="285" t="n">
        <f aca="true">IF($D34&lt;&gt;"Serviço",0,IF(AND(AUTOEVENTO="Manual",$M34=1),0,IF(OFFSET(CRONOPLE!$F$14,$M34,AP$13)="",10^12,OFFSET(CRONOPLE!$F$14,$M34,AP$13))))</f>
        <v>1000000000000</v>
      </c>
      <c r="AQ34" s="285" t="n">
        <f aca="true">IF($D34&lt;&gt;"Serviço",0,IF(AND(AUTOEVENTO="Manual",$M34=1),0,IF(OFFSET(CRONOPLE!$F$14,$M34,AQ$13)="",10^12,OFFSET(CRONOPLE!$F$14,$M34,AQ$13))))</f>
        <v>1000000000000</v>
      </c>
      <c r="AR34" s="285" t="n">
        <f aca="true">IF($D34&lt;&gt;"Serviço",0,IF(AND(AUTOEVENTO="Manual",$M34=1),0,IF(OFFSET(CRONOPLE!$F$14,$M34,AR$13)="",10^12,OFFSET(CRONOPLE!$F$14,$M34,AR$13))))</f>
        <v>1000000000000</v>
      </c>
      <c r="AS34" s="285" t="n">
        <f aca="true">IF($D34&lt;&gt;"Serviço",0,IF(AND(AUTOEVENTO="Manual",$M34=1),0,IF(OFFSET(CRONOPLE!$F$14,$M34,AS$13)="",10^12,OFFSET(CRONOPLE!$F$14,$M34,AS$13))))</f>
        <v>1000000000000</v>
      </c>
      <c r="AT34" s="285" t="n">
        <f aca="true">IF($D34&lt;&gt;"Serviço",0,IF(AND(AUTOEVENTO="Manual",$M34=1),0,IF(OFFSET(CRONOPLE!$F$14,$M34,AT$13)="",10^12,OFFSET(CRONOPLE!$F$14,$M34,AT$13))))</f>
        <v>1000000000000</v>
      </c>
      <c r="AU34" s="285" t="n">
        <f aca="true">IF($D34&lt;&gt;"Serviço",0,IF(AND(AUTOEVENTO="Manual",$M34=1),0,IF(OFFSET(CRONOPLE!$F$14,$M34,AU$13)="",10^12,OFFSET(CRONOPLE!$F$14,$M34,AU$13))))</f>
        <v>1000000000000</v>
      </c>
      <c r="AV34" s="285" t="n">
        <f aca="true">IF($D34&lt;&gt;"Serviço",0,IF(AND(AUTOEVENTO="Manual",$M34=1),0,IF(OFFSET(CRONOPLE!$F$14,$M34,AV$13)="",10^12,OFFSET(CRONOPLE!$F$14,$M34,AV$13))))</f>
        <v>1000000000000</v>
      </c>
      <c r="AX34" s="286" t="n">
        <f aca="true">IF($D34&lt;&gt;"Serviço",0,IF(OR(AND(AUTOEVENTO="Manual",$M34=1),$M34&gt;(ROW(PLE.lastrow)-ROW(PLE.firstrow))),0,IF(OFFSET(PLE!$G$14,$M34,AX$13)="",10^12,OFFSET(PLE!$G$14,$M34,AX$13))))</f>
        <v>1000000000000</v>
      </c>
      <c r="AY34" s="286" t="n">
        <f aca="true">IF($D34&lt;&gt;"Serviço",0,IF(OR(AND(AUTOEVENTO="Manual",$M34=1),$M34&gt;(ROW(PLE.lastrow)-ROW(PLE.firstrow))),0,IF(OFFSET(PLE!$G$14,$M34,AY$13)="",10^12,OFFSET(PLE!$G$14,$M34,AY$13))))</f>
        <v>1000000000000</v>
      </c>
      <c r="AZ34" s="286" t="n">
        <f aca="true">IF($D34&lt;&gt;"Serviço",0,IF(OR(AND(AUTOEVENTO="Manual",$M34=1),$M34&gt;(ROW(PLE.lastrow)-ROW(PLE.firstrow))),0,IF(OFFSET(PLE!$G$14,$M34,AZ$13)="",10^12,OFFSET(PLE!$G$14,$M34,AZ$13))))</f>
        <v>1000000000000</v>
      </c>
      <c r="BA34" s="286" t="n">
        <f aca="true">IF($D34&lt;&gt;"Serviço",0,IF(OR(AND(AUTOEVENTO="Manual",$M34=1),$M34&gt;(ROW(PLE.lastrow)-ROW(PLE.firstrow))),0,IF(OFFSET(PLE!$G$14,$M34,BA$13)="",10^12,OFFSET(PLE!$G$14,$M34,BA$13))))</f>
        <v>1000000000000</v>
      </c>
      <c r="BB34" s="286" t="n">
        <f aca="true">IF($D34&lt;&gt;"Serviço",0,IF(OR(AND(AUTOEVENTO="Manual",$M34=1),$M34&gt;(ROW(PLE.lastrow)-ROW(PLE.firstrow))),0,IF(OFFSET(PLE!$G$14,$M34,BB$13)="",10^12,OFFSET(PLE!$G$14,$M34,BB$13))))</f>
        <v>1000000000000</v>
      </c>
      <c r="BC34" s="286" t="n">
        <f aca="true">IF($D34&lt;&gt;"Serviço",0,IF(OR(AND(AUTOEVENTO="Manual",$M34=1),$M34&gt;(ROW(PLE.lastrow)-ROW(PLE.firstrow))),0,IF(OFFSET(PLE!$G$14,$M34,BC$13)="",10^12,OFFSET(PLE!$G$14,$M34,BC$13))))</f>
        <v>1000000000000</v>
      </c>
      <c r="BD34" s="286" t="n">
        <f aca="true">IF($D34&lt;&gt;"Serviço",0,IF(OR(AND(AUTOEVENTO="Manual",$M34=1),$M34&gt;(ROW(PLE.lastrow)-ROW(PLE.firstrow))),0,IF(OFFSET(PLE!$G$14,$M34,BD$13)="",10^12,OFFSET(PLE!$G$14,$M34,BD$13))))</f>
        <v>1000000000000</v>
      </c>
      <c r="BE34" s="286" t="n">
        <f aca="true">IF($D34&lt;&gt;"Serviço",0,IF(OR(AND(AUTOEVENTO="Manual",$M34=1),$M34&gt;(ROW(PLE.lastrow)-ROW(PLE.firstrow))),0,IF(OFFSET(PLE!$G$14,$M34,BE$13)="",10^12,OFFSET(PLE!$G$14,$M34,BE$13))))</f>
        <v>1000000000000</v>
      </c>
      <c r="BF34" s="286" t="n">
        <f aca="true">IF($D34&lt;&gt;"Serviço",0,IF(OR(AND(AUTOEVENTO="Manual",$M34=1),$M34&gt;(ROW(PLE.lastrow)-ROW(PLE.firstrow))),0,IF(OFFSET(PLE!$G$14,$M34,BF$13)="",10^12,OFFSET(PLE!$G$14,$M34,BF$13))))</f>
        <v>1000000000000</v>
      </c>
      <c r="BG34" s="286" t="n">
        <f aca="true">IF($D34&lt;&gt;"Serviço",0,IF(OR(AND(AUTOEVENTO="Manual",$M34=1),$M34&gt;(ROW(PLE.lastrow)-ROW(PLE.firstrow))),0,IF(OFFSET(PLE!$G$14,$M34,BG$13)="",10^12,OFFSET(PLE!$G$14,$M34,BG$13))))</f>
        <v>1000000000000</v>
      </c>
    </row>
    <row r="35" customFormat="false" ht="12.75" hidden="false" customHeight="false" outlineLevel="0" collapsed="false">
      <c r="A35" s="34" t="n">
        <f aca="true">IF(AUTOEVENTO="Manual",IF(K35&lt;&gt;"",MIN(VALUE(LEFT(K35,FIND(".",K35)-1)),COUNTA(EVENTOS.Lista)),0),IF(OR($B35&gt;AUTOEVENTO,$B35="S",$B35=0),SUBSTITUTE(OFFSET($A35,-1,0),IF($D35="Serviço",".",""),""),ROW(A35)-ROW($A$15)&amp;"."))</f>
        <v>0</v>
      </c>
      <c r="B35" s="34" t="n">
        <f aca="true">OFFSET(ORÇAMENTO!C$15,ROW(B35)-ROW(B$15),0)</f>
        <v>2</v>
      </c>
      <c r="C35" s="34" t="str">
        <f aca="true">OFFSET(ORÇAMENTO!L$15,ROW(C35)-ROW(C$15),0)</f>
        <v>F</v>
      </c>
      <c r="D35" s="187" t="str">
        <f aca="true">OFFSET(ORÇAMENTO!N$15,ROW(D35)-ROW(D$15),0)</f>
        <v>Nível 2</v>
      </c>
      <c r="E35" s="188" t="str">
        <f aca="true">OFFSET(ORÇAMENTO!O$15,ROW(E35)-ROW(E$15),0)</f>
        <v>1.6.</v>
      </c>
      <c r="F35" s="272" t="str">
        <f aca="true">OFFSET(ORÇAMENTO!R$15,ROW(F35)-ROW(F$15),0)</f>
        <v>Subbase</v>
      </c>
      <c r="G35" s="273" t="str">
        <f aca="true">IF($D35&lt;&gt;"Serviço","",OFFSET(ORÇAMENTO!S$15,ROW(G35)-ROW(G$15),0))</f>
        <v/>
      </c>
      <c r="H35" s="193" t="n">
        <f aca="true">IF($D35&lt;&gt;"Serviço",0,IF(ACOMPANHAMENTO="BM",ROUND(OFFSET(ORÇAMENTO!AJ$15,ROW(H35)-ROW(H$15),0),15-13*ORÇAMENTO!$AF$7),SUMPRODUCT(($Q$12:$AA$12&lt;&gt;"")*ROUND($Q35:$AA35,15-13*ORÇAMENTO!$AF$7))))</f>
        <v>0</v>
      </c>
      <c r="I35" s="274"/>
      <c r="K35" s="275"/>
      <c r="L35" s="276" t="s">
        <v>347</v>
      </c>
      <c r="M35" s="277" t="str">
        <f aca="true">IF($D35&lt;&gt;"Serviço","",IF(AUTOEVENTO="manual",$A35,IF(ISERROR(MATCH($A35,$A$15:OFFSET($A35,-1,0),0)),MAX($M$15:OFFSET(M35,-1,0))+1,INDEX($M$15:OFFSET(M35,-1,0),MATCH($A35,$A$15:OFFSET($A35,-1,0),0)))))</f>
        <v/>
      </c>
      <c r="N35" s="278" t="str">
        <f aca="true">IF($D35&lt;&gt;"Serviço","",IF(AUTOEVENTO="Manual",IF($A35=0,"&lt;-- defina o número do agrupador",OFFSET(EVENTOS!$D$14,$A35,0)),OFFSET($F$15,$A35,0)))</f>
        <v/>
      </c>
      <c r="O35" s="279"/>
      <c r="Q35" s="279"/>
      <c r="R35" s="280"/>
      <c r="S35" s="280"/>
      <c r="T35" s="280"/>
      <c r="U35" s="280"/>
      <c r="V35" s="280"/>
      <c r="W35" s="280"/>
      <c r="X35" s="280"/>
      <c r="Y35" s="280"/>
      <c r="Z35" s="281"/>
      <c r="AB35" s="282" t="n">
        <f aca="true">IF(AND($D35="Serviço",AB$12&lt;&gt;0,$H35&gt;0,OR(AUTOEVENTO&lt;&gt;"manual",$M35&lt;&gt;1)),
IF(Import.TipoArredondamento&lt;&gt;"TransfereGOV",
ROUND(OFFSET($P35,0,AB$13),15-13*ORÇAMENTO!$AF$7)/$H35*OFFSET(ORÇAMENTO!$X$15,ROW(AB35)-ROW(AB$15),0),
ROUND(ROUND(OFFSET($P35,0,AB$13),15-13*ORÇAMENTO!$AF$7)*OFFSET(ORÇAMENTO!$W$15,ROW(AB35)-ROW(AB$15),0),15-13*ORÇAMENTO!$AF$11)),0)</f>
        <v>0</v>
      </c>
      <c r="AC35" s="283" t="n">
        <f aca="true">IF(AND($D35="Serviço",AC$12&lt;&gt;0,$H35&gt;0,OR(AUTOEVENTO&lt;&gt;"manual",$M35&lt;&gt;1)),
IF(Import.TipoArredondamento&lt;&gt;"TransfereGOV",
ROUND(OFFSET($P35,0,AC$13),15-13*ORÇAMENTO!$AF$7)/$H35*OFFSET(ORÇAMENTO!$X$15,ROW(AC35)-ROW(AC$15),0),
ROUND(ROUND(OFFSET($P35,0,AC$13),15-13*ORÇAMENTO!$AF$7)*OFFSET(ORÇAMENTO!$W$15,ROW(AC35)-ROW(AC$15),0),15-13*ORÇAMENTO!$AF$11)),0)</f>
        <v>0</v>
      </c>
      <c r="AD35" s="283" t="n">
        <f aca="true">IF(AND($D35="Serviço",AD$12&lt;&gt;0,$H35&gt;0,OR(AUTOEVENTO&lt;&gt;"manual",$M35&lt;&gt;1)),
IF(Import.TipoArredondamento&lt;&gt;"TransfereGOV",
ROUND(OFFSET($P35,0,AD$13),15-13*ORÇAMENTO!$AF$7)/$H35*OFFSET(ORÇAMENTO!$X$15,ROW(AD35)-ROW(AD$15),0),
ROUND(ROUND(OFFSET($P35,0,AD$13),15-13*ORÇAMENTO!$AF$7)*OFFSET(ORÇAMENTO!$W$15,ROW(AD35)-ROW(AD$15),0),15-13*ORÇAMENTO!$AF$11)),0)</f>
        <v>0</v>
      </c>
      <c r="AE35" s="283" t="n">
        <f aca="true">IF(AND($D35="Serviço",AE$12&lt;&gt;0,$H35&gt;0,OR(AUTOEVENTO&lt;&gt;"manual",$M35&lt;&gt;1)),
IF(Import.TipoArredondamento&lt;&gt;"TransfereGOV",
ROUND(OFFSET($P35,0,AE$13),15-13*ORÇAMENTO!$AF$7)/$H35*OFFSET(ORÇAMENTO!$X$15,ROW(AE35)-ROW(AE$15),0),
ROUND(ROUND(OFFSET($P35,0,AE$13),15-13*ORÇAMENTO!$AF$7)*OFFSET(ORÇAMENTO!$W$15,ROW(AE35)-ROW(AE$15),0),15-13*ORÇAMENTO!$AF$11)),0)</f>
        <v>0</v>
      </c>
      <c r="AF35" s="283" t="n">
        <f aca="true">IF(AND($D35="Serviço",AF$12&lt;&gt;0,$H35&gt;0,OR(AUTOEVENTO&lt;&gt;"manual",$M35&lt;&gt;1)),
IF(Import.TipoArredondamento&lt;&gt;"TransfereGOV",
ROUND(OFFSET($P35,0,AF$13),15-13*ORÇAMENTO!$AF$7)/$H35*OFFSET(ORÇAMENTO!$X$15,ROW(AF35)-ROW(AF$15),0),
ROUND(ROUND(OFFSET($P35,0,AF$13),15-13*ORÇAMENTO!$AF$7)*OFFSET(ORÇAMENTO!$W$15,ROW(AF35)-ROW(AF$15),0),15-13*ORÇAMENTO!$AF$11)),0)</f>
        <v>0</v>
      </c>
      <c r="AG35" s="283" t="n">
        <f aca="true">IF(AND($D35="Serviço",AG$12&lt;&gt;0,$H35&gt;0,OR(AUTOEVENTO&lt;&gt;"manual",$M35&lt;&gt;1)),
IF(Import.TipoArredondamento&lt;&gt;"TransfereGOV",
ROUND(OFFSET($P35,0,AG$13),15-13*ORÇAMENTO!$AF$7)/$H35*OFFSET(ORÇAMENTO!$X$15,ROW(AG35)-ROW(AG$15),0),
ROUND(ROUND(OFFSET($P35,0,AG$13),15-13*ORÇAMENTO!$AF$7)*OFFSET(ORÇAMENTO!$W$15,ROW(AG35)-ROW(AG$15),0),15-13*ORÇAMENTO!$AF$11)),0)</f>
        <v>0</v>
      </c>
      <c r="AH35" s="283" t="n">
        <f aca="true">IF(AND($D35="Serviço",AH$12&lt;&gt;0,$H35&gt;0,OR(AUTOEVENTO&lt;&gt;"manual",$M35&lt;&gt;1)),
IF(Import.TipoArredondamento&lt;&gt;"TransfereGOV",
ROUND(OFFSET($P35,0,AH$13),15-13*ORÇAMENTO!$AF$7)/$H35*OFFSET(ORÇAMENTO!$X$15,ROW(AH35)-ROW(AH$15),0),
ROUND(ROUND(OFFSET($P35,0,AH$13),15-13*ORÇAMENTO!$AF$7)*OFFSET(ORÇAMENTO!$W$15,ROW(AH35)-ROW(AH$15),0),15-13*ORÇAMENTO!$AF$11)),0)</f>
        <v>0</v>
      </c>
      <c r="AI35" s="283" t="n">
        <f aca="true">IF(AND($D35="Serviço",AI$12&lt;&gt;0,$H35&gt;0,OR(AUTOEVENTO&lt;&gt;"manual",$M35&lt;&gt;1)),
IF(Import.TipoArredondamento&lt;&gt;"TransfereGOV",
ROUND(OFFSET($P35,0,AI$13),15-13*ORÇAMENTO!$AF$7)/$H35*OFFSET(ORÇAMENTO!$X$15,ROW(AI35)-ROW(AI$15),0),
ROUND(ROUND(OFFSET($P35,0,AI$13),15-13*ORÇAMENTO!$AF$7)*OFFSET(ORÇAMENTO!$W$15,ROW(AI35)-ROW(AI$15),0),15-13*ORÇAMENTO!$AF$11)),0)</f>
        <v>0</v>
      </c>
      <c r="AJ35" s="283" t="n">
        <f aca="true">IF(AND($D35="Serviço",AJ$12&lt;&gt;0,$H35&gt;0,OR(AUTOEVENTO&lt;&gt;"manual",$M35&lt;&gt;1)),
IF(Import.TipoArredondamento&lt;&gt;"TransfereGOV",
ROUND(OFFSET($P35,0,AJ$13),15-13*ORÇAMENTO!$AF$7)/$H35*OFFSET(ORÇAMENTO!$X$15,ROW(AJ35)-ROW(AJ$15),0),
ROUND(ROUND(OFFSET($P35,0,AJ$13),15-13*ORÇAMENTO!$AF$7)*OFFSET(ORÇAMENTO!$W$15,ROW(AJ35)-ROW(AJ$15),0),15-13*ORÇAMENTO!$AF$11)),0)</f>
        <v>0</v>
      </c>
      <c r="AK35" s="284" t="n">
        <f aca="true">IF(AND($D35="Serviço",AK$12&lt;&gt;0,$H35&gt;0,OR(AUTOEVENTO&lt;&gt;"manual",$M35&lt;&gt;1)),
IF(Import.TipoArredondamento&lt;&gt;"TransfereGOV",
ROUND(OFFSET($P35,0,AK$13),15-13*ORÇAMENTO!$AF$7)/$H35*OFFSET(ORÇAMENTO!$X$15,ROW(AK35)-ROW(AK$15),0),
ROUND(ROUND(OFFSET($P35,0,AK$13),15-13*ORÇAMENTO!$AF$7)*OFFSET(ORÇAMENTO!$W$15,ROW(AK35)-ROW(AK$15),0),15-13*ORÇAMENTO!$AF$11)),0)</f>
        <v>0</v>
      </c>
      <c r="AM35" s="285" t="n">
        <f aca="true">IF($D35&lt;&gt;"Serviço",0,IF(AND(AUTOEVENTO="Manual",$M35=1),0,IF(OFFSET(CRONOPLE!$F$14,$M35,AM$13)="",10^12,OFFSET(CRONOPLE!$F$14,$M35,AM$13))))</f>
        <v>0</v>
      </c>
      <c r="AN35" s="285" t="n">
        <f aca="true">IF($D35&lt;&gt;"Serviço",0,IF(AND(AUTOEVENTO="Manual",$M35=1),0,IF(OFFSET(CRONOPLE!$F$14,$M35,AN$13)="",10^12,OFFSET(CRONOPLE!$F$14,$M35,AN$13))))</f>
        <v>0</v>
      </c>
      <c r="AO35" s="285" t="n">
        <f aca="true">IF($D35&lt;&gt;"Serviço",0,IF(AND(AUTOEVENTO="Manual",$M35=1),0,IF(OFFSET(CRONOPLE!$F$14,$M35,AO$13)="",10^12,OFFSET(CRONOPLE!$F$14,$M35,AO$13))))</f>
        <v>0</v>
      </c>
      <c r="AP35" s="285" t="n">
        <f aca="true">IF($D35&lt;&gt;"Serviço",0,IF(AND(AUTOEVENTO="Manual",$M35=1),0,IF(OFFSET(CRONOPLE!$F$14,$M35,AP$13)="",10^12,OFFSET(CRONOPLE!$F$14,$M35,AP$13))))</f>
        <v>0</v>
      </c>
      <c r="AQ35" s="285" t="n">
        <f aca="true">IF($D35&lt;&gt;"Serviço",0,IF(AND(AUTOEVENTO="Manual",$M35=1),0,IF(OFFSET(CRONOPLE!$F$14,$M35,AQ$13)="",10^12,OFFSET(CRONOPLE!$F$14,$M35,AQ$13))))</f>
        <v>0</v>
      </c>
      <c r="AR35" s="285" t="n">
        <f aca="true">IF($D35&lt;&gt;"Serviço",0,IF(AND(AUTOEVENTO="Manual",$M35=1),0,IF(OFFSET(CRONOPLE!$F$14,$M35,AR$13)="",10^12,OFFSET(CRONOPLE!$F$14,$M35,AR$13))))</f>
        <v>0</v>
      </c>
      <c r="AS35" s="285" t="n">
        <f aca="true">IF($D35&lt;&gt;"Serviço",0,IF(AND(AUTOEVENTO="Manual",$M35=1),0,IF(OFFSET(CRONOPLE!$F$14,$M35,AS$13)="",10^12,OFFSET(CRONOPLE!$F$14,$M35,AS$13))))</f>
        <v>0</v>
      </c>
      <c r="AT35" s="285" t="n">
        <f aca="true">IF($D35&lt;&gt;"Serviço",0,IF(AND(AUTOEVENTO="Manual",$M35=1),0,IF(OFFSET(CRONOPLE!$F$14,$M35,AT$13)="",10^12,OFFSET(CRONOPLE!$F$14,$M35,AT$13))))</f>
        <v>0</v>
      </c>
      <c r="AU35" s="285" t="n">
        <f aca="true">IF($D35&lt;&gt;"Serviço",0,IF(AND(AUTOEVENTO="Manual",$M35=1),0,IF(OFFSET(CRONOPLE!$F$14,$M35,AU$13)="",10^12,OFFSET(CRONOPLE!$F$14,$M35,AU$13))))</f>
        <v>0</v>
      </c>
      <c r="AV35" s="285" t="n">
        <f aca="true">IF($D35&lt;&gt;"Serviço",0,IF(AND(AUTOEVENTO="Manual",$M35=1),0,IF(OFFSET(CRONOPLE!$F$14,$M35,AV$13)="",10^12,OFFSET(CRONOPLE!$F$14,$M35,AV$13))))</f>
        <v>0</v>
      </c>
      <c r="AX35" s="286" t="n">
        <f aca="true">IF($D35&lt;&gt;"Serviço",0,IF(OR(AND(AUTOEVENTO="Manual",$M35=1),$M35&gt;(ROW(PLE.lastrow)-ROW(PLE.firstrow))),0,IF(OFFSET(PLE!$G$14,$M35,AX$13)="",10^12,OFFSET(PLE!$G$14,$M35,AX$13))))</f>
        <v>0</v>
      </c>
      <c r="AY35" s="286" t="n">
        <f aca="true">IF($D35&lt;&gt;"Serviço",0,IF(OR(AND(AUTOEVENTO="Manual",$M35=1),$M35&gt;(ROW(PLE.lastrow)-ROW(PLE.firstrow))),0,IF(OFFSET(PLE!$G$14,$M35,AY$13)="",10^12,OFFSET(PLE!$G$14,$M35,AY$13))))</f>
        <v>0</v>
      </c>
      <c r="AZ35" s="286" t="n">
        <f aca="true">IF($D35&lt;&gt;"Serviço",0,IF(OR(AND(AUTOEVENTO="Manual",$M35=1),$M35&gt;(ROW(PLE.lastrow)-ROW(PLE.firstrow))),0,IF(OFFSET(PLE!$G$14,$M35,AZ$13)="",10^12,OFFSET(PLE!$G$14,$M35,AZ$13))))</f>
        <v>0</v>
      </c>
      <c r="BA35" s="286" t="n">
        <f aca="true">IF($D35&lt;&gt;"Serviço",0,IF(OR(AND(AUTOEVENTO="Manual",$M35=1),$M35&gt;(ROW(PLE.lastrow)-ROW(PLE.firstrow))),0,IF(OFFSET(PLE!$G$14,$M35,BA$13)="",10^12,OFFSET(PLE!$G$14,$M35,BA$13))))</f>
        <v>0</v>
      </c>
      <c r="BB35" s="286" t="n">
        <f aca="true">IF($D35&lt;&gt;"Serviço",0,IF(OR(AND(AUTOEVENTO="Manual",$M35=1),$M35&gt;(ROW(PLE.lastrow)-ROW(PLE.firstrow))),0,IF(OFFSET(PLE!$G$14,$M35,BB$13)="",10^12,OFFSET(PLE!$G$14,$M35,BB$13))))</f>
        <v>0</v>
      </c>
      <c r="BC35" s="286" t="n">
        <f aca="true">IF($D35&lt;&gt;"Serviço",0,IF(OR(AND(AUTOEVENTO="Manual",$M35=1),$M35&gt;(ROW(PLE.lastrow)-ROW(PLE.firstrow))),0,IF(OFFSET(PLE!$G$14,$M35,BC$13)="",10^12,OFFSET(PLE!$G$14,$M35,BC$13))))</f>
        <v>0</v>
      </c>
      <c r="BD35" s="286" t="n">
        <f aca="true">IF($D35&lt;&gt;"Serviço",0,IF(OR(AND(AUTOEVENTO="Manual",$M35=1),$M35&gt;(ROW(PLE.lastrow)-ROW(PLE.firstrow))),0,IF(OFFSET(PLE!$G$14,$M35,BD$13)="",10^12,OFFSET(PLE!$G$14,$M35,BD$13))))</f>
        <v>0</v>
      </c>
      <c r="BE35" s="286" t="n">
        <f aca="true">IF($D35&lt;&gt;"Serviço",0,IF(OR(AND(AUTOEVENTO="Manual",$M35=1),$M35&gt;(ROW(PLE.lastrow)-ROW(PLE.firstrow))),0,IF(OFFSET(PLE!$G$14,$M35,BE$13)="",10^12,OFFSET(PLE!$G$14,$M35,BE$13))))</f>
        <v>0</v>
      </c>
      <c r="BF35" s="286" t="n">
        <f aca="true">IF($D35&lt;&gt;"Serviço",0,IF(OR(AND(AUTOEVENTO="Manual",$M35=1),$M35&gt;(ROW(PLE.lastrow)-ROW(PLE.firstrow))),0,IF(OFFSET(PLE!$G$14,$M35,BF$13)="",10^12,OFFSET(PLE!$G$14,$M35,BF$13))))</f>
        <v>0</v>
      </c>
      <c r="BG35" s="286" t="n">
        <f aca="true">IF($D35&lt;&gt;"Serviço",0,IF(OR(AND(AUTOEVENTO="Manual",$M35=1),$M35&gt;(ROW(PLE.lastrow)-ROW(PLE.firstrow))),0,IF(OFFSET(PLE!$G$14,$M35,BG$13)="",10^12,OFFSET(PLE!$G$14,$M35,BG$13))))</f>
        <v>0</v>
      </c>
    </row>
    <row r="36" customFormat="false" ht="35.05" hidden="false" customHeight="false" outlineLevel="0" collapsed="false">
      <c r="A36" s="34" t="n">
        <f aca="true">IF(AUTOEVENTO="Manual",IF(K36&lt;&gt;"",MIN(VALUE(LEFT(K36,FIND(".",K36)-1)),COUNTA(EVENTOS.Lista)),0),IF(OR($B36&gt;AUTOEVENTO,$B36="S",$B36=0),SUBSTITUTE(OFFSET($A36,-1,0),IF($D36="Serviço",".",""),""),ROW(A36)-ROW($A$15)&amp;"."))</f>
        <v>6</v>
      </c>
      <c r="B36" s="34" t="str">
        <f aca="true">OFFSET(ORÇAMENTO!C$15,ROW(B36)-ROW(B$15),0)</f>
        <v>S</v>
      </c>
      <c r="C36" s="34" t="str">
        <f aca="true">OFFSET(ORÇAMENTO!L$15,ROW(C36)-ROW(C$15),0)</f>
        <v/>
      </c>
      <c r="D36" s="187" t="str">
        <f aca="true">OFFSET(ORÇAMENTO!N$15,ROW(D36)-ROW(D$15),0)</f>
        <v>Serviço</v>
      </c>
      <c r="E36" s="188" t="str">
        <f aca="true">OFFSET(ORÇAMENTO!O$15,ROW(E36)-ROW(E$15),0)</f>
        <v>-</v>
      </c>
      <c r="F36" s="272" t="str">
        <f aca="true">OFFSET(ORÇAMENTO!R$15,ROW(F36)-ROW(F$15),0)</f>
        <v>(abra o arquivo 'Referência 02-Thursday.xlsm)</v>
      </c>
      <c r="G36" s="273" t="str">
        <f aca="true">IF($D36&lt;&gt;"Serviço","",OFFSET(ORÇAMENTO!S$15,ROW(G36)-ROW(G$15),0))</f>
        <v>-</v>
      </c>
      <c r="H36" s="193" t="n">
        <f aca="true">IF($D36&lt;&gt;"Serviço",0,IF(ACOMPANHAMENTO="BM",ROUND(OFFSET(ORÇAMENTO!AJ$15,ROW(H36)-ROW(H$15),0),15-13*ORÇAMENTO!$AF$7),SUMPRODUCT(($Q$12:$AA$12&lt;&gt;"")*ROUND($Q36:$AA36,15-13*ORÇAMENTO!$AF$7))))</f>
        <v>675</v>
      </c>
      <c r="I36" s="274" t="s">
        <v>371</v>
      </c>
      <c r="K36" s="275" t="s">
        <v>372</v>
      </c>
      <c r="L36" s="276" t="s">
        <v>347</v>
      </c>
      <c r="M36" s="277" t="n">
        <f aca="true">IF($D36&lt;&gt;"Serviço","",IF(AUTOEVENTO="manual",$A36,IF(ISERROR(MATCH($A36,$A$15:OFFSET($A36,-1,0),0)),MAX($M$15:OFFSET(M36,-1,0))+1,INDEX($M$15:OFFSET(M36,-1,0),MATCH($A36,$A$15:OFFSET($A36,-1,0),0)))))</f>
        <v>6</v>
      </c>
      <c r="N36" s="278" t="str">
        <f aca="true">IF($D36&lt;&gt;"Serviço","",IF(AUTOEVENTO="Manual",IF($A36=0,"&lt;-- defina o número do agrupador",OFFSET(EVENTOS!$D$14,$A36,0)),OFFSET($F$15,$A36,0)))</f>
        <v>Subbase</v>
      </c>
      <c r="O36" s="279"/>
      <c r="Q36" s="279" t="n">
        <v>675</v>
      </c>
      <c r="R36" s="280"/>
      <c r="S36" s="280"/>
      <c r="T36" s="280"/>
      <c r="U36" s="280"/>
      <c r="V36" s="280"/>
      <c r="W36" s="280"/>
      <c r="X36" s="280"/>
      <c r="Y36" s="280"/>
      <c r="Z36" s="281"/>
      <c r="AB36" s="282" t="n">
        <f aca="true">IF(AND($D36="Serviço",AB$12&lt;&gt;0,$H36&gt;0,OR(AUTOEVENTO&lt;&gt;"manual",$M36&lt;&gt;1)),
IF(Import.TipoArredondamento&lt;&gt;"TransfereGOV",
ROUND(OFFSET($P36,0,AB$13),15-13*ORÇAMENTO!$AF$7)/$H36*OFFSET(ORÇAMENTO!$X$15,ROW(AB36)-ROW(AB$15),0),
ROUND(ROUND(OFFSET($P36,0,AB$13),15-13*ORÇAMENTO!$AF$7)*OFFSET(ORÇAMENTO!$W$15,ROW(AB36)-ROW(AB$15),0),15-13*ORÇAMENTO!$AF$11)),0)</f>
        <v>0</v>
      </c>
      <c r="AC36" s="283" t="n">
        <f aca="true">IF(AND($D36="Serviço",AC$12&lt;&gt;0,$H36&gt;0,OR(AUTOEVENTO&lt;&gt;"manual",$M36&lt;&gt;1)),
IF(Import.TipoArredondamento&lt;&gt;"TransfereGOV",
ROUND(OFFSET($P36,0,AC$13),15-13*ORÇAMENTO!$AF$7)/$H36*OFFSET(ORÇAMENTO!$X$15,ROW(AC36)-ROW(AC$15),0),
ROUND(ROUND(OFFSET($P36,0,AC$13),15-13*ORÇAMENTO!$AF$7)*OFFSET(ORÇAMENTO!$W$15,ROW(AC36)-ROW(AC$15),0),15-13*ORÇAMENTO!$AF$11)),0)</f>
        <v>0</v>
      </c>
      <c r="AD36" s="283" t="n">
        <f aca="true">IF(AND($D36="Serviço",AD$12&lt;&gt;0,$H36&gt;0,OR(AUTOEVENTO&lt;&gt;"manual",$M36&lt;&gt;1)),
IF(Import.TipoArredondamento&lt;&gt;"TransfereGOV",
ROUND(OFFSET($P36,0,AD$13),15-13*ORÇAMENTO!$AF$7)/$H36*OFFSET(ORÇAMENTO!$X$15,ROW(AD36)-ROW(AD$15),0),
ROUND(ROUND(OFFSET($P36,0,AD$13),15-13*ORÇAMENTO!$AF$7)*OFFSET(ORÇAMENTO!$W$15,ROW(AD36)-ROW(AD$15),0),15-13*ORÇAMENTO!$AF$11)),0)</f>
        <v>0</v>
      </c>
      <c r="AE36" s="283" t="n">
        <f aca="true">IF(AND($D36="Serviço",AE$12&lt;&gt;0,$H36&gt;0,OR(AUTOEVENTO&lt;&gt;"manual",$M36&lt;&gt;1)),
IF(Import.TipoArredondamento&lt;&gt;"TransfereGOV",
ROUND(OFFSET($P36,0,AE$13),15-13*ORÇAMENTO!$AF$7)/$H36*OFFSET(ORÇAMENTO!$X$15,ROW(AE36)-ROW(AE$15),0),
ROUND(ROUND(OFFSET($P36,0,AE$13),15-13*ORÇAMENTO!$AF$7)*OFFSET(ORÇAMENTO!$W$15,ROW(AE36)-ROW(AE$15),0),15-13*ORÇAMENTO!$AF$11)),0)</f>
        <v>0</v>
      </c>
      <c r="AF36" s="283" t="n">
        <f aca="true">IF(AND($D36="Serviço",AF$12&lt;&gt;0,$H36&gt;0,OR(AUTOEVENTO&lt;&gt;"manual",$M36&lt;&gt;1)),
IF(Import.TipoArredondamento&lt;&gt;"TransfereGOV",
ROUND(OFFSET($P36,0,AF$13),15-13*ORÇAMENTO!$AF$7)/$H36*OFFSET(ORÇAMENTO!$X$15,ROW(AF36)-ROW(AF$15),0),
ROUND(ROUND(OFFSET($P36,0,AF$13),15-13*ORÇAMENTO!$AF$7)*OFFSET(ORÇAMENTO!$W$15,ROW(AF36)-ROW(AF$15),0),15-13*ORÇAMENTO!$AF$11)),0)</f>
        <v>0</v>
      </c>
      <c r="AG36" s="283" t="n">
        <f aca="true">IF(AND($D36="Serviço",AG$12&lt;&gt;0,$H36&gt;0,OR(AUTOEVENTO&lt;&gt;"manual",$M36&lt;&gt;1)),
IF(Import.TipoArredondamento&lt;&gt;"TransfereGOV",
ROUND(OFFSET($P36,0,AG$13),15-13*ORÇAMENTO!$AF$7)/$H36*OFFSET(ORÇAMENTO!$X$15,ROW(AG36)-ROW(AG$15),0),
ROUND(ROUND(OFFSET($P36,0,AG$13),15-13*ORÇAMENTO!$AF$7)*OFFSET(ORÇAMENTO!$W$15,ROW(AG36)-ROW(AG$15),0),15-13*ORÇAMENTO!$AF$11)),0)</f>
        <v>0</v>
      </c>
      <c r="AH36" s="283" t="n">
        <f aca="true">IF(AND($D36="Serviço",AH$12&lt;&gt;0,$H36&gt;0,OR(AUTOEVENTO&lt;&gt;"manual",$M36&lt;&gt;1)),
IF(Import.TipoArredondamento&lt;&gt;"TransfereGOV",
ROUND(OFFSET($P36,0,AH$13),15-13*ORÇAMENTO!$AF$7)/$H36*OFFSET(ORÇAMENTO!$X$15,ROW(AH36)-ROW(AH$15),0),
ROUND(ROUND(OFFSET($P36,0,AH$13),15-13*ORÇAMENTO!$AF$7)*OFFSET(ORÇAMENTO!$W$15,ROW(AH36)-ROW(AH$15),0),15-13*ORÇAMENTO!$AF$11)),0)</f>
        <v>0</v>
      </c>
      <c r="AI36" s="283" t="n">
        <f aca="true">IF(AND($D36="Serviço",AI$12&lt;&gt;0,$H36&gt;0,OR(AUTOEVENTO&lt;&gt;"manual",$M36&lt;&gt;1)),
IF(Import.TipoArredondamento&lt;&gt;"TransfereGOV",
ROUND(OFFSET($P36,0,AI$13),15-13*ORÇAMENTO!$AF$7)/$H36*OFFSET(ORÇAMENTO!$X$15,ROW(AI36)-ROW(AI$15),0),
ROUND(ROUND(OFFSET($P36,0,AI$13),15-13*ORÇAMENTO!$AF$7)*OFFSET(ORÇAMENTO!$W$15,ROW(AI36)-ROW(AI$15),0),15-13*ORÇAMENTO!$AF$11)),0)</f>
        <v>0</v>
      </c>
      <c r="AJ36" s="283" t="n">
        <f aca="true">IF(AND($D36="Serviço",AJ$12&lt;&gt;0,$H36&gt;0,OR(AUTOEVENTO&lt;&gt;"manual",$M36&lt;&gt;1)),
IF(Import.TipoArredondamento&lt;&gt;"TransfereGOV",
ROUND(OFFSET($P36,0,AJ$13),15-13*ORÇAMENTO!$AF$7)/$H36*OFFSET(ORÇAMENTO!$X$15,ROW(AJ36)-ROW(AJ$15),0),
ROUND(ROUND(OFFSET($P36,0,AJ$13),15-13*ORÇAMENTO!$AF$7)*OFFSET(ORÇAMENTO!$W$15,ROW(AJ36)-ROW(AJ$15),0),15-13*ORÇAMENTO!$AF$11)),0)</f>
        <v>0</v>
      </c>
      <c r="AK36" s="284" t="n">
        <f aca="true">IF(AND($D36="Serviço",AK$12&lt;&gt;0,$H36&gt;0,OR(AUTOEVENTO&lt;&gt;"manual",$M36&lt;&gt;1)),
IF(Import.TipoArredondamento&lt;&gt;"TransfereGOV",
ROUND(OFFSET($P36,0,AK$13),15-13*ORÇAMENTO!$AF$7)/$H36*OFFSET(ORÇAMENTO!$X$15,ROW(AK36)-ROW(AK$15),0),
ROUND(ROUND(OFFSET($P36,0,AK$13),15-13*ORÇAMENTO!$AF$7)*OFFSET(ORÇAMENTO!$W$15,ROW(AK36)-ROW(AK$15),0),15-13*ORÇAMENTO!$AF$11)),0)</f>
        <v>0</v>
      </c>
      <c r="AM36" s="285" t="n">
        <f aca="true">IF($D36&lt;&gt;"Serviço",0,IF(AND(AUTOEVENTO="Manual",$M36=1),0,IF(OFFSET(CRONOPLE!$F$14,$M36,AM$13)="",10^12,OFFSET(CRONOPLE!$F$14,$M36,AM$13))))</f>
        <v>2</v>
      </c>
      <c r="AN36" s="285" t="n">
        <f aca="true">IF($D36&lt;&gt;"Serviço",0,IF(AND(AUTOEVENTO="Manual",$M36=1),0,IF(OFFSET(CRONOPLE!$F$14,$M36,AN$13)="",10^12,OFFSET(CRONOPLE!$F$14,$M36,AN$13))))</f>
        <v>1000000000000</v>
      </c>
      <c r="AO36" s="285" t="n">
        <f aca="true">IF($D36&lt;&gt;"Serviço",0,IF(AND(AUTOEVENTO="Manual",$M36=1),0,IF(OFFSET(CRONOPLE!$F$14,$M36,AO$13)="",10^12,OFFSET(CRONOPLE!$F$14,$M36,AO$13))))</f>
        <v>1000000000000</v>
      </c>
      <c r="AP36" s="285" t="n">
        <f aca="true">IF($D36&lt;&gt;"Serviço",0,IF(AND(AUTOEVENTO="Manual",$M36=1),0,IF(OFFSET(CRONOPLE!$F$14,$M36,AP$13)="",10^12,OFFSET(CRONOPLE!$F$14,$M36,AP$13))))</f>
        <v>1000000000000</v>
      </c>
      <c r="AQ36" s="285" t="n">
        <f aca="true">IF($D36&lt;&gt;"Serviço",0,IF(AND(AUTOEVENTO="Manual",$M36=1),0,IF(OFFSET(CRONOPLE!$F$14,$M36,AQ$13)="",10^12,OFFSET(CRONOPLE!$F$14,$M36,AQ$13))))</f>
        <v>1000000000000</v>
      </c>
      <c r="AR36" s="285" t="n">
        <f aca="true">IF($D36&lt;&gt;"Serviço",0,IF(AND(AUTOEVENTO="Manual",$M36=1),0,IF(OFFSET(CRONOPLE!$F$14,$M36,AR$13)="",10^12,OFFSET(CRONOPLE!$F$14,$M36,AR$13))))</f>
        <v>1000000000000</v>
      </c>
      <c r="AS36" s="285" t="n">
        <f aca="true">IF($D36&lt;&gt;"Serviço",0,IF(AND(AUTOEVENTO="Manual",$M36=1),0,IF(OFFSET(CRONOPLE!$F$14,$M36,AS$13)="",10^12,OFFSET(CRONOPLE!$F$14,$M36,AS$13))))</f>
        <v>1000000000000</v>
      </c>
      <c r="AT36" s="285" t="n">
        <f aca="true">IF($D36&lt;&gt;"Serviço",0,IF(AND(AUTOEVENTO="Manual",$M36=1),0,IF(OFFSET(CRONOPLE!$F$14,$M36,AT$13)="",10^12,OFFSET(CRONOPLE!$F$14,$M36,AT$13))))</f>
        <v>1000000000000</v>
      </c>
      <c r="AU36" s="285" t="n">
        <f aca="true">IF($D36&lt;&gt;"Serviço",0,IF(AND(AUTOEVENTO="Manual",$M36=1),0,IF(OFFSET(CRONOPLE!$F$14,$M36,AU$13)="",10^12,OFFSET(CRONOPLE!$F$14,$M36,AU$13))))</f>
        <v>1000000000000</v>
      </c>
      <c r="AV36" s="285" t="n">
        <f aca="true">IF($D36&lt;&gt;"Serviço",0,IF(AND(AUTOEVENTO="Manual",$M36=1),0,IF(OFFSET(CRONOPLE!$F$14,$M36,AV$13)="",10^12,OFFSET(CRONOPLE!$F$14,$M36,AV$13))))</f>
        <v>1000000000000</v>
      </c>
      <c r="AX36" s="286" t="n">
        <f aca="true">IF($D36&lt;&gt;"Serviço",0,IF(OR(AND(AUTOEVENTO="Manual",$M36=1),$M36&gt;(ROW(PLE.lastrow)-ROW(PLE.firstrow))),0,IF(OFFSET(PLE!$G$14,$M36,AX$13)="",10^12,OFFSET(PLE!$G$14,$M36,AX$13))))</f>
        <v>1000000000000</v>
      </c>
      <c r="AY36" s="286" t="n">
        <f aca="true">IF($D36&lt;&gt;"Serviço",0,IF(OR(AND(AUTOEVENTO="Manual",$M36=1),$M36&gt;(ROW(PLE.lastrow)-ROW(PLE.firstrow))),0,IF(OFFSET(PLE!$G$14,$M36,AY$13)="",10^12,OFFSET(PLE!$G$14,$M36,AY$13))))</f>
        <v>1000000000000</v>
      </c>
      <c r="AZ36" s="286" t="n">
        <f aca="true">IF($D36&lt;&gt;"Serviço",0,IF(OR(AND(AUTOEVENTO="Manual",$M36=1),$M36&gt;(ROW(PLE.lastrow)-ROW(PLE.firstrow))),0,IF(OFFSET(PLE!$G$14,$M36,AZ$13)="",10^12,OFFSET(PLE!$G$14,$M36,AZ$13))))</f>
        <v>1000000000000</v>
      </c>
      <c r="BA36" s="286" t="n">
        <f aca="true">IF($D36&lt;&gt;"Serviço",0,IF(OR(AND(AUTOEVENTO="Manual",$M36=1),$M36&gt;(ROW(PLE.lastrow)-ROW(PLE.firstrow))),0,IF(OFFSET(PLE!$G$14,$M36,BA$13)="",10^12,OFFSET(PLE!$G$14,$M36,BA$13))))</f>
        <v>1000000000000</v>
      </c>
      <c r="BB36" s="286" t="n">
        <f aca="true">IF($D36&lt;&gt;"Serviço",0,IF(OR(AND(AUTOEVENTO="Manual",$M36=1),$M36&gt;(ROW(PLE.lastrow)-ROW(PLE.firstrow))),0,IF(OFFSET(PLE!$G$14,$M36,BB$13)="",10^12,OFFSET(PLE!$G$14,$M36,BB$13))))</f>
        <v>1000000000000</v>
      </c>
      <c r="BC36" s="286" t="n">
        <f aca="true">IF($D36&lt;&gt;"Serviço",0,IF(OR(AND(AUTOEVENTO="Manual",$M36=1),$M36&gt;(ROW(PLE.lastrow)-ROW(PLE.firstrow))),0,IF(OFFSET(PLE!$G$14,$M36,BC$13)="",10^12,OFFSET(PLE!$G$14,$M36,BC$13))))</f>
        <v>1000000000000</v>
      </c>
      <c r="BD36" s="286" t="n">
        <f aca="true">IF($D36&lt;&gt;"Serviço",0,IF(OR(AND(AUTOEVENTO="Manual",$M36=1),$M36&gt;(ROW(PLE.lastrow)-ROW(PLE.firstrow))),0,IF(OFFSET(PLE!$G$14,$M36,BD$13)="",10^12,OFFSET(PLE!$G$14,$M36,BD$13))))</f>
        <v>1000000000000</v>
      </c>
      <c r="BE36" s="286" t="n">
        <f aca="true">IF($D36&lt;&gt;"Serviço",0,IF(OR(AND(AUTOEVENTO="Manual",$M36=1),$M36&gt;(ROW(PLE.lastrow)-ROW(PLE.firstrow))),0,IF(OFFSET(PLE!$G$14,$M36,BE$13)="",10^12,OFFSET(PLE!$G$14,$M36,BE$13))))</f>
        <v>1000000000000</v>
      </c>
      <c r="BF36" s="286" t="n">
        <f aca="true">IF($D36&lt;&gt;"Serviço",0,IF(OR(AND(AUTOEVENTO="Manual",$M36=1),$M36&gt;(ROW(PLE.lastrow)-ROW(PLE.firstrow))),0,IF(OFFSET(PLE!$G$14,$M36,BF$13)="",10^12,OFFSET(PLE!$G$14,$M36,BF$13))))</f>
        <v>1000000000000</v>
      </c>
      <c r="BG36" s="286" t="n">
        <f aca="true">IF($D36&lt;&gt;"Serviço",0,IF(OR(AND(AUTOEVENTO="Manual",$M36=1),$M36&gt;(ROW(PLE.lastrow)-ROW(PLE.firstrow))),0,IF(OFFSET(PLE!$G$14,$M36,BG$13)="",10^12,OFFSET(PLE!$G$14,$M36,BG$13))))</f>
        <v>1000000000000</v>
      </c>
    </row>
    <row r="37" customFormat="false" ht="68.65" hidden="false" customHeight="false" outlineLevel="0" collapsed="false">
      <c r="A37" s="34" t="n">
        <f aca="true">IF(AUTOEVENTO="Manual",IF(K37&lt;&gt;"",MIN(VALUE(LEFT(K37,FIND(".",K37)-1)),COUNTA(EVENTOS.Lista)),0),IF(OR($B37&gt;AUTOEVENTO,$B37="S",$B37=0),SUBSTITUTE(OFFSET($A37,-1,0),IF($D37="Serviço",".",""),""),ROW(A37)-ROW($A$15)&amp;"."))</f>
        <v>6</v>
      </c>
      <c r="B37" s="34" t="str">
        <f aca="true">OFFSET(ORÇAMENTO!C$15,ROW(B37)-ROW(B$15),0)</f>
        <v>S</v>
      </c>
      <c r="C37" s="34" t="str">
        <f aca="true">OFFSET(ORÇAMENTO!L$15,ROW(C37)-ROW(C$15),0)</f>
        <v/>
      </c>
      <c r="D37" s="187" t="str">
        <f aca="true">OFFSET(ORÇAMENTO!N$15,ROW(D37)-ROW(D$15),0)</f>
        <v>Serviço</v>
      </c>
      <c r="E37" s="188" t="str">
        <f aca="true">OFFSET(ORÇAMENTO!O$15,ROW(E37)-ROW(E$15),0)</f>
        <v>-</v>
      </c>
      <c r="F37" s="272" t="str">
        <f aca="true">OFFSET(ORÇAMENTO!R$15,ROW(F37)-ROW(F$15),0)</f>
        <v>(abra o arquivo 'Referência 02-Thursday.xlsm)</v>
      </c>
      <c r="G37" s="273" t="str">
        <f aca="true">IF($D37&lt;&gt;"Serviço","",OFFSET(ORÇAMENTO!S$15,ROW(G37)-ROW(G$15),0))</f>
        <v>-</v>
      </c>
      <c r="H37" s="193" t="n">
        <f aca="true">IF($D37&lt;&gt;"Serviço",0,IF(ACOMPANHAMENTO="BM",ROUND(OFFSET(ORÇAMENTO!AJ$15,ROW(H37)-ROW(H$15),0),15-13*ORÇAMENTO!$AF$7),SUMPRODUCT(($Q$12:$AA$12&lt;&gt;"")*ROUND($Q37:$AA37,15-13*ORÇAMENTO!$AF$7))))</f>
        <v>121975.88</v>
      </c>
      <c r="I37" s="274" t="s">
        <v>373</v>
      </c>
      <c r="K37" s="275" t="s">
        <v>372</v>
      </c>
      <c r="L37" s="276" t="s">
        <v>347</v>
      </c>
      <c r="M37" s="277" t="n">
        <f aca="true">IF($D37&lt;&gt;"Serviço","",IF(AUTOEVENTO="manual",$A37,IF(ISERROR(MATCH($A37,$A$15:OFFSET($A37,-1,0),0)),MAX($M$15:OFFSET(M37,-1,0))+1,INDEX($M$15:OFFSET(M37,-1,0),MATCH($A37,$A$15:OFFSET($A37,-1,0),0)))))</f>
        <v>6</v>
      </c>
      <c r="N37" s="278" t="str">
        <f aca="true">IF($D37&lt;&gt;"Serviço","",IF(AUTOEVENTO="Manual",IF($A37=0,"&lt;-- defina o número do agrupador",OFFSET(EVENTOS!$D$14,$A37,0)),OFFSET($F$15,$A37,0)))</f>
        <v>Subbase</v>
      </c>
      <c r="O37" s="279"/>
      <c r="Q37" s="279" t="n">
        <f aca="false">Q36*2.1*86.05</f>
        <v>121975.875</v>
      </c>
      <c r="R37" s="280"/>
      <c r="S37" s="280"/>
      <c r="T37" s="280"/>
      <c r="U37" s="280"/>
      <c r="V37" s="280"/>
      <c r="W37" s="280"/>
      <c r="X37" s="280"/>
      <c r="Y37" s="280"/>
      <c r="Z37" s="281"/>
      <c r="AB37" s="282" t="n">
        <f aca="true">IF(AND($D37="Serviço",AB$12&lt;&gt;0,$H37&gt;0,OR(AUTOEVENTO&lt;&gt;"manual",$M37&lt;&gt;1)),
IF(Import.TipoArredondamento&lt;&gt;"TransfereGOV",
ROUND(OFFSET($P37,0,AB$13),15-13*ORÇAMENTO!$AF$7)/$H37*OFFSET(ORÇAMENTO!$X$15,ROW(AB37)-ROW(AB$15),0),
ROUND(ROUND(OFFSET($P37,0,AB$13),15-13*ORÇAMENTO!$AF$7)*OFFSET(ORÇAMENTO!$W$15,ROW(AB37)-ROW(AB$15),0),15-13*ORÇAMENTO!$AF$11)),0)</f>
        <v>0</v>
      </c>
      <c r="AC37" s="283" t="n">
        <f aca="true">IF(AND($D37="Serviço",AC$12&lt;&gt;0,$H37&gt;0,OR(AUTOEVENTO&lt;&gt;"manual",$M37&lt;&gt;1)),
IF(Import.TipoArredondamento&lt;&gt;"TransfereGOV",
ROUND(OFFSET($P37,0,AC$13),15-13*ORÇAMENTO!$AF$7)/$H37*OFFSET(ORÇAMENTO!$X$15,ROW(AC37)-ROW(AC$15),0),
ROUND(ROUND(OFFSET($P37,0,AC$13),15-13*ORÇAMENTO!$AF$7)*OFFSET(ORÇAMENTO!$W$15,ROW(AC37)-ROW(AC$15),0),15-13*ORÇAMENTO!$AF$11)),0)</f>
        <v>0</v>
      </c>
      <c r="AD37" s="283" t="n">
        <f aca="true">IF(AND($D37="Serviço",AD$12&lt;&gt;0,$H37&gt;0,OR(AUTOEVENTO&lt;&gt;"manual",$M37&lt;&gt;1)),
IF(Import.TipoArredondamento&lt;&gt;"TransfereGOV",
ROUND(OFFSET($P37,0,AD$13),15-13*ORÇAMENTO!$AF$7)/$H37*OFFSET(ORÇAMENTO!$X$15,ROW(AD37)-ROW(AD$15),0),
ROUND(ROUND(OFFSET($P37,0,AD$13),15-13*ORÇAMENTO!$AF$7)*OFFSET(ORÇAMENTO!$W$15,ROW(AD37)-ROW(AD$15),0),15-13*ORÇAMENTO!$AF$11)),0)</f>
        <v>0</v>
      </c>
      <c r="AE37" s="283" t="n">
        <f aca="true">IF(AND($D37="Serviço",AE$12&lt;&gt;0,$H37&gt;0,OR(AUTOEVENTO&lt;&gt;"manual",$M37&lt;&gt;1)),
IF(Import.TipoArredondamento&lt;&gt;"TransfereGOV",
ROUND(OFFSET($P37,0,AE$13),15-13*ORÇAMENTO!$AF$7)/$H37*OFFSET(ORÇAMENTO!$X$15,ROW(AE37)-ROW(AE$15),0),
ROUND(ROUND(OFFSET($P37,0,AE$13),15-13*ORÇAMENTO!$AF$7)*OFFSET(ORÇAMENTO!$W$15,ROW(AE37)-ROW(AE$15),0),15-13*ORÇAMENTO!$AF$11)),0)</f>
        <v>0</v>
      </c>
      <c r="AF37" s="283" t="n">
        <f aca="true">IF(AND($D37="Serviço",AF$12&lt;&gt;0,$H37&gt;0,OR(AUTOEVENTO&lt;&gt;"manual",$M37&lt;&gt;1)),
IF(Import.TipoArredondamento&lt;&gt;"TransfereGOV",
ROUND(OFFSET($P37,0,AF$13),15-13*ORÇAMENTO!$AF$7)/$H37*OFFSET(ORÇAMENTO!$X$15,ROW(AF37)-ROW(AF$15),0),
ROUND(ROUND(OFFSET($P37,0,AF$13),15-13*ORÇAMENTO!$AF$7)*OFFSET(ORÇAMENTO!$W$15,ROW(AF37)-ROW(AF$15),0),15-13*ORÇAMENTO!$AF$11)),0)</f>
        <v>0</v>
      </c>
      <c r="AG37" s="283" t="n">
        <f aca="true">IF(AND($D37="Serviço",AG$12&lt;&gt;0,$H37&gt;0,OR(AUTOEVENTO&lt;&gt;"manual",$M37&lt;&gt;1)),
IF(Import.TipoArredondamento&lt;&gt;"TransfereGOV",
ROUND(OFFSET($P37,0,AG$13),15-13*ORÇAMENTO!$AF$7)/$H37*OFFSET(ORÇAMENTO!$X$15,ROW(AG37)-ROW(AG$15),0),
ROUND(ROUND(OFFSET($P37,0,AG$13),15-13*ORÇAMENTO!$AF$7)*OFFSET(ORÇAMENTO!$W$15,ROW(AG37)-ROW(AG$15),0),15-13*ORÇAMENTO!$AF$11)),0)</f>
        <v>0</v>
      </c>
      <c r="AH37" s="283" t="n">
        <f aca="true">IF(AND($D37="Serviço",AH$12&lt;&gt;0,$H37&gt;0,OR(AUTOEVENTO&lt;&gt;"manual",$M37&lt;&gt;1)),
IF(Import.TipoArredondamento&lt;&gt;"TransfereGOV",
ROUND(OFFSET($P37,0,AH$13),15-13*ORÇAMENTO!$AF$7)/$H37*OFFSET(ORÇAMENTO!$X$15,ROW(AH37)-ROW(AH$15),0),
ROUND(ROUND(OFFSET($P37,0,AH$13),15-13*ORÇAMENTO!$AF$7)*OFFSET(ORÇAMENTO!$W$15,ROW(AH37)-ROW(AH$15),0),15-13*ORÇAMENTO!$AF$11)),0)</f>
        <v>0</v>
      </c>
      <c r="AI37" s="283" t="n">
        <f aca="true">IF(AND($D37="Serviço",AI$12&lt;&gt;0,$H37&gt;0,OR(AUTOEVENTO&lt;&gt;"manual",$M37&lt;&gt;1)),
IF(Import.TipoArredondamento&lt;&gt;"TransfereGOV",
ROUND(OFFSET($P37,0,AI$13),15-13*ORÇAMENTO!$AF$7)/$H37*OFFSET(ORÇAMENTO!$X$15,ROW(AI37)-ROW(AI$15),0),
ROUND(ROUND(OFFSET($P37,0,AI$13),15-13*ORÇAMENTO!$AF$7)*OFFSET(ORÇAMENTO!$W$15,ROW(AI37)-ROW(AI$15),0),15-13*ORÇAMENTO!$AF$11)),0)</f>
        <v>0</v>
      </c>
      <c r="AJ37" s="283" t="n">
        <f aca="true">IF(AND($D37="Serviço",AJ$12&lt;&gt;0,$H37&gt;0,OR(AUTOEVENTO&lt;&gt;"manual",$M37&lt;&gt;1)),
IF(Import.TipoArredondamento&lt;&gt;"TransfereGOV",
ROUND(OFFSET($P37,0,AJ$13),15-13*ORÇAMENTO!$AF$7)/$H37*OFFSET(ORÇAMENTO!$X$15,ROW(AJ37)-ROW(AJ$15),0),
ROUND(ROUND(OFFSET($P37,0,AJ$13),15-13*ORÇAMENTO!$AF$7)*OFFSET(ORÇAMENTO!$W$15,ROW(AJ37)-ROW(AJ$15),0),15-13*ORÇAMENTO!$AF$11)),0)</f>
        <v>0</v>
      </c>
      <c r="AK37" s="284" t="n">
        <f aca="true">IF(AND($D37="Serviço",AK$12&lt;&gt;0,$H37&gt;0,OR(AUTOEVENTO&lt;&gt;"manual",$M37&lt;&gt;1)),
IF(Import.TipoArredondamento&lt;&gt;"TransfereGOV",
ROUND(OFFSET($P37,0,AK$13),15-13*ORÇAMENTO!$AF$7)/$H37*OFFSET(ORÇAMENTO!$X$15,ROW(AK37)-ROW(AK$15),0),
ROUND(ROUND(OFFSET($P37,0,AK$13),15-13*ORÇAMENTO!$AF$7)*OFFSET(ORÇAMENTO!$W$15,ROW(AK37)-ROW(AK$15),0),15-13*ORÇAMENTO!$AF$11)),0)</f>
        <v>0</v>
      </c>
      <c r="AM37" s="285" t="n">
        <f aca="true">IF($D37&lt;&gt;"Serviço",0,IF(AND(AUTOEVENTO="Manual",$M37=1),0,IF(OFFSET(CRONOPLE!$F$14,$M37,AM$13)="",10^12,OFFSET(CRONOPLE!$F$14,$M37,AM$13))))</f>
        <v>2</v>
      </c>
      <c r="AN37" s="285" t="n">
        <f aca="true">IF($D37&lt;&gt;"Serviço",0,IF(AND(AUTOEVENTO="Manual",$M37=1),0,IF(OFFSET(CRONOPLE!$F$14,$M37,AN$13)="",10^12,OFFSET(CRONOPLE!$F$14,$M37,AN$13))))</f>
        <v>1000000000000</v>
      </c>
      <c r="AO37" s="285" t="n">
        <f aca="true">IF($D37&lt;&gt;"Serviço",0,IF(AND(AUTOEVENTO="Manual",$M37=1),0,IF(OFFSET(CRONOPLE!$F$14,$M37,AO$13)="",10^12,OFFSET(CRONOPLE!$F$14,$M37,AO$13))))</f>
        <v>1000000000000</v>
      </c>
      <c r="AP37" s="285" t="n">
        <f aca="true">IF($D37&lt;&gt;"Serviço",0,IF(AND(AUTOEVENTO="Manual",$M37=1),0,IF(OFFSET(CRONOPLE!$F$14,$M37,AP$13)="",10^12,OFFSET(CRONOPLE!$F$14,$M37,AP$13))))</f>
        <v>1000000000000</v>
      </c>
      <c r="AQ37" s="285" t="n">
        <f aca="true">IF($D37&lt;&gt;"Serviço",0,IF(AND(AUTOEVENTO="Manual",$M37=1),0,IF(OFFSET(CRONOPLE!$F$14,$M37,AQ$13)="",10^12,OFFSET(CRONOPLE!$F$14,$M37,AQ$13))))</f>
        <v>1000000000000</v>
      </c>
      <c r="AR37" s="285" t="n">
        <f aca="true">IF($D37&lt;&gt;"Serviço",0,IF(AND(AUTOEVENTO="Manual",$M37=1),0,IF(OFFSET(CRONOPLE!$F$14,$M37,AR$13)="",10^12,OFFSET(CRONOPLE!$F$14,$M37,AR$13))))</f>
        <v>1000000000000</v>
      </c>
      <c r="AS37" s="285" t="n">
        <f aca="true">IF($D37&lt;&gt;"Serviço",0,IF(AND(AUTOEVENTO="Manual",$M37=1),0,IF(OFFSET(CRONOPLE!$F$14,$M37,AS$13)="",10^12,OFFSET(CRONOPLE!$F$14,$M37,AS$13))))</f>
        <v>1000000000000</v>
      </c>
      <c r="AT37" s="285" t="n">
        <f aca="true">IF($D37&lt;&gt;"Serviço",0,IF(AND(AUTOEVENTO="Manual",$M37=1),0,IF(OFFSET(CRONOPLE!$F$14,$M37,AT$13)="",10^12,OFFSET(CRONOPLE!$F$14,$M37,AT$13))))</f>
        <v>1000000000000</v>
      </c>
      <c r="AU37" s="285" t="n">
        <f aca="true">IF($D37&lt;&gt;"Serviço",0,IF(AND(AUTOEVENTO="Manual",$M37=1),0,IF(OFFSET(CRONOPLE!$F$14,$M37,AU$13)="",10^12,OFFSET(CRONOPLE!$F$14,$M37,AU$13))))</f>
        <v>1000000000000</v>
      </c>
      <c r="AV37" s="285" t="n">
        <f aca="true">IF($D37&lt;&gt;"Serviço",0,IF(AND(AUTOEVENTO="Manual",$M37=1),0,IF(OFFSET(CRONOPLE!$F$14,$M37,AV$13)="",10^12,OFFSET(CRONOPLE!$F$14,$M37,AV$13))))</f>
        <v>1000000000000</v>
      </c>
      <c r="AX37" s="286" t="n">
        <f aca="true">IF($D37&lt;&gt;"Serviço",0,IF(OR(AND(AUTOEVENTO="Manual",$M37=1),$M37&gt;(ROW(PLE.lastrow)-ROW(PLE.firstrow))),0,IF(OFFSET(PLE!$G$14,$M37,AX$13)="",10^12,OFFSET(PLE!$G$14,$M37,AX$13))))</f>
        <v>1000000000000</v>
      </c>
      <c r="AY37" s="286" t="n">
        <f aca="true">IF($D37&lt;&gt;"Serviço",0,IF(OR(AND(AUTOEVENTO="Manual",$M37=1),$M37&gt;(ROW(PLE.lastrow)-ROW(PLE.firstrow))),0,IF(OFFSET(PLE!$G$14,$M37,AY$13)="",10^12,OFFSET(PLE!$G$14,$M37,AY$13))))</f>
        <v>1000000000000</v>
      </c>
      <c r="AZ37" s="286" t="n">
        <f aca="true">IF($D37&lt;&gt;"Serviço",0,IF(OR(AND(AUTOEVENTO="Manual",$M37=1),$M37&gt;(ROW(PLE.lastrow)-ROW(PLE.firstrow))),0,IF(OFFSET(PLE!$G$14,$M37,AZ$13)="",10^12,OFFSET(PLE!$G$14,$M37,AZ$13))))</f>
        <v>1000000000000</v>
      </c>
      <c r="BA37" s="286" t="n">
        <f aca="true">IF($D37&lt;&gt;"Serviço",0,IF(OR(AND(AUTOEVENTO="Manual",$M37=1),$M37&gt;(ROW(PLE.lastrow)-ROW(PLE.firstrow))),0,IF(OFFSET(PLE!$G$14,$M37,BA$13)="",10^12,OFFSET(PLE!$G$14,$M37,BA$13))))</f>
        <v>1000000000000</v>
      </c>
      <c r="BB37" s="286" t="n">
        <f aca="true">IF($D37&lt;&gt;"Serviço",0,IF(OR(AND(AUTOEVENTO="Manual",$M37=1),$M37&gt;(ROW(PLE.lastrow)-ROW(PLE.firstrow))),0,IF(OFFSET(PLE!$G$14,$M37,BB$13)="",10^12,OFFSET(PLE!$G$14,$M37,BB$13))))</f>
        <v>1000000000000</v>
      </c>
      <c r="BC37" s="286" t="n">
        <f aca="true">IF($D37&lt;&gt;"Serviço",0,IF(OR(AND(AUTOEVENTO="Manual",$M37=1),$M37&gt;(ROW(PLE.lastrow)-ROW(PLE.firstrow))),0,IF(OFFSET(PLE!$G$14,$M37,BC$13)="",10^12,OFFSET(PLE!$G$14,$M37,BC$13))))</f>
        <v>1000000000000</v>
      </c>
      <c r="BD37" s="286" t="n">
        <f aca="true">IF($D37&lt;&gt;"Serviço",0,IF(OR(AND(AUTOEVENTO="Manual",$M37=1),$M37&gt;(ROW(PLE.lastrow)-ROW(PLE.firstrow))),0,IF(OFFSET(PLE!$G$14,$M37,BD$13)="",10^12,OFFSET(PLE!$G$14,$M37,BD$13))))</f>
        <v>1000000000000</v>
      </c>
      <c r="BE37" s="286" t="n">
        <f aca="true">IF($D37&lt;&gt;"Serviço",0,IF(OR(AND(AUTOEVENTO="Manual",$M37=1),$M37&gt;(ROW(PLE.lastrow)-ROW(PLE.firstrow))),0,IF(OFFSET(PLE!$G$14,$M37,BE$13)="",10^12,OFFSET(PLE!$G$14,$M37,BE$13))))</f>
        <v>1000000000000</v>
      </c>
      <c r="BF37" s="286" t="n">
        <f aca="true">IF($D37&lt;&gt;"Serviço",0,IF(OR(AND(AUTOEVENTO="Manual",$M37=1),$M37&gt;(ROW(PLE.lastrow)-ROW(PLE.firstrow))),0,IF(OFFSET(PLE!$G$14,$M37,BF$13)="",10^12,OFFSET(PLE!$G$14,$M37,BF$13))))</f>
        <v>1000000000000</v>
      </c>
      <c r="BG37" s="286" t="n">
        <f aca="true">IF($D37&lt;&gt;"Serviço",0,IF(OR(AND(AUTOEVENTO="Manual",$M37=1),$M37&gt;(ROW(PLE.lastrow)-ROW(PLE.firstrow))),0,IF(OFFSET(PLE!$G$14,$M37,BG$13)="",10^12,OFFSET(PLE!$G$14,$M37,BG$13))))</f>
        <v>1000000000000</v>
      </c>
    </row>
    <row r="38" customFormat="false" ht="12.75" hidden="false" customHeight="false" outlineLevel="0" collapsed="false">
      <c r="A38" s="34" t="n">
        <f aca="true">IF(AUTOEVENTO="Manual",IF(K38&lt;&gt;"",MIN(VALUE(LEFT(K38,FIND(".",K38)-1)),COUNTA(EVENTOS.Lista)),0),IF(OR($B38&gt;AUTOEVENTO,$B38="S",$B38=0),SUBSTITUTE(OFFSET($A38,-1,0),IF($D38="Serviço",".",""),""),ROW(A38)-ROW($A$15)&amp;"."))</f>
        <v>0</v>
      </c>
      <c r="B38" s="34" t="n">
        <f aca="true">OFFSET(ORÇAMENTO!C$15,ROW(B38)-ROW(B$15),0)</f>
        <v>2</v>
      </c>
      <c r="C38" s="34" t="str">
        <f aca="true">OFFSET(ORÇAMENTO!L$15,ROW(C38)-ROW(C$15),0)</f>
        <v>F</v>
      </c>
      <c r="D38" s="187" t="str">
        <f aca="true">OFFSET(ORÇAMENTO!N$15,ROW(D38)-ROW(D$15),0)</f>
        <v>Nível 2</v>
      </c>
      <c r="E38" s="188" t="str">
        <f aca="true">OFFSET(ORÇAMENTO!O$15,ROW(E38)-ROW(E$15),0)</f>
        <v>1.7.</v>
      </c>
      <c r="F38" s="272" t="str">
        <f aca="true">OFFSET(ORÇAMENTO!R$15,ROW(F38)-ROW(F$15),0)</f>
        <v>Base  </v>
      </c>
      <c r="G38" s="273" t="str">
        <f aca="true">IF($D38&lt;&gt;"Serviço","",OFFSET(ORÇAMENTO!S$15,ROW(G38)-ROW(G$15),0))</f>
        <v/>
      </c>
      <c r="H38" s="193" t="n">
        <f aca="true">IF($D38&lt;&gt;"Serviço",0,IF(ACOMPANHAMENTO="BM",ROUND(OFFSET(ORÇAMENTO!AJ$15,ROW(H38)-ROW(H$15),0),15-13*ORÇAMENTO!$AF$7),SUMPRODUCT(($Q$12:$AA$12&lt;&gt;"")*ROUND($Q38:$AA38,15-13*ORÇAMENTO!$AF$7))))</f>
        <v>0</v>
      </c>
      <c r="I38" s="274"/>
      <c r="K38" s="275"/>
      <c r="L38" s="276" t="s">
        <v>347</v>
      </c>
      <c r="M38" s="277" t="str">
        <f aca="true">IF($D38&lt;&gt;"Serviço","",IF(AUTOEVENTO="manual",$A38,IF(ISERROR(MATCH($A38,$A$15:OFFSET($A38,-1,0),0)),MAX($M$15:OFFSET(M38,-1,0))+1,INDEX($M$15:OFFSET(M38,-1,0),MATCH($A38,$A$15:OFFSET($A38,-1,0),0)))))</f>
        <v/>
      </c>
      <c r="N38" s="278" t="str">
        <f aca="true">IF($D38&lt;&gt;"Serviço","",IF(AUTOEVENTO="Manual",IF($A38=0,"&lt;-- defina o número do agrupador",OFFSET(EVENTOS!$D$14,$A38,0)),OFFSET($F$15,$A38,0)))</f>
        <v/>
      </c>
      <c r="O38" s="279"/>
      <c r="Q38" s="279"/>
      <c r="R38" s="280"/>
      <c r="S38" s="280"/>
      <c r="T38" s="280"/>
      <c r="U38" s="280"/>
      <c r="V38" s="280"/>
      <c r="W38" s="280"/>
      <c r="X38" s="280"/>
      <c r="Y38" s="280"/>
      <c r="Z38" s="281"/>
      <c r="AB38" s="282" t="n">
        <f aca="true">IF(AND($D38="Serviço",AB$12&lt;&gt;0,$H38&gt;0,OR(AUTOEVENTO&lt;&gt;"manual",$M38&lt;&gt;1)),
IF(Import.TipoArredondamento&lt;&gt;"TransfereGOV",
ROUND(OFFSET($P38,0,AB$13),15-13*ORÇAMENTO!$AF$7)/$H38*OFFSET(ORÇAMENTO!$X$15,ROW(AB38)-ROW(AB$15),0),
ROUND(ROUND(OFFSET($P38,0,AB$13),15-13*ORÇAMENTO!$AF$7)*OFFSET(ORÇAMENTO!$W$15,ROW(AB38)-ROW(AB$15),0),15-13*ORÇAMENTO!$AF$11)),0)</f>
        <v>0</v>
      </c>
      <c r="AC38" s="283" t="n">
        <f aca="true">IF(AND($D38="Serviço",AC$12&lt;&gt;0,$H38&gt;0,OR(AUTOEVENTO&lt;&gt;"manual",$M38&lt;&gt;1)),
IF(Import.TipoArredondamento&lt;&gt;"TransfereGOV",
ROUND(OFFSET($P38,0,AC$13),15-13*ORÇAMENTO!$AF$7)/$H38*OFFSET(ORÇAMENTO!$X$15,ROW(AC38)-ROW(AC$15),0),
ROUND(ROUND(OFFSET($P38,0,AC$13),15-13*ORÇAMENTO!$AF$7)*OFFSET(ORÇAMENTO!$W$15,ROW(AC38)-ROW(AC$15),0),15-13*ORÇAMENTO!$AF$11)),0)</f>
        <v>0</v>
      </c>
      <c r="AD38" s="283" t="n">
        <f aca="true">IF(AND($D38="Serviço",AD$12&lt;&gt;0,$H38&gt;0,OR(AUTOEVENTO&lt;&gt;"manual",$M38&lt;&gt;1)),
IF(Import.TipoArredondamento&lt;&gt;"TransfereGOV",
ROUND(OFFSET($P38,0,AD$13),15-13*ORÇAMENTO!$AF$7)/$H38*OFFSET(ORÇAMENTO!$X$15,ROW(AD38)-ROW(AD$15),0),
ROUND(ROUND(OFFSET($P38,0,AD$13),15-13*ORÇAMENTO!$AF$7)*OFFSET(ORÇAMENTO!$W$15,ROW(AD38)-ROW(AD$15),0),15-13*ORÇAMENTO!$AF$11)),0)</f>
        <v>0</v>
      </c>
      <c r="AE38" s="283" t="n">
        <f aca="true">IF(AND($D38="Serviço",AE$12&lt;&gt;0,$H38&gt;0,OR(AUTOEVENTO&lt;&gt;"manual",$M38&lt;&gt;1)),
IF(Import.TipoArredondamento&lt;&gt;"TransfereGOV",
ROUND(OFFSET($P38,0,AE$13),15-13*ORÇAMENTO!$AF$7)/$H38*OFFSET(ORÇAMENTO!$X$15,ROW(AE38)-ROW(AE$15),0),
ROUND(ROUND(OFFSET($P38,0,AE$13),15-13*ORÇAMENTO!$AF$7)*OFFSET(ORÇAMENTO!$W$15,ROW(AE38)-ROW(AE$15),0),15-13*ORÇAMENTO!$AF$11)),0)</f>
        <v>0</v>
      </c>
      <c r="AF38" s="283" t="n">
        <f aca="true">IF(AND($D38="Serviço",AF$12&lt;&gt;0,$H38&gt;0,OR(AUTOEVENTO&lt;&gt;"manual",$M38&lt;&gt;1)),
IF(Import.TipoArredondamento&lt;&gt;"TransfereGOV",
ROUND(OFFSET($P38,0,AF$13),15-13*ORÇAMENTO!$AF$7)/$H38*OFFSET(ORÇAMENTO!$X$15,ROW(AF38)-ROW(AF$15),0),
ROUND(ROUND(OFFSET($P38,0,AF$13),15-13*ORÇAMENTO!$AF$7)*OFFSET(ORÇAMENTO!$W$15,ROW(AF38)-ROW(AF$15),0),15-13*ORÇAMENTO!$AF$11)),0)</f>
        <v>0</v>
      </c>
      <c r="AG38" s="283" t="n">
        <f aca="true">IF(AND($D38="Serviço",AG$12&lt;&gt;0,$H38&gt;0,OR(AUTOEVENTO&lt;&gt;"manual",$M38&lt;&gt;1)),
IF(Import.TipoArredondamento&lt;&gt;"TransfereGOV",
ROUND(OFFSET($P38,0,AG$13),15-13*ORÇAMENTO!$AF$7)/$H38*OFFSET(ORÇAMENTO!$X$15,ROW(AG38)-ROW(AG$15),0),
ROUND(ROUND(OFFSET($P38,0,AG$13),15-13*ORÇAMENTO!$AF$7)*OFFSET(ORÇAMENTO!$W$15,ROW(AG38)-ROW(AG$15),0),15-13*ORÇAMENTO!$AF$11)),0)</f>
        <v>0</v>
      </c>
      <c r="AH38" s="283" t="n">
        <f aca="true">IF(AND($D38="Serviço",AH$12&lt;&gt;0,$H38&gt;0,OR(AUTOEVENTO&lt;&gt;"manual",$M38&lt;&gt;1)),
IF(Import.TipoArredondamento&lt;&gt;"TransfereGOV",
ROUND(OFFSET($P38,0,AH$13),15-13*ORÇAMENTO!$AF$7)/$H38*OFFSET(ORÇAMENTO!$X$15,ROW(AH38)-ROW(AH$15),0),
ROUND(ROUND(OFFSET($P38,0,AH$13),15-13*ORÇAMENTO!$AF$7)*OFFSET(ORÇAMENTO!$W$15,ROW(AH38)-ROW(AH$15),0),15-13*ORÇAMENTO!$AF$11)),0)</f>
        <v>0</v>
      </c>
      <c r="AI38" s="283" t="n">
        <f aca="true">IF(AND($D38="Serviço",AI$12&lt;&gt;0,$H38&gt;0,OR(AUTOEVENTO&lt;&gt;"manual",$M38&lt;&gt;1)),
IF(Import.TipoArredondamento&lt;&gt;"TransfereGOV",
ROUND(OFFSET($P38,0,AI$13),15-13*ORÇAMENTO!$AF$7)/$H38*OFFSET(ORÇAMENTO!$X$15,ROW(AI38)-ROW(AI$15),0),
ROUND(ROUND(OFFSET($P38,0,AI$13),15-13*ORÇAMENTO!$AF$7)*OFFSET(ORÇAMENTO!$W$15,ROW(AI38)-ROW(AI$15),0),15-13*ORÇAMENTO!$AF$11)),0)</f>
        <v>0</v>
      </c>
      <c r="AJ38" s="283" t="n">
        <f aca="true">IF(AND($D38="Serviço",AJ$12&lt;&gt;0,$H38&gt;0,OR(AUTOEVENTO&lt;&gt;"manual",$M38&lt;&gt;1)),
IF(Import.TipoArredondamento&lt;&gt;"TransfereGOV",
ROUND(OFFSET($P38,0,AJ$13),15-13*ORÇAMENTO!$AF$7)/$H38*OFFSET(ORÇAMENTO!$X$15,ROW(AJ38)-ROW(AJ$15),0),
ROUND(ROUND(OFFSET($P38,0,AJ$13),15-13*ORÇAMENTO!$AF$7)*OFFSET(ORÇAMENTO!$W$15,ROW(AJ38)-ROW(AJ$15),0),15-13*ORÇAMENTO!$AF$11)),0)</f>
        <v>0</v>
      </c>
      <c r="AK38" s="284" t="n">
        <f aca="true">IF(AND($D38="Serviço",AK$12&lt;&gt;0,$H38&gt;0,OR(AUTOEVENTO&lt;&gt;"manual",$M38&lt;&gt;1)),
IF(Import.TipoArredondamento&lt;&gt;"TransfereGOV",
ROUND(OFFSET($P38,0,AK$13),15-13*ORÇAMENTO!$AF$7)/$H38*OFFSET(ORÇAMENTO!$X$15,ROW(AK38)-ROW(AK$15),0),
ROUND(ROUND(OFFSET($P38,0,AK$13),15-13*ORÇAMENTO!$AF$7)*OFFSET(ORÇAMENTO!$W$15,ROW(AK38)-ROW(AK$15),0),15-13*ORÇAMENTO!$AF$11)),0)</f>
        <v>0</v>
      </c>
      <c r="AM38" s="285" t="n">
        <f aca="true">IF($D38&lt;&gt;"Serviço",0,IF(AND(AUTOEVENTO="Manual",$M38=1),0,IF(OFFSET(CRONOPLE!$F$14,$M38,AM$13)="",10^12,OFFSET(CRONOPLE!$F$14,$M38,AM$13))))</f>
        <v>0</v>
      </c>
      <c r="AN38" s="285" t="n">
        <f aca="true">IF($D38&lt;&gt;"Serviço",0,IF(AND(AUTOEVENTO="Manual",$M38=1),0,IF(OFFSET(CRONOPLE!$F$14,$M38,AN$13)="",10^12,OFFSET(CRONOPLE!$F$14,$M38,AN$13))))</f>
        <v>0</v>
      </c>
      <c r="AO38" s="285" t="n">
        <f aca="true">IF($D38&lt;&gt;"Serviço",0,IF(AND(AUTOEVENTO="Manual",$M38=1),0,IF(OFFSET(CRONOPLE!$F$14,$M38,AO$13)="",10^12,OFFSET(CRONOPLE!$F$14,$M38,AO$13))))</f>
        <v>0</v>
      </c>
      <c r="AP38" s="285" t="n">
        <f aca="true">IF($D38&lt;&gt;"Serviço",0,IF(AND(AUTOEVENTO="Manual",$M38=1),0,IF(OFFSET(CRONOPLE!$F$14,$M38,AP$13)="",10^12,OFFSET(CRONOPLE!$F$14,$M38,AP$13))))</f>
        <v>0</v>
      </c>
      <c r="AQ38" s="285" t="n">
        <f aca="true">IF($D38&lt;&gt;"Serviço",0,IF(AND(AUTOEVENTO="Manual",$M38=1),0,IF(OFFSET(CRONOPLE!$F$14,$M38,AQ$13)="",10^12,OFFSET(CRONOPLE!$F$14,$M38,AQ$13))))</f>
        <v>0</v>
      </c>
      <c r="AR38" s="285" t="n">
        <f aca="true">IF($D38&lt;&gt;"Serviço",0,IF(AND(AUTOEVENTO="Manual",$M38=1),0,IF(OFFSET(CRONOPLE!$F$14,$M38,AR$13)="",10^12,OFFSET(CRONOPLE!$F$14,$M38,AR$13))))</f>
        <v>0</v>
      </c>
      <c r="AS38" s="285" t="n">
        <f aca="true">IF($D38&lt;&gt;"Serviço",0,IF(AND(AUTOEVENTO="Manual",$M38=1),0,IF(OFFSET(CRONOPLE!$F$14,$M38,AS$13)="",10^12,OFFSET(CRONOPLE!$F$14,$M38,AS$13))))</f>
        <v>0</v>
      </c>
      <c r="AT38" s="285" t="n">
        <f aca="true">IF($D38&lt;&gt;"Serviço",0,IF(AND(AUTOEVENTO="Manual",$M38=1),0,IF(OFFSET(CRONOPLE!$F$14,$M38,AT$13)="",10^12,OFFSET(CRONOPLE!$F$14,$M38,AT$13))))</f>
        <v>0</v>
      </c>
      <c r="AU38" s="285" t="n">
        <f aca="true">IF($D38&lt;&gt;"Serviço",0,IF(AND(AUTOEVENTO="Manual",$M38=1),0,IF(OFFSET(CRONOPLE!$F$14,$M38,AU$13)="",10^12,OFFSET(CRONOPLE!$F$14,$M38,AU$13))))</f>
        <v>0</v>
      </c>
      <c r="AV38" s="285" t="n">
        <f aca="true">IF($D38&lt;&gt;"Serviço",0,IF(AND(AUTOEVENTO="Manual",$M38=1),0,IF(OFFSET(CRONOPLE!$F$14,$M38,AV$13)="",10^12,OFFSET(CRONOPLE!$F$14,$M38,AV$13))))</f>
        <v>0</v>
      </c>
      <c r="AX38" s="286" t="n">
        <f aca="true">IF($D38&lt;&gt;"Serviço",0,IF(OR(AND(AUTOEVENTO="Manual",$M38=1),$M38&gt;(ROW(PLE.lastrow)-ROW(PLE.firstrow))),0,IF(OFFSET(PLE!$G$14,$M38,AX$13)="",10^12,OFFSET(PLE!$G$14,$M38,AX$13))))</f>
        <v>0</v>
      </c>
      <c r="AY38" s="286" t="n">
        <f aca="true">IF($D38&lt;&gt;"Serviço",0,IF(OR(AND(AUTOEVENTO="Manual",$M38=1),$M38&gt;(ROW(PLE.lastrow)-ROW(PLE.firstrow))),0,IF(OFFSET(PLE!$G$14,$M38,AY$13)="",10^12,OFFSET(PLE!$G$14,$M38,AY$13))))</f>
        <v>0</v>
      </c>
      <c r="AZ38" s="286" t="n">
        <f aca="true">IF($D38&lt;&gt;"Serviço",0,IF(OR(AND(AUTOEVENTO="Manual",$M38=1),$M38&gt;(ROW(PLE.lastrow)-ROW(PLE.firstrow))),0,IF(OFFSET(PLE!$G$14,$M38,AZ$13)="",10^12,OFFSET(PLE!$G$14,$M38,AZ$13))))</f>
        <v>0</v>
      </c>
      <c r="BA38" s="286" t="n">
        <f aca="true">IF($D38&lt;&gt;"Serviço",0,IF(OR(AND(AUTOEVENTO="Manual",$M38=1),$M38&gt;(ROW(PLE.lastrow)-ROW(PLE.firstrow))),0,IF(OFFSET(PLE!$G$14,$M38,BA$13)="",10^12,OFFSET(PLE!$G$14,$M38,BA$13))))</f>
        <v>0</v>
      </c>
      <c r="BB38" s="286" t="n">
        <f aca="true">IF($D38&lt;&gt;"Serviço",0,IF(OR(AND(AUTOEVENTO="Manual",$M38=1),$M38&gt;(ROW(PLE.lastrow)-ROW(PLE.firstrow))),0,IF(OFFSET(PLE!$G$14,$M38,BB$13)="",10^12,OFFSET(PLE!$G$14,$M38,BB$13))))</f>
        <v>0</v>
      </c>
      <c r="BC38" s="286" t="n">
        <f aca="true">IF($D38&lt;&gt;"Serviço",0,IF(OR(AND(AUTOEVENTO="Manual",$M38=1),$M38&gt;(ROW(PLE.lastrow)-ROW(PLE.firstrow))),0,IF(OFFSET(PLE!$G$14,$M38,BC$13)="",10^12,OFFSET(PLE!$G$14,$M38,BC$13))))</f>
        <v>0</v>
      </c>
      <c r="BD38" s="286" t="n">
        <f aca="true">IF($D38&lt;&gt;"Serviço",0,IF(OR(AND(AUTOEVENTO="Manual",$M38=1),$M38&gt;(ROW(PLE.lastrow)-ROW(PLE.firstrow))),0,IF(OFFSET(PLE!$G$14,$M38,BD$13)="",10^12,OFFSET(PLE!$G$14,$M38,BD$13))))</f>
        <v>0</v>
      </c>
      <c r="BE38" s="286" t="n">
        <f aca="true">IF($D38&lt;&gt;"Serviço",0,IF(OR(AND(AUTOEVENTO="Manual",$M38=1),$M38&gt;(ROW(PLE.lastrow)-ROW(PLE.firstrow))),0,IF(OFFSET(PLE!$G$14,$M38,BE$13)="",10^12,OFFSET(PLE!$G$14,$M38,BE$13))))</f>
        <v>0</v>
      </c>
      <c r="BF38" s="286" t="n">
        <f aca="true">IF($D38&lt;&gt;"Serviço",0,IF(OR(AND(AUTOEVENTO="Manual",$M38=1),$M38&gt;(ROW(PLE.lastrow)-ROW(PLE.firstrow))),0,IF(OFFSET(PLE!$G$14,$M38,BF$13)="",10^12,OFFSET(PLE!$G$14,$M38,BF$13))))</f>
        <v>0</v>
      </c>
      <c r="BG38" s="286" t="n">
        <f aca="true">IF($D38&lt;&gt;"Serviço",0,IF(OR(AND(AUTOEVENTO="Manual",$M38=1),$M38&gt;(ROW(PLE.lastrow)-ROW(PLE.firstrow))),0,IF(OFFSET(PLE!$G$14,$M38,BG$13)="",10^12,OFFSET(PLE!$G$14,$M38,BG$13))))</f>
        <v>0</v>
      </c>
    </row>
    <row r="39" customFormat="false" ht="35.05" hidden="false" customHeight="false" outlineLevel="0" collapsed="false">
      <c r="A39" s="34" t="n">
        <f aca="true">IF(AUTOEVENTO="Manual",IF(K39&lt;&gt;"",MIN(VALUE(LEFT(K39,FIND(".",K39)-1)),COUNTA(EVENTOS.Lista)),0),IF(OR($B39&gt;AUTOEVENTO,$B39="S",$B39=0),SUBSTITUTE(OFFSET($A39,-1,0),IF($D39="Serviço",".",""),""),ROW(A39)-ROW($A$15)&amp;"."))</f>
        <v>7</v>
      </c>
      <c r="B39" s="34" t="str">
        <f aca="true">OFFSET(ORÇAMENTO!C$15,ROW(B39)-ROW(B$15),0)</f>
        <v>S</v>
      </c>
      <c r="C39" s="34" t="str">
        <f aca="true">OFFSET(ORÇAMENTO!L$15,ROW(C39)-ROW(C$15),0)</f>
        <v/>
      </c>
      <c r="D39" s="187" t="str">
        <f aca="true">OFFSET(ORÇAMENTO!N$15,ROW(D39)-ROW(D$15),0)</f>
        <v>Serviço</v>
      </c>
      <c r="E39" s="188" t="str">
        <f aca="true">OFFSET(ORÇAMENTO!O$15,ROW(E39)-ROW(E$15),0)</f>
        <v>-</v>
      </c>
      <c r="F39" s="272" t="str">
        <f aca="true">OFFSET(ORÇAMENTO!R$15,ROW(F39)-ROW(F$15),0)</f>
        <v>(abra o arquivo 'Referência 02-Thursday.xlsm)</v>
      </c>
      <c r="G39" s="273" t="str">
        <f aca="true">IF($D39&lt;&gt;"Serviço","",OFFSET(ORÇAMENTO!S$15,ROW(G39)-ROW(G$15),0))</f>
        <v>-</v>
      </c>
      <c r="H39" s="193" t="n">
        <f aca="true">IF($D39&lt;&gt;"Serviço",0,IF(ACOMPANHAMENTO="BM",ROUND(OFFSET(ORÇAMENTO!AJ$15,ROW(H39)-ROW(H$15),0),15-13*ORÇAMENTO!$AF$7),SUMPRODUCT(($Q$12:$AA$12&lt;&gt;"")*ROUND($Q39:$AA39,15-13*ORÇAMENTO!$AF$7))))</f>
        <v>675</v>
      </c>
      <c r="I39" s="274" t="s">
        <v>371</v>
      </c>
      <c r="K39" s="275" t="s">
        <v>374</v>
      </c>
      <c r="L39" s="276" t="s">
        <v>347</v>
      </c>
      <c r="M39" s="277" t="n">
        <f aca="true">IF($D39&lt;&gt;"Serviço","",IF(AUTOEVENTO="manual",$A39,IF(ISERROR(MATCH($A39,$A$15:OFFSET($A39,-1,0),0)),MAX($M$15:OFFSET(M39,-1,0))+1,INDEX($M$15:OFFSET(M39,-1,0),MATCH($A39,$A$15:OFFSET($A39,-1,0),0)))))</f>
        <v>7</v>
      </c>
      <c r="N39" s="278" t="str">
        <f aca="true">IF($D39&lt;&gt;"Serviço","",IF(AUTOEVENTO="Manual",IF($A39=0,"&lt;-- defina o número do agrupador",OFFSET(EVENTOS!$D$14,$A39,0)),OFFSET($F$15,$A39,0)))</f>
        <v>Base</v>
      </c>
      <c r="O39" s="279"/>
      <c r="Q39" s="279" t="n">
        <v>675</v>
      </c>
      <c r="R39" s="280"/>
      <c r="S39" s="280"/>
      <c r="T39" s="280"/>
      <c r="U39" s="280"/>
      <c r="V39" s="280"/>
      <c r="W39" s="280"/>
      <c r="X39" s="280"/>
      <c r="Y39" s="280"/>
      <c r="Z39" s="281"/>
      <c r="AB39" s="282" t="n">
        <f aca="true">IF(AND($D39="Serviço",AB$12&lt;&gt;0,$H39&gt;0,OR(AUTOEVENTO&lt;&gt;"manual",$M39&lt;&gt;1)),
IF(Import.TipoArredondamento&lt;&gt;"TransfereGOV",
ROUND(OFFSET($P39,0,AB$13),15-13*ORÇAMENTO!$AF$7)/$H39*OFFSET(ORÇAMENTO!$X$15,ROW(AB39)-ROW(AB$15),0),
ROUND(ROUND(OFFSET($P39,0,AB$13),15-13*ORÇAMENTO!$AF$7)*OFFSET(ORÇAMENTO!$W$15,ROW(AB39)-ROW(AB$15),0),15-13*ORÇAMENTO!$AF$11)),0)</f>
        <v>0</v>
      </c>
      <c r="AC39" s="283" t="n">
        <f aca="true">IF(AND($D39="Serviço",AC$12&lt;&gt;0,$H39&gt;0,OR(AUTOEVENTO&lt;&gt;"manual",$M39&lt;&gt;1)),
IF(Import.TipoArredondamento&lt;&gt;"TransfereGOV",
ROUND(OFFSET($P39,0,AC$13),15-13*ORÇAMENTO!$AF$7)/$H39*OFFSET(ORÇAMENTO!$X$15,ROW(AC39)-ROW(AC$15),0),
ROUND(ROUND(OFFSET($P39,0,AC$13),15-13*ORÇAMENTO!$AF$7)*OFFSET(ORÇAMENTO!$W$15,ROW(AC39)-ROW(AC$15),0),15-13*ORÇAMENTO!$AF$11)),0)</f>
        <v>0</v>
      </c>
      <c r="AD39" s="283" t="n">
        <f aca="true">IF(AND($D39="Serviço",AD$12&lt;&gt;0,$H39&gt;0,OR(AUTOEVENTO&lt;&gt;"manual",$M39&lt;&gt;1)),
IF(Import.TipoArredondamento&lt;&gt;"TransfereGOV",
ROUND(OFFSET($P39,0,AD$13),15-13*ORÇAMENTO!$AF$7)/$H39*OFFSET(ORÇAMENTO!$X$15,ROW(AD39)-ROW(AD$15),0),
ROUND(ROUND(OFFSET($P39,0,AD$13),15-13*ORÇAMENTO!$AF$7)*OFFSET(ORÇAMENTO!$W$15,ROW(AD39)-ROW(AD$15),0),15-13*ORÇAMENTO!$AF$11)),0)</f>
        <v>0</v>
      </c>
      <c r="AE39" s="283" t="n">
        <f aca="true">IF(AND($D39="Serviço",AE$12&lt;&gt;0,$H39&gt;0,OR(AUTOEVENTO&lt;&gt;"manual",$M39&lt;&gt;1)),
IF(Import.TipoArredondamento&lt;&gt;"TransfereGOV",
ROUND(OFFSET($P39,0,AE$13),15-13*ORÇAMENTO!$AF$7)/$H39*OFFSET(ORÇAMENTO!$X$15,ROW(AE39)-ROW(AE$15),0),
ROUND(ROUND(OFFSET($P39,0,AE$13),15-13*ORÇAMENTO!$AF$7)*OFFSET(ORÇAMENTO!$W$15,ROW(AE39)-ROW(AE$15),0),15-13*ORÇAMENTO!$AF$11)),0)</f>
        <v>0</v>
      </c>
      <c r="AF39" s="283" t="n">
        <f aca="true">IF(AND($D39="Serviço",AF$12&lt;&gt;0,$H39&gt;0,OR(AUTOEVENTO&lt;&gt;"manual",$M39&lt;&gt;1)),
IF(Import.TipoArredondamento&lt;&gt;"TransfereGOV",
ROUND(OFFSET($P39,0,AF$13),15-13*ORÇAMENTO!$AF$7)/$H39*OFFSET(ORÇAMENTO!$X$15,ROW(AF39)-ROW(AF$15),0),
ROUND(ROUND(OFFSET($P39,0,AF$13),15-13*ORÇAMENTO!$AF$7)*OFFSET(ORÇAMENTO!$W$15,ROW(AF39)-ROW(AF$15),0),15-13*ORÇAMENTO!$AF$11)),0)</f>
        <v>0</v>
      </c>
      <c r="AG39" s="283" t="n">
        <f aca="true">IF(AND($D39="Serviço",AG$12&lt;&gt;0,$H39&gt;0,OR(AUTOEVENTO&lt;&gt;"manual",$M39&lt;&gt;1)),
IF(Import.TipoArredondamento&lt;&gt;"TransfereGOV",
ROUND(OFFSET($P39,0,AG$13),15-13*ORÇAMENTO!$AF$7)/$H39*OFFSET(ORÇAMENTO!$X$15,ROW(AG39)-ROW(AG$15),0),
ROUND(ROUND(OFFSET($P39,0,AG$13),15-13*ORÇAMENTO!$AF$7)*OFFSET(ORÇAMENTO!$W$15,ROW(AG39)-ROW(AG$15),0),15-13*ORÇAMENTO!$AF$11)),0)</f>
        <v>0</v>
      </c>
      <c r="AH39" s="283" t="n">
        <f aca="true">IF(AND($D39="Serviço",AH$12&lt;&gt;0,$H39&gt;0,OR(AUTOEVENTO&lt;&gt;"manual",$M39&lt;&gt;1)),
IF(Import.TipoArredondamento&lt;&gt;"TransfereGOV",
ROUND(OFFSET($P39,0,AH$13),15-13*ORÇAMENTO!$AF$7)/$H39*OFFSET(ORÇAMENTO!$X$15,ROW(AH39)-ROW(AH$15),0),
ROUND(ROUND(OFFSET($P39,0,AH$13),15-13*ORÇAMENTO!$AF$7)*OFFSET(ORÇAMENTO!$W$15,ROW(AH39)-ROW(AH$15),0),15-13*ORÇAMENTO!$AF$11)),0)</f>
        <v>0</v>
      </c>
      <c r="AI39" s="283" t="n">
        <f aca="true">IF(AND($D39="Serviço",AI$12&lt;&gt;0,$H39&gt;0,OR(AUTOEVENTO&lt;&gt;"manual",$M39&lt;&gt;1)),
IF(Import.TipoArredondamento&lt;&gt;"TransfereGOV",
ROUND(OFFSET($P39,0,AI$13),15-13*ORÇAMENTO!$AF$7)/$H39*OFFSET(ORÇAMENTO!$X$15,ROW(AI39)-ROW(AI$15),0),
ROUND(ROUND(OFFSET($P39,0,AI$13),15-13*ORÇAMENTO!$AF$7)*OFFSET(ORÇAMENTO!$W$15,ROW(AI39)-ROW(AI$15),0),15-13*ORÇAMENTO!$AF$11)),0)</f>
        <v>0</v>
      </c>
      <c r="AJ39" s="283" t="n">
        <f aca="true">IF(AND($D39="Serviço",AJ$12&lt;&gt;0,$H39&gt;0,OR(AUTOEVENTO&lt;&gt;"manual",$M39&lt;&gt;1)),
IF(Import.TipoArredondamento&lt;&gt;"TransfereGOV",
ROUND(OFFSET($P39,0,AJ$13),15-13*ORÇAMENTO!$AF$7)/$H39*OFFSET(ORÇAMENTO!$X$15,ROW(AJ39)-ROW(AJ$15),0),
ROUND(ROUND(OFFSET($P39,0,AJ$13),15-13*ORÇAMENTO!$AF$7)*OFFSET(ORÇAMENTO!$W$15,ROW(AJ39)-ROW(AJ$15),0),15-13*ORÇAMENTO!$AF$11)),0)</f>
        <v>0</v>
      </c>
      <c r="AK39" s="284" t="n">
        <f aca="true">IF(AND($D39="Serviço",AK$12&lt;&gt;0,$H39&gt;0,OR(AUTOEVENTO&lt;&gt;"manual",$M39&lt;&gt;1)),
IF(Import.TipoArredondamento&lt;&gt;"TransfereGOV",
ROUND(OFFSET($P39,0,AK$13),15-13*ORÇAMENTO!$AF$7)/$H39*OFFSET(ORÇAMENTO!$X$15,ROW(AK39)-ROW(AK$15),0),
ROUND(ROUND(OFFSET($P39,0,AK$13),15-13*ORÇAMENTO!$AF$7)*OFFSET(ORÇAMENTO!$W$15,ROW(AK39)-ROW(AK$15),0),15-13*ORÇAMENTO!$AF$11)),0)</f>
        <v>0</v>
      </c>
      <c r="AM39" s="285" t="n">
        <f aca="true">IF($D39&lt;&gt;"Serviço",0,IF(AND(AUTOEVENTO="Manual",$M39=1),0,IF(OFFSET(CRONOPLE!$F$14,$M39,AM$13)="",10^12,OFFSET(CRONOPLE!$F$14,$M39,AM$13))))</f>
        <v>2</v>
      </c>
      <c r="AN39" s="285" t="n">
        <f aca="true">IF($D39&lt;&gt;"Serviço",0,IF(AND(AUTOEVENTO="Manual",$M39=1),0,IF(OFFSET(CRONOPLE!$F$14,$M39,AN$13)="",10^12,OFFSET(CRONOPLE!$F$14,$M39,AN$13))))</f>
        <v>1000000000000</v>
      </c>
      <c r="AO39" s="285" t="n">
        <f aca="true">IF($D39&lt;&gt;"Serviço",0,IF(AND(AUTOEVENTO="Manual",$M39=1),0,IF(OFFSET(CRONOPLE!$F$14,$M39,AO$13)="",10^12,OFFSET(CRONOPLE!$F$14,$M39,AO$13))))</f>
        <v>1000000000000</v>
      </c>
      <c r="AP39" s="285" t="n">
        <f aca="true">IF($D39&lt;&gt;"Serviço",0,IF(AND(AUTOEVENTO="Manual",$M39=1),0,IF(OFFSET(CRONOPLE!$F$14,$M39,AP$13)="",10^12,OFFSET(CRONOPLE!$F$14,$M39,AP$13))))</f>
        <v>1000000000000</v>
      </c>
      <c r="AQ39" s="285" t="n">
        <f aca="true">IF($D39&lt;&gt;"Serviço",0,IF(AND(AUTOEVENTO="Manual",$M39=1),0,IF(OFFSET(CRONOPLE!$F$14,$M39,AQ$13)="",10^12,OFFSET(CRONOPLE!$F$14,$M39,AQ$13))))</f>
        <v>1000000000000</v>
      </c>
      <c r="AR39" s="285" t="n">
        <f aca="true">IF($D39&lt;&gt;"Serviço",0,IF(AND(AUTOEVENTO="Manual",$M39=1),0,IF(OFFSET(CRONOPLE!$F$14,$M39,AR$13)="",10^12,OFFSET(CRONOPLE!$F$14,$M39,AR$13))))</f>
        <v>1000000000000</v>
      </c>
      <c r="AS39" s="285" t="n">
        <f aca="true">IF($D39&lt;&gt;"Serviço",0,IF(AND(AUTOEVENTO="Manual",$M39=1),0,IF(OFFSET(CRONOPLE!$F$14,$M39,AS$13)="",10^12,OFFSET(CRONOPLE!$F$14,$M39,AS$13))))</f>
        <v>1000000000000</v>
      </c>
      <c r="AT39" s="285" t="n">
        <f aca="true">IF($D39&lt;&gt;"Serviço",0,IF(AND(AUTOEVENTO="Manual",$M39=1),0,IF(OFFSET(CRONOPLE!$F$14,$M39,AT$13)="",10^12,OFFSET(CRONOPLE!$F$14,$M39,AT$13))))</f>
        <v>1000000000000</v>
      </c>
      <c r="AU39" s="285" t="n">
        <f aca="true">IF($D39&lt;&gt;"Serviço",0,IF(AND(AUTOEVENTO="Manual",$M39=1),0,IF(OFFSET(CRONOPLE!$F$14,$M39,AU$13)="",10^12,OFFSET(CRONOPLE!$F$14,$M39,AU$13))))</f>
        <v>1000000000000</v>
      </c>
      <c r="AV39" s="285" t="n">
        <f aca="true">IF($D39&lt;&gt;"Serviço",0,IF(AND(AUTOEVENTO="Manual",$M39=1),0,IF(OFFSET(CRONOPLE!$F$14,$M39,AV$13)="",10^12,OFFSET(CRONOPLE!$F$14,$M39,AV$13))))</f>
        <v>1000000000000</v>
      </c>
      <c r="AX39" s="286" t="n">
        <f aca="true">IF($D39&lt;&gt;"Serviço",0,IF(OR(AND(AUTOEVENTO="Manual",$M39=1),$M39&gt;(ROW(PLE.lastrow)-ROW(PLE.firstrow))),0,IF(OFFSET(PLE!$G$14,$M39,AX$13)="",10^12,OFFSET(PLE!$G$14,$M39,AX$13))))</f>
        <v>1000000000000</v>
      </c>
      <c r="AY39" s="286" t="n">
        <f aca="true">IF($D39&lt;&gt;"Serviço",0,IF(OR(AND(AUTOEVENTO="Manual",$M39=1),$M39&gt;(ROW(PLE.lastrow)-ROW(PLE.firstrow))),0,IF(OFFSET(PLE!$G$14,$M39,AY$13)="",10^12,OFFSET(PLE!$G$14,$M39,AY$13))))</f>
        <v>1000000000000</v>
      </c>
      <c r="AZ39" s="286" t="n">
        <f aca="true">IF($D39&lt;&gt;"Serviço",0,IF(OR(AND(AUTOEVENTO="Manual",$M39=1),$M39&gt;(ROW(PLE.lastrow)-ROW(PLE.firstrow))),0,IF(OFFSET(PLE!$G$14,$M39,AZ$13)="",10^12,OFFSET(PLE!$G$14,$M39,AZ$13))))</f>
        <v>1000000000000</v>
      </c>
      <c r="BA39" s="286" t="n">
        <f aca="true">IF($D39&lt;&gt;"Serviço",0,IF(OR(AND(AUTOEVENTO="Manual",$M39=1),$M39&gt;(ROW(PLE.lastrow)-ROW(PLE.firstrow))),0,IF(OFFSET(PLE!$G$14,$M39,BA$13)="",10^12,OFFSET(PLE!$G$14,$M39,BA$13))))</f>
        <v>1000000000000</v>
      </c>
      <c r="BB39" s="286" t="n">
        <f aca="true">IF($D39&lt;&gt;"Serviço",0,IF(OR(AND(AUTOEVENTO="Manual",$M39=1),$M39&gt;(ROW(PLE.lastrow)-ROW(PLE.firstrow))),0,IF(OFFSET(PLE!$G$14,$M39,BB$13)="",10^12,OFFSET(PLE!$G$14,$M39,BB$13))))</f>
        <v>1000000000000</v>
      </c>
      <c r="BC39" s="286" t="n">
        <f aca="true">IF($D39&lt;&gt;"Serviço",0,IF(OR(AND(AUTOEVENTO="Manual",$M39=1),$M39&gt;(ROW(PLE.lastrow)-ROW(PLE.firstrow))),0,IF(OFFSET(PLE!$G$14,$M39,BC$13)="",10^12,OFFSET(PLE!$G$14,$M39,BC$13))))</f>
        <v>1000000000000</v>
      </c>
      <c r="BD39" s="286" t="n">
        <f aca="true">IF($D39&lt;&gt;"Serviço",0,IF(OR(AND(AUTOEVENTO="Manual",$M39=1),$M39&gt;(ROW(PLE.lastrow)-ROW(PLE.firstrow))),0,IF(OFFSET(PLE!$G$14,$M39,BD$13)="",10^12,OFFSET(PLE!$G$14,$M39,BD$13))))</f>
        <v>1000000000000</v>
      </c>
      <c r="BE39" s="286" t="n">
        <f aca="true">IF($D39&lt;&gt;"Serviço",0,IF(OR(AND(AUTOEVENTO="Manual",$M39=1),$M39&gt;(ROW(PLE.lastrow)-ROW(PLE.firstrow))),0,IF(OFFSET(PLE!$G$14,$M39,BE$13)="",10^12,OFFSET(PLE!$G$14,$M39,BE$13))))</f>
        <v>1000000000000</v>
      </c>
      <c r="BF39" s="286" t="n">
        <f aca="true">IF($D39&lt;&gt;"Serviço",0,IF(OR(AND(AUTOEVENTO="Manual",$M39=1),$M39&gt;(ROW(PLE.lastrow)-ROW(PLE.firstrow))),0,IF(OFFSET(PLE!$G$14,$M39,BF$13)="",10^12,OFFSET(PLE!$G$14,$M39,BF$13))))</f>
        <v>1000000000000</v>
      </c>
      <c r="BG39" s="286" t="n">
        <f aca="true">IF($D39&lt;&gt;"Serviço",0,IF(OR(AND(AUTOEVENTO="Manual",$M39=1),$M39&gt;(ROW(PLE.lastrow)-ROW(PLE.firstrow))),0,IF(OFFSET(PLE!$G$14,$M39,BG$13)="",10^12,OFFSET(PLE!$G$14,$M39,BG$13))))</f>
        <v>1000000000000</v>
      </c>
    </row>
    <row r="40" customFormat="false" ht="68.65" hidden="false" customHeight="false" outlineLevel="0" collapsed="false">
      <c r="A40" s="34" t="n">
        <f aca="true">IF(AUTOEVENTO="Manual",IF(K40&lt;&gt;"",MIN(VALUE(LEFT(K40,FIND(".",K40)-1)),COUNTA(EVENTOS.Lista)),0),IF(OR($B40&gt;AUTOEVENTO,$B40="S",$B40=0),SUBSTITUTE(OFFSET($A40,-1,0),IF($D40="Serviço",".",""),""),ROW(A40)-ROW($A$15)&amp;"."))</f>
        <v>7</v>
      </c>
      <c r="B40" s="34" t="str">
        <f aca="true">OFFSET(ORÇAMENTO!C$15,ROW(B40)-ROW(B$15),0)</f>
        <v>S</v>
      </c>
      <c r="C40" s="34" t="str">
        <f aca="true">OFFSET(ORÇAMENTO!L$15,ROW(C40)-ROW(C$15),0)</f>
        <v/>
      </c>
      <c r="D40" s="187" t="str">
        <f aca="true">OFFSET(ORÇAMENTO!N$15,ROW(D40)-ROW(D$15),0)</f>
        <v>Serviço</v>
      </c>
      <c r="E40" s="188" t="str">
        <f aca="true">OFFSET(ORÇAMENTO!O$15,ROW(E40)-ROW(E$15),0)</f>
        <v>-</v>
      </c>
      <c r="F40" s="272" t="str">
        <f aca="true">OFFSET(ORÇAMENTO!R$15,ROW(F40)-ROW(F$15),0)</f>
        <v>(abra o arquivo 'Referência 02-Thursday.xlsm)</v>
      </c>
      <c r="G40" s="273" t="str">
        <f aca="true">IF($D40&lt;&gt;"Serviço","",OFFSET(ORÇAMENTO!S$15,ROW(G40)-ROW(G$15),0))</f>
        <v>-</v>
      </c>
      <c r="H40" s="193" t="n">
        <f aca="true">IF($D40&lt;&gt;"Serviço",0,IF(ACOMPANHAMENTO="BM",ROUND(OFFSET(ORÇAMENTO!AJ$15,ROW(H40)-ROW(H$15),0),15-13*ORÇAMENTO!$AF$7),SUMPRODUCT(($Q$12:$AA$12&lt;&gt;"")*ROUND($Q40:$AA40,15-13*ORÇAMENTO!$AF$7))))</f>
        <v>121975.88</v>
      </c>
      <c r="I40" s="274" t="s">
        <v>373</v>
      </c>
      <c r="K40" s="275" t="s">
        <v>374</v>
      </c>
      <c r="L40" s="276" t="s">
        <v>347</v>
      </c>
      <c r="M40" s="277" t="n">
        <f aca="true">IF($D40&lt;&gt;"Serviço","",IF(AUTOEVENTO="manual",$A40,IF(ISERROR(MATCH($A40,$A$15:OFFSET($A40,-1,0),0)),MAX($M$15:OFFSET(M40,-1,0))+1,INDEX($M$15:OFFSET(M40,-1,0),MATCH($A40,$A$15:OFFSET($A40,-1,0),0)))))</f>
        <v>7</v>
      </c>
      <c r="N40" s="278" t="str">
        <f aca="true">IF($D40&lt;&gt;"Serviço","",IF(AUTOEVENTO="Manual",IF($A40=0,"&lt;-- defina o número do agrupador",OFFSET(EVENTOS!$D$14,$A40,0)),OFFSET($F$15,$A40,0)))</f>
        <v>Base</v>
      </c>
      <c r="O40" s="279"/>
      <c r="Q40" s="279" t="n">
        <f aca="false">Q39*2.1*86.05</f>
        <v>121975.875</v>
      </c>
      <c r="R40" s="280"/>
      <c r="S40" s="280"/>
      <c r="T40" s="280"/>
      <c r="U40" s="280"/>
      <c r="V40" s="280"/>
      <c r="W40" s="280"/>
      <c r="X40" s="280"/>
      <c r="Y40" s="280"/>
      <c r="Z40" s="281"/>
      <c r="AB40" s="282" t="n">
        <f aca="true">IF(AND($D40="Serviço",AB$12&lt;&gt;0,$H40&gt;0,OR(AUTOEVENTO&lt;&gt;"manual",$M40&lt;&gt;1)),
IF(Import.TipoArredondamento&lt;&gt;"TransfereGOV",
ROUND(OFFSET($P40,0,AB$13),15-13*ORÇAMENTO!$AF$7)/$H40*OFFSET(ORÇAMENTO!$X$15,ROW(AB40)-ROW(AB$15),0),
ROUND(ROUND(OFFSET($P40,0,AB$13),15-13*ORÇAMENTO!$AF$7)*OFFSET(ORÇAMENTO!$W$15,ROW(AB40)-ROW(AB$15),0),15-13*ORÇAMENTO!$AF$11)),0)</f>
        <v>0</v>
      </c>
      <c r="AC40" s="283" t="n">
        <f aca="true">IF(AND($D40="Serviço",AC$12&lt;&gt;0,$H40&gt;0,OR(AUTOEVENTO&lt;&gt;"manual",$M40&lt;&gt;1)),
IF(Import.TipoArredondamento&lt;&gt;"TransfereGOV",
ROUND(OFFSET($P40,0,AC$13),15-13*ORÇAMENTO!$AF$7)/$H40*OFFSET(ORÇAMENTO!$X$15,ROW(AC40)-ROW(AC$15),0),
ROUND(ROUND(OFFSET($P40,0,AC$13),15-13*ORÇAMENTO!$AF$7)*OFFSET(ORÇAMENTO!$W$15,ROW(AC40)-ROW(AC$15),0),15-13*ORÇAMENTO!$AF$11)),0)</f>
        <v>0</v>
      </c>
      <c r="AD40" s="283" t="n">
        <f aca="true">IF(AND($D40="Serviço",AD$12&lt;&gt;0,$H40&gt;0,OR(AUTOEVENTO&lt;&gt;"manual",$M40&lt;&gt;1)),
IF(Import.TipoArredondamento&lt;&gt;"TransfereGOV",
ROUND(OFFSET($P40,0,AD$13),15-13*ORÇAMENTO!$AF$7)/$H40*OFFSET(ORÇAMENTO!$X$15,ROW(AD40)-ROW(AD$15),0),
ROUND(ROUND(OFFSET($P40,0,AD$13),15-13*ORÇAMENTO!$AF$7)*OFFSET(ORÇAMENTO!$W$15,ROW(AD40)-ROW(AD$15),0),15-13*ORÇAMENTO!$AF$11)),0)</f>
        <v>0</v>
      </c>
      <c r="AE40" s="283" t="n">
        <f aca="true">IF(AND($D40="Serviço",AE$12&lt;&gt;0,$H40&gt;0,OR(AUTOEVENTO&lt;&gt;"manual",$M40&lt;&gt;1)),
IF(Import.TipoArredondamento&lt;&gt;"TransfereGOV",
ROUND(OFFSET($P40,0,AE$13),15-13*ORÇAMENTO!$AF$7)/$H40*OFFSET(ORÇAMENTO!$X$15,ROW(AE40)-ROW(AE$15),0),
ROUND(ROUND(OFFSET($P40,0,AE$13),15-13*ORÇAMENTO!$AF$7)*OFFSET(ORÇAMENTO!$W$15,ROW(AE40)-ROW(AE$15),0),15-13*ORÇAMENTO!$AF$11)),0)</f>
        <v>0</v>
      </c>
      <c r="AF40" s="283" t="n">
        <f aca="true">IF(AND($D40="Serviço",AF$12&lt;&gt;0,$H40&gt;0,OR(AUTOEVENTO&lt;&gt;"manual",$M40&lt;&gt;1)),
IF(Import.TipoArredondamento&lt;&gt;"TransfereGOV",
ROUND(OFFSET($P40,0,AF$13),15-13*ORÇAMENTO!$AF$7)/$H40*OFFSET(ORÇAMENTO!$X$15,ROW(AF40)-ROW(AF$15),0),
ROUND(ROUND(OFFSET($P40,0,AF$13),15-13*ORÇAMENTO!$AF$7)*OFFSET(ORÇAMENTO!$W$15,ROW(AF40)-ROW(AF$15),0),15-13*ORÇAMENTO!$AF$11)),0)</f>
        <v>0</v>
      </c>
      <c r="AG40" s="283" t="n">
        <f aca="true">IF(AND($D40="Serviço",AG$12&lt;&gt;0,$H40&gt;0,OR(AUTOEVENTO&lt;&gt;"manual",$M40&lt;&gt;1)),
IF(Import.TipoArredondamento&lt;&gt;"TransfereGOV",
ROUND(OFFSET($P40,0,AG$13),15-13*ORÇAMENTO!$AF$7)/$H40*OFFSET(ORÇAMENTO!$X$15,ROW(AG40)-ROW(AG$15),0),
ROUND(ROUND(OFFSET($P40,0,AG$13),15-13*ORÇAMENTO!$AF$7)*OFFSET(ORÇAMENTO!$W$15,ROW(AG40)-ROW(AG$15),0),15-13*ORÇAMENTO!$AF$11)),0)</f>
        <v>0</v>
      </c>
      <c r="AH40" s="283" t="n">
        <f aca="true">IF(AND($D40="Serviço",AH$12&lt;&gt;0,$H40&gt;0,OR(AUTOEVENTO&lt;&gt;"manual",$M40&lt;&gt;1)),
IF(Import.TipoArredondamento&lt;&gt;"TransfereGOV",
ROUND(OFFSET($P40,0,AH$13),15-13*ORÇAMENTO!$AF$7)/$H40*OFFSET(ORÇAMENTO!$X$15,ROW(AH40)-ROW(AH$15),0),
ROUND(ROUND(OFFSET($P40,0,AH$13),15-13*ORÇAMENTO!$AF$7)*OFFSET(ORÇAMENTO!$W$15,ROW(AH40)-ROW(AH$15),0),15-13*ORÇAMENTO!$AF$11)),0)</f>
        <v>0</v>
      </c>
      <c r="AI40" s="283" t="n">
        <f aca="true">IF(AND($D40="Serviço",AI$12&lt;&gt;0,$H40&gt;0,OR(AUTOEVENTO&lt;&gt;"manual",$M40&lt;&gt;1)),
IF(Import.TipoArredondamento&lt;&gt;"TransfereGOV",
ROUND(OFFSET($P40,0,AI$13),15-13*ORÇAMENTO!$AF$7)/$H40*OFFSET(ORÇAMENTO!$X$15,ROW(AI40)-ROW(AI$15),0),
ROUND(ROUND(OFFSET($P40,0,AI$13),15-13*ORÇAMENTO!$AF$7)*OFFSET(ORÇAMENTO!$W$15,ROW(AI40)-ROW(AI$15),0),15-13*ORÇAMENTO!$AF$11)),0)</f>
        <v>0</v>
      </c>
      <c r="AJ40" s="283" t="n">
        <f aca="true">IF(AND($D40="Serviço",AJ$12&lt;&gt;0,$H40&gt;0,OR(AUTOEVENTO&lt;&gt;"manual",$M40&lt;&gt;1)),
IF(Import.TipoArredondamento&lt;&gt;"TransfereGOV",
ROUND(OFFSET($P40,0,AJ$13),15-13*ORÇAMENTO!$AF$7)/$H40*OFFSET(ORÇAMENTO!$X$15,ROW(AJ40)-ROW(AJ$15),0),
ROUND(ROUND(OFFSET($P40,0,AJ$13),15-13*ORÇAMENTO!$AF$7)*OFFSET(ORÇAMENTO!$W$15,ROW(AJ40)-ROW(AJ$15),0),15-13*ORÇAMENTO!$AF$11)),0)</f>
        <v>0</v>
      </c>
      <c r="AK40" s="284" t="n">
        <f aca="true">IF(AND($D40="Serviço",AK$12&lt;&gt;0,$H40&gt;0,OR(AUTOEVENTO&lt;&gt;"manual",$M40&lt;&gt;1)),
IF(Import.TipoArredondamento&lt;&gt;"TransfereGOV",
ROUND(OFFSET($P40,0,AK$13),15-13*ORÇAMENTO!$AF$7)/$H40*OFFSET(ORÇAMENTO!$X$15,ROW(AK40)-ROW(AK$15),0),
ROUND(ROUND(OFFSET($P40,0,AK$13),15-13*ORÇAMENTO!$AF$7)*OFFSET(ORÇAMENTO!$W$15,ROW(AK40)-ROW(AK$15),0),15-13*ORÇAMENTO!$AF$11)),0)</f>
        <v>0</v>
      </c>
      <c r="AM40" s="285" t="n">
        <f aca="true">IF($D40&lt;&gt;"Serviço",0,IF(AND(AUTOEVENTO="Manual",$M40=1),0,IF(OFFSET(CRONOPLE!$F$14,$M40,AM$13)="",10^12,OFFSET(CRONOPLE!$F$14,$M40,AM$13))))</f>
        <v>2</v>
      </c>
      <c r="AN40" s="285" t="n">
        <f aca="true">IF($D40&lt;&gt;"Serviço",0,IF(AND(AUTOEVENTO="Manual",$M40=1),0,IF(OFFSET(CRONOPLE!$F$14,$M40,AN$13)="",10^12,OFFSET(CRONOPLE!$F$14,$M40,AN$13))))</f>
        <v>1000000000000</v>
      </c>
      <c r="AO40" s="285" t="n">
        <f aca="true">IF($D40&lt;&gt;"Serviço",0,IF(AND(AUTOEVENTO="Manual",$M40=1),0,IF(OFFSET(CRONOPLE!$F$14,$M40,AO$13)="",10^12,OFFSET(CRONOPLE!$F$14,$M40,AO$13))))</f>
        <v>1000000000000</v>
      </c>
      <c r="AP40" s="285" t="n">
        <f aca="true">IF($D40&lt;&gt;"Serviço",0,IF(AND(AUTOEVENTO="Manual",$M40=1),0,IF(OFFSET(CRONOPLE!$F$14,$M40,AP$13)="",10^12,OFFSET(CRONOPLE!$F$14,$M40,AP$13))))</f>
        <v>1000000000000</v>
      </c>
      <c r="AQ40" s="285" t="n">
        <f aca="true">IF($D40&lt;&gt;"Serviço",0,IF(AND(AUTOEVENTO="Manual",$M40=1),0,IF(OFFSET(CRONOPLE!$F$14,$M40,AQ$13)="",10^12,OFFSET(CRONOPLE!$F$14,$M40,AQ$13))))</f>
        <v>1000000000000</v>
      </c>
      <c r="AR40" s="285" t="n">
        <f aca="true">IF($D40&lt;&gt;"Serviço",0,IF(AND(AUTOEVENTO="Manual",$M40=1),0,IF(OFFSET(CRONOPLE!$F$14,$M40,AR$13)="",10^12,OFFSET(CRONOPLE!$F$14,$M40,AR$13))))</f>
        <v>1000000000000</v>
      </c>
      <c r="AS40" s="285" t="n">
        <f aca="true">IF($D40&lt;&gt;"Serviço",0,IF(AND(AUTOEVENTO="Manual",$M40=1),0,IF(OFFSET(CRONOPLE!$F$14,$M40,AS$13)="",10^12,OFFSET(CRONOPLE!$F$14,$M40,AS$13))))</f>
        <v>1000000000000</v>
      </c>
      <c r="AT40" s="285" t="n">
        <f aca="true">IF($D40&lt;&gt;"Serviço",0,IF(AND(AUTOEVENTO="Manual",$M40=1),0,IF(OFFSET(CRONOPLE!$F$14,$M40,AT$13)="",10^12,OFFSET(CRONOPLE!$F$14,$M40,AT$13))))</f>
        <v>1000000000000</v>
      </c>
      <c r="AU40" s="285" t="n">
        <f aca="true">IF($D40&lt;&gt;"Serviço",0,IF(AND(AUTOEVENTO="Manual",$M40=1),0,IF(OFFSET(CRONOPLE!$F$14,$M40,AU$13)="",10^12,OFFSET(CRONOPLE!$F$14,$M40,AU$13))))</f>
        <v>1000000000000</v>
      </c>
      <c r="AV40" s="285" t="n">
        <f aca="true">IF($D40&lt;&gt;"Serviço",0,IF(AND(AUTOEVENTO="Manual",$M40=1),0,IF(OFFSET(CRONOPLE!$F$14,$M40,AV$13)="",10^12,OFFSET(CRONOPLE!$F$14,$M40,AV$13))))</f>
        <v>1000000000000</v>
      </c>
      <c r="AX40" s="286" t="n">
        <f aca="true">IF($D40&lt;&gt;"Serviço",0,IF(OR(AND(AUTOEVENTO="Manual",$M40=1),$M40&gt;(ROW(PLE.lastrow)-ROW(PLE.firstrow))),0,IF(OFFSET(PLE!$G$14,$M40,AX$13)="",10^12,OFFSET(PLE!$G$14,$M40,AX$13))))</f>
        <v>1000000000000</v>
      </c>
      <c r="AY40" s="286" t="n">
        <f aca="true">IF($D40&lt;&gt;"Serviço",0,IF(OR(AND(AUTOEVENTO="Manual",$M40=1),$M40&gt;(ROW(PLE.lastrow)-ROW(PLE.firstrow))),0,IF(OFFSET(PLE!$G$14,$M40,AY$13)="",10^12,OFFSET(PLE!$G$14,$M40,AY$13))))</f>
        <v>1000000000000</v>
      </c>
      <c r="AZ40" s="286" t="n">
        <f aca="true">IF($D40&lt;&gt;"Serviço",0,IF(OR(AND(AUTOEVENTO="Manual",$M40=1),$M40&gt;(ROW(PLE.lastrow)-ROW(PLE.firstrow))),0,IF(OFFSET(PLE!$G$14,$M40,AZ$13)="",10^12,OFFSET(PLE!$G$14,$M40,AZ$13))))</f>
        <v>1000000000000</v>
      </c>
      <c r="BA40" s="286" t="n">
        <f aca="true">IF($D40&lt;&gt;"Serviço",0,IF(OR(AND(AUTOEVENTO="Manual",$M40=1),$M40&gt;(ROW(PLE.lastrow)-ROW(PLE.firstrow))),0,IF(OFFSET(PLE!$G$14,$M40,BA$13)="",10^12,OFFSET(PLE!$G$14,$M40,BA$13))))</f>
        <v>1000000000000</v>
      </c>
      <c r="BB40" s="286" t="n">
        <f aca="true">IF($D40&lt;&gt;"Serviço",0,IF(OR(AND(AUTOEVENTO="Manual",$M40=1),$M40&gt;(ROW(PLE.lastrow)-ROW(PLE.firstrow))),0,IF(OFFSET(PLE!$G$14,$M40,BB$13)="",10^12,OFFSET(PLE!$G$14,$M40,BB$13))))</f>
        <v>1000000000000</v>
      </c>
      <c r="BC40" s="286" t="n">
        <f aca="true">IF($D40&lt;&gt;"Serviço",0,IF(OR(AND(AUTOEVENTO="Manual",$M40=1),$M40&gt;(ROW(PLE.lastrow)-ROW(PLE.firstrow))),0,IF(OFFSET(PLE!$G$14,$M40,BC$13)="",10^12,OFFSET(PLE!$G$14,$M40,BC$13))))</f>
        <v>1000000000000</v>
      </c>
      <c r="BD40" s="286" t="n">
        <f aca="true">IF($D40&lt;&gt;"Serviço",0,IF(OR(AND(AUTOEVENTO="Manual",$M40=1),$M40&gt;(ROW(PLE.lastrow)-ROW(PLE.firstrow))),0,IF(OFFSET(PLE!$G$14,$M40,BD$13)="",10^12,OFFSET(PLE!$G$14,$M40,BD$13))))</f>
        <v>1000000000000</v>
      </c>
      <c r="BE40" s="286" t="n">
        <f aca="true">IF($D40&lt;&gt;"Serviço",0,IF(OR(AND(AUTOEVENTO="Manual",$M40=1),$M40&gt;(ROW(PLE.lastrow)-ROW(PLE.firstrow))),0,IF(OFFSET(PLE!$G$14,$M40,BE$13)="",10^12,OFFSET(PLE!$G$14,$M40,BE$13))))</f>
        <v>1000000000000</v>
      </c>
      <c r="BF40" s="286" t="n">
        <f aca="true">IF($D40&lt;&gt;"Serviço",0,IF(OR(AND(AUTOEVENTO="Manual",$M40=1),$M40&gt;(ROW(PLE.lastrow)-ROW(PLE.firstrow))),0,IF(OFFSET(PLE!$G$14,$M40,BF$13)="",10^12,OFFSET(PLE!$G$14,$M40,BF$13))))</f>
        <v>1000000000000</v>
      </c>
      <c r="BG40" s="286" t="n">
        <f aca="true">IF($D40&lt;&gt;"Serviço",0,IF(OR(AND(AUTOEVENTO="Manual",$M40=1),$M40&gt;(ROW(PLE.lastrow)-ROW(PLE.firstrow))),0,IF(OFFSET(PLE!$G$14,$M40,BG$13)="",10^12,OFFSET(PLE!$G$14,$M40,BG$13))))</f>
        <v>1000000000000</v>
      </c>
    </row>
    <row r="41" customFormat="false" ht="35.05" hidden="false" customHeight="false" outlineLevel="0" collapsed="false">
      <c r="A41" s="34" t="n">
        <f aca="true">IF(AUTOEVENTO="Manual",IF(K41&lt;&gt;"",MIN(VALUE(LEFT(K41,FIND(".",K41)-1)),COUNTA(EVENTOS.Lista)),0),IF(OR($B41&gt;AUTOEVENTO,$B41="S",$B41=0),SUBSTITUTE(OFFSET($A41,-1,0),IF($D41="Serviço",".",""),""),ROW(A41)-ROW($A$15)&amp;"."))</f>
        <v>7</v>
      </c>
      <c r="B41" s="34" t="str">
        <f aca="true">OFFSET(ORÇAMENTO!C$15,ROW(B41)-ROW(B$15),0)</f>
        <v>S</v>
      </c>
      <c r="C41" s="34" t="str">
        <f aca="true">OFFSET(ORÇAMENTO!L$15,ROW(C41)-ROW(C$15),0)</f>
        <v/>
      </c>
      <c r="D41" s="187" t="str">
        <f aca="true">OFFSET(ORÇAMENTO!N$15,ROW(D41)-ROW(D$15),0)</f>
        <v>Serviço</v>
      </c>
      <c r="E41" s="188" t="str">
        <f aca="true">OFFSET(ORÇAMENTO!O$15,ROW(E41)-ROW(E$15),0)</f>
        <v>-</v>
      </c>
      <c r="F41" s="272" t="str">
        <f aca="true">OFFSET(ORÇAMENTO!R$15,ROW(F41)-ROW(F$15),0)</f>
        <v>(abra o arquivo 'Referência 02-Thursday.xlsm)</v>
      </c>
      <c r="G41" s="273" t="str">
        <f aca="true">IF($D41&lt;&gt;"Serviço","",OFFSET(ORÇAMENTO!S$15,ROW(G41)-ROW(G$15),0))</f>
        <v>-</v>
      </c>
      <c r="H41" s="193" t="n">
        <f aca="true">IF($D41&lt;&gt;"Serviço",0,IF(ACOMPANHAMENTO="BM",ROUND(OFFSET(ORÇAMENTO!AJ$15,ROW(H41)-ROW(H$15),0),15-13*ORÇAMENTO!$AF$7),SUMPRODUCT(($Q$12:$AA$12&lt;&gt;"")*ROUND($Q41:$AA41,15-13*ORÇAMENTO!$AF$7))))</f>
        <v>3375</v>
      </c>
      <c r="I41" s="274" t="s">
        <v>375</v>
      </c>
      <c r="K41" s="275" t="s">
        <v>374</v>
      </c>
      <c r="L41" s="276" t="s">
        <v>347</v>
      </c>
      <c r="M41" s="277" t="n">
        <f aca="true">IF($D41&lt;&gt;"Serviço","",IF(AUTOEVENTO="manual",$A41,IF(ISERROR(MATCH($A41,$A$15:OFFSET($A41,-1,0),0)),MAX($M$15:OFFSET(M41,-1,0))+1,INDEX($M$15:OFFSET(M41,-1,0),MATCH($A41,$A$15:OFFSET($A41,-1,0),0)))))</f>
        <v>7</v>
      </c>
      <c r="N41" s="278" t="str">
        <f aca="true">IF($D41&lt;&gt;"Serviço","",IF(AUTOEVENTO="Manual",IF($A41=0,"&lt;-- defina o número do agrupador",OFFSET(EVENTOS!$D$14,$A41,0)),OFFSET($F$15,$A41,0)))</f>
        <v>Base</v>
      </c>
      <c r="O41" s="279"/>
      <c r="Q41" s="279" t="n">
        <v>3375</v>
      </c>
      <c r="R41" s="280"/>
      <c r="S41" s="280"/>
      <c r="T41" s="280"/>
      <c r="U41" s="280"/>
      <c r="V41" s="280"/>
      <c r="W41" s="280"/>
      <c r="X41" s="280"/>
      <c r="Y41" s="280"/>
      <c r="Z41" s="281"/>
      <c r="AB41" s="282" t="n">
        <f aca="true">IF(AND($D41="Serviço",AB$12&lt;&gt;0,$H41&gt;0,OR(AUTOEVENTO&lt;&gt;"manual",$M41&lt;&gt;1)),
IF(Import.TipoArredondamento&lt;&gt;"TransfereGOV",
ROUND(OFFSET($P41,0,AB$13),15-13*ORÇAMENTO!$AF$7)/$H41*OFFSET(ORÇAMENTO!$X$15,ROW(AB41)-ROW(AB$15),0),
ROUND(ROUND(OFFSET($P41,0,AB$13),15-13*ORÇAMENTO!$AF$7)*OFFSET(ORÇAMENTO!$W$15,ROW(AB41)-ROW(AB$15),0),15-13*ORÇAMENTO!$AF$11)),0)</f>
        <v>0</v>
      </c>
      <c r="AC41" s="283" t="n">
        <f aca="true">IF(AND($D41="Serviço",AC$12&lt;&gt;0,$H41&gt;0,OR(AUTOEVENTO&lt;&gt;"manual",$M41&lt;&gt;1)),
IF(Import.TipoArredondamento&lt;&gt;"TransfereGOV",
ROUND(OFFSET($P41,0,AC$13),15-13*ORÇAMENTO!$AF$7)/$H41*OFFSET(ORÇAMENTO!$X$15,ROW(AC41)-ROW(AC$15),0),
ROUND(ROUND(OFFSET($P41,0,AC$13),15-13*ORÇAMENTO!$AF$7)*OFFSET(ORÇAMENTO!$W$15,ROW(AC41)-ROW(AC$15),0),15-13*ORÇAMENTO!$AF$11)),0)</f>
        <v>0</v>
      </c>
      <c r="AD41" s="283" t="n">
        <f aca="true">IF(AND($D41="Serviço",AD$12&lt;&gt;0,$H41&gt;0,OR(AUTOEVENTO&lt;&gt;"manual",$M41&lt;&gt;1)),
IF(Import.TipoArredondamento&lt;&gt;"TransfereGOV",
ROUND(OFFSET($P41,0,AD$13),15-13*ORÇAMENTO!$AF$7)/$H41*OFFSET(ORÇAMENTO!$X$15,ROW(AD41)-ROW(AD$15),0),
ROUND(ROUND(OFFSET($P41,0,AD$13),15-13*ORÇAMENTO!$AF$7)*OFFSET(ORÇAMENTO!$W$15,ROW(AD41)-ROW(AD$15),0),15-13*ORÇAMENTO!$AF$11)),0)</f>
        <v>0</v>
      </c>
      <c r="AE41" s="283" t="n">
        <f aca="true">IF(AND($D41="Serviço",AE$12&lt;&gt;0,$H41&gt;0,OR(AUTOEVENTO&lt;&gt;"manual",$M41&lt;&gt;1)),
IF(Import.TipoArredondamento&lt;&gt;"TransfereGOV",
ROUND(OFFSET($P41,0,AE$13),15-13*ORÇAMENTO!$AF$7)/$H41*OFFSET(ORÇAMENTO!$X$15,ROW(AE41)-ROW(AE$15),0),
ROUND(ROUND(OFFSET($P41,0,AE$13),15-13*ORÇAMENTO!$AF$7)*OFFSET(ORÇAMENTO!$W$15,ROW(AE41)-ROW(AE$15),0),15-13*ORÇAMENTO!$AF$11)),0)</f>
        <v>0</v>
      </c>
      <c r="AF41" s="283" t="n">
        <f aca="true">IF(AND($D41="Serviço",AF$12&lt;&gt;0,$H41&gt;0,OR(AUTOEVENTO&lt;&gt;"manual",$M41&lt;&gt;1)),
IF(Import.TipoArredondamento&lt;&gt;"TransfereGOV",
ROUND(OFFSET($P41,0,AF$13),15-13*ORÇAMENTO!$AF$7)/$H41*OFFSET(ORÇAMENTO!$X$15,ROW(AF41)-ROW(AF$15),0),
ROUND(ROUND(OFFSET($P41,0,AF$13),15-13*ORÇAMENTO!$AF$7)*OFFSET(ORÇAMENTO!$W$15,ROW(AF41)-ROW(AF$15),0),15-13*ORÇAMENTO!$AF$11)),0)</f>
        <v>0</v>
      </c>
      <c r="AG41" s="283" t="n">
        <f aca="true">IF(AND($D41="Serviço",AG$12&lt;&gt;0,$H41&gt;0,OR(AUTOEVENTO&lt;&gt;"manual",$M41&lt;&gt;1)),
IF(Import.TipoArredondamento&lt;&gt;"TransfereGOV",
ROUND(OFFSET($P41,0,AG$13),15-13*ORÇAMENTO!$AF$7)/$H41*OFFSET(ORÇAMENTO!$X$15,ROW(AG41)-ROW(AG$15),0),
ROUND(ROUND(OFFSET($P41,0,AG$13),15-13*ORÇAMENTO!$AF$7)*OFFSET(ORÇAMENTO!$W$15,ROW(AG41)-ROW(AG$15),0),15-13*ORÇAMENTO!$AF$11)),0)</f>
        <v>0</v>
      </c>
      <c r="AH41" s="283" t="n">
        <f aca="true">IF(AND($D41="Serviço",AH$12&lt;&gt;0,$H41&gt;0,OR(AUTOEVENTO&lt;&gt;"manual",$M41&lt;&gt;1)),
IF(Import.TipoArredondamento&lt;&gt;"TransfereGOV",
ROUND(OFFSET($P41,0,AH$13),15-13*ORÇAMENTO!$AF$7)/$H41*OFFSET(ORÇAMENTO!$X$15,ROW(AH41)-ROW(AH$15),0),
ROUND(ROUND(OFFSET($P41,0,AH$13),15-13*ORÇAMENTO!$AF$7)*OFFSET(ORÇAMENTO!$W$15,ROW(AH41)-ROW(AH$15),0),15-13*ORÇAMENTO!$AF$11)),0)</f>
        <v>0</v>
      </c>
      <c r="AI41" s="283" t="n">
        <f aca="true">IF(AND($D41="Serviço",AI$12&lt;&gt;0,$H41&gt;0,OR(AUTOEVENTO&lt;&gt;"manual",$M41&lt;&gt;1)),
IF(Import.TipoArredondamento&lt;&gt;"TransfereGOV",
ROUND(OFFSET($P41,0,AI$13),15-13*ORÇAMENTO!$AF$7)/$H41*OFFSET(ORÇAMENTO!$X$15,ROW(AI41)-ROW(AI$15),0),
ROUND(ROUND(OFFSET($P41,0,AI$13),15-13*ORÇAMENTO!$AF$7)*OFFSET(ORÇAMENTO!$W$15,ROW(AI41)-ROW(AI$15),0),15-13*ORÇAMENTO!$AF$11)),0)</f>
        <v>0</v>
      </c>
      <c r="AJ41" s="283" t="n">
        <f aca="true">IF(AND($D41="Serviço",AJ$12&lt;&gt;0,$H41&gt;0,OR(AUTOEVENTO&lt;&gt;"manual",$M41&lt;&gt;1)),
IF(Import.TipoArredondamento&lt;&gt;"TransfereGOV",
ROUND(OFFSET($P41,0,AJ$13),15-13*ORÇAMENTO!$AF$7)/$H41*OFFSET(ORÇAMENTO!$X$15,ROW(AJ41)-ROW(AJ$15),0),
ROUND(ROUND(OFFSET($P41,0,AJ$13),15-13*ORÇAMENTO!$AF$7)*OFFSET(ORÇAMENTO!$W$15,ROW(AJ41)-ROW(AJ$15),0),15-13*ORÇAMENTO!$AF$11)),0)</f>
        <v>0</v>
      </c>
      <c r="AK41" s="284" t="n">
        <f aca="true">IF(AND($D41="Serviço",AK$12&lt;&gt;0,$H41&gt;0,OR(AUTOEVENTO&lt;&gt;"manual",$M41&lt;&gt;1)),
IF(Import.TipoArredondamento&lt;&gt;"TransfereGOV",
ROUND(OFFSET($P41,0,AK$13),15-13*ORÇAMENTO!$AF$7)/$H41*OFFSET(ORÇAMENTO!$X$15,ROW(AK41)-ROW(AK$15),0),
ROUND(ROUND(OFFSET($P41,0,AK$13),15-13*ORÇAMENTO!$AF$7)*OFFSET(ORÇAMENTO!$W$15,ROW(AK41)-ROW(AK$15),0),15-13*ORÇAMENTO!$AF$11)),0)</f>
        <v>0</v>
      </c>
      <c r="AM41" s="285" t="n">
        <f aca="true">IF($D41&lt;&gt;"Serviço",0,IF(AND(AUTOEVENTO="Manual",$M41=1),0,IF(OFFSET(CRONOPLE!$F$14,$M41,AM$13)="",10^12,OFFSET(CRONOPLE!$F$14,$M41,AM$13))))</f>
        <v>2</v>
      </c>
      <c r="AN41" s="285" t="n">
        <f aca="true">IF($D41&lt;&gt;"Serviço",0,IF(AND(AUTOEVENTO="Manual",$M41=1),0,IF(OFFSET(CRONOPLE!$F$14,$M41,AN$13)="",10^12,OFFSET(CRONOPLE!$F$14,$M41,AN$13))))</f>
        <v>1000000000000</v>
      </c>
      <c r="AO41" s="285" t="n">
        <f aca="true">IF($D41&lt;&gt;"Serviço",0,IF(AND(AUTOEVENTO="Manual",$M41=1),0,IF(OFFSET(CRONOPLE!$F$14,$M41,AO$13)="",10^12,OFFSET(CRONOPLE!$F$14,$M41,AO$13))))</f>
        <v>1000000000000</v>
      </c>
      <c r="AP41" s="285" t="n">
        <f aca="true">IF($D41&lt;&gt;"Serviço",0,IF(AND(AUTOEVENTO="Manual",$M41=1),0,IF(OFFSET(CRONOPLE!$F$14,$M41,AP$13)="",10^12,OFFSET(CRONOPLE!$F$14,$M41,AP$13))))</f>
        <v>1000000000000</v>
      </c>
      <c r="AQ41" s="285" t="n">
        <f aca="true">IF($D41&lt;&gt;"Serviço",0,IF(AND(AUTOEVENTO="Manual",$M41=1),0,IF(OFFSET(CRONOPLE!$F$14,$M41,AQ$13)="",10^12,OFFSET(CRONOPLE!$F$14,$M41,AQ$13))))</f>
        <v>1000000000000</v>
      </c>
      <c r="AR41" s="285" t="n">
        <f aca="true">IF($D41&lt;&gt;"Serviço",0,IF(AND(AUTOEVENTO="Manual",$M41=1),0,IF(OFFSET(CRONOPLE!$F$14,$M41,AR$13)="",10^12,OFFSET(CRONOPLE!$F$14,$M41,AR$13))))</f>
        <v>1000000000000</v>
      </c>
      <c r="AS41" s="285" t="n">
        <f aca="true">IF($D41&lt;&gt;"Serviço",0,IF(AND(AUTOEVENTO="Manual",$M41=1),0,IF(OFFSET(CRONOPLE!$F$14,$M41,AS$13)="",10^12,OFFSET(CRONOPLE!$F$14,$M41,AS$13))))</f>
        <v>1000000000000</v>
      </c>
      <c r="AT41" s="285" t="n">
        <f aca="true">IF($D41&lt;&gt;"Serviço",0,IF(AND(AUTOEVENTO="Manual",$M41=1),0,IF(OFFSET(CRONOPLE!$F$14,$M41,AT$13)="",10^12,OFFSET(CRONOPLE!$F$14,$M41,AT$13))))</f>
        <v>1000000000000</v>
      </c>
      <c r="AU41" s="285" t="n">
        <f aca="true">IF($D41&lt;&gt;"Serviço",0,IF(AND(AUTOEVENTO="Manual",$M41=1),0,IF(OFFSET(CRONOPLE!$F$14,$M41,AU$13)="",10^12,OFFSET(CRONOPLE!$F$14,$M41,AU$13))))</f>
        <v>1000000000000</v>
      </c>
      <c r="AV41" s="285" t="n">
        <f aca="true">IF($D41&lt;&gt;"Serviço",0,IF(AND(AUTOEVENTO="Manual",$M41=1),0,IF(OFFSET(CRONOPLE!$F$14,$M41,AV$13)="",10^12,OFFSET(CRONOPLE!$F$14,$M41,AV$13))))</f>
        <v>1000000000000</v>
      </c>
      <c r="AX41" s="286" t="n">
        <f aca="true">IF($D41&lt;&gt;"Serviço",0,IF(OR(AND(AUTOEVENTO="Manual",$M41=1),$M41&gt;(ROW(PLE.lastrow)-ROW(PLE.firstrow))),0,IF(OFFSET(PLE!$G$14,$M41,AX$13)="",10^12,OFFSET(PLE!$G$14,$M41,AX$13))))</f>
        <v>1000000000000</v>
      </c>
      <c r="AY41" s="286" t="n">
        <f aca="true">IF($D41&lt;&gt;"Serviço",0,IF(OR(AND(AUTOEVENTO="Manual",$M41=1),$M41&gt;(ROW(PLE.lastrow)-ROW(PLE.firstrow))),0,IF(OFFSET(PLE!$G$14,$M41,AY$13)="",10^12,OFFSET(PLE!$G$14,$M41,AY$13))))</f>
        <v>1000000000000</v>
      </c>
      <c r="AZ41" s="286" t="n">
        <f aca="true">IF($D41&lt;&gt;"Serviço",0,IF(OR(AND(AUTOEVENTO="Manual",$M41=1),$M41&gt;(ROW(PLE.lastrow)-ROW(PLE.firstrow))),0,IF(OFFSET(PLE!$G$14,$M41,AZ$13)="",10^12,OFFSET(PLE!$G$14,$M41,AZ$13))))</f>
        <v>1000000000000</v>
      </c>
      <c r="BA41" s="286" t="n">
        <f aca="true">IF($D41&lt;&gt;"Serviço",0,IF(OR(AND(AUTOEVENTO="Manual",$M41=1),$M41&gt;(ROW(PLE.lastrow)-ROW(PLE.firstrow))),0,IF(OFFSET(PLE!$G$14,$M41,BA$13)="",10^12,OFFSET(PLE!$G$14,$M41,BA$13))))</f>
        <v>1000000000000</v>
      </c>
      <c r="BB41" s="286" t="n">
        <f aca="true">IF($D41&lt;&gt;"Serviço",0,IF(OR(AND(AUTOEVENTO="Manual",$M41=1),$M41&gt;(ROW(PLE.lastrow)-ROW(PLE.firstrow))),0,IF(OFFSET(PLE!$G$14,$M41,BB$13)="",10^12,OFFSET(PLE!$G$14,$M41,BB$13))))</f>
        <v>1000000000000</v>
      </c>
      <c r="BC41" s="286" t="n">
        <f aca="true">IF($D41&lt;&gt;"Serviço",0,IF(OR(AND(AUTOEVENTO="Manual",$M41=1),$M41&gt;(ROW(PLE.lastrow)-ROW(PLE.firstrow))),0,IF(OFFSET(PLE!$G$14,$M41,BC$13)="",10^12,OFFSET(PLE!$G$14,$M41,BC$13))))</f>
        <v>1000000000000</v>
      </c>
      <c r="BD41" s="286" t="n">
        <f aca="true">IF($D41&lt;&gt;"Serviço",0,IF(OR(AND(AUTOEVENTO="Manual",$M41=1),$M41&gt;(ROW(PLE.lastrow)-ROW(PLE.firstrow))),0,IF(OFFSET(PLE!$G$14,$M41,BD$13)="",10^12,OFFSET(PLE!$G$14,$M41,BD$13))))</f>
        <v>1000000000000</v>
      </c>
      <c r="BE41" s="286" t="n">
        <f aca="true">IF($D41&lt;&gt;"Serviço",0,IF(OR(AND(AUTOEVENTO="Manual",$M41=1),$M41&gt;(ROW(PLE.lastrow)-ROW(PLE.firstrow))),0,IF(OFFSET(PLE!$G$14,$M41,BE$13)="",10^12,OFFSET(PLE!$G$14,$M41,BE$13))))</f>
        <v>1000000000000</v>
      </c>
      <c r="BF41" s="286" t="n">
        <f aca="true">IF($D41&lt;&gt;"Serviço",0,IF(OR(AND(AUTOEVENTO="Manual",$M41=1),$M41&gt;(ROW(PLE.lastrow)-ROW(PLE.firstrow))),0,IF(OFFSET(PLE!$G$14,$M41,BF$13)="",10^12,OFFSET(PLE!$G$14,$M41,BF$13))))</f>
        <v>1000000000000</v>
      </c>
      <c r="BG41" s="286" t="n">
        <f aca="true">IF($D41&lt;&gt;"Serviço",0,IF(OR(AND(AUTOEVENTO="Manual",$M41=1),$M41&gt;(ROW(PLE.lastrow)-ROW(PLE.firstrow))),0,IF(OFFSET(PLE!$G$14,$M41,BG$13)="",10^12,OFFSET(PLE!$G$14,$M41,BG$13))))</f>
        <v>1000000000000</v>
      </c>
    </row>
    <row r="42" customFormat="false" ht="57.45" hidden="false" customHeight="false" outlineLevel="0" collapsed="false">
      <c r="A42" s="34" t="n">
        <f aca="true">IF(AUTOEVENTO="Manual",IF(K42&lt;&gt;"",MIN(VALUE(LEFT(K42,FIND(".",K42)-1)),COUNTA(EVENTOS.Lista)),0),IF(OR($B42&gt;AUTOEVENTO,$B42="S",$B42=0),SUBSTITUTE(OFFSET($A42,-1,0),IF($D42="Serviço",".",""),""),ROW(A42)-ROW($A$15)&amp;"."))</f>
        <v>7</v>
      </c>
      <c r="B42" s="34" t="str">
        <f aca="true">OFFSET(ORÇAMENTO!C$15,ROW(B42)-ROW(B$15),0)</f>
        <v>S</v>
      </c>
      <c r="C42" s="34" t="str">
        <f aca="true">OFFSET(ORÇAMENTO!L$15,ROW(C42)-ROW(C$15),0)</f>
        <v/>
      </c>
      <c r="D42" s="187" t="str">
        <f aca="true">OFFSET(ORÇAMENTO!N$15,ROW(D42)-ROW(D$15),0)</f>
        <v>Serviço</v>
      </c>
      <c r="E42" s="188" t="str">
        <f aca="true">OFFSET(ORÇAMENTO!O$15,ROW(E42)-ROW(E$15),0)</f>
        <v>-</v>
      </c>
      <c r="F42" s="272" t="str">
        <f aca="true">OFFSET(ORÇAMENTO!R$15,ROW(F42)-ROW(F$15),0)</f>
        <v>(abra o arquivo 'Referência 02-Thursday.xlsm)</v>
      </c>
      <c r="G42" s="273" t="str">
        <f aca="true">IF($D42&lt;&gt;"Serviço","",OFFSET(ORÇAMENTO!S$15,ROW(G42)-ROW(G$15),0))</f>
        <v>-</v>
      </c>
      <c r="H42" s="193" t="n">
        <f aca="true">IF($D42&lt;&gt;"Serviço",0,IF(ACOMPANHAMENTO="BM",ROUND(OFFSET(ORÇAMENTO!AJ$15,ROW(H42)-ROW(H$15),0),15-13*ORÇAMENTO!$AF$7),SUMPRODUCT(($Q$12:$AA$12&lt;&gt;"")*ROUND($Q42:$AA42,15-13*ORÇAMENTO!$AF$7))))</f>
        <v>121.5</v>
      </c>
      <c r="I42" s="274" t="s">
        <v>376</v>
      </c>
      <c r="K42" s="275" t="s">
        <v>374</v>
      </c>
      <c r="L42" s="276" t="s">
        <v>347</v>
      </c>
      <c r="M42" s="277" t="n">
        <f aca="true">IF($D42&lt;&gt;"Serviço","",IF(AUTOEVENTO="manual",$A42,IF(ISERROR(MATCH($A42,$A$15:OFFSET($A42,-1,0),0)),MAX($M$15:OFFSET(M42,-1,0))+1,INDEX($M$15:OFFSET(M42,-1,0),MATCH($A42,$A$15:OFFSET($A42,-1,0),0)))))</f>
        <v>7</v>
      </c>
      <c r="N42" s="278" t="str">
        <f aca="true">IF($D42&lt;&gt;"Serviço","",IF(AUTOEVENTO="Manual",IF($A42=0,"&lt;-- defina o número do agrupador",OFFSET(EVENTOS!$D$14,$A42,0)),OFFSET($F$15,$A42,0)))</f>
        <v>Base</v>
      </c>
      <c r="O42" s="279"/>
      <c r="Q42" s="279" t="n">
        <v>121.5</v>
      </c>
      <c r="R42" s="280"/>
      <c r="S42" s="280"/>
      <c r="T42" s="280"/>
      <c r="U42" s="280"/>
      <c r="V42" s="280"/>
      <c r="W42" s="280"/>
      <c r="X42" s="280"/>
      <c r="Y42" s="280"/>
      <c r="Z42" s="281"/>
      <c r="AB42" s="282" t="n">
        <f aca="true">IF(AND($D42="Serviço",AB$12&lt;&gt;0,$H42&gt;0,OR(AUTOEVENTO&lt;&gt;"manual",$M42&lt;&gt;1)),
IF(Import.TipoArredondamento&lt;&gt;"TransfereGOV",
ROUND(OFFSET($P42,0,AB$13),15-13*ORÇAMENTO!$AF$7)/$H42*OFFSET(ORÇAMENTO!$X$15,ROW(AB42)-ROW(AB$15),0),
ROUND(ROUND(OFFSET($P42,0,AB$13),15-13*ORÇAMENTO!$AF$7)*OFFSET(ORÇAMENTO!$W$15,ROW(AB42)-ROW(AB$15),0),15-13*ORÇAMENTO!$AF$11)),0)</f>
        <v>0</v>
      </c>
      <c r="AC42" s="283" t="n">
        <f aca="true">IF(AND($D42="Serviço",AC$12&lt;&gt;0,$H42&gt;0,OR(AUTOEVENTO&lt;&gt;"manual",$M42&lt;&gt;1)),
IF(Import.TipoArredondamento&lt;&gt;"TransfereGOV",
ROUND(OFFSET($P42,0,AC$13),15-13*ORÇAMENTO!$AF$7)/$H42*OFFSET(ORÇAMENTO!$X$15,ROW(AC42)-ROW(AC$15),0),
ROUND(ROUND(OFFSET($P42,0,AC$13),15-13*ORÇAMENTO!$AF$7)*OFFSET(ORÇAMENTO!$W$15,ROW(AC42)-ROW(AC$15),0),15-13*ORÇAMENTO!$AF$11)),0)</f>
        <v>0</v>
      </c>
      <c r="AD42" s="283" t="n">
        <f aca="true">IF(AND($D42="Serviço",AD$12&lt;&gt;0,$H42&gt;0,OR(AUTOEVENTO&lt;&gt;"manual",$M42&lt;&gt;1)),
IF(Import.TipoArredondamento&lt;&gt;"TransfereGOV",
ROUND(OFFSET($P42,0,AD$13),15-13*ORÇAMENTO!$AF$7)/$H42*OFFSET(ORÇAMENTO!$X$15,ROW(AD42)-ROW(AD$15),0),
ROUND(ROUND(OFFSET($P42,0,AD$13),15-13*ORÇAMENTO!$AF$7)*OFFSET(ORÇAMENTO!$W$15,ROW(AD42)-ROW(AD$15),0),15-13*ORÇAMENTO!$AF$11)),0)</f>
        <v>0</v>
      </c>
      <c r="AE42" s="283" t="n">
        <f aca="true">IF(AND($D42="Serviço",AE$12&lt;&gt;0,$H42&gt;0,OR(AUTOEVENTO&lt;&gt;"manual",$M42&lt;&gt;1)),
IF(Import.TipoArredondamento&lt;&gt;"TransfereGOV",
ROUND(OFFSET($P42,0,AE$13),15-13*ORÇAMENTO!$AF$7)/$H42*OFFSET(ORÇAMENTO!$X$15,ROW(AE42)-ROW(AE$15),0),
ROUND(ROUND(OFFSET($P42,0,AE$13),15-13*ORÇAMENTO!$AF$7)*OFFSET(ORÇAMENTO!$W$15,ROW(AE42)-ROW(AE$15),0),15-13*ORÇAMENTO!$AF$11)),0)</f>
        <v>0</v>
      </c>
      <c r="AF42" s="283" t="n">
        <f aca="true">IF(AND($D42="Serviço",AF$12&lt;&gt;0,$H42&gt;0,OR(AUTOEVENTO&lt;&gt;"manual",$M42&lt;&gt;1)),
IF(Import.TipoArredondamento&lt;&gt;"TransfereGOV",
ROUND(OFFSET($P42,0,AF$13),15-13*ORÇAMENTO!$AF$7)/$H42*OFFSET(ORÇAMENTO!$X$15,ROW(AF42)-ROW(AF$15),0),
ROUND(ROUND(OFFSET($P42,0,AF$13),15-13*ORÇAMENTO!$AF$7)*OFFSET(ORÇAMENTO!$W$15,ROW(AF42)-ROW(AF$15),0),15-13*ORÇAMENTO!$AF$11)),0)</f>
        <v>0</v>
      </c>
      <c r="AG42" s="283" t="n">
        <f aca="true">IF(AND($D42="Serviço",AG$12&lt;&gt;0,$H42&gt;0,OR(AUTOEVENTO&lt;&gt;"manual",$M42&lt;&gt;1)),
IF(Import.TipoArredondamento&lt;&gt;"TransfereGOV",
ROUND(OFFSET($P42,0,AG$13),15-13*ORÇAMENTO!$AF$7)/$H42*OFFSET(ORÇAMENTO!$X$15,ROW(AG42)-ROW(AG$15),0),
ROUND(ROUND(OFFSET($P42,0,AG$13),15-13*ORÇAMENTO!$AF$7)*OFFSET(ORÇAMENTO!$W$15,ROW(AG42)-ROW(AG$15),0),15-13*ORÇAMENTO!$AF$11)),0)</f>
        <v>0</v>
      </c>
      <c r="AH42" s="283" t="n">
        <f aca="true">IF(AND($D42="Serviço",AH$12&lt;&gt;0,$H42&gt;0,OR(AUTOEVENTO&lt;&gt;"manual",$M42&lt;&gt;1)),
IF(Import.TipoArredondamento&lt;&gt;"TransfereGOV",
ROUND(OFFSET($P42,0,AH$13),15-13*ORÇAMENTO!$AF$7)/$H42*OFFSET(ORÇAMENTO!$X$15,ROW(AH42)-ROW(AH$15),0),
ROUND(ROUND(OFFSET($P42,0,AH$13),15-13*ORÇAMENTO!$AF$7)*OFFSET(ORÇAMENTO!$W$15,ROW(AH42)-ROW(AH$15),0),15-13*ORÇAMENTO!$AF$11)),0)</f>
        <v>0</v>
      </c>
      <c r="AI42" s="283" t="n">
        <f aca="true">IF(AND($D42="Serviço",AI$12&lt;&gt;0,$H42&gt;0,OR(AUTOEVENTO&lt;&gt;"manual",$M42&lt;&gt;1)),
IF(Import.TipoArredondamento&lt;&gt;"TransfereGOV",
ROUND(OFFSET($P42,0,AI$13),15-13*ORÇAMENTO!$AF$7)/$H42*OFFSET(ORÇAMENTO!$X$15,ROW(AI42)-ROW(AI$15),0),
ROUND(ROUND(OFFSET($P42,0,AI$13),15-13*ORÇAMENTO!$AF$7)*OFFSET(ORÇAMENTO!$W$15,ROW(AI42)-ROW(AI$15),0),15-13*ORÇAMENTO!$AF$11)),0)</f>
        <v>0</v>
      </c>
      <c r="AJ42" s="283" t="n">
        <f aca="true">IF(AND($D42="Serviço",AJ$12&lt;&gt;0,$H42&gt;0,OR(AUTOEVENTO&lt;&gt;"manual",$M42&lt;&gt;1)),
IF(Import.TipoArredondamento&lt;&gt;"TransfereGOV",
ROUND(OFFSET($P42,0,AJ$13),15-13*ORÇAMENTO!$AF$7)/$H42*OFFSET(ORÇAMENTO!$X$15,ROW(AJ42)-ROW(AJ$15),0),
ROUND(ROUND(OFFSET($P42,0,AJ$13),15-13*ORÇAMENTO!$AF$7)*OFFSET(ORÇAMENTO!$W$15,ROW(AJ42)-ROW(AJ$15),0),15-13*ORÇAMENTO!$AF$11)),0)</f>
        <v>0</v>
      </c>
      <c r="AK42" s="284" t="n">
        <f aca="true">IF(AND($D42="Serviço",AK$12&lt;&gt;0,$H42&gt;0,OR(AUTOEVENTO&lt;&gt;"manual",$M42&lt;&gt;1)),
IF(Import.TipoArredondamento&lt;&gt;"TransfereGOV",
ROUND(OFFSET($P42,0,AK$13),15-13*ORÇAMENTO!$AF$7)/$H42*OFFSET(ORÇAMENTO!$X$15,ROW(AK42)-ROW(AK$15),0),
ROUND(ROUND(OFFSET($P42,0,AK$13),15-13*ORÇAMENTO!$AF$7)*OFFSET(ORÇAMENTO!$W$15,ROW(AK42)-ROW(AK$15),0),15-13*ORÇAMENTO!$AF$11)),0)</f>
        <v>0</v>
      </c>
      <c r="AM42" s="285" t="n">
        <f aca="true">IF($D42&lt;&gt;"Serviço",0,IF(AND(AUTOEVENTO="Manual",$M42=1),0,IF(OFFSET(CRONOPLE!$F$14,$M42,AM$13)="",10^12,OFFSET(CRONOPLE!$F$14,$M42,AM$13))))</f>
        <v>2</v>
      </c>
      <c r="AN42" s="285" t="n">
        <f aca="true">IF($D42&lt;&gt;"Serviço",0,IF(AND(AUTOEVENTO="Manual",$M42=1),0,IF(OFFSET(CRONOPLE!$F$14,$M42,AN$13)="",10^12,OFFSET(CRONOPLE!$F$14,$M42,AN$13))))</f>
        <v>1000000000000</v>
      </c>
      <c r="AO42" s="285" t="n">
        <f aca="true">IF($D42&lt;&gt;"Serviço",0,IF(AND(AUTOEVENTO="Manual",$M42=1),0,IF(OFFSET(CRONOPLE!$F$14,$M42,AO$13)="",10^12,OFFSET(CRONOPLE!$F$14,$M42,AO$13))))</f>
        <v>1000000000000</v>
      </c>
      <c r="AP42" s="285" t="n">
        <f aca="true">IF($D42&lt;&gt;"Serviço",0,IF(AND(AUTOEVENTO="Manual",$M42=1),0,IF(OFFSET(CRONOPLE!$F$14,$M42,AP$13)="",10^12,OFFSET(CRONOPLE!$F$14,$M42,AP$13))))</f>
        <v>1000000000000</v>
      </c>
      <c r="AQ42" s="285" t="n">
        <f aca="true">IF($D42&lt;&gt;"Serviço",0,IF(AND(AUTOEVENTO="Manual",$M42=1),0,IF(OFFSET(CRONOPLE!$F$14,$M42,AQ$13)="",10^12,OFFSET(CRONOPLE!$F$14,$M42,AQ$13))))</f>
        <v>1000000000000</v>
      </c>
      <c r="AR42" s="285" t="n">
        <f aca="true">IF($D42&lt;&gt;"Serviço",0,IF(AND(AUTOEVENTO="Manual",$M42=1),0,IF(OFFSET(CRONOPLE!$F$14,$M42,AR$13)="",10^12,OFFSET(CRONOPLE!$F$14,$M42,AR$13))))</f>
        <v>1000000000000</v>
      </c>
      <c r="AS42" s="285" t="n">
        <f aca="true">IF($D42&lt;&gt;"Serviço",0,IF(AND(AUTOEVENTO="Manual",$M42=1),0,IF(OFFSET(CRONOPLE!$F$14,$M42,AS$13)="",10^12,OFFSET(CRONOPLE!$F$14,$M42,AS$13))))</f>
        <v>1000000000000</v>
      </c>
      <c r="AT42" s="285" t="n">
        <f aca="true">IF($D42&lt;&gt;"Serviço",0,IF(AND(AUTOEVENTO="Manual",$M42=1),0,IF(OFFSET(CRONOPLE!$F$14,$M42,AT$13)="",10^12,OFFSET(CRONOPLE!$F$14,$M42,AT$13))))</f>
        <v>1000000000000</v>
      </c>
      <c r="AU42" s="285" t="n">
        <f aca="true">IF($D42&lt;&gt;"Serviço",0,IF(AND(AUTOEVENTO="Manual",$M42=1),0,IF(OFFSET(CRONOPLE!$F$14,$M42,AU$13)="",10^12,OFFSET(CRONOPLE!$F$14,$M42,AU$13))))</f>
        <v>1000000000000</v>
      </c>
      <c r="AV42" s="285" t="n">
        <f aca="true">IF($D42&lt;&gt;"Serviço",0,IF(AND(AUTOEVENTO="Manual",$M42=1),0,IF(OFFSET(CRONOPLE!$F$14,$M42,AV$13)="",10^12,OFFSET(CRONOPLE!$F$14,$M42,AV$13))))</f>
        <v>1000000000000</v>
      </c>
      <c r="AX42" s="286" t="n">
        <f aca="true">IF($D42&lt;&gt;"Serviço",0,IF(OR(AND(AUTOEVENTO="Manual",$M42=1),$M42&gt;(ROW(PLE.lastrow)-ROW(PLE.firstrow))),0,IF(OFFSET(PLE!$G$14,$M42,AX$13)="",10^12,OFFSET(PLE!$G$14,$M42,AX$13))))</f>
        <v>1000000000000</v>
      </c>
      <c r="AY42" s="286" t="n">
        <f aca="true">IF($D42&lt;&gt;"Serviço",0,IF(OR(AND(AUTOEVENTO="Manual",$M42=1),$M42&gt;(ROW(PLE.lastrow)-ROW(PLE.firstrow))),0,IF(OFFSET(PLE!$G$14,$M42,AY$13)="",10^12,OFFSET(PLE!$G$14,$M42,AY$13))))</f>
        <v>1000000000000</v>
      </c>
      <c r="AZ42" s="286" t="n">
        <f aca="true">IF($D42&lt;&gt;"Serviço",0,IF(OR(AND(AUTOEVENTO="Manual",$M42=1),$M42&gt;(ROW(PLE.lastrow)-ROW(PLE.firstrow))),0,IF(OFFSET(PLE!$G$14,$M42,AZ$13)="",10^12,OFFSET(PLE!$G$14,$M42,AZ$13))))</f>
        <v>1000000000000</v>
      </c>
      <c r="BA42" s="286" t="n">
        <f aca="true">IF($D42&lt;&gt;"Serviço",0,IF(OR(AND(AUTOEVENTO="Manual",$M42=1),$M42&gt;(ROW(PLE.lastrow)-ROW(PLE.firstrow))),0,IF(OFFSET(PLE!$G$14,$M42,BA$13)="",10^12,OFFSET(PLE!$G$14,$M42,BA$13))))</f>
        <v>1000000000000</v>
      </c>
      <c r="BB42" s="286" t="n">
        <f aca="true">IF($D42&lt;&gt;"Serviço",0,IF(OR(AND(AUTOEVENTO="Manual",$M42=1),$M42&gt;(ROW(PLE.lastrow)-ROW(PLE.firstrow))),0,IF(OFFSET(PLE!$G$14,$M42,BB$13)="",10^12,OFFSET(PLE!$G$14,$M42,BB$13))))</f>
        <v>1000000000000</v>
      </c>
      <c r="BC42" s="286" t="n">
        <f aca="true">IF($D42&lt;&gt;"Serviço",0,IF(OR(AND(AUTOEVENTO="Manual",$M42=1),$M42&gt;(ROW(PLE.lastrow)-ROW(PLE.firstrow))),0,IF(OFFSET(PLE!$G$14,$M42,BC$13)="",10^12,OFFSET(PLE!$G$14,$M42,BC$13))))</f>
        <v>1000000000000</v>
      </c>
      <c r="BD42" s="286" t="n">
        <f aca="true">IF($D42&lt;&gt;"Serviço",0,IF(OR(AND(AUTOEVENTO="Manual",$M42=1),$M42&gt;(ROW(PLE.lastrow)-ROW(PLE.firstrow))),0,IF(OFFSET(PLE!$G$14,$M42,BD$13)="",10^12,OFFSET(PLE!$G$14,$M42,BD$13))))</f>
        <v>1000000000000</v>
      </c>
      <c r="BE42" s="286" t="n">
        <f aca="true">IF($D42&lt;&gt;"Serviço",0,IF(OR(AND(AUTOEVENTO="Manual",$M42=1),$M42&gt;(ROW(PLE.lastrow)-ROW(PLE.firstrow))),0,IF(OFFSET(PLE!$G$14,$M42,BE$13)="",10^12,OFFSET(PLE!$G$14,$M42,BE$13))))</f>
        <v>1000000000000</v>
      </c>
      <c r="BF42" s="286" t="n">
        <f aca="true">IF($D42&lt;&gt;"Serviço",0,IF(OR(AND(AUTOEVENTO="Manual",$M42=1),$M42&gt;(ROW(PLE.lastrow)-ROW(PLE.firstrow))),0,IF(OFFSET(PLE!$G$14,$M42,BF$13)="",10^12,OFFSET(PLE!$G$14,$M42,BF$13))))</f>
        <v>1000000000000</v>
      </c>
      <c r="BG42" s="286" t="n">
        <f aca="true">IF($D42&lt;&gt;"Serviço",0,IF(OR(AND(AUTOEVENTO="Manual",$M42=1),$M42&gt;(ROW(PLE.lastrow)-ROW(PLE.firstrow))),0,IF(OFFSET(PLE!$G$14,$M42,BG$13)="",10^12,OFFSET(PLE!$G$14,$M42,BG$13))))</f>
        <v>1000000000000</v>
      </c>
    </row>
    <row r="43" customFormat="false" ht="35.05" hidden="false" customHeight="false" outlineLevel="0" collapsed="false">
      <c r="A43" s="34" t="n">
        <f aca="true">IF(AUTOEVENTO="Manual",IF(K43&lt;&gt;"",MIN(VALUE(LEFT(K43,FIND(".",K43)-1)),COUNTA(EVENTOS.Lista)),0),IF(OR($B43&gt;AUTOEVENTO,$B43="S",$B43=0),SUBSTITUTE(OFFSET($A43,-1,0),IF($D43="Serviço",".",""),""),ROW(A43)-ROW($A$15)&amp;"."))</f>
        <v>7</v>
      </c>
      <c r="B43" s="34" t="str">
        <f aca="true">OFFSET(ORÇAMENTO!C$15,ROW(B43)-ROW(B$15),0)</f>
        <v>S</v>
      </c>
      <c r="C43" s="34" t="str">
        <f aca="true">OFFSET(ORÇAMENTO!L$15,ROW(C43)-ROW(C$15),0)</f>
        <v/>
      </c>
      <c r="D43" s="187" t="str">
        <f aca="true">OFFSET(ORÇAMENTO!N$15,ROW(D43)-ROW(D$15),0)</f>
        <v>Serviço</v>
      </c>
      <c r="E43" s="188" t="str">
        <f aca="true">OFFSET(ORÇAMENTO!O$15,ROW(E43)-ROW(E$15),0)</f>
        <v>-</v>
      </c>
      <c r="F43" s="272" t="str">
        <f aca="true">OFFSET(ORÇAMENTO!R$15,ROW(F43)-ROW(F$15),0)</f>
        <v>(abra o arquivo 'Referência 02-Thursday.xlsm)</v>
      </c>
      <c r="G43" s="273" t="str">
        <f aca="true">IF($D43&lt;&gt;"Serviço","",OFFSET(ORÇAMENTO!S$15,ROW(G43)-ROW(G$15),0))</f>
        <v>-</v>
      </c>
      <c r="H43" s="193" t="n">
        <f aca="true">IF($D43&lt;&gt;"Serviço",0,IF(ACOMPANHAMENTO="BM",ROUND(OFFSET(ORÇAMENTO!AJ$15,ROW(H43)-ROW(H$15),0),15-13*ORÇAMENTO!$AF$7),SUMPRODUCT(($Q$12:$AA$12&lt;&gt;"")*ROUND($Q43:$AA43,15-13*ORÇAMENTO!$AF$7))))</f>
        <v>1255.5</v>
      </c>
      <c r="I43" s="274" t="s">
        <v>377</v>
      </c>
      <c r="K43" s="275" t="s">
        <v>374</v>
      </c>
      <c r="L43" s="276" t="s">
        <v>347</v>
      </c>
      <c r="M43" s="277" t="n">
        <f aca="true">IF($D43&lt;&gt;"Serviço","",IF(AUTOEVENTO="manual",$A43,IF(ISERROR(MATCH($A43,$A$15:OFFSET($A43,-1,0),0)),MAX($M$15:OFFSET(M43,-1,0))+1,INDEX($M$15:OFFSET(M43,-1,0),MATCH($A43,$A$15:OFFSET($A43,-1,0),0)))))</f>
        <v>7</v>
      </c>
      <c r="N43" s="278" t="str">
        <f aca="true">IF($D43&lt;&gt;"Serviço","",IF(AUTOEVENTO="Manual",IF($A43=0,"&lt;-- defina o número do agrupador",OFFSET(EVENTOS!$D$14,$A43,0)),OFFSET($F$15,$A43,0)))</f>
        <v>Base</v>
      </c>
      <c r="O43" s="279"/>
      <c r="Q43" s="279" t="n">
        <v>1255.5</v>
      </c>
      <c r="R43" s="280"/>
      <c r="S43" s="280"/>
      <c r="T43" s="280"/>
      <c r="U43" s="280"/>
      <c r="V43" s="280"/>
      <c r="W43" s="280"/>
      <c r="X43" s="280"/>
      <c r="Y43" s="280"/>
      <c r="Z43" s="281"/>
      <c r="AB43" s="282" t="n">
        <f aca="true">IF(AND($D43="Serviço",AB$12&lt;&gt;0,$H43&gt;0,OR(AUTOEVENTO&lt;&gt;"manual",$M43&lt;&gt;1)),
IF(Import.TipoArredondamento&lt;&gt;"TransfereGOV",
ROUND(OFFSET($P43,0,AB$13),15-13*ORÇAMENTO!$AF$7)/$H43*OFFSET(ORÇAMENTO!$X$15,ROW(AB43)-ROW(AB$15),0),
ROUND(ROUND(OFFSET($P43,0,AB$13),15-13*ORÇAMENTO!$AF$7)*OFFSET(ORÇAMENTO!$W$15,ROW(AB43)-ROW(AB$15),0),15-13*ORÇAMENTO!$AF$11)),0)</f>
        <v>0</v>
      </c>
      <c r="AC43" s="283" t="n">
        <f aca="true">IF(AND($D43="Serviço",AC$12&lt;&gt;0,$H43&gt;0,OR(AUTOEVENTO&lt;&gt;"manual",$M43&lt;&gt;1)),
IF(Import.TipoArredondamento&lt;&gt;"TransfereGOV",
ROUND(OFFSET($P43,0,AC$13),15-13*ORÇAMENTO!$AF$7)/$H43*OFFSET(ORÇAMENTO!$X$15,ROW(AC43)-ROW(AC$15),0),
ROUND(ROUND(OFFSET($P43,0,AC$13),15-13*ORÇAMENTO!$AF$7)*OFFSET(ORÇAMENTO!$W$15,ROW(AC43)-ROW(AC$15),0),15-13*ORÇAMENTO!$AF$11)),0)</f>
        <v>0</v>
      </c>
      <c r="AD43" s="283" t="n">
        <f aca="true">IF(AND($D43="Serviço",AD$12&lt;&gt;0,$H43&gt;0,OR(AUTOEVENTO&lt;&gt;"manual",$M43&lt;&gt;1)),
IF(Import.TipoArredondamento&lt;&gt;"TransfereGOV",
ROUND(OFFSET($P43,0,AD$13),15-13*ORÇAMENTO!$AF$7)/$H43*OFFSET(ORÇAMENTO!$X$15,ROW(AD43)-ROW(AD$15),0),
ROUND(ROUND(OFFSET($P43,0,AD$13),15-13*ORÇAMENTO!$AF$7)*OFFSET(ORÇAMENTO!$W$15,ROW(AD43)-ROW(AD$15),0),15-13*ORÇAMENTO!$AF$11)),0)</f>
        <v>0</v>
      </c>
      <c r="AE43" s="283" t="n">
        <f aca="true">IF(AND($D43="Serviço",AE$12&lt;&gt;0,$H43&gt;0,OR(AUTOEVENTO&lt;&gt;"manual",$M43&lt;&gt;1)),
IF(Import.TipoArredondamento&lt;&gt;"TransfereGOV",
ROUND(OFFSET($P43,0,AE$13),15-13*ORÇAMENTO!$AF$7)/$H43*OFFSET(ORÇAMENTO!$X$15,ROW(AE43)-ROW(AE$15),0),
ROUND(ROUND(OFFSET($P43,0,AE$13),15-13*ORÇAMENTO!$AF$7)*OFFSET(ORÇAMENTO!$W$15,ROW(AE43)-ROW(AE$15),0),15-13*ORÇAMENTO!$AF$11)),0)</f>
        <v>0</v>
      </c>
      <c r="AF43" s="283" t="n">
        <f aca="true">IF(AND($D43="Serviço",AF$12&lt;&gt;0,$H43&gt;0,OR(AUTOEVENTO&lt;&gt;"manual",$M43&lt;&gt;1)),
IF(Import.TipoArredondamento&lt;&gt;"TransfereGOV",
ROUND(OFFSET($P43,0,AF$13),15-13*ORÇAMENTO!$AF$7)/$H43*OFFSET(ORÇAMENTO!$X$15,ROW(AF43)-ROW(AF$15),0),
ROUND(ROUND(OFFSET($P43,0,AF$13),15-13*ORÇAMENTO!$AF$7)*OFFSET(ORÇAMENTO!$W$15,ROW(AF43)-ROW(AF$15),0),15-13*ORÇAMENTO!$AF$11)),0)</f>
        <v>0</v>
      </c>
      <c r="AG43" s="283" t="n">
        <f aca="true">IF(AND($D43="Serviço",AG$12&lt;&gt;0,$H43&gt;0,OR(AUTOEVENTO&lt;&gt;"manual",$M43&lt;&gt;1)),
IF(Import.TipoArredondamento&lt;&gt;"TransfereGOV",
ROUND(OFFSET($P43,0,AG$13),15-13*ORÇAMENTO!$AF$7)/$H43*OFFSET(ORÇAMENTO!$X$15,ROW(AG43)-ROW(AG$15),0),
ROUND(ROUND(OFFSET($P43,0,AG$13),15-13*ORÇAMENTO!$AF$7)*OFFSET(ORÇAMENTO!$W$15,ROW(AG43)-ROW(AG$15),0),15-13*ORÇAMENTO!$AF$11)),0)</f>
        <v>0</v>
      </c>
      <c r="AH43" s="283" t="n">
        <f aca="true">IF(AND($D43="Serviço",AH$12&lt;&gt;0,$H43&gt;0,OR(AUTOEVENTO&lt;&gt;"manual",$M43&lt;&gt;1)),
IF(Import.TipoArredondamento&lt;&gt;"TransfereGOV",
ROUND(OFFSET($P43,0,AH$13),15-13*ORÇAMENTO!$AF$7)/$H43*OFFSET(ORÇAMENTO!$X$15,ROW(AH43)-ROW(AH$15),0),
ROUND(ROUND(OFFSET($P43,0,AH$13),15-13*ORÇAMENTO!$AF$7)*OFFSET(ORÇAMENTO!$W$15,ROW(AH43)-ROW(AH$15),0),15-13*ORÇAMENTO!$AF$11)),0)</f>
        <v>0</v>
      </c>
      <c r="AI43" s="283" t="n">
        <f aca="true">IF(AND($D43="Serviço",AI$12&lt;&gt;0,$H43&gt;0,OR(AUTOEVENTO&lt;&gt;"manual",$M43&lt;&gt;1)),
IF(Import.TipoArredondamento&lt;&gt;"TransfereGOV",
ROUND(OFFSET($P43,0,AI$13),15-13*ORÇAMENTO!$AF$7)/$H43*OFFSET(ORÇAMENTO!$X$15,ROW(AI43)-ROW(AI$15),0),
ROUND(ROUND(OFFSET($P43,0,AI$13),15-13*ORÇAMENTO!$AF$7)*OFFSET(ORÇAMENTO!$W$15,ROW(AI43)-ROW(AI$15),0),15-13*ORÇAMENTO!$AF$11)),0)</f>
        <v>0</v>
      </c>
      <c r="AJ43" s="283" t="n">
        <f aca="true">IF(AND($D43="Serviço",AJ$12&lt;&gt;0,$H43&gt;0,OR(AUTOEVENTO&lt;&gt;"manual",$M43&lt;&gt;1)),
IF(Import.TipoArredondamento&lt;&gt;"TransfereGOV",
ROUND(OFFSET($P43,0,AJ$13),15-13*ORÇAMENTO!$AF$7)/$H43*OFFSET(ORÇAMENTO!$X$15,ROW(AJ43)-ROW(AJ$15),0),
ROUND(ROUND(OFFSET($P43,0,AJ$13),15-13*ORÇAMENTO!$AF$7)*OFFSET(ORÇAMENTO!$W$15,ROW(AJ43)-ROW(AJ$15),0),15-13*ORÇAMENTO!$AF$11)),0)</f>
        <v>0</v>
      </c>
      <c r="AK43" s="284" t="n">
        <f aca="true">IF(AND($D43="Serviço",AK$12&lt;&gt;0,$H43&gt;0,OR(AUTOEVENTO&lt;&gt;"manual",$M43&lt;&gt;1)),
IF(Import.TipoArredondamento&lt;&gt;"TransfereGOV",
ROUND(OFFSET($P43,0,AK$13),15-13*ORÇAMENTO!$AF$7)/$H43*OFFSET(ORÇAMENTO!$X$15,ROW(AK43)-ROW(AK$15),0),
ROUND(ROUND(OFFSET($P43,0,AK$13),15-13*ORÇAMENTO!$AF$7)*OFFSET(ORÇAMENTO!$W$15,ROW(AK43)-ROW(AK$15),0),15-13*ORÇAMENTO!$AF$11)),0)</f>
        <v>0</v>
      </c>
      <c r="AM43" s="285" t="n">
        <f aca="true">IF($D43&lt;&gt;"Serviço",0,IF(AND(AUTOEVENTO="Manual",$M43=1),0,IF(OFFSET(CRONOPLE!$F$14,$M43,AM$13)="",10^12,OFFSET(CRONOPLE!$F$14,$M43,AM$13))))</f>
        <v>2</v>
      </c>
      <c r="AN43" s="285" t="n">
        <f aca="true">IF($D43&lt;&gt;"Serviço",0,IF(AND(AUTOEVENTO="Manual",$M43=1),0,IF(OFFSET(CRONOPLE!$F$14,$M43,AN$13)="",10^12,OFFSET(CRONOPLE!$F$14,$M43,AN$13))))</f>
        <v>1000000000000</v>
      </c>
      <c r="AO43" s="285" t="n">
        <f aca="true">IF($D43&lt;&gt;"Serviço",0,IF(AND(AUTOEVENTO="Manual",$M43=1),0,IF(OFFSET(CRONOPLE!$F$14,$M43,AO$13)="",10^12,OFFSET(CRONOPLE!$F$14,$M43,AO$13))))</f>
        <v>1000000000000</v>
      </c>
      <c r="AP43" s="285" t="n">
        <f aca="true">IF($D43&lt;&gt;"Serviço",0,IF(AND(AUTOEVENTO="Manual",$M43=1),0,IF(OFFSET(CRONOPLE!$F$14,$M43,AP$13)="",10^12,OFFSET(CRONOPLE!$F$14,$M43,AP$13))))</f>
        <v>1000000000000</v>
      </c>
      <c r="AQ43" s="285" t="n">
        <f aca="true">IF($D43&lt;&gt;"Serviço",0,IF(AND(AUTOEVENTO="Manual",$M43=1),0,IF(OFFSET(CRONOPLE!$F$14,$M43,AQ$13)="",10^12,OFFSET(CRONOPLE!$F$14,$M43,AQ$13))))</f>
        <v>1000000000000</v>
      </c>
      <c r="AR43" s="285" t="n">
        <f aca="true">IF($D43&lt;&gt;"Serviço",0,IF(AND(AUTOEVENTO="Manual",$M43=1),0,IF(OFFSET(CRONOPLE!$F$14,$M43,AR$13)="",10^12,OFFSET(CRONOPLE!$F$14,$M43,AR$13))))</f>
        <v>1000000000000</v>
      </c>
      <c r="AS43" s="285" t="n">
        <f aca="true">IF($D43&lt;&gt;"Serviço",0,IF(AND(AUTOEVENTO="Manual",$M43=1),0,IF(OFFSET(CRONOPLE!$F$14,$M43,AS$13)="",10^12,OFFSET(CRONOPLE!$F$14,$M43,AS$13))))</f>
        <v>1000000000000</v>
      </c>
      <c r="AT43" s="285" t="n">
        <f aca="true">IF($D43&lt;&gt;"Serviço",0,IF(AND(AUTOEVENTO="Manual",$M43=1),0,IF(OFFSET(CRONOPLE!$F$14,$M43,AT$13)="",10^12,OFFSET(CRONOPLE!$F$14,$M43,AT$13))))</f>
        <v>1000000000000</v>
      </c>
      <c r="AU43" s="285" t="n">
        <f aca="true">IF($D43&lt;&gt;"Serviço",0,IF(AND(AUTOEVENTO="Manual",$M43=1),0,IF(OFFSET(CRONOPLE!$F$14,$M43,AU$13)="",10^12,OFFSET(CRONOPLE!$F$14,$M43,AU$13))))</f>
        <v>1000000000000</v>
      </c>
      <c r="AV43" s="285" t="n">
        <f aca="true">IF($D43&lt;&gt;"Serviço",0,IF(AND(AUTOEVENTO="Manual",$M43=1),0,IF(OFFSET(CRONOPLE!$F$14,$M43,AV$13)="",10^12,OFFSET(CRONOPLE!$F$14,$M43,AV$13))))</f>
        <v>1000000000000</v>
      </c>
      <c r="AX43" s="286" t="n">
        <f aca="true">IF($D43&lt;&gt;"Serviço",0,IF(OR(AND(AUTOEVENTO="Manual",$M43=1),$M43&gt;(ROW(PLE.lastrow)-ROW(PLE.firstrow))),0,IF(OFFSET(PLE!$G$14,$M43,AX$13)="",10^12,OFFSET(PLE!$G$14,$M43,AX$13))))</f>
        <v>1000000000000</v>
      </c>
      <c r="AY43" s="286" t="n">
        <f aca="true">IF($D43&lt;&gt;"Serviço",0,IF(OR(AND(AUTOEVENTO="Manual",$M43=1),$M43&gt;(ROW(PLE.lastrow)-ROW(PLE.firstrow))),0,IF(OFFSET(PLE!$G$14,$M43,AY$13)="",10^12,OFFSET(PLE!$G$14,$M43,AY$13))))</f>
        <v>1000000000000</v>
      </c>
      <c r="AZ43" s="286" t="n">
        <f aca="true">IF($D43&lt;&gt;"Serviço",0,IF(OR(AND(AUTOEVENTO="Manual",$M43=1),$M43&gt;(ROW(PLE.lastrow)-ROW(PLE.firstrow))),0,IF(OFFSET(PLE!$G$14,$M43,AZ$13)="",10^12,OFFSET(PLE!$G$14,$M43,AZ$13))))</f>
        <v>1000000000000</v>
      </c>
      <c r="BA43" s="286" t="n">
        <f aca="true">IF($D43&lt;&gt;"Serviço",0,IF(OR(AND(AUTOEVENTO="Manual",$M43=1),$M43&gt;(ROW(PLE.lastrow)-ROW(PLE.firstrow))),0,IF(OFFSET(PLE!$G$14,$M43,BA$13)="",10^12,OFFSET(PLE!$G$14,$M43,BA$13))))</f>
        <v>1000000000000</v>
      </c>
      <c r="BB43" s="286" t="n">
        <f aca="true">IF($D43&lt;&gt;"Serviço",0,IF(OR(AND(AUTOEVENTO="Manual",$M43=1),$M43&gt;(ROW(PLE.lastrow)-ROW(PLE.firstrow))),0,IF(OFFSET(PLE!$G$14,$M43,BB$13)="",10^12,OFFSET(PLE!$G$14,$M43,BB$13))))</f>
        <v>1000000000000</v>
      </c>
      <c r="BC43" s="286" t="n">
        <f aca="true">IF($D43&lt;&gt;"Serviço",0,IF(OR(AND(AUTOEVENTO="Manual",$M43=1),$M43&gt;(ROW(PLE.lastrow)-ROW(PLE.firstrow))),0,IF(OFFSET(PLE!$G$14,$M43,BC$13)="",10^12,OFFSET(PLE!$G$14,$M43,BC$13))))</f>
        <v>1000000000000</v>
      </c>
      <c r="BD43" s="286" t="n">
        <f aca="true">IF($D43&lt;&gt;"Serviço",0,IF(OR(AND(AUTOEVENTO="Manual",$M43=1),$M43&gt;(ROW(PLE.lastrow)-ROW(PLE.firstrow))),0,IF(OFFSET(PLE!$G$14,$M43,BD$13)="",10^12,OFFSET(PLE!$G$14,$M43,BD$13))))</f>
        <v>1000000000000</v>
      </c>
      <c r="BE43" s="286" t="n">
        <f aca="true">IF($D43&lt;&gt;"Serviço",0,IF(OR(AND(AUTOEVENTO="Manual",$M43=1),$M43&gt;(ROW(PLE.lastrow)-ROW(PLE.firstrow))),0,IF(OFFSET(PLE!$G$14,$M43,BE$13)="",10^12,OFFSET(PLE!$G$14,$M43,BE$13))))</f>
        <v>1000000000000</v>
      </c>
      <c r="BF43" s="286" t="n">
        <f aca="true">IF($D43&lt;&gt;"Serviço",0,IF(OR(AND(AUTOEVENTO="Manual",$M43=1),$M43&gt;(ROW(PLE.lastrow)-ROW(PLE.firstrow))),0,IF(OFFSET(PLE!$G$14,$M43,BF$13)="",10^12,OFFSET(PLE!$G$14,$M43,BF$13))))</f>
        <v>1000000000000</v>
      </c>
      <c r="BG43" s="286" t="n">
        <f aca="true">IF($D43&lt;&gt;"Serviço",0,IF(OR(AND(AUTOEVENTO="Manual",$M43=1),$M43&gt;(ROW(PLE.lastrow)-ROW(PLE.firstrow))),0,IF(OFFSET(PLE!$G$14,$M43,BG$13)="",10^12,OFFSET(PLE!$G$14,$M43,BG$13))))</f>
        <v>1000000000000</v>
      </c>
    </row>
    <row r="44" customFormat="false" ht="23.85" hidden="false" customHeight="false" outlineLevel="0" collapsed="false">
      <c r="A44" s="34" t="n">
        <f aca="true">IF(AUTOEVENTO="Manual",IF(K44&lt;&gt;"",MIN(VALUE(LEFT(K44,FIND(".",K44)-1)),COUNTA(EVENTOS.Lista)),0),IF(OR($B44&gt;AUTOEVENTO,$B44="S",$B44=0),SUBSTITUTE(OFFSET($A44,-1,0),IF($D44="Serviço",".",""),""),ROW(A44)-ROW($A$15)&amp;"."))</f>
        <v>7</v>
      </c>
      <c r="B44" s="34" t="str">
        <f aca="true">OFFSET(ORÇAMENTO!C$15,ROW(B44)-ROW(B$15),0)</f>
        <v>S</v>
      </c>
      <c r="C44" s="34" t="str">
        <f aca="true">OFFSET(ORÇAMENTO!L$15,ROW(C44)-ROW(C$15),0)</f>
        <v/>
      </c>
      <c r="D44" s="187" t="str">
        <f aca="true">OFFSET(ORÇAMENTO!N$15,ROW(D44)-ROW(D$15),0)</f>
        <v>Serviço</v>
      </c>
      <c r="E44" s="188" t="str">
        <f aca="true">OFFSET(ORÇAMENTO!O$15,ROW(E44)-ROW(E$15),0)</f>
        <v>-</v>
      </c>
      <c r="F44" s="272" t="str">
        <f aca="true">OFFSET(ORÇAMENTO!R$15,ROW(F44)-ROW(F$15),0)</f>
        <v>(abra o arquivo 'Referência 02-Thursday.xlsm)</v>
      </c>
      <c r="G44" s="273" t="str">
        <f aca="true">IF($D44&lt;&gt;"Serviço","",OFFSET(ORÇAMENTO!S$15,ROW(G44)-ROW(G$15),0))</f>
        <v>-</v>
      </c>
      <c r="H44" s="193" t="n">
        <f aca="true">IF($D44&lt;&gt;"Serviço",0,IF(ACOMPANHAMENTO="BM",ROUND(OFFSET(ORÇAMENTO!AJ$15,ROW(H44)-ROW(H$15),0),15-13*ORÇAMENTO!$AF$7),SUMPRODUCT(($Q$12:$AA$12&lt;&gt;"")*ROUND($Q44:$AA44,15-13*ORÇAMENTO!$AF$7))))</f>
        <v>3375</v>
      </c>
      <c r="I44" s="274" t="s">
        <v>378</v>
      </c>
      <c r="K44" s="275" t="s">
        <v>374</v>
      </c>
      <c r="L44" s="276" t="s">
        <v>347</v>
      </c>
      <c r="M44" s="277" t="n">
        <f aca="true">IF($D44&lt;&gt;"Serviço","",IF(AUTOEVENTO="manual",$A44,IF(ISERROR(MATCH($A44,$A$15:OFFSET($A44,-1,0),0)),MAX($M$15:OFFSET(M44,-1,0))+1,INDEX($M$15:OFFSET(M44,-1,0),MATCH($A44,$A$15:OFFSET($A44,-1,0),0)))))</f>
        <v>7</v>
      </c>
      <c r="N44" s="278" t="str">
        <f aca="true">IF($D44&lt;&gt;"Serviço","",IF(AUTOEVENTO="Manual",IF($A44=0,"&lt;-- defina o número do agrupador",OFFSET(EVENTOS!$D$14,$A44,0)),OFFSET($F$15,$A44,0)))</f>
        <v>Base</v>
      </c>
      <c r="O44" s="279"/>
      <c r="Q44" s="279" t="n">
        <v>3375</v>
      </c>
      <c r="R44" s="280"/>
      <c r="S44" s="280"/>
      <c r="T44" s="280"/>
      <c r="U44" s="280"/>
      <c r="V44" s="280"/>
      <c r="W44" s="280"/>
      <c r="X44" s="280"/>
      <c r="Y44" s="280"/>
      <c r="Z44" s="281"/>
      <c r="AB44" s="282" t="n">
        <f aca="true">IF(AND($D44="Serviço",AB$12&lt;&gt;0,$H44&gt;0,OR(AUTOEVENTO&lt;&gt;"manual",$M44&lt;&gt;1)),
IF(Import.TipoArredondamento&lt;&gt;"TransfereGOV",
ROUND(OFFSET($P44,0,AB$13),15-13*ORÇAMENTO!$AF$7)/$H44*OFFSET(ORÇAMENTO!$X$15,ROW(AB44)-ROW(AB$15),0),
ROUND(ROUND(OFFSET($P44,0,AB$13),15-13*ORÇAMENTO!$AF$7)*OFFSET(ORÇAMENTO!$W$15,ROW(AB44)-ROW(AB$15),0),15-13*ORÇAMENTO!$AF$11)),0)</f>
        <v>0</v>
      </c>
      <c r="AC44" s="283" t="n">
        <f aca="true">IF(AND($D44="Serviço",AC$12&lt;&gt;0,$H44&gt;0,OR(AUTOEVENTO&lt;&gt;"manual",$M44&lt;&gt;1)),
IF(Import.TipoArredondamento&lt;&gt;"TransfereGOV",
ROUND(OFFSET($P44,0,AC$13),15-13*ORÇAMENTO!$AF$7)/$H44*OFFSET(ORÇAMENTO!$X$15,ROW(AC44)-ROW(AC$15),0),
ROUND(ROUND(OFFSET($P44,0,AC$13),15-13*ORÇAMENTO!$AF$7)*OFFSET(ORÇAMENTO!$W$15,ROW(AC44)-ROW(AC$15),0),15-13*ORÇAMENTO!$AF$11)),0)</f>
        <v>0</v>
      </c>
      <c r="AD44" s="283" t="n">
        <f aca="true">IF(AND($D44="Serviço",AD$12&lt;&gt;0,$H44&gt;0,OR(AUTOEVENTO&lt;&gt;"manual",$M44&lt;&gt;1)),
IF(Import.TipoArredondamento&lt;&gt;"TransfereGOV",
ROUND(OFFSET($P44,0,AD$13),15-13*ORÇAMENTO!$AF$7)/$H44*OFFSET(ORÇAMENTO!$X$15,ROW(AD44)-ROW(AD$15),0),
ROUND(ROUND(OFFSET($P44,0,AD$13),15-13*ORÇAMENTO!$AF$7)*OFFSET(ORÇAMENTO!$W$15,ROW(AD44)-ROW(AD$15),0),15-13*ORÇAMENTO!$AF$11)),0)</f>
        <v>0</v>
      </c>
      <c r="AE44" s="283" t="n">
        <f aca="true">IF(AND($D44="Serviço",AE$12&lt;&gt;0,$H44&gt;0,OR(AUTOEVENTO&lt;&gt;"manual",$M44&lt;&gt;1)),
IF(Import.TipoArredondamento&lt;&gt;"TransfereGOV",
ROUND(OFFSET($P44,0,AE$13),15-13*ORÇAMENTO!$AF$7)/$H44*OFFSET(ORÇAMENTO!$X$15,ROW(AE44)-ROW(AE$15),0),
ROUND(ROUND(OFFSET($P44,0,AE$13),15-13*ORÇAMENTO!$AF$7)*OFFSET(ORÇAMENTO!$W$15,ROW(AE44)-ROW(AE$15),0),15-13*ORÇAMENTO!$AF$11)),0)</f>
        <v>0</v>
      </c>
      <c r="AF44" s="283" t="n">
        <f aca="true">IF(AND($D44="Serviço",AF$12&lt;&gt;0,$H44&gt;0,OR(AUTOEVENTO&lt;&gt;"manual",$M44&lt;&gt;1)),
IF(Import.TipoArredondamento&lt;&gt;"TransfereGOV",
ROUND(OFFSET($P44,0,AF$13),15-13*ORÇAMENTO!$AF$7)/$H44*OFFSET(ORÇAMENTO!$X$15,ROW(AF44)-ROW(AF$15),0),
ROUND(ROUND(OFFSET($P44,0,AF$13),15-13*ORÇAMENTO!$AF$7)*OFFSET(ORÇAMENTO!$W$15,ROW(AF44)-ROW(AF$15),0),15-13*ORÇAMENTO!$AF$11)),0)</f>
        <v>0</v>
      </c>
      <c r="AG44" s="283" t="n">
        <f aca="true">IF(AND($D44="Serviço",AG$12&lt;&gt;0,$H44&gt;0,OR(AUTOEVENTO&lt;&gt;"manual",$M44&lt;&gt;1)),
IF(Import.TipoArredondamento&lt;&gt;"TransfereGOV",
ROUND(OFFSET($P44,0,AG$13),15-13*ORÇAMENTO!$AF$7)/$H44*OFFSET(ORÇAMENTO!$X$15,ROW(AG44)-ROW(AG$15),0),
ROUND(ROUND(OFFSET($P44,0,AG$13),15-13*ORÇAMENTO!$AF$7)*OFFSET(ORÇAMENTO!$W$15,ROW(AG44)-ROW(AG$15),0),15-13*ORÇAMENTO!$AF$11)),0)</f>
        <v>0</v>
      </c>
      <c r="AH44" s="283" t="n">
        <f aca="true">IF(AND($D44="Serviço",AH$12&lt;&gt;0,$H44&gt;0,OR(AUTOEVENTO&lt;&gt;"manual",$M44&lt;&gt;1)),
IF(Import.TipoArredondamento&lt;&gt;"TransfereGOV",
ROUND(OFFSET($P44,0,AH$13),15-13*ORÇAMENTO!$AF$7)/$H44*OFFSET(ORÇAMENTO!$X$15,ROW(AH44)-ROW(AH$15),0),
ROUND(ROUND(OFFSET($P44,0,AH$13),15-13*ORÇAMENTO!$AF$7)*OFFSET(ORÇAMENTO!$W$15,ROW(AH44)-ROW(AH$15),0),15-13*ORÇAMENTO!$AF$11)),0)</f>
        <v>0</v>
      </c>
      <c r="AI44" s="283" t="n">
        <f aca="true">IF(AND($D44="Serviço",AI$12&lt;&gt;0,$H44&gt;0,OR(AUTOEVENTO&lt;&gt;"manual",$M44&lt;&gt;1)),
IF(Import.TipoArredondamento&lt;&gt;"TransfereGOV",
ROUND(OFFSET($P44,0,AI$13),15-13*ORÇAMENTO!$AF$7)/$H44*OFFSET(ORÇAMENTO!$X$15,ROW(AI44)-ROW(AI$15),0),
ROUND(ROUND(OFFSET($P44,0,AI$13),15-13*ORÇAMENTO!$AF$7)*OFFSET(ORÇAMENTO!$W$15,ROW(AI44)-ROW(AI$15),0),15-13*ORÇAMENTO!$AF$11)),0)</f>
        <v>0</v>
      </c>
      <c r="AJ44" s="283" t="n">
        <f aca="true">IF(AND($D44="Serviço",AJ$12&lt;&gt;0,$H44&gt;0,OR(AUTOEVENTO&lt;&gt;"manual",$M44&lt;&gt;1)),
IF(Import.TipoArredondamento&lt;&gt;"TransfereGOV",
ROUND(OFFSET($P44,0,AJ$13),15-13*ORÇAMENTO!$AF$7)/$H44*OFFSET(ORÇAMENTO!$X$15,ROW(AJ44)-ROW(AJ$15),0),
ROUND(ROUND(OFFSET($P44,0,AJ$13),15-13*ORÇAMENTO!$AF$7)*OFFSET(ORÇAMENTO!$W$15,ROW(AJ44)-ROW(AJ$15),0),15-13*ORÇAMENTO!$AF$11)),0)</f>
        <v>0</v>
      </c>
      <c r="AK44" s="284" t="n">
        <f aca="true">IF(AND($D44="Serviço",AK$12&lt;&gt;0,$H44&gt;0,OR(AUTOEVENTO&lt;&gt;"manual",$M44&lt;&gt;1)),
IF(Import.TipoArredondamento&lt;&gt;"TransfereGOV",
ROUND(OFFSET($P44,0,AK$13),15-13*ORÇAMENTO!$AF$7)/$H44*OFFSET(ORÇAMENTO!$X$15,ROW(AK44)-ROW(AK$15),0),
ROUND(ROUND(OFFSET($P44,0,AK$13),15-13*ORÇAMENTO!$AF$7)*OFFSET(ORÇAMENTO!$W$15,ROW(AK44)-ROW(AK$15),0),15-13*ORÇAMENTO!$AF$11)),0)</f>
        <v>0</v>
      </c>
      <c r="AM44" s="285" t="n">
        <f aca="true">IF($D44&lt;&gt;"Serviço",0,IF(AND(AUTOEVENTO="Manual",$M44=1),0,IF(OFFSET(CRONOPLE!$F$14,$M44,AM$13)="",10^12,OFFSET(CRONOPLE!$F$14,$M44,AM$13))))</f>
        <v>2</v>
      </c>
      <c r="AN44" s="285" t="n">
        <f aca="true">IF($D44&lt;&gt;"Serviço",0,IF(AND(AUTOEVENTO="Manual",$M44=1),0,IF(OFFSET(CRONOPLE!$F$14,$M44,AN$13)="",10^12,OFFSET(CRONOPLE!$F$14,$M44,AN$13))))</f>
        <v>1000000000000</v>
      </c>
      <c r="AO44" s="285" t="n">
        <f aca="true">IF($D44&lt;&gt;"Serviço",0,IF(AND(AUTOEVENTO="Manual",$M44=1),0,IF(OFFSET(CRONOPLE!$F$14,$M44,AO$13)="",10^12,OFFSET(CRONOPLE!$F$14,$M44,AO$13))))</f>
        <v>1000000000000</v>
      </c>
      <c r="AP44" s="285" t="n">
        <f aca="true">IF($D44&lt;&gt;"Serviço",0,IF(AND(AUTOEVENTO="Manual",$M44=1),0,IF(OFFSET(CRONOPLE!$F$14,$M44,AP$13)="",10^12,OFFSET(CRONOPLE!$F$14,$M44,AP$13))))</f>
        <v>1000000000000</v>
      </c>
      <c r="AQ44" s="285" t="n">
        <f aca="true">IF($D44&lt;&gt;"Serviço",0,IF(AND(AUTOEVENTO="Manual",$M44=1),0,IF(OFFSET(CRONOPLE!$F$14,$M44,AQ$13)="",10^12,OFFSET(CRONOPLE!$F$14,$M44,AQ$13))))</f>
        <v>1000000000000</v>
      </c>
      <c r="AR44" s="285" t="n">
        <f aca="true">IF($D44&lt;&gt;"Serviço",0,IF(AND(AUTOEVENTO="Manual",$M44=1),0,IF(OFFSET(CRONOPLE!$F$14,$M44,AR$13)="",10^12,OFFSET(CRONOPLE!$F$14,$M44,AR$13))))</f>
        <v>1000000000000</v>
      </c>
      <c r="AS44" s="285" t="n">
        <f aca="true">IF($D44&lt;&gt;"Serviço",0,IF(AND(AUTOEVENTO="Manual",$M44=1),0,IF(OFFSET(CRONOPLE!$F$14,$M44,AS$13)="",10^12,OFFSET(CRONOPLE!$F$14,$M44,AS$13))))</f>
        <v>1000000000000</v>
      </c>
      <c r="AT44" s="285" t="n">
        <f aca="true">IF($D44&lt;&gt;"Serviço",0,IF(AND(AUTOEVENTO="Manual",$M44=1),0,IF(OFFSET(CRONOPLE!$F$14,$M44,AT$13)="",10^12,OFFSET(CRONOPLE!$F$14,$M44,AT$13))))</f>
        <v>1000000000000</v>
      </c>
      <c r="AU44" s="285" t="n">
        <f aca="true">IF($D44&lt;&gt;"Serviço",0,IF(AND(AUTOEVENTO="Manual",$M44=1),0,IF(OFFSET(CRONOPLE!$F$14,$M44,AU$13)="",10^12,OFFSET(CRONOPLE!$F$14,$M44,AU$13))))</f>
        <v>1000000000000</v>
      </c>
      <c r="AV44" s="285" t="n">
        <f aca="true">IF($D44&lt;&gt;"Serviço",0,IF(AND(AUTOEVENTO="Manual",$M44=1),0,IF(OFFSET(CRONOPLE!$F$14,$M44,AV$13)="",10^12,OFFSET(CRONOPLE!$F$14,$M44,AV$13))))</f>
        <v>1000000000000</v>
      </c>
      <c r="AX44" s="286" t="n">
        <f aca="true">IF($D44&lt;&gt;"Serviço",0,IF(OR(AND(AUTOEVENTO="Manual",$M44=1),$M44&gt;(ROW(PLE.lastrow)-ROW(PLE.firstrow))),0,IF(OFFSET(PLE!$G$14,$M44,AX$13)="",10^12,OFFSET(PLE!$G$14,$M44,AX$13))))</f>
        <v>1000000000000</v>
      </c>
      <c r="AY44" s="286" t="n">
        <f aca="true">IF($D44&lt;&gt;"Serviço",0,IF(OR(AND(AUTOEVENTO="Manual",$M44=1),$M44&gt;(ROW(PLE.lastrow)-ROW(PLE.firstrow))),0,IF(OFFSET(PLE!$G$14,$M44,AY$13)="",10^12,OFFSET(PLE!$G$14,$M44,AY$13))))</f>
        <v>1000000000000</v>
      </c>
      <c r="AZ44" s="286" t="n">
        <f aca="true">IF($D44&lt;&gt;"Serviço",0,IF(OR(AND(AUTOEVENTO="Manual",$M44=1),$M44&gt;(ROW(PLE.lastrow)-ROW(PLE.firstrow))),0,IF(OFFSET(PLE!$G$14,$M44,AZ$13)="",10^12,OFFSET(PLE!$G$14,$M44,AZ$13))))</f>
        <v>1000000000000</v>
      </c>
      <c r="BA44" s="286" t="n">
        <f aca="true">IF($D44&lt;&gt;"Serviço",0,IF(OR(AND(AUTOEVENTO="Manual",$M44=1),$M44&gt;(ROW(PLE.lastrow)-ROW(PLE.firstrow))),0,IF(OFFSET(PLE!$G$14,$M44,BA$13)="",10^12,OFFSET(PLE!$G$14,$M44,BA$13))))</f>
        <v>1000000000000</v>
      </c>
      <c r="BB44" s="286" t="n">
        <f aca="true">IF($D44&lt;&gt;"Serviço",0,IF(OR(AND(AUTOEVENTO="Manual",$M44=1),$M44&gt;(ROW(PLE.lastrow)-ROW(PLE.firstrow))),0,IF(OFFSET(PLE!$G$14,$M44,BB$13)="",10^12,OFFSET(PLE!$G$14,$M44,BB$13))))</f>
        <v>1000000000000</v>
      </c>
      <c r="BC44" s="286" t="n">
        <f aca="true">IF($D44&lt;&gt;"Serviço",0,IF(OR(AND(AUTOEVENTO="Manual",$M44=1),$M44&gt;(ROW(PLE.lastrow)-ROW(PLE.firstrow))),0,IF(OFFSET(PLE!$G$14,$M44,BC$13)="",10^12,OFFSET(PLE!$G$14,$M44,BC$13))))</f>
        <v>1000000000000</v>
      </c>
      <c r="BD44" s="286" t="n">
        <f aca="true">IF($D44&lt;&gt;"Serviço",0,IF(OR(AND(AUTOEVENTO="Manual",$M44=1),$M44&gt;(ROW(PLE.lastrow)-ROW(PLE.firstrow))),0,IF(OFFSET(PLE!$G$14,$M44,BD$13)="",10^12,OFFSET(PLE!$G$14,$M44,BD$13))))</f>
        <v>1000000000000</v>
      </c>
      <c r="BE44" s="286" t="n">
        <f aca="true">IF($D44&lt;&gt;"Serviço",0,IF(OR(AND(AUTOEVENTO="Manual",$M44=1),$M44&gt;(ROW(PLE.lastrow)-ROW(PLE.firstrow))),0,IF(OFFSET(PLE!$G$14,$M44,BE$13)="",10^12,OFFSET(PLE!$G$14,$M44,BE$13))))</f>
        <v>1000000000000</v>
      </c>
      <c r="BF44" s="286" t="n">
        <f aca="true">IF($D44&lt;&gt;"Serviço",0,IF(OR(AND(AUTOEVENTO="Manual",$M44=1),$M44&gt;(ROW(PLE.lastrow)-ROW(PLE.firstrow))),0,IF(OFFSET(PLE!$G$14,$M44,BF$13)="",10^12,OFFSET(PLE!$G$14,$M44,BF$13))))</f>
        <v>1000000000000</v>
      </c>
      <c r="BG44" s="286" t="n">
        <f aca="true">IF($D44&lt;&gt;"Serviço",0,IF(OR(AND(AUTOEVENTO="Manual",$M44=1),$M44&gt;(ROW(PLE.lastrow)-ROW(PLE.firstrow))),0,IF(OFFSET(PLE!$G$14,$M44,BG$13)="",10^12,OFFSET(PLE!$G$14,$M44,BG$13))))</f>
        <v>1000000000000</v>
      </c>
    </row>
    <row r="45" customFormat="false" ht="57.45" hidden="false" customHeight="false" outlineLevel="0" collapsed="false">
      <c r="A45" s="34" t="n">
        <f aca="true">IF(AUTOEVENTO="Manual",IF(K45&lt;&gt;"",MIN(VALUE(LEFT(K45,FIND(".",K45)-1)),COUNTA(EVENTOS.Lista)),0),IF(OR($B45&gt;AUTOEVENTO,$B45="S",$B45=0),SUBSTITUTE(OFFSET($A45,-1,0),IF($D45="Serviço",".",""),""),ROW(A45)-ROW($A$15)&amp;"."))</f>
        <v>7</v>
      </c>
      <c r="B45" s="34" t="str">
        <f aca="true">OFFSET(ORÇAMENTO!C$15,ROW(B45)-ROW(B$15),0)</f>
        <v>S</v>
      </c>
      <c r="C45" s="34" t="str">
        <f aca="true">OFFSET(ORÇAMENTO!L$15,ROW(C45)-ROW(C$15),0)</f>
        <v/>
      </c>
      <c r="D45" s="187" t="str">
        <f aca="true">OFFSET(ORÇAMENTO!N$15,ROW(D45)-ROW(D$15),0)</f>
        <v>Serviço</v>
      </c>
      <c r="E45" s="188" t="str">
        <f aca="true">OFFSET(ORÇAMENTO!O$15,ROW(E45)-ROW(E$15),0)</f>
        <v>-</v>
      </c>
      <c r="F45" s="272" t="str">
        <f aca="true">OFFSET(ORÇAMENTO!R$15,ROW(F45)-ROW(F$15),0)</f>
        <v>(abra o arquivo 'Referência 02-Thursday.xlsm)</v>
      </c>
      <c r="G45" s="273" t="str">
        <f aca="true">IF($D45&lt;&gt;"Serviço","",OFFSET(ORÇAMENTO!S$15,ROW(G45)-ROW(G$15),0))</f>
        <v>-</v>
      </c>
      <c r="H45" s="193" t="n">
        <f aca="true">IF($D45&lt;&gt;"Serviço",0,IF(ACOMPANHAMENTO="BM",ROUND(OFFSET(ORÇAMENTO!AJ$15,ROW(H45)-ROW(H$15),0),15-13*ORÇAMENTO!$AF$7),SUMPRODUCT(($Q$12:$AA$12&lt;&gt;"")*ROUND($Q45:$AA45,15-13*ORÇAMENTO!$AF$7))))</f>
        <v>50.63</v>
      </c>
      <c r="I45" s="274" t="s">
        <v>379</v>
      </c>
      <c r="K45" s="275" t="s">
        <v>374</v>
      </c>
      <c r="L45" s="276" t="s">
        <v>347</v>
      </c>
      <c r="M45" s="277" t="n">
        <f aca="true">IF($D45&lt;&gt;"Serviço","",IF(AUTOEVENTO="manual",$A45,IF(ISERROR(MATCH($A45,$A$15:OFFSET($A45,-1,0),0)),MAX($M$15:OFFSET(M45,-1,0))+1,INDEX($M$15:OFFSET(M45,-1,0),MATCH($A45,$A$15:OFFSET($A45,-1,0),0)))))</f>
        <v>7</v>
      </c>
      <c r="N45" s="278" t="str">
        <f aca="true">IF($D45&lt;&gt;"Serviço","",IF(AUTOEVENTO="Manual",IF($A45=0,"&lt;-- defina o número do agrupador",OFFSET(EVENTOS!$D$14,$A45,0)),OFFSET($F$15,$A45,0)))</f>
        <v>Base</v>
      </c>
      <c r="O45" s="279"/>
      <c r="Q45" s="279" t="n">
        <v>50.625</v>
      </c>
      <c r="R45" s="280"/>
      <c r="S45" s="280"/>
      <c r="T45" s="280"/>
      <c r="U45" s="280"/>
      <c r="V45" s="280"/>
      <c r="W45" s="280"/>
      <c r="X45" s="280"/>
      <c r="Y45" s="280"/>
      <c r="Z45" s="281"/>
      <c r="AB45" s="282" t="n">
        <f aca="true">IF(AND($D45="Serviço",AB$12&lt;&gt;0,$H45&gt;0,OR(AUTOEVENTO&lt;&gt;"manual",$M45&lt;&gt;1)),
IF(Import.TipoArredondamento&lt;&gt;"TransfereGOV",
ROUND(OFFSET($P45,0,AB$13),15-13*ORÇAMENTO!$AF$7)/$H45*OFFSET(ORÇAMENTO!$X$15,ROW(AB45)-ROW(AB$15),0),
ROUND(ROUND(OFFSET($P45,0,AB$13),15-13*ORÇAMENTO!$AF$7)*OFFSET(ORÇAMENTO!$W$15,ROW(AB45)-ROW(AB$15),0),15-13*ORÇAMENTO!$AF$11)),0)</f>
        <v>0</v>
      </c>
      <c r="AC45" s="283" t="n">
        <f aca="true">IF(AND($D45="Serviço",AC$12&lt;&gt;0,$H45&gt;0,OR(AUTOEVENTO&lt;&gt;"manual",$M45&lt;&gt;1)),
IF(Import.TipoArredondamento&lt;&gt;"TransfereGOV",
ROUND(OFFSET($P45,0,AC$13),15-13*ORÇAMENTO!$AF$7)/$H45*OFFSET(ORÇAMENTO!$X$15,ROW(AC45)-ROW(AC$15),0),
ROUND(ROUND(OFFSET($P45,0,AC$13),15-13*ORÇAMENTO!$AF$7)*OFFSET(ORÇAMENTO!$W$15,ROW(AC45)-ROW(AC$15),0),15-13*ORÇAMENTO!$AF$11)),0)</f>
        <v>0</v>
      </c>
      <c r="AD45" s="283" t="n">
        <f aca="true">IF(AND($D45="Serviço",AD$12&lt;&gt;0,$H45&gt;0,OR(AUTOEVENTO&lt;&gt;"manual",$M45&lt;&gt;1)),
IF(Import.TipoArredondamento&lt;&gt;"TransfereGOV",
ROUND(OFFSET($P45,0,AD$13),15-13*ORÇAMENTO!$AF$7)/$H45*OFFSET(ORÇAMENTO!$X$15,ROW(AD45)-ROW(AD$15),0),
ROUND(ROUND(OFFSET($P45,0,AD$13),15-13*ORÇAMENTO!$AF$7)*OFFSET(ORÇAMENTO!$W$15,ROW(AD45)-ROW(AD$15),0),15-13*ORÇAMENTO!$AF$11)),0)</f>
        <v>0</v>
      </c>
      <c r="AE45" s="283" t="n">
        <f aca="true">IF(AND($D45="Serviço",AE$12&lt;&gt;0,$H45&gt;0,OR(AUTOEVENTO&lt;&gt;"manual",$M45&lt;&gt;1)),
IF(Import.TipoArredondamento&lt;&gt;"TransfereGOV",
ROUND(OFFSET($P45,0,AE$13),15-13*ORÇAMENTO!$AF$7)/$H45*OFFSET(ORÇAMENTO!$X$15,ROW(AE45)-ROW(AE$15),0),
ROUND(ROUND(OFFSET($P45,0,AE$13),15-13*ORÇAMENTO!$AF$7)*OFFSET(ORÇAMENTO!$W$15,ROW(AE45)-ROW(AE$15),0),15-13*ORÇAMENTO!$AF$11)),0)</f>
        <v>0</v>
      </c>
      <c r="AF45" s="283" t="n">
        <f aca="true">IF(AND($D45="Serviço",AF$12&lt;&gt;0,$H45&gt;0,OR(AUTOEVENTO&lt;&gt;"manual",$M45&lt;&gt;1)),
IF(Import.TipoArredondamento&lt;&gt;"TransfereGOV",
ROUND(OFFSET($P45,0,AF$13),15-13*ORÇAMENTO!$AF$7)/$H45*OFFSET(ORÇAMENTO!$X$15,ROW(AF45)-ROW(AF$15),0),
ROUND(ROUND(OFFSET($P45,0,AF$13),15-13*ORÇAMENTO!$AF$7)*OFFSET(ORÇAMENTO!$W$15,ROW(AF45)-ROW(AF$15),0),15-13*ORÇAMENTO!$AF$11)),0)</f>
        <v>0</v>
      </c>
      <c r="AG45" s="283" t="n">
        <f aca="true">IF(AND($D45="Serviço",AG$12&lt;&gt;0,$H45&gt;0,OR(AUTOEVENTO&lt;&gt;"manual",$M45&lt;&gt;1)),
IF(Import.TipoArredondamento&lt;&gt;"TransfereGOV",
ROUND(OFFSET($P45,0,AG$13),15-13*ORÇAMENTO!$AF$7)/$H45*OFFSET(ORÇAMENTO!$X$15,ROW(AG45)-ROW(AG$15),0),
ROUND(ROUND(OFFSET($P45,0,AG$13),15-13*ORÇAMENTO!$AF$7)*OFFSET(ORÇAMENTO!$W$15,ROW(AG45)-ROW(AG$15),0),15-13*ORÇAMENTO!$AF$11)),0)</f>
        <v>0</v>
      </c>
      <c r="AH45" s="283" t="n">
        <f aca="true">IF(AND($D45="Serviço",AH$12&lt;&gt;0,$H45&gt;0,OR(AUTOEVENTO&lt;&gt;"manual",$M45&lt;&gt;1)),
IF(Import.TipoArredondamento&lt;&gt;"TransfereGOV",
ROUND(OFFSET($P45,0,AH$13),15-13*ORÇAMENTO!$AF$7)/$H45*OFFSET(ORÇAMENTO!$X$15,ROW(AH45)-ROW(AH$15),0),
ROUND(ROUND(OFFSET($P45,0,AH$13),15-13*ORÇAMENTO!$AF$7)*OFFSET(ORÇAMENTO!$W$15,ROW(AH45)-ROW(AH$15),0),15-13*ORÇAMENTO!$AF$11)),0)</f>
        <v>0</v>
      </c>
      <c r="AI45" s="283" t="n">
        <f aca="true">IF(AND($D45="Serviço",AI$12&lt;&gt;0,$H45&gt;0,OR(AUTOEVENTO&lt;&gt;"manual",$M45&lt;&gt;1)),
IF(Import.TipoArredondamento&lt;&gt;"TransfereGOV",
ROUND(OFFSET($P45,0,AI$13),15-13*ORÇAMENTO!$AF$7)/$H45*OFFSET(ORÇAMENTO!$X$15,ROW(AI45)-ROW(AI$15),0),
ROUND(ROUND(OFFSET($P45,0,AI$13),15-13*ORÇAMENTO!$AF$7)*OFFSET(ORÇAMENTO!$W$15,ROW(AI45)-ROW(AI$15),0),15-13*ORÇAMENTO!$AF$11)),0)</f>
        <v>0</v>
      </c>
      <c r="AJ45" s="283" t="n">
        <f aca="true">IF(AND($D45="Serviço",AJ$12&lt;&gt;0,$H45&gt;0,OR(AUTOEVENTO&lt;&gt;"manual",$M45&lt;&gt;1)),
IF(Import.TipoArredondamento&lt;&gt;"TransfereGOV",
ROUND(OFFSET($P45,0,AJ$13),15-13*ORÇAMENTO!$AF$7)/$H45*OFFSET(ORÇAMENTO!$X$15,ROW(AJ45)-ROW(AJ$15),0),
ROUND(ROUND(OFFSET($P45,0,AJ$13),15-13*ORÇAMENTO!$AF$7)*OFFSET(ORÇAMENTO!$W$15,ROW(AJ45)-ROW(AJ$15),0),15-13*ORÇAMENTO!$AF$11)),0)</f>
        <v>0</v>
      </c>
      <c r="AK45" s="284" t="n">
        <f aca="true">IF(AND($D45="Serviço",AK$12&lt;&gt;0,$H45&gt;0,OR(AUTOEVENTO&lt;&gt;"manual",$M45&lt;&gt;1)),
IF(Import.TipoArredondamento&lt;&gt;"TransfereGOV",
ROUND(OFFSET($P45,0,AK$13),15-13*ORÇAMENTO!$AF$7)/$H45*OFFSET(ORÇAMENTO!$X$15,ROW(AK45)-ROW(AK$15),0),
ROUND(ROUND(OFFSET($P45,0,AK$13),15-13*ORÇAMENTO!$AF$7)*OFFSET(ORÇAMENTO!$W$15,ROW(AK45)-ROW(AK$15),0),15-13*ORÇAMENTO!$AF$11)),0)</f>
        <v>0</v>
      </c>
      <c r="AM45" s="285" t="n">
        <f aca="true">IF($D45&lt;&gt;"Serviço",0,IF(AND(AUTOEVENTO="Manual",$M45=1),0,IF(OFFSET(CRONOPLE!$F$14,$M45,AM$13)="",10^12,OFFSET(CRONOPLE!$F$14,$M45,AM$13))))</f>
        <v>2</v>
      </c>
      <c r="AN45" s="285" t="n">
        <f aca="true">IF($D45&lt;&gt;"Serviço",0,IF(AND(AUTOEVENTO="Manual",$M45=1),0,IF(OFFSET(CRONOPLE!$F$14,$M45,AN$13)="",10^12,OFFSET(CRONOPLE!$F$14,$M45,AN$13))))</f>
        <v>1000000000000</v>
      </c>
      <c r="AO45" s="285" t="n">
        <f aca="true">IF($D45&lt;&gt;"Serviço",0,IF(AND(AUTOEVENTO="Manual",$M45=1),0,IF(OFFSET(CRONOPLE!$F$14,$M45,AO$13)="",10^12,OFFSET(CRONOPLE!$F$14,$M45,AO$13))))</f>
        <v>1000000000000</v>
      </c>
      <c r="AP45" s="285" t="n">
        <f aca="true">IF($D45&lt;&gt;"Serviço",0,IF(AND(AUTOEVENTO="Manual",$M45=1),0,IF(OFFSET(CRONOPLE!$F$14,$M45,AP$13)="",10^12,OFFSET(CRONOPLE!$F$14,$M45,AP$13))))</f>
        <v>1000000000000</v>
      </c>
      <c r="AQ45" s="285" t="n">
        <f aca="true">IF($D45&lt;&gt;"Serviço",0,IF(AND(AUTOEVENTO="Manual",$M45=1),0,IF(OFFSET(CRONOPLE!$F$14,$M45,AQ$13)="",10^12,OFFSET(CRONOPLE!$F$14,$M45,AQ$13))))</f>
        <v>1000000000000</v>
      </c>
      <c r="AR45" s="285" t="n">
        <f aca="true">IF($D45&lt;&gt;"Serviço",0,IF(AND(AUTOEVENTO="Manual",$M45=1),0,IF(OFFSET(CRONOPLE!$F$14,$M45,AR$13)="",10^12,OFFSET(CRONOPLE!$F$14,$M45,AR$13))))</f>
        <v>1000000000000</v>
      </c>
      <c r="AS45" s="285" t="n">
        <f aca="true">IF($D45&lt;&gt;"Serviço",0,IF(AND(AUTOEVENTO="Manual",$M45=1),0,IF(OFFSET(CRONOPLE!$F$14,$M45,AS$13)="",10^12,OFFSET(CRONOPLE!$F$14,$M45,AS$13))))</f>
        <v>1000000000000</v>
      </c>
      <c r="AT45" s="285" t="n">
        <f aca="true">IF($D45&lt;&gt;"Serviço",0,IF(AND(AUTOEVENTO="Manual",$M45=1),0,IF(OFFSET(CRONOPLE!$F$14,$M45,AT$13)="",10^12,OFFSET(CRONOPLE!$F$14,$M45,AT$13))))</f>
        <v>1000000000000</v>
      </c>
      <c r="AU45" s="285" t="n">
        <f aca="true">IF($D45&lt;&gt;"Serviço",0,IF(AND(AUTOEVENTO="Manual",$M45=1),0,IF(OFFSET(CRONOPLE!$F$14,$M45,AU$13)="",10^12,OFFSET(CRONOPLE!$F$14,$M45,AU$13))))</f>
        <v>1000000000000</v>
      </c>
      <c r="AV45" s="285" t="n">
        <f aca="true">IF($D45&lt;&gt;"Serviço",0,IF(AND(AUTOEVENTO="Manual",$M45=1),0,IF(OFFSET(CRONOPLE!$F$14,$M45,AV$13)="",10^12,OFFSET(CRONOPLE!$F$14,$M45,AV$13))))</f>
        <v>1000000000000</v>
      </c>
      <c r="AX45" s="286" t="n">
        <f aca="true">IF($D45&lt;&gt;"Serviço",0,IF(OR(AND(AUTOEVENTO="Manual",$M45=1),$M45&gt;(ROW(PLE.lastrow)-ROW(PLE.firstrow))),0,IF(OFFSET(PLE!$G$14,$M45,AX$13)="",10^12,OFFSET(PLE!$G$14,$M45,AX$13))))</f>
        <v>1000000000000</v>
      </c>
      <c r="AY45" s="286" t="n">
        <f aca="true">IF($D45&lt;&gt;"Serviço",0,IF(OR(AND(AUTOEVENTO="Manual",$M45=1),$M45&gt;(ROW(PLE.lastrow)-ROW(PLE.firstrow))),0,IF(OFFSET(PLE!$G$14,$M45,AY$13)="",10^12,OFFSET(PLE!$G$14,$M45,AY$13))))</f>
        <v>1000000000000</v>
      </c>
      <c r="AZ45" s="286" t="n">
        <f aca="true">IF($D45&lt;&gt;"Serviço",0,IF(OR(AND(AUTOEVENTO="Manual",$M45=1),$M45&gt;(ROW(PLE.lastrow)-ROW(PLE.firstrow))),0,IF(OFFSET(PLE!$G$14,$M45,AZ$13)="",10^12,OFFSET(PLE!$G$14,$M45,AZ$13))))</f>
        <v>1000000000000</v>
      </c>
      <c r="BA45" s="286" t="n">
        <f aca="true">IF($D45&lt;&gt;"Serviço",0,IF(OR(AND(AUTOEVENTO="Manual",$M45=1),$M45&gt;(ROW(PLE.lastrow)-ROW(PLE.firstrow))),0,IF(OFFSET(PLE!$G$14,$M45,BA$13)="",10^12,OFFSET(PLE!$G$14,$M45,BA$13))))</f>
        <v>1000000000000</v>
      </c>
      <c r="BB45" s="286" t="n">
        <f aca="true">IF($D45&lt;&gt;"Serviço",0,IF(OR(AND(AUTOEVENTO="Manual",$M45=1),$M45&gt;(ROW(PLE.lastrow)-ROW(PLE.firstrow))),0,IF(OFFSET(PLE!$G$14,$M45,BB$13)="",10^12,OFFSET(PLE!$G$14,$M45,BB$13))))</f>
        <v>1000000000000</v>
      </c>
      <c r="BC45" s="286" t="n">
        <f aca="true">IF($D45&lt;&gt;"Serviço",0,IF(OR(AND(AUTOEVENTO="Manual",$M45=1),$M45&gt;(ROW(PLE.lastrow)-ROW(PLE.firstrow))),0,IF(OFFSET(PLE!$G$14,$M45,BC$13)="",10^12,OFFSET(PLE!$G$14,$M45,BC$13))))</f>
        <v>1000000000000</v>
      </c>
      <c r="BD45" s="286" t="n">
        <f aca="true">IF($D45&lt;&gt;"Serviço",0,IF(OR(AND(AUTOEVENTO="Manual",$M45=1),$M45&gt;(ROW(PLE.lastrow)-ROW(PLE.firstrow))),0,IF(OFFSET(PLE!$G$14,$M45,BD$13)="",10^12,OFFSET(PLE!$G$14,$M45,BD$13))))</f>
        <v>1000000000000</v>
      </c>
      <c r="BE45" s="286" t="n">
        <f aca="true">IF($D45&lt;&gt;"Serviço",0,IF(OR(AND(AUTOEVENTO="Manual",$M45=1),$M45&gt;(ROW(PLE.lastrow)-ROW(PLE.firstrow))),0,IF(OFFSET(PLE!$G$14,$M45,BE$13)="",10^12,OFFSET(PLE!$G$14,$M45,BE$13))))</f>
        <v>1000000000000</v>
      </c>
      <c r="BF45" s="286" t="n">
        <f aca="true">IF($D45&lt;&gt;"Serviço",0,IF(OR(AND(AUTOEVENTO="Manual",$M45=1),$M45&gt;(ROW(PLE.lastrow)-ROW(PLE.firstrow))),0,IF(OFFSET(PLE!$G$14,$M45,BF$13)="",10^12,OFFSET(PLE!$G$14,$M45,BF$13))))</f>
        <v>1000000000000</v>
      </c>
      <c r="BG45" s="286" t="n">
        <f aca="true">IF($D45&lt;&gt;"Serviço",0,IF(OR(AND(AUTOEVENTO="Manual",$M45=1),$M45&gt;(ROW(PLE.lastrow)-ROW(PLE.firstrow))),0,IF(OFFSET(PLE!$G$14,$M45,BG$13)="",10^12,OFFSET(PLE!$G$14,$M45,BG$13))))</f>
        <v>1000000000000</v>
      </c>
    </row>
    <row r="46" customFormat="false" ht="35.05" hidden="false" customHeight="false" outlineLevel="0" collapsed="false">
      <c r="A46" s="34" t="n">
        <f aca="true">IF(AUTOEVENTO="Manual",IF(K46&lt;&gt;"",MIN(VALUE(LEFT(K46,FIND(".",K46)-1)),COUNTA(EVENTOS.Lista)),0),IF(OR($B46&gt;AUTOEVENTO,$B46="S",$B46=0),SUBSTITUTE(OFFSET($A46,-1,0),IF($D46="Serviço",".",""),""),ROW(A46)-ROW($A$15)&amp;"."))</f>
        <v>7</v>
      </c>
      <c r="B46" s="34" t="str">
        <f aca="true">OFFSET(ORÇAMENTO!C$15,ROW(B46)-ROW(B$15),0)</f>
        <v>S</v>
      </c>
      <c r="C46" s="34" t="str">
        <f aca="true">OFFSET(ORÇAMENTO!L$15,ROW(C46)-ROW(C$15),0)</f>
        <v/>
      </c>
      <c r="D46" s="187" t="str">
        <f aca="true">OFFSET(ORÇAMENTO!N$15,ROW(D46)-ROW(D$15),0)</f>
        <v>Serviço</v>
      </c>
      <c r="E46" s="188" t="str">
        <f aca="true">OFFSET(ORÇAMENTO!O$15,ROW(E46)-ROW(E$15),0)</f>
        <v>-</v>
      </c>
      <c r="F46" s="272" t="str">
        <f aca="true">OFFSET(ORÇAMENTO!R$15,ROW(F46)-ROW(F$15),0)</f>
        <v>(abra o arquivo 'Referência 02-Thursday.xlsm)</v>
      </c>
      <c r="G46" s="273" t="str">
        <f aca="true">IF($D46&lt;&gt;"Serviço","",OFFSET(ORÇAMENTO!S$15,ROW(G46)-ROW(G$15),0))</f>
        <v>-</v>
      </c>
      <c r="H46" s="193" t="n">
        <f aca="true">IF($D46&lt;&gt;"Serviço",0,IF(ACOMPANHAMENTO="BM",ROUND(OFFSET(ORÇAMENTO!AJ$15,ROW(H46)-ROW(H$15),0),15-13*ORÇAMENTO!$AF$7),SUMPRODUCT(($Q$12:$AA$12&lt;&gt;"")*ROUND($Q46:$AA46,15-13*ORÇAMENTO!$AF$7))))</f>
        <v>523.13</v>
      </c>
      <c r="I46" s="274" t="s">
        <v>377</v>
      </c>
      <c r="K46" s="275" t="s">
        <v>374</v>
      </c>
      <c r="L46" s="276" t="s">
        <v>347</v>
      </c>
      <c r="M46" s="277" t="n">
        <f aca="true">IF($D46&lt;&gt;"Serviço","",IF(AUTOEVENTO="manual",$A46,IF(ISERROR(MATCH($A46,$A$15:OFFSET($A46,-1,0),0)),MAX($M$15:OFFSET(M46,-1,0))+1,INDEX($M$15:OFFSET(M46,-1,0),MATCH($A46,$A$15:OFFSET($A46,-1,0),0)))))</f>
        <v>7</v>
      </c>
      <c r="N46" s="278" t="str">
        <f aca="true">IF($D46&lt;&gt;"Serviço","",IF(AUTOEVENTO="Manual",IF($A46=0,"&lt;-- defina o número do agrupador",OFFSET(EVENTOS!$D$14,$A46,0)),OFFSET($F$15,$A46,0)))</f>
        <v>Base</v>
      </c>
      <c r="O46" s="279"/>
      <c r="Q46" s="279" t="n">
        <v>523.125</v>
      </c>
      <c r="R46" s="280"/>
      <c r="S46" s="280"/>
      <c r="T46" s="280"/>
      <c r="U46" s="280"/>
      <c r="V46" s="280"/>
      <c r="W46" s="280"/>
      <c r="X46" s="280"/>
      <c r="Y46" s="280"/>
      <c r="Z46" s="281"/>
      <c r="AB46" s="282" t="n">
        <f aca="true">IF(AND($D46="Serviço",AB$12&lt;&gt;0,$H46&gt;0,OR(AUTOEVENTO&lt;&gt;"manual",$M46&lt;&gt;1)),
IF(Import.TipoArredondamento&lt;&gt;"TransfereGOV",
ROUND(OFFSET($P46,0,AB$13),15-13*ORÇAMENTO!$AF$7)/$H46*OFFSET(ORÇAMENTO!$X$15,ROW(AB46)-ROW(AB$15),0),
ROUND(ROUND(OFFSET($P46,0,AB$13),15-13*ORÇAMENTO!$AF$7)*OFFSET(ORÇAMENTO!$W$15,ROW(AB46)-ROW(AB$15),0),15-13*ORÇAMENTO!$AF$11)),0)</f>
        <v>0</v>
      </c>
      <c r="AC46" s="283" t="n">
        <f aca="true">IF(AND($D46="Serviço",AC$12&lt;&gt;0,$H46&gt;0,OR(AUTOEVENTO&lt;&gt;"manual",$M46&lt;&gt;1)),
IF(Import.TipoArredondamento&lt;&gt;"TransfereGOV",
ROUND(OFFSET($P46,0,AC$13),15-13*ORÇAMENTO!$AF$7)/$H46*OFFSET(ORÇAMENTO!$X$15,ROW(AC46)-ROW(AC$15),0),
ROUND(ROUND(OFFSET($P46,0,AC$13),15-13*ORÇAMENTO!$AF$7)*OFFSET(ORÇAMENTO!$W$15,ROW(AC46)-ROW(AC$15),0),15-13*ORÇAMENTO!$AF$11)),0)</f>
        <v>0</v>
      </c>
      <c r="AD46" s="283" t="n">
        <f aca="true">IF(AND($D46="Serviço",AD$12&lt;&gt;0,$H46&gt;0,OR(AUTOEVENTO&lt;&gt;"manual",$M46&lt;&gt;1)),
IF(Import.TipoArredondamento&lt;&gt;"TransfereGOV",
ROUND(OFFSET($P46,0,AD$13),15-13*ORÇAMENTO!$AF$7)/$H46*OFFSET(ORÇAMENTO!$X$15,ROW(AD46)-ROW(AD$15),0),
ROUND(ROUND(OFFSET($P46,0,AD$13),15-13*ORÇAMENTO!$AF$7)*OFFSET(ORÇAMENTO!$W$15,ROW(AD46)-ROW(AD$15),0),15-13*ORÇAMENTO!$AF$11)),0)</f>
        <v>0</v>
      </c>
      <c r="AE46" s="283" t="n">
        <f aca="true">IF(AND($D46="Serviço",AE$12&lt;&gt;0,$H46&gt;0,OR(AUTOEVENTO&lt;&gt;"manual",$M46&lt;&gt;1)),
IF(Import.TipoArredondamento&lt;&gt;"TransfereGOV",
ROUND(OFFSET($P46,0,AE$13),15-13*ORÇAMENTO!$AF$7)/$H46*OFFSET(ORÇAMENTO!$X$15,ROW(AE46)-ROW(AE$15),0),
ROUND(ROUND(OFFSET($P46,0,AE$13),15-13*ORÇAMENTO!$AF$7)*OFFSET(ORÇAMENTO!$W$15,ROW(AE46)-ROW(AE$15),0),15-13*ORÇAMENTO!$AF$11)),0)</f>
        <v>0</v>
      </c>
      <c r="AF46" s="283" t="n">
        <f aca="true">IF(AND($D46="Serviço",AF$12&lt;&gt;0,$H46&gt;0,OR(AUTOEVENTO&lt;&gt;"manual",$M46&lt;&gt;1)),
IF(Import.TipoArredondamento&lt;&gt;"TransfereGOV",
ROUND(OFFSET($P46,0,AF$13),15-13*ORÇAMENTO!$AF$7)/$H46*OFFSET(ORÇAMENTO!$X$15,ROW(AF46)-ROW(AF$15),0),
ROUND(ROUND(OFFSET($P46,0,AF$13),15-13*ORÇAMENTO!$AF$7)*OFFSET(ORÇAMENTO!$W$15,ROW(AF46)-ROW(AF$15),0),15-13*ORÇAMENTO!$AF$11)),0)</f>
        <v>0</v>
      </c>
      <c r="AG46" s="283" t="n">
        <f aca="true">IF(AND($D46="Serviço",AG$12&lt;&gt;0,$H46&gt;0,OR(AUTOEVENTO&lt;&gt;"manual",$M46&lt;&gt;1)),
IF(Import.TipoArredondamento&lt;&gt;"TransfereGOV",
ROUND(OFFSET($P46,0,AG$13),15-13*ORÇAMENTO!$AF$7)/$H46*OFFSET(ORÇAMENTO!$X$15,ROW(AG46)-ROW(AG$15),0),
ROUND(ROUND(OFFSET($P46,0,AG$13),15-13*ORÇAMENTO!$AF$7)*OFFSET(ORÇAMENTO!$W$15,ROW(AG46)-ROW(AG$15),0),15-13*ORÇAMENTO!$AF$11)),0)</f>
        <v>0</v>
      </c>
      <c r="AH46" s="283" t="n">
        <f aca="true">IF(AND($D46="Serviço",AH$12&lt;&gt;0,$H46&gt;0,OR(AUTOEVENTO&lt;&gt;"manual",$M46&lt;&gt;1)),
IF(Import.TipoArredondamento&lt;&gt;"TransfereGOV",
ROUND(OFFSET($P46,0,AH$13),15-13*ORÇAMENTO!$AF$7)/$H46*OFFSET(ORÇAMENTO!$X$15,ROW(AH46)-ROW(AH$15),0),
ROUND(ROUND(OFFSET($P46,0,AH$13),15-13*ORÇAMENTO!$AF$7)*OFFSET(ORÇAMENTO!$W$15,ROW(AH46)-ROW(AH$15),0),15-13*ORÇAMENTO!$AF$11)),0)</f>
        <v>0</v>
      </c>
      <c r="AI46" s="283" t="n">
        <f aca="true">IF(AND($D46="Serviço",AI$12&lt;&gt;0,$H46&gt;0,OR(AUTOEVENTO&lt;&gt;"manual",$M46&lt;&gt;1)),
IF(Import.TipoArredondamento&lt;&gt;"TransfereGOV",
ROUND(OFFSET($P46,0,AI$13),15-13*ORÇAMENTO!$AF$7)/$H46*OFFSET(ORÇAMENTO!$X$15,ROW(AI46)-ROW(AI$15),0),
ROUND(ROUND(OFFSET($P46,0,AI$13),15-13*ORÇAMENTO!$AF$7)*OFFSET(ORÇAMENTO!$W$15,ROW(AI46)-ROW(AI$15),0),15-13*ORÇAMENTO!$AF$11)),0)</f>
        <v>0</v>
      </c>
      <c r="AJ46" s="283" t="n">
        <f aca="true">IF(AND($D46="Serviço",AJ$12&lt;&gt;0,$H46&gt;0,OR(AUTOEVENTO&lt;&gt;"manual",$M46&lt;&gt;1)),
IF(Import.TipoArredondamento&lt;&gt;"TransfereGOV",
ROUND(OFFSET($P46,0,AJ$13),15-13*ORÇAMENTO!$AF$7)/$H46*OFFSET(ORÇAMENTO!$X$15,ROW(AJ46)-ROW(AJ$15),0),
ROUND(ROUND(OFFSET($P46,0,AJ$13),15-13*ORÇAMENTO!$AF$7)*OFFSET(ORÇAMENTO!$W$15,ROW(AJ46)-ROW(AJ$15),0),15-13*ORÇAMENTO!$AF$11)),0)</f>
        <v>0</v>
      </c>
      <c r="AK46" s="284" t="n">
        <f aca="true">IF(AND($D46="Serviço",AK$12&lt;&gt;0,$H46&gt;0,OR(AUTOEVENTO&lt;&gt;"manual",$M46&lt;&gt;1)),
IF(Import.TipoArredondamento&lt;&gt;"TransfereGOV",
ROUND(OFFSET($P46,0,AK$13),15-13*ORÇAMENTO!$AF$7)/$H46*OFFSET(ORÇAMENTO!$X$15,ROW(AK46)-ROW(AK$15),0),
ROUND(ROUND(OFFSET($P46,0,AK$13),15-13*ORÇAMENTO!$AF$7)*OFFSET(ORÇAMENTO!$W$15,ROW(AK46)-ROW(AK$15),0),15-13*ORÇAMENTO!$AF$11)),0)</f>
        <v>0</v>
      </c>
      <c r="AM46" s="285" t="n">
        <f aca="true">IF($D46&lt;&gt;"Serviço",0,IF(AND(AUTOEVENTO="Manual",$M46=1),0,IF(OFFSET(CRONOPLE!$F$14,$M46,AM$13)="",10^12,OFFSET(CRONOPLE!$F$14,$M46,AM$13))))</f>
        <v>2</v>
      </c>
      <c r="AN46" s="285" t="n">
        <f aca="true">IF($D46&lt;&gt;"Serviço",0,IF(AND(AUTOEVENTO="Manual",$M46=1),0,IF(OFFSET(CRONOPLE!$F$14,$M46,AN$13)="",10^12,OFFSET(CRONOPLE!$F$14,$M46,AN$13))))</f>
        <v>1000000000000</v>
      </c>
      <c r="AO46" s="285" t="n">
        <f aca="true">IF($D46&lt;&gt;"Serviço",0,IF(AND(AUTOEVENTO="Manual",$M46=1),0,IF(OFFSET(CRONOPLE!$F$14,$M46,AO$13)="",10^12,OFFSET(CRONOPLE!$F$14,$M46,AO$13))))</f>
        <v>1000000000000</v>
      </c>
      <c r="AP46" s="285" t="n">
        <f aca="true">IF($D46&lt;&gt;"Serviço",0,IF(AND(AUTOEVENTO="Manual",$M46=1),0,IF(OFFSET(CRONOPLE!$F$14,$M46,AP$13)="",10^12,OFFSET(CRONOPLE!$F$14,$M46,AP$13))))</f>
        <v>1000000000000</v>
      </c>
      <c r="AQ46" s="285" t="n">
        <f aca="true">IF($D46&lt;&gt;"Serviço",0,IF(AND(AUTOEVENTO="Manual",$M46=1),0,IF(OFFSET(CRONOPLE!$F$14,$M46,AQ$13)="",10^12,OFFSET(CRONOPLE!$F$14,$M46,AQ$13))))</f>
        <v>1000000000000</v>
      </c>
      <c r="AR46" s="285" t="n">
        <f aca="true">IF($D46&lt;&gt;"Serviço",0,IF(AND(AUTOEVENTO="Manual",$M46=1),0,IF(OFFSET(CRONOPLE!$F$14,$M46,AR$13)="",10^12,OFFSET(CRONOPLE!$F$14,$M46,AR$13))))</f>
        <v>1000000000000</v>
      </c>
      <c r="AS46" s="285" t="n">
        <f aca="true">IF($D46&lt;&gt;"Serviço",0,IF(AND(AUTOEVENTO="Manual",$M46=1),0,IF(OFFSET(CRONOPLE!$F$14,$M46,AS$13)="",10^12,OFFSET(CRONOPLE!$F$14,$M46,AS$13))))</f>
        <v>1000000000000</v>
      </c>
      <c r="AT46" s="285" t="n">
        <f aca="true">IF($D46&lt;&gt;"Serviço",0,IF(AND(AUTOEVENTO="Manual",$M46=1),0,IF(OFFSET(CRONOPLE!$F$14,$M46,AT$13)="",10^12,OFFSET(CRONOPLE!$F$14,$M46,AT$13))))</f>
        <v>1000000000000</v>
      </c>
      <c r="AU46" s="285" t="n">
        <f aca="true">IF($D46&lt;&gt;"Serviço",0,IF(AND(AUTOEVENTO="Manual",$M46=1),0,IF(OFFSET(CRONOPLE!$F$14,$M46,AU$13)="",10^12,OFFSET(CRONOPLE!$F$14,$M46,AU$13))))</f>
        <v>1000000000000</v>
      </c>
      <c r="AV46" s="285" t="n">
        <f aca="true">IF($D46&lt;&gt;"Serviço",0,IF(AND(AUTOEVENTO="Manual",$M46=1),0,IF(OFFSET(CRONOPLE!$F$14,$M46,AV$13)="",10^12,OFFSET(CRONOPLE!$F$14,$M46,AV$13))))</f>
        <v>1000000000000</v>
      </c>
      <c r="AX46" s="286" t="n">
        <f aca="true">IF($D46&lt;&gt;"Serviço",0,IF(OR(AND(AUTOEVENTO="Manual",$M46=1),$M46&gt;(ROW(PLE.lastrow)-ROW(PLE.firstrow))),0,IF(OFFSET(PLE!$G$14,$M46,AX$13)="",10^12,OFFSET(PLE!$G$14,$M46,AX$13))))</f>
        <v>1000000000000</v>
      </c>
      <c r="AY46" s="286" t="n">
        <f aca="true">IF($D46&lt;&gt;"Serviço",0,IF(OR(AND(AUTOEVENTO="Manual",$M46=1),$M46&gt;(ROW(PLE.lastrow)-ROW(PLE.firstrow))),0,IF(OFFSET(PLE!$G$14,$M46,AY$13)="",10^12,OFFSET(PLE!$G$14,$M46,AY$13))))</f>
        <v>1000000000000</v>
      </c>
      <c r="AZ46" s="286" t="n">
        <f aca="true">IF($D46&lt;&gt;"Serviço",0,IF(OR(AND(AUTOEVENTO="Manual",$M46=1),$M46&gt;(ROW(PLE.lastrow)-ROW(PLE.firstrow))),0,IF(OFFSET(PLE!$G$14,$M46,AZ$13)="",10^12,OFFSET(PLE!$G$14,$M46,AZ$13))))</f>
        <v>1000000000000</v>
      </c>
      <c r="BA46" s="286" t="n">
        <f aca="true">IF($D46&lt;&gt;"Serviço",0,IF(OR(AND(AUTOEVENTO="Manual",$M46=1),$M46&gt;(ROW(PLE.lastrow)-ROW(PLE.firstrow))),0,IF(OFFSET(PLE!$G$14,$M46,BA$13)="",10^12,OFFSET(PLE!$G$14,$M46,BA$13))))</f>
        <v>1000000000000</v>
      </c>
      <c r="BB46" s="286" t="n">
        <f aca="true">IF($D46&lt;&gt;"Serviço",0,IF(OR(AND(AUTOEVENTO="Manual",$M46=1),$M46&gt;(ROW(PLE.lastrow)-ROW(PLE.firstrow))),0,IF(OFFSET(PLE!$G$14,$M46,BB$13)="",10^12,OFFSET(PLE!$G$14,$M46,BB$13))))</f>
        <v>1000000000000</v>
      </c>
      <c r="BC46" s="286" t="n">
        <f aca="true">IF($D46&lt;&gt;"Serviço",0,IF(OR(AND(AUTOEVENTO="Manual",$M46=1),$M46&gt;(ROW(PLE.lastrow)-ROW(PLE.firstrow))),0,IF(OFFSET(PLE!$G$14,$M46,BC$13)="",10^12,OFFSET(PLE!$G$14,$M46,BC$13))))</f>
        <v>1000000000000</v>
      </c>
      <c r="BD46" s="286" t="n">
        <f aca="true">IF($D46&lt;&gt;"Serviço",0,IF(OR(AND(AUTOEVENTO="Manual",$M46=1),$M46&gt;(ROW(PLE.lastrow)-ROW(PLE.firstrow))),0,IF(OFFSET(PLE!$G$14,$M46,BD$13)="",10^12,OFFSET(PLE!$G$14,$M46,BD$13))))</f>
        <v>1000000000000</v>
      </c>
      <c r="BE46" s="286" t="n">
        <f aca="true">IF($D46&lt;&gt;"Serviço",0,IF(OR(AND(AUTOEVENTO="Manual",$M46=1),$M46&gt;(ROW(PLE.lastrow)-ROW(PLE.firstrow))),0,IF(OFFSET(PLE!$G$14,$M46,BE$13)="",10^12,OFFSET(PLE!$G$14,$M46,BE$13))))</f>
        <v>1000000000000</v>
      </c>
      <c r="BF46" s="286" t="n">
        <f aca="true">IF($D46&lt;&gt;"Serviço",0,IF(OR(AND(AUTOEVENTO="Manual",$M46=1),$M46&gt;(ROW(PLE.lastrow)-ROW(PLE.firstrow))),0,IF(OFFSET(PLE!$G$14,$M46,BF$13)="",10^12,OFFSET(PLE!$G$14,$M46,BF$13))))</f>
        <v>1000000000000</v>
      </c>
      <c r="BG46" s="286" t="n">
        <f aca="true">IF($D46&lt;&gt;"Serviço",0,IF(OR(AND(AUTOEVENTO="Manual",$M46=1),$M46&gt;(ROW(PLE.lastrow)-ROW(PLE.firstrow))),0,IF(OFFSET(PLE!$G$14,$M46,BG$13)="",10^12,OFFSET(PLE!$G$14,$M46,BG$13))))</f>
        <v>1000000000000</v>
      </c>
    </row>
    <row r="47" customFormat="false" ht="12.75" hidden="false" customHeight="false" outlineLevel="0" collapsed="false">
      <c r="A47" s="34" t="n">
        <f aca="true">IF(AUTOEVENTO="Manual",IF(K47&lt;&gt;"",MIN(VALUE(LEFT(K47,FIND(".",K47)-1)),COUNTA(EVENTOS.Lista)),0),IF(OR($B47&gt;AUTOEVENTO,$B47="S",$B47=0),SUBSTITUTE(OFFSET($A47,-1,0),IF($D47="Serviço",".",""),""),ROW(A47)-ROW($A$15)&amp;"."))</f>
        <v>0</v>
      </c>
      <c r="B47" s="34" t="n">
        <f aca="true">OFFSET(ORÇAMENTO!C$15,ROW(B47)-ROW(B$15),0)</f>
        <v>2</v>
      </c>
      <c r="C47" s="34" t="str">
        <f aca="true">OFFSET(ORÇAMENTO!L$15,ROW(C47)-ROW(C$15),0)</f>
        <v>F</v>
      </c>
      <c r="D47" s="187" t="str">
        <f aca="true">OFFSET(ORÇAMENTO!N$15,ROW(D47)-ROW(D$15),0)</f>
        <v>Nível 2</v>
      </c>
      <c r="E47" s="188" t="str">
        <f aca="true">OFFSET(ORÇAMENTO!O$15,ROW(E47)-ROW(E$15),0)</f>
        <v>1.8.</v>
      </c>
      <c r="F47" s="272" t="str">
        <f aca="true">OFFSET(ORÇAMENTO!R$15,ROW(F47)-ROW(F$15),0)</f>
        <v>Concreto Asfáltico</v>
      </c>
      <c r="G47" s="273" t="str">
        <f aca="true">IF($D47&lt;&gt;"Serviço","",OFFSET(ORÇAMENTO!S$15,ROW(G47)-ROW(G$15),0))</f>
        <v/>
      </c>
      <c r="H47" s="193" t="n">
        <f aca="true">IF($D47&lt;&gt;"Serviço",0,IF(ACOMPANHAMENTO="BM",ROUND(OFFSET(ORÇAMENTO!AJ$15,ROW(H47)-ROW(H$15),0),15-13*ORÇAMENTO!$AF$7),SUMPRODUCT(($Q$12:$AA$12&lt;&gt;"")*ROUND($Q47:$AA47,15-13*ORÇAMENTO!$AF$7))))</f>
        <v>0</v>
      </c>
      <c r="I47" s="274"/>
      <c r="K47" s="275"/>
      <c r="L47" s="276" t="s">
        <v>347</v>
      </c>
      <c r="M47" s="277" t="str">
        <f aca="true">IF($D47&lt;&gt;"Serviço","",IF(AUTOEVENTO="manual",$A47,IF(ISERROR(MATCH($A47,$A$15:OFFSET($A47,-1,0),0)),MAX($M$15:OFFSET(M47,-1,0))+1,INDEX($M$15:OFFSET(M47,-1,0),MATCH($A47,$A$15:OFFSET($A47,-1,0),0)))))</f>
        <v/>
      </c>
      <c r="N47" s="278" t="str">
        <f aca="true">IF($D47&lt;&gt;"Serviço","",IF(AUTOEVENTO="Manual",IF($A47=0,"&lt;-- defina o número do agrupador",OFFSET(EVENTOS!$D$14,$A47,0)),OFFSET($F$15,$A47,0)))</f>
        <v/>
      </c>
      <c r="O47" s="279"/>
      <c r="Q47" s="279"/>
      <c r="R47" s="280"/>
      <c r="S47" s="280"/>
      <c r="T47" s="280"/>
      <c r="U47" s="280"/>
      <c r="V47" s="280"/>
      <c r="W47" s="280"/>
      <c r="X47" s="280"/>
      <c r="Y47" s="280"/>
      <c r="Z47" s="281"/>
      <c r="AB47" s="282" t="n">
        <f aca="true">IF(AND($D47="Serviço",AB$12&lt;&gt;0,$H47&gt;0,OR(AUTOEVENTO&lt;&gt;"manual",$M47&lt;&gt;1)),
IF(Import.TipoArredondamento&lt;&gt;"TransfereGOV",
ROUND(OFFSET($P47,0,AB$13),15-13*ORÇAMENTO!$AF$7)/$H47*OFFSET(ORÇAMENTO!$X$15,ROW(AB47)-ROW(AB$15),0),
ROUND(ROUND(OFFSET($P47,0,AB$13),15-13*ORÇAMENTO!$AF$7)*OFFSET(ORÇAMENTO!$W$15,ROW(AB47)-ROW(AB$15),0),15-13*ORÇAMENTO!$AF$11)),0)</f>
        <v>0</v>
      </c>
      <c r="AC47" s="283" t="n">
        <f aca="true">IF(AND($D47="Serviço",AC$12&lt;&gt;0,$H47&gt;0,OR(AUTOEVENTO&lt;&gt;"manual",$M47&lt;&gt;1)),
IF(Import.TipoArredondamento&lt;&gt;"TransfereGOV",
ROUND(OFFSET($P47,0,AC$13),15-13*ORÇAMENTO!$AF$7)/$H47*OFFSET(ORÇAMENTO!$X$15,ROW(AC47)-ROW(AC$15),0),
ROUND(ROUND(OFFSET($P47,0,AC$13),15-13*ORÇAMENTO!$AF$7)*OFFSET(ORÇAMENTO!$W$15,ROW(AC47)-ROW(AC$15),0),15-13*ORÇAMENTO!$AF$11)),0)</f>
        <v>0</v>
      </c>
      <c r="AD47" s="283" t="n">
        <f aca="true">IF(AND($D47="Serviço",AD$12&lt;&gt;0,$H47&gt;0,OR(AUTOEVENTO&lt;&gt;"manual",$M47&lt;&gt;1)),
IF(Import.TipoArredondamento&lt;&gt;"TransfereGOV",
ROUND(OFFSET($P47,0,AD$13),15-13*ORÇAMENTO!$AF$7)/$H47*OFFSET(ORÇAMENTO!$X$15,ROW(AD47)-ROW(AD$15),0),
ROUND(ROUND(OFFSET($P47,0,AD$13),15-13*ORÇAMENTO!$AF$7)*OFFSET(ORÇAMENTO!$W$15,ROW(AD47)-ROW(AD$15),0),15-13*ORÇAMENTO!$AF$11)),0)</f>
        <v>0</v>
      </c>
      <c r="AE47" s="283" t="n">
        <f aca="true">IF(AND($D47="Serviço",AE$12&lt;&gt;0,$H47&gt;0,OR(AUTOEVENTO&lt;&gt;"manual",$M47&lt;&gt;1)),
IF(Import.TipoArredondamento&lt;&gt;"TransfereGOV",
ROUND(OFFSET($P47,0,AE$13),15-13*ORÇAMENTO!$AF$7)/$H47*OFFSET(ORÇAMENTO!$X$15,ROW(AE47)-ROW(AE$15),0),
ROUND(ROUND(OFFSET($P47,0,AE$13),15-13*ORÇAMENTO!$AF$7)*OFFSET(ORÇAMENTO!$W$15,ROW(AE47)-ROW(AE$15),0),15-13*ORÇAMENTO!$AF$11)),0)</f>
        <v>0</v>
      </c>
      <c r="AF47" s="283" t="n">
        <f aca="true">IF(AND($D47="Serviço",AF$12&lt;&gt;0,$H47&gt;0,OR(AUTOEVENTO&lt;&gt;"manual",$M47&lt;&gt;1)),
IF(Import.TipoArredondamento&lt;&gt;"TransfereGOV",
ROUND(OFFSET($P47,0,AF$13),15-13*ORÇAMENTO!$AF$7)/$H47*OFFSET(ORÇAMENTO!$X$15,ROW(AF47)-ROW(AF$15),0),
ROUND(ROUND(OFFSET($P47,0,AF$13),15-13*ORÇAMENTO!$AF$7)*OFFSET(ORÇAMENTO!$W$15,ROW(AF47)-ROW(AF$15),0),15-13*ORÇAMENTO!$AF$11)),0)</f>
        <v>0</v>
      </c>
      <c r="AG47" s="283" t="n">
        <f aca="true">IF(AND($D47="Serviço",AG$12&lt;&gt;0,$H47&gt;0,OR(AUTOEVENTO&lt;&gt;"manual",$M47&lt;&gt;1)),
IF(Import.TipoArredondamento&lt;&gt;"TransfereGOV",
ROUND(OFFSET($P47,0,AG$13),15-13*ORÇAMENTO!$AF$7)/$H47*OFFSET(ORÇAMENTO!$X$15,ROW(AG47)-ROW(AG$15),0),
ROUND(ROUND(OFFSET($P47,0,AG$13),15-13*ORÇAMENTO!$AF$7)*OFFSET(ORÇAMENTO!$W$15,ROW(AG47)-ROW(AG$15),0),15-13*ORÇAMENTO!$AF$11)),0)</f>
        <v>0</v>
      </c>
      <c r="AH47" s="283" t="n">
        <f aca="true">IF(AND($D47="Serviço",AH$12&lt;&gt;0,$H47&gt;0,OR(AUTOEVENTO&lt;&gt;"manual",$M47&lt;&gt;1)),
IF(Import.TipoArredondamento&lt;&gt;"TransfereGOV",
ROUND(OFFSET($P47,0,AH$13),15-13*ORÇAMENTO!$AF$7)/$H47*OFFSET(ORÇAMENTO!$X$15,ROW(AH47)-ROW(AH$15),0),
ROUND(ROUND(OFFSET($P47,0,AH$13),15-13*ORÇAMENTO!$AF$7)*OFFSET(ORÇAMENTO!$W$15,ROW(AH47)-ROW(AH$15),0),15-13*ORÇAMENTO!$AF$11)),0)</f>
        <v>0</v>
      </c>
      <c r="AI47" s="283" t="n">
        <f aca="true">IF(AND($D47="Serviço",AI$12&lt;&gt;0,$H47&gt;0,OR(AUTOEVENTO&lt;&gt;"manual",$M47&lt;&gt;1)),
IF(Import.TipoArredondamento&lt;&gt;"TransfereGOV",
ROUND(OFFSET($P47,0,AI$13),15-13*ORÇAMENTO!$AF$7)/$H47*OFFSET(ORÇAMENTO!$X$15,ROW(AI47)-ROW(AI$15),0),
ROUND(ROUND(OFFSET($P47,0,AI$13),15-13*ORÇAMENTO!$AF$7)*OFFSET(ORÇAMENTO!$W$15,ROW(AI47)-ROW(AI$15),0),15-13*ORÇAMENTO!$AF$11)),0)</f>
        <v>0</v>
      </c>
      <c r="AJ47" s="283" t="n">
        <f aca="true">IF(AND($D47="Serviço",AJ$12&lt;&gt;0,$H47&gt;0,OR(AUTOEVENTO&lt;&gt;"manual",$M47&lt;&gt;1)),
IF(Import.TipoArredondamento&lt;&gt;"TransfereGOV",
ROUND(OFFSET($P47,0,AJ$13),15-13*ORÇAMENTO!$AF$7)/$H47*OFFSET(ORÇAMENTO!$X$15,ROW(AJ47)-ROW(AJ$15),0),
ROUND(ROUND(OFFSET($P47,0,AJ$13),15-13*ORÇAMENTO!$AF$7)*OFFSET(ORÇAMENTO!$W$15,ROW(AJ47)-ROW(AJ$15),0),15-13*ORÇAMENTO!$AF$11)),0)</f>
        <v>0</v>
      </c>
      <c r="AK47" s="284" t="n">
        <f aca="true">IF(AND($D47="Serviço",AK$12&lt;&gt;0,$H47&gt;0,OR(AUTOEVENTO&lt;&gt;"manual",$M47&lt;&gt;1)),
IF(Import.TipoArredondamento&lt;&gt;"TransfereGOV",
ROUND(OFFSET($P47,0,AK$13),15-13*ORÇAMENTO!$AF$7)/$H47*OFFSET(ORÇAMENTO!$X$15,ROW(AK47)-ROW(AK$15),0),
ROUND(ROUND(OFFSET($P47,0,AK$13),15-13*ORÇAMENTO!$AF$7)*OFFSET(ORÇAMENTO!$W$15,ROW(AK47)-ROW(AK$15),0),15-13*ORÇAMENTO!$AF$11)),0)</f>
        <v>0</v>
      </c>
      <c r="AM47" s="285" t="n">
        <f aca="true">IF($D47&lt;&gt;"Serviço",0,IF(AND(AUTOEVENTO="Manual",$M47=1),0,IF(OFFSET(CRONOPLE!$F$14,$M47,AM$13)="",10^12,OFFSET(CRONOPLE!$F$14,$M47,AM$13))))</f>
        <v>0</v>
      </c>
      <c r="AN47" s="285" t="n">
        <f aca="true">IF($D47&lt;&gt;"Serviço",0,IF(AND(AUTOEVENTO="Manual",$M47=1),0,IF(OFFSET(CRONOPLE!$F$14,$M47,AN$13)="",10^12,OFFSET(CRONOPLE!$F$14,$M47,AN$13))))</f>
        <v>0</v>
      </c>
      <c r="AO47" s="285" t="n">
        <f aca="true">IF($D47&lt;&gt;"Serviço",0,IF(AND(AUTOEVENTO="Manual",$M47=1),0,IF(OFFSET(CRONOPLE!$F$14,$M47,AO$13)="",10^12,OFFSET(CRONOPLE!$F$14,$M47,AO$13))))</f>
        <v>0</v>
      </c>
      <c r="AP47" s="285" t="n">
        <f aca="true">IF($D47&lt;&gt;"Serviço",0,IF(AND(AUTOEVENTO="Manual",$M47=1),0,IF(OFFSET(CRONOPLE!$F$14,$M47,AP$13)="",10^12,OFFSET(CRONOPLE!$F$14,$M47,AP$13))))</f>
        <v>0</v>
      </c>
      <c r="AQ47" s="285" t="n">
        <f aca="true">IF($D47&lt;&gt;"Serviço",0,IF(AND(AUTOEVENTO="Manual",$M47=1),0,IF(OFFSET(CRONOPLE!$F$14,$M47,AQ$13)="",10^12,OFFSET(CRONOPLE!$F$14,$M47,AQ$13))))</f>
        <v>0</v>
      </c>
      <c r="AR47" s="285" t="n">
        <f aca="true">IF($D47&lt;&gt;"Serviço",0,IF(AND(AUTOEVENTO="Manual",$M47=1),0,IF(OFFSET(CRONOPLE!$F$14,$M47,AR$13)="",10^12,OFFSET(CRONOPLE!$F$14,$M47,AR$13))))</f>
        <v>0</v>
      </c>
      <c r="AS47" s="285" t="n">
        <f aca="true">IF($D47&lt;&gt;"Serviço",0,IF(AND(AUTOEVENTO="Manual",$M47=1),0,IF(OFFSET(CRONOPLE!$F$14,$M47,AS$13)="",10^12,OFFSET(CRONOPLE!$F$14,$M47,AS$13))))</f>
        <v>0</v>
      </c>
      <c r="AT47" s="285" t="n">
        <f aca="true">IF($D47&lt;&gt;"Serviço",0,IF(AND(AUTOEVENTO="Manual",$M47=1),0,IF(OFFSET(CRONOPLE!$F$14,$M47,AT$13)="",10^12,OFFSET(CRONOPLE!$F$14,$M47,AT$13))))</f>
        <v>0</v>
      </c>
      <c r="AU47" s="285" t="n">
        <f aca="true">IF($D47&lt;&gt;"Serviço",0,IF(AND(AUTOEVENTO="Manual",$M47=1),0,IF(OFFSET(CRONOPLE!$F$14,$M47,AU$13)="",10^12,OFFSET(CRONOPLE!$F$14,$M47,AU$13))))</f>
        <v>0</v>
      </c>
      <c r="AV47" s="285" t="n">
        <f aca="true">IF($D47&lt;&gt;"Serviço",0,IF(AND(AUTOEVENTO="Manual",$M47=1),0,IF(OFFSET(CRONOPLE!$F$14,$M47,AV$13)="",10^12,OFFSET(CRONOPLE!$F$14,$M47,AV$13))))</f>
        <v>0</v>
      </c>
      <c r="AX47" s="286" t="n">
        <f aca="true">IF($D47&lt;&gt;"Serviço",0,IF(OR(AND(AUTOEVENTO="Manual",$M47=1),$M47&gt;(ROW(PLE.lastrow)-ROW(PLE.firstrow))),0,IF(OFFSET(PLE!$G$14,$M47,AX$13)="",10^12,OFFSET(PLE!$G$14,$M47,AX$13))))</f>
        <v>0</v>
      </c>
      <c r="AY47" s="286" t="n">
        <f aca="true">IF($D47&lt;&gt;"Serviço",0,IF(OR(AND(AUTOEVENTO="Manual",$M47=1),$M47&gt;(ROW(PLE.lastrow)-ROW(PLE.firstrow))),0,IF(OFFSET(PLE!$G$14,$M47,AY$13)="",10^12,OFFSET(PLE!$G$14,$M47,AY$13))))</f>
        <v>0</v>
      </c>
      <c r="AZ47" s="286" t="n">
        <f aca="true">IF($D47&lt;&gt;"Serviço",0,IF(OR(AND(AUTOEVENTO="Manual",$M47=1),$M47&gt;(ROW(PLE.lastrow)-ROW(PLE.firstrow))),0,IF(OFFSET(PLE!$G$14,$M47,AZ$13)="",10^12,OFFSET(PLE!$G$14,$M47,AZ$13))))</f>
        <v>0</v>
      </c>
      <c r="BA47" s="286" t="n">
        <f aca="true">IF($D47&lt;&gt;"Serviço",0,IF(OR(AND(AUTOEVENTO="Manual",$M47=1),$M47&gt;(ROW(PLE.lastrow)-ROW(PLE.firstrow))),0,IF(OFFSET(PLE!$G$14,$M47,BA$13)="",10^12,OFFSET(PLE!$G$14,$M47,BA$13))))</f>
        <v>0</v>
      </c>
      <c r="BB47" s="286" t="n">
        <f aca="true">IF($D47&lt;&gt;"Serviço",0,IF(OR(AND(AUTOEVENTO="Manual",$M47=1),$M47&gt;(ROW(PLE.lastrow)-ROW(PLE.firstrow))),0,IF(OFFSET(PLE!$G$14,$M47,BB$13)="",10^12,OFFSET(PLE!$G$14,$M47,BB$13))))</f>
        <v>0</v>
      </c>
      <c r="BC47" s="286" t="n">
        <f aca="true">IF($D47&lt;&gt;"Serviço",0,IF(OR(AND(AUTOEVENTO="Manual",$M47=1),$M47&gt;(ROW(PLE.lastrow)-ROW(PLE.firstrow))),0,IF(OFFSET(PLE!$G$14,$M47,BC$13)="",10^12,OFFSET(PLE!$G$14,$M47,BC$13))))</f>
        <v>0</v>
      </c>
      <c r="BD47" s="286" t="n">
        <f aca="true">IF($D47&lt;&gt;"Serviço",0,IF(OR(AND(AUTOEVENTO="Manual",$M47=1),$M47&gt;(ROW(PLE.lastrow)-ROW(PLE.firstrow))),0,IF(OFFSET(PLE!$G$14,$M47,BD$13)="",10^12,OFFSET(PLE!$G$14,$M47,BD$13))))</f>
        <v>0</v>
      </c>
      <c r="BE47" s="286" t="n">
        <f aca="true">IF($D47&lt;&gt;"Serviço",0,IF(OR(AND(AUTOEVENTO="Manual",$M47=1),$M47&gt;(ROW(PLE.lastrow)-ROW(PLE.firstrow))),0,IF(OFFSET(PLE!$G$14,$M47,BE$13)="",10^12,OFFSET(PLE!$G$14,$M47,BE$13))))</f>
        <v>0</v>
      </c>
      <c r="BF47" s="286" t="n">
        <f aca="true">IF($D47&lt;&gt;"Serviço",0,IF(OR(AND(AUTOEVENTO="Manual",$M47=1),$M47&gt;(ROW(PLE.lastrow)-ROW(PLE.firstrow))),0,IF(OFFSET(PLE!$G$14,$M47,BF$13)="",10^12,OFFSET(PLE!$G$14,$M47,BF$13))))</f>
        <v>0</v>
      </c>
      <c r="BG47" s="286" t="n">
        <f aca="true">IF($D47&lt;&gt;"Serviço",0,IF(OR(AND(AUTOEVENTO="Manual",$M47=1),$M47&gt;(ROW(PLE.lastrow)-ROW(PLE.firstrow))),0,IF(OFFSET(PLE!$G$14,$M47,BG$13)="",10^12,OFFSET(PLE!$G$14,$M47,BG$13))))</f>
        <v>0</v>
      </c>
    </row>
    <row r="48" customFormat="false" ht="35.05" hidden="false" customHeight="false" outlineLevel="0" collapsed="false">
      <c r="A48" s="34" t="n">
        <f aca="true">IF(AUTOEVENTO="Manual",IF(K48&lt;&gt;"",MIN(VALUE(LEFT(K48,FIND(".",K48)-1)),COUNTA(EVENTOS.Lista)),0),IF(OR($B48&gt;AUTOEVENTO,$B48="S",$B48=0),SUBSTITUTE(OFFSET($A48,-1,0),IF($D48="Serviço",".",""),""),ROW(A48)-ROW($A$15)&amp;"."))</f>
        <v>8</v>
      </c>
      <c r="B48" s="34" t="str">
        <f aca="true">OFFSET(ORÇAMENTO!C$15,ROW(B48)-ROW(B$15),0)</f>
        <v>S</v>
      </c>
      <c r="C48" s="34" t="str">
        <f aca="true">OFFSET(ORÇAMENTO!L$15,ROW(C48)-ROW(C$15),0)</f>
        <v/>
      </c>
      <c r="D48" s="187" t="str">
        <f aca="true">OFFSET(ORÇAMENTO!N$15,ROW(D48)-ROW(D$15),0)</f>
        <v>Serviço</v>
      </c>
      <c r="E48" s="188" t="str">
        <f aca="true">OFFSET(ORÇAMENTO!O$15,ROW(E48)-ROW(E$15),0)</f>
        <v>-</v>
      </c>
      <c r="F48" s="272" t="str">
        <f aca="true">OFFSET(ORÇAMENTO!R$15,ROW(F48)-ROW(F$15),0)</f>
        <v>(abra o arquivo 'Referência 02-Thursday.xlsm)</v>
      </c>
      <c r="G48" s="273" t="str">
        <f aca="true">IF($D48&lt;&gt;"Serviço","",OFFSET(ORÇAMENTO!S$15,ROW(G48)-ROW(G$15),0))</f>
        <v>-</v>
      </c>
      <c r="H48" s="193" t="n">
        <f aca="true">IF($D48&lt;&gt;"Serviço",0,IF(ACOMPANHAMENTO="BM",ROUND(OFFSET(ORÇAMENTO!AJ$15,ROW(H48)-ROW(H$15),0),15-13*ORÇAMENTO!$AF$7),SUMPRODUCT(($Q$12:$AA$12&lt;&gt;"")*ROUND($Q48:$AA48,15-13*ORÇAMENTO!$AF$7))))</f>
        <v>225</v>
      </c>
      <c r="I48" s="274" t="s">
        <v>380</v>
      </c>
      <c r="K48" s="275" t="s">
        <v>381</v>
      </c>
      <c r="L48" s="276" t="s">
        <v>347</v>
      </c>
      <c r="M48" s="277" t="n">
        <f aca="true">IF($D48&lt;&gt;"Serviço","",IF(AUTOEVENTO="manual",$A48,IF(ISERROR(MATCH($A48,$A$15:OFFSET($A48,-1,0),0)),MAX($M$15:OFFSET(M48,-1,0))+1,INDEX($M$15:OFFSET(M48,-1,0),MATCH($A48,$A$15:OFFSET($A48,-1,0),0)))))</f>
        <v>8</v>
      </c>
      <c r="N48" s="278" t="str">
        <f aca="true">IF($D48&lt;&gt;"Serviço","",IF(AUTOEVENTO="Manual",IF($A48=0,"&lt;-- defina o número do agrupador",OFFSET(EVENTOS!$D$14,$A48,0)),OFFSET($F$15,$A48,0)))</f>
        <v>Concreto Asfáltico</v>
      </c>
      <c r="O48" s="279"/>
      <c r="Q48" s="279" t="n">
        <v>225</v>
      </c>
      <c r="R48" s="280"/>
      <c r="S48" s="280"/>
      <c r="T48" s="280"/>
      <c r="U48" s="280"/>
      <c r="V48" s="280"/>
      <c r="W48" s="280"/>
      <c r="X48" s="280"/>
      <c r="Y48" s="280"/>
      <c r="Z48" s="281"/>
      <c r="AB48" s="282" t="n">
        <f aca="true">IF(AND($D48="Serviço",AB$12&lt;&gt;0,$H48&gt;0,OR(AUTOEVENTO&lt;&gt;"manual",$M48&lt;&gt;1)),
IF(Import.TipoArredondamento&lt;&gt;"TransfereGOV",
ROUND(OFFSET($P48,0,AB$13),15-13*ORÇAMENTO!$AF$7)/$H48*OFFSET(ORÇAMENTO!$X$15,ROW(AB48)-ROW(AB$15),0),
ROUND(ROUND(OFFSET($P48,0,AB$13),15-13*ORÇAMENTO!$AF$7)*OFFSET(ORÇAMENTO!$W$15,ROW(AB48)-ROW(AB$15),0),15-13*ORÇAMENTO!$AF$11)),0)</f>
        <v>0</v>
      </c>
      <c r="AC48" s="283" t="n">
        <f aca="true">IF(AND($D48="Serviço",AC$12&lt;&gt;0,$H48&gt;0,OR(AUTOEVENTO&lt;&gt;"manual",$M48&lt;&gt;1)),
IF(Import.TipoArredondamento&lt;&gt;"TransfereGOV",
ROUND(OFFSET($P48,0,AC$13),15-13*ORÇAMENTO!$AF$7)/$H48*OFFSET(ORÇAMENTO!$X$15,ROW(AC48)-ROW(AC$15),0),
ROUND(ROUND(OFFSET($P48,0,AC$13),15-13*ORÇAMENTO!$AF$7)*OFFSET(ORÇAMENTO!$W$15,ROW(AC48)-ROW(AC$15),0),15-13*ORÇAMENTO!$AF$11)),0)</f>
        <v>0</v>
      </c>
      <c r="AD48" s="283" t="n">
        <f aca="true">IF(AND($D48="Serviço",AD$12&lt;&gt;0,$H48&gt;0,OR(AUTOEVENTO&lt;&gt;"manual",$M48&lt;&gt;1)),
IF(Import.TipoArredondamento&lt;&gt;"TransfereGOV",
ROUND(OFFSET($P48,0,AD$13),15-13*ORÇAMENTO!$AF$7)/$H48*OFFSET(ORÇAMENTO!$X$15,ROW(AD48)-ROW(AD$15),0),
ROUND(ROUND(OFFSET($P48,0,AD$13),15-13*ORÇAMENTO!$AF$7)*OFFSET(ORÇAMENTO!$W$15,ROW(AD48)-ROW(AD$15),0),15-13*ORÇAMENTO!$AF$11)),0)</f>
        <v>0</v>
      </c>
      <c r="AE48" s="283" t="n">
        <f aca="true">IF(AND($D48="Serviço",AE$12&lt;&gt;0,$H48&gt;0,OR(AUTOEVENTO&lt;&gt;"manual",$M48&lt;&gt;1)),
IF(Import.TipoArredondamento&lt;&gt;"TransfereGOV",
ROUND(OFFSET($P48,0,AE$13),15-13*ORÇAMENTO!$AF$7)/$H48*OFFSET(ORÇAMENTO!$X$15,ROW(AE48)-ROW(AE$15),0),
ROUND(ROUND(OFFSET($P48,0,AE$13),15-13*ORÇAMENTO!$AF$7)*OFFSET(ORÇAMENTO!$W$15,ROW(AE48)-ROW(AE$15),0),15-13*ORÇAMENTO!$AF$11)),0)</f>
        <v>0</v>
      </c>
      <c r="AF48" s="283" t="n">
        <f aca="true">IF(AND($D48="Serviço",AF$12&lt;&gt;0,$H48&gt;0,OR(AUTOEVENTO&lt;&gt;"manual",$M48&lt;&gt;1)),
IF(Import.TipoArredondamento&lt;&gt;"TransfereGOV",
ROUND(OFFSET($P48,0,AF$13),15-13*ORÇAMENTO!$AF$7)/$H48*OFFSET(ORÇAMENTO!$X$15,ROW(AF48)-ROW(AF$15),0),
ROUND(ROUND(OFFSET($P48,0,AF$13),15-13*ORÇAMENTO!$AF$7)*OFFSET(ORÇAMENTO!$W$15,ROW(AF48)-ROW(AF$15),0),15-13*ORÇAMENTO!$AF$11)),0)</f>
        <v>0</v>
      </c>
      <c r="AG48" s="283" t="n">
        <f aca="true">IF(AND($D48="Serviço",AG$12&lt;&gt;0,$H48&gt;0,OR(AUTOEVENTO&lt;&gt;"manual",$M48&lt;&gt;1)),
IF(Import.TipoArredondamento&lt;&gt;"TransfereGOV",
ROUND(OFFSET($P48,0,AG$13),15-13*ORÇAMENTO!$AF$7)/$H48*OFFSET(ORÇAMENTO!$X$15,ROW(AG48)-ROW(AG$15),0),
ROUND(ROUND(OFFSET($P48,0,AG$13),15-13*ORÇAMENTO!$AF$7)*OFFSET(ORÇAMENTO!$W$15,ROW(AG48)-ROW(AG$15),0),15-13*ORÇAMENTO!$AF$11)),0)</f>
        <v>0</v>
      </c>
      <c r="AH48" s="283" t="n">
        <f aca="true">IF(AND($D48="Serviço",AH$12&lt;&gt;0,$H48&gt;0,OR(AUTOEVENTO&lt;&gt;"manual",$M48&lt;&gt;1)),
IF(Import.TipoArredondamento&lt;&gt;"TransfereGOV",
ROUND(OFFSET($P48,0,AH$13),15-13*ORÇAMENTO!$AF$7)/$H48*OFFSET(ORÇAMENTO!$X$15,ROW(AH48)-ROW(AH$15),0),
ROUND(ROUND(OFFSET($P48,0,AH$13),15-13*ORÇAMENTO!$AF$7)*OFFSET(ORÇAMENTO!$W$15,ROW(AH48)-ROW(AH$15),0),15-13*ORÇAMENTO!$AF$11)),0)</f>
        <v>0</v>
      </c>
      <c r="AI48" s="283" t="n">
        <f aca="true">IF(AND($D48="Serviço",AI$12&lt;&gt;0,$H48&gt;0,OR(AUTOEVENTO&lt;&gt;"manual",$M48&lt;&gt;1)),
IF(Import.TipoArredondamento&lt;&gt;"TransfereGOV",
ROUND(OFFSET($P48,0,AI$13),15-13*ORÇAMENTO!$AF$7)/$H48*OFFSET(ORÇAMENTO!$X$15,ROW(AI48)-ROW(AI$15),0),
ROUND(ROUND(OFFSET($P48,0,AI$13),15-13*ORÇAMENTO!$AF$7)*OFFSET(ORÇAMENTO!$W$15,ROW(AI48)-ROW(AI$15),0),15-13*ORÇAMENTO!$AF$11)),0)</f>
        <v>0</v>
      </c>
      <c r="AJ48" s="283" t="n">
        <f aca="true">IF(AND($D48="Serviço",AJ$12&lt;&gt;0,$H48&gt;0,OR(AUTOEVENTO&lt;&gt;"manual",$M48&lt;&gt;1)),
IF(Import.TipoArredondamento&lt;&gt;"TransfereGOV",
ROUND(OFFSET($P48,0,AJ$13),15-13*ORÇAMENTO!$AF$7)/$H48*OFFSET(ORÇAMENTO!$X$15,ROW(AJ48)-ROW(AJ$15),0),
ROUND(ROUND(OFFSET($P48,0,AJ$13),15-13*ORÇAMENTO!$AF$7)*OFFSET(ORÇAMENTO!$W$15,ROW(AJ48)-ROW(AJ$15),0),15-13*ORÇAMENTO!$AF$11)),0)</f>
        <v>0</v>
      </c>
      <c r="AK48" s="284" t="n">
        <f aca="true">IF(AND($D48="Serviço",AK$12&lt;&gt;0,$H48&gt;0,OR(AUTOEVENTO&lt;&gt;"manual",$M48&lt;&gt;1)),
IF(Import.TipoArredondamento&lt;&gt;"TransfereGOV",
ROUND(OFFSET($P48,0,AK$13),15-13*ORÇAMENTO!$AF$7)/$H48*OFFSET(ORÇAMENTO!$X$15,ROW(AK48)-ROW(AK$15),0),
ROUND(ROUND(OFFSET($P48,0,AK$13),15-13*ORÇAMENTO!$AF$7)*OFFSET(ORÇAMENTO!$W$15,ROW(AK48)-ROW(AK$15),0),15-13*ORÇAMENTO!$AF$11)),0)</f>
        <v>0</v>
      </c>
      <c r="AM48" s="285" t="n">
        <f aca="true">IF($D48&lt;&gt;"Serviço",0,IF(AND(AUTOEVENTO="Manual",$M48=1),0,IF(OFFSET(CRONOPLE!$F$14,$M48,AM$13)="",10^12,OFFSET(CRONOPLE!$F$14,$M48,AM$13))))</f>
        <v>3</v>
      </c>
      <c r="AN48" s="285" t="n">
        <f aca="true">IF($D48&lt;&gt;"Serviço",0,IF(AND(AUTOEVENTO="Manual",$M48=1),0,IF(OFFSET(CRONOPLE!$F$14,$M48,AN$13)="",10^12,OFFSET(CRONOPLE!$F$14,$M48,AN$13))))</f>
        <v>1000000000000</v>
      </c>
      <c r="AO48" s="285" t="n">
        <f aca="true">IF($D48&lt;&gt;"Serviço",0,IF(AND(AUTOEVENTO="Manual",$M48=1),0,IF(OFFSET(CRONOPLE!$F$14,$M48,AO$13)="",10^12,OFFSET(CRONOPLE!$F$14,$M48,AO$13))))</f>
        <v>1000000000000</v>
      </c>
      <c r="AP48" s="285" t="n">
        <f aca="true">IF($D48&lt;&gt;"Serviço",0,IF(AND(AUTOEVENTO="Manual",$M48=1),0,IF(OFFSET(CRONOPLE!$F$14,$M48,AP$13)="",10^12,OFFSET(CRONOPLE!$F$14,$M48,AP$13))))</f>
        <v>1000000000000</v>
      </c>
      <c r="AQ48" s="285" t="n">
        <f aca="true">IF($D48&lt;&gt;"Serviço",0,IF(AND(AUTOEVENTO="Manual",$M48=1),0,IF(OFFSET(CRONOPLE!$F$14,$M48,AQ$13)="",10^12,OFFSET(CRONOPLE!$F$14,$M48,AQ$13))))</f>
        <v>1000000000000</v>
      </c>
      <c r="AR48" s="285" t="n">
        <f aca="true">IF($D48&lt;&gt;"Serviço",0,IF(AND(AUTOEVENTO="Manual",$M48=1),0,IF(OFFSET(CRONOPLE!$F$14,$M48,AR$13)="",10^12,OFFSET(CRONOPLE!$F$14,$M48,AR$13))))</f>
        <v>1000000000000</v>
      </c>
      <c r="AS48" s="285" t="n">
        <f aca="true">IF($D48&lt;&gt;"Serviço",0,IF(AND(AUTOEVENTO="Manual",$M48=1),0,IF(OFFSET(CRONOPLE!$F$14,$M48,AS$13)="",10^12,OFFSET(CRONOPLE!$F$14,$M48,AS$13))))</f>
        <v>1000000000000</v>
      </c>
      <c r="AT48" s="285" t="n">
        <f aca="true">IF($D48&lt;&gt;"Serviço",0,IF(AND(AUTOEVENTO="Manual",$M48=1),0,IF(OFFSET(CRONOPLE!$F$14,$M48,AT$13)="",10^12,OFFSET(CRONOPLE!$F$14,$M48,AT$13))))</f>
        <v>1000000000000</v>
      </c>
      <c r="AU48" s="285" t="n">
        <f aca="true">IF($D48&lt;&gt;"Serviço",0,IF(AND(AUTOEVENTO="Manual",$M48=1),0,IF(OFFSET(CRONOPLE!$F$14,$M48,AU$13)="",10^12,OFFSET(CRONOPLE!$F$14,$M48,AU$13))))</f>
        <v>1000000000000</v>
      </c>
      <c r="AV48" s="285" t="n">
        <f aca="true">IF($D48&lt;&gt;"Serviço",0,IF(AND(AUTOEVENTO="Manual",$M48=1),0,IF(OFFSET(CRONOPLE!$F$14,$M48,AV$13)="",10^12,OFFSET(CRONOPLE!$F$14,$M48,AV$13))))</f>
        <v>1000000000000</v>
      </c>
      <c r="AX48" s="286" t="n">
        <f aca="true">IF($D48&lt;&gt;"Serviço",0,IF(OR(AND(AUTOEVENTO="Manual",$M48=1),$M48&gt;(ROW(PLE.lastrow)-ROW(PLE.firstrow))),0,IF(OFFSET(PLE!$G$14,$M48,AX$13)="",10^12,OFFSET(PLE!$G$14,$M48,AX$13))))</f>
        <v>1000000000000</v>
      </c>
      <c r="AY48" s="286" t="n">
        <f aca="true">IF($D48&lt;&gt;"Serviço",0,IF(OR(AND(AUTOEVENTO="Manual",$M48=1),$M48&gt;(ROW(PLE.lastrow)-ROW(PLE.firstrow))),0,IF(OFFSET(PLE!$G$14,$M48,AY$13)="",10^12,OFFSET(PLE!$G$14,$M48,AY$13))))</f>
        <v>1000000000000</v>
      </c>
      <c r="AZ48" s="286" t="n">
        <f aca="true">IF($D48&lt;&gt;"Serviço",0,IF(OR(AND(AUTOEVENTO="Manual",$M48=1),$M48&gt;(ROW(PLE.lastrow)-ROW(PLE.firstrow))),0,IF(OFFSET(PLE!$G$14,$M48,AZ$13)="",10^12,OFFSET(PLE!$G$14,$M48,AZ$13))))</f>
        <v>1000000000000</v>
      </c>
      <c r="BA48" s="286" t="n">
        <f aca="true">IF($D48&lt;&gt;"Serviço",0,IF(OR(AND(AUTOEVENTO="Manual",$M48=1),$M48&gt;(ROW(PLE.lastrow)-ROW(PLE.firstrow))),0,IF(OFFSET(PLE!$G$14,$M48,BA$13)="",10^12,OFFSET(PLE!$G$14,$M48,BA$13))))</f>
        <v>1000000000000</v>
      </c>
      <c r="BB48" s="286" t="n">
        <f aca="true">IF($D48&lt;&gt;"Serviço",0,IF(OR(AND(AUTOEVENTO="Manual",$M48=1),$M48&gt;(ROW(PLE.lastrow)-ROW(PLE.firstrow))),0,IF(OFFSET(PLE!$G$14,$M48,BB$13)="",10^12,OFFSET(PLE!$G$14,$M48,BB$13))))</f>
        <v>1000000000000</v>
      </c>
      <c r="BC48" s="286" t="n">
        <f aca="true">IF($D48&lt;&gt;"Serviço",0,IF(OR(AND(AUTOEVENTO="Manual",$M48=1),$M48&gt;(ROW(PLE.lastrow)-ROW(PLE.firstrow))),0,IF(OFFSET(PLE!$G$14,$M48,BC$13)="",10^12,OFFSET(PLE!$G$14,$M48,BC$13))))</f>
        <v>1000000000000</v>
      </c>
      <c r="BD48" s="286" t="n">
        <f aca="true">IF($D48&lt;&gt;"Serviço",0,IF(OR(AND(AUTOEVENTO="Manual",$M48=1),$M48&gt;(ROW(PLE.lastrow)-ROW(PLE.firstrow))),0,IF(OFFSET(PLE!$G$14,$M48,BD$13)="",10^12,OFFSET(PLE!$G$14,$M48,BD$13))))</f>
        <v>1000000000000</v>
      </c>
      <c r="BE48" s="286" t="n">
        <f aca="true">IF($D48&lt;&gt;"Serviço",0,IF(OR(AND(AUTOEVENTO="Manual",$M48=1),$M48&gt;(ROW(PLE.lastrow)-ROW(PLE.firstrow))),0,IF(OFFSET(PLE!$G$14,$M48,BE$13)="",10^12,OFFSET(PLE!$G$14,$M48,BE$13))))</f>
        <v>1000000000000</v>
      </c>
      <c r="BF48" s="286" t="n">
        <f aca="true">IF($D48&lt;&gt;"Serviço",0,IF(OR(AND(AUTOEVENTO="Manual",$M48=1),$M48&gt;(ROW(PLE.lastrow)-ROW(PLE.firstrow))),0,IF(OFFSET(PLE!$G$14,$M48,BF$13)="",10^12,OFFSET(PLE!$G$14,$M48,BF$13))))</f>
        <v>1000000000000</v>
      </c>
      <c r="BG48" s="286" t="n">
        <f aca="true">IF($D48&lt;&gt;"Serviço",0,IF(OR(AND(AUTOEVENTO="Manual",$M48=1),$M48&gt;(ROW(PLE.lastrow)-ROW(PLE.firstrow))),0,IF(OFFSET(PLE!$G$14,$M48,BG$13)="",10^12,OFFSET(PLE!$G$14,$M48,BG$13))))</f>
        <v>1000000000000</v>
      </c>
    </row>
    <row r="49" customFormat="false" ht="23.85" hidden="false" customHeight="false" outlineLevel="0" collapsed="false">
      <c r="A49" s="34" t="n">
        <f aca="true">IF(AUTOEVENTO="Manual",IF(K49&lt;&gt;"",MIN(VALUE(LEFT(K49,FIND(".",K49)-1)),COUNTA(EVENTOS.Lista)),0),IF(OR($B49&gt;AUTOEVENTO,$B49="S",$B49=0),SUBSTITUTE(OFFSET($A49,-1,0),IF($D49="Serviço",".",""),""),ROW(A49)-ROW($A$15)&amp;"."))</f>
        <v>8</v>
      </c>
      <c r="B49" s="34" t="str">
        <f aca="true">OFFSET(ORÇAMENTO!C$15,ROW(B49)-ROW(B$15),0)</f>
        <v>S</v>
      </c>
      <c r="C49" s="34" t="str">
        <f aca="true">OFFSET(ORÇAMENTO!L$15,ROW(C49)-ROW(C$15),0)</f>
        <v/>
      </c>
      <c r="D49" s="187" t="str">
        <f aca="true">OFFSET(ORÇAMENTO!N$15,ROW(D49)-ROW(D$15),0)</f>
        <v>Serviço</v>
      </c>
      <c r="E49" s="188" t="str">
        <f aca="true">OFFSET(ORÇAMENTO!O$15,ROW(E49)-ROW(E$15),0)</f>
        <v>-</v>
      </c>
      <c r="F49" s="272" t="str">
        <f aca="true">OFFSET(ORÇAMENTO!R$15,ROW(F49)-ROW(F$15),0)</f>
        <v>(abra o arquivo 'Referência 02-Thursday.xlsm)</v>
      </c>
      <c r="G49" s="273" t="str">
        <f aca="true">IF($D49&lt;&gt;"Serviço","",OFFSET(ORÇAMENTO!S$15,ROW(G49)-ROW(G$15),0))</f>
        <v>-</v>
      </c>
      <c r="H49" s="193" t="n">
        <f aca="true">IF($D49&lt;&gt;"Serviço",0,IF(ACOMPANHAMENTO="BM",ROUND(OFFSET(ORÇAMENTO!AJ$15,ROW(H49)-ROW(H$15),0),15-13*ORÇAMENTO!$AF$7),SUMPRODUCT(($Q$12:$AA$12&lt;&gt;"")*ROUND($Q49:$AA49,15-13*ORÇAMENTO!$AF$7))))</f>
        <v>6750</v>
      </c>
      <c r="I49" s="274" t="s">
        <v>382</v>
      </c>
      <c r="K49" s="275" t="s">
        <v>381</v>
      </c>
      <c r="L49" s="276" t="s">
        <v>347</v>
      </c>
      <c r="M49" s="277" t="n">
        <f aca="true">IF($D49&lt;&gt;"Serviço","",IF(AUTOEVENTO="manual",$A49,IF(ISERROR(MATCH($A49,$A$15:OFFSET($A49,-1,0),0)),MAX($M$15:OFFSET(M49,-1,0))+1,INDEX($M$15:OFFSET(M49,-1,0),MATCH($A49,$A$15:OFFSET($A49,-1,0),0)))))</f>
        <v>8</v>
      </c>
      <c r="N49" s="278" t="str">
        <f aca="true">IF($D49&lt;&gt;"Serviço","",IF(AUTOEVENTO="Manual",IF($A49=0,"&lt;-- defina o número do agrupador",OFFSET(EVENTOS!$D$14,$A49,0)),OFFSET($F$15,$A49,0)))</f>
        <v>Concreto Asfáltico</v>
      </c>
      <c r="O49" s="279"/>
      <c r="Q49" s="279" t="n">
        <v>6750</v>
      </c>
      <c r="R49" s="280"/>
      <c r="S49" s="280"/>
      <c r="T49" s="280"/>
      <c r="U49" s="280"/>
      <c r="V49" s="280"/>
      <c r="W49" s="280"/>
      <c r="X49" s="280"/>
      <c r="Y49" s="280"/>
      <c r="Z49" s="281"/>
      <c r="AB49" s="282" t="n">
        <f aca="true">IF(AND($D49="Serviço",AB$12&lt;&gt;0,$H49&gt;0,OR(AUTOEVENTO&lt;&gt;"manual",$M49&lt;&gt;1)),
IF(Import.TipoArredondamento&lt;&gt;"TransfereGOV",
ROUND(OFFSET($P49,0,AB$13),15-13*ORÇAMENTO!$AF$7)/$H49*OFFSET(ORÇAMENTO!$X$15,ROW(AB49)-ROW(AB$15),0),
ROUND(ROUND(OFFSET($P49,0,AB$13),15-13*ORÇAMENTO!$AF$7)*OFFSET(ORÇAMENTO!$W$15,ROW(AB49)-ROW(AB$15),0),15-13*ORÇAMENTO!$AF$11)),0)</f>
        <v>0</v>
      </c>
      <c r="AC49" s="283" t="n">
        <f aca="true">IF(AND($D49="Serviço",AC$12&lt;&gt;0,$H49&gt;0,OR(AUTOEVENTO&lt;&gt;"manual",$M49&lt;&gt;1)),
IF(Import.TipoArredondamento&lt;&gt;"TransfereGOV",
ROUND(OFFSET($P49,0,AC$13),15-13*ORÇAMENTO!$AF$7)/$H49*OFFSET(ORÇAMENTO!$X$15,ROW(AC49)-ROW(AC$15),0),
ROUND(ROUND(OFFSET($P49,0,AC$13),15-13*ORÇAMENTO!$AF$7)*OFFSET(ORÇAMENTO!$W$15,ROW(AC49)-ROW(AC$15),0),15-13*ORÇAMENTO!$AF$11)),0)</f>
        <v>0</v>
      </c>
      <c r="AD49" s="283" t="n">
        <f aca="true">IF(AND($D49="Serviço",AD$12&lt;&gt;0,$H49&gt;0,OR(AUTOEVENTO&lt;&gt;"manual",$M49&lt;&gt;1)),
IF(Import.TipoArredondamento&lt;&gt;"TransfereGOV",
ROUND(OFFSET($P49,0,AD$13),15-13*ORÇAMENTO!$AF$7)/$H49*OFFSET(ORÇAMENTO!$X$15,ROW(AD49)-ROW(AD$15),0),
ROUND(ROUND(OFFSET($P49,0,AD$13),15-13*ORÇAMENTO!$AF$7)*OFFSET(ORÇAMENTO!$W$15,ROW(AD49)-ROW(AD$15),0),15-13*ORÇAMENTO!$AF$11)),0)</f>
        <v>0</v>
      </c>
      <c r="AE49" s="283" t="n">
        <f aca="true">IF(AND($D49="Serviço",AE$12&lt;&gt;0,$H49&gt;0,OR(AUTOEVENTO&lt;&gt;"manual",$M49&lt;&gt;1)),
IF(Import.TipoArredondamento&lt;&gt;"TransfereGOV",
ROUND(OFFSET($P49,0,AE$13),15-13*ORÇAMENTO!$AF$7)/$H49*OFFSET(ORÇAMENTO!$X$15,ROW(AE49)-ROW(AE$15),0),
ROUND(ROUND(OFFSET($P49,0,AE$13),15-13*ORÇAMENTO!$AF$7)*OFFSET(ORÇAMENTO!$W$15,ROW(AE49)-ROW(AE$15),0),15-13*ORÇAMENTO!$AF$11)),0)</f>
        <v>0</v>
      </c>
      <c r="AF49" s="283" t="n">
        <f aca="true">IF(AND($D49="Serviço",AF$12&lt;&gt;0,$H49&gt;0,OR(AUTOEVENTO&lt;&gt;"manual",$M49&lt;&gt;1)),
IF(Import.TipoArredondamento&lt;&gt;"TransfereGOV",
ROUND(OFFSET($P49,0,AF$13),15-13*ORÇAMENTO!$AF$7)/$H49*OFFSET(ORÇAMENTO!$X$15,ROW(AF49)-ROW(AF$15),0),
ROUND(ROUND(OFFSET($P49,0,AF$13),15-13*ORÇAMENTO!$AF$7)*OFFSET(ORÇAMENTO!$W$15,ROW(AF49)-ROW(AF$15),0),15-13*ORÇAMENTO!$AF$11)),0)</f>
        <v>0</v>
      </c>
      <c r="AG49" s="283" t="n">
        <f aca="true">IF(AND($D49="Serviço",AG$12&lt;&gt;0,$H49&gt;0,OR(AUTOEVENTO&lt;&gt;"manual",$M49&lt;&gt;1)),
IF(Import.TipoArredondamento&lt;&gt;"TransfereGOV",
ROUND(OFFSET($P49,0,AG$13),15-13*ORÇAMENTO!$AF$7)/$H49*OFFSET(ORÇAMENTO!$X$15,ROW(AG49)-ROW(AG$15),0),
ROUND(ROUND(OFFSET($P49,0,AG$13),15-13*ORÇAMENTO!$AF$7)*OFFSET(ORÇAMENTO!$W$15,ROW(AG49)-ROW(AG$15),0),15-13*ORÇAMENTO!$AF$11)),0)</f>
        <v>0</v>
      </c>
      <c r="AH49" s="283" t="n">
        <f aca="true">IF(AND($D49="Serviço",AH$12&lt;&gt;0,$H49&gt;0,OR(AUTOEVENTO&lt;&gt;"manual",$M49&lt;&gt;1)),
IF(Import.TipoArredondamento&lt;&gt;"TransfereGOV",
ROUND(OFFSET($P49,0,AH$13),15-13*ORÇAMENTO!$AF$7)/$H49*OFFSET(ORÇAMENTO!$X$15,ROW(AH49)-ROW(AH$15),0),
ROUND(ROUND(OFFSET($P49,0,AH$13),15-13*ORÇAMENTO!$AF$7)*OFFSET(ORÇAMENTO!$W$15,ROW(AH49)-ROW(AH$15),0),15-13*ORÇAMENTO!$AF$11)),0)</f>
        <v>0</v>
      </c>
      <c r="AI49" s="283" t="n">
        <f aca="true">IF(AND($D49="Serviço",AI$12&lt;&gt;0,$H49&gt;0,OR(AUTOEVENTO&lt;&gt;"manual",$M49&lt;&gt;1)),
IF(Import.TipoArredondamento&lt;&gt;"TransfereGOV",
ROUND(OFFSET($P49,0,AI$13),15-13*ORÇAMENTO!$AF$7)/$H49*OFFSET(ORÇAMENTO!$X$15,ROW(AI49)-ROW(AI$15),0),
ROUND(ROUND(OFFSET($P49,0,AI$13),15-13*ORÇAMENTO!$AF$7)*OFFSET(ORÇAMENTO!$W$15,ROW(AI49)-ROW(AI$15),0),15-13*ORÇAMENTO!$AF$11)),0)</f>
        <v>0</v>
      </c>
      <c r="AJ49" s="283" t="n">
        <f aca="true">IF(AND($D49="Serviço",AJ$12&lt;&gt;0,$H49&gt;0,OR(AUTOEVENTO&lt;&gt;"manual",$M49&lt;&gt;1)),
IF(Import.TipoArredondamento&lt;&gt;"TransfereGOV",
ROUND(OFFSET($P49,0,AJ$13),15-13*ORÇAMENTO!$AF$7)/$H49*OFFSET(ORÇAMENTO!$X$15,ROW(AJ49)-ROW(AJ$15),0),
ROUND(ROUND(OFFSET($P49,0,AJ$13),15-13*ORÇAMENTO!$AF$7)*OFFSET(ORÇAMENTO!$W$15,ROW(AJ49)-ROW(AJ$15),0),15-13*ORÇAMENTO!$AF$11)),0)</f>
        <v>0</v>
      </c>
      <c r="AK49" s="284" t="n">
        <f aca="true">IF(AND($D49="Serviço",AK$12&lt;&gt;0,$H49&gt;0,OR(AUTOEVENTO&lt;&gt;"manual",$M49&lt;&gt;1)),
IF(Import.TipoArredondamento&lt;&gt;"TransfereGOV",
ROUND(OFFSET($P49,0,AK$13),15-13*ORÇAMENTO!$AF$7)/$H49*OFFSET(ORÇAMENTO!$X$15,ROW(AK49)-ROW(AK$15),0),
ROUND(ROUND(OFFSET($P49,0,AK$13),15-13*ORÇAMENTO!$AF$7)*OFFSET(ORÇAMENTO!$W$15,ROW(AK49)-ROW(AK$15),0),15-13*ORÇAMENTO!$AF$11)),0)</f>
        <v>0</v>
      </c>
      <c r="AM49" s="285" t="n">
        <f aca="true">IF($D49&lt;&gt;"Serviço",0,IF(AND(AUTOEVENTO="Manual",$M49=1),0,IF(OFFSET(CRONOPLE!$F$14,$M49,AM$13)="",10^12,OFFSET(CRONOPLE!$F$14,$M49,AM$13))))</f>
        <v>3</v>
      </c>
      <c r="AN49" s="285" t="n">
        <f aca="true">IF($D49&lt;&gt;"Serviço",0,IF(AND(AUTOEVENTO="Manual",$M49=1),0,IF(OFFSET(CRONOPLE!$F$14,$M49,AN$13)="",10^12,OFFSET(CRONOPLE!$F$14,$M49,AN$13))))</f>
        <v>1000000000000</v>
      </c>
      <c r="AO49" s="285" t="n">
        <f aca="true">IF($D49&lt;&gt;"Serviço",0,IF(AND(AUTOEVENTO="Manual",$M49=1),0,IF(OFFSET(CRONOPLE!$F$14,$M49,AO$13)="",10^12,OFFSET(CRONOPLE!$F$14,$M49,AO$13))))</f>
        <v>1000000000000</v>
      </c>
      <c r="AP49" s="285" t="n">
        <f aca="true">IF($D49&lt;&gt;"Serviço",0,IF(AND(AUTOEVENTO="Manual",$M49=1),0,IF(OFFSET(CRONOPLE!$F$14,$M49,AP$13)="",10^12,OFFSET(CRONOPLE!$F$14,$M49,AP$13))))</f>
        <v>1000000000000</v>
      </c>
      <c r="AQ49" s="285" t="n">
        <f aca="true">IF($D49&lt;&gt;"Serviço",0,IF(AND(AUTOEVENTO="Manual",$M49=1),0,IF(OFFSET(CRONOPLE!$F$14,$M49,AQ$13)="",10^12,OFFSET(CRONOPLE!$F$14,$M49,AQ$13))))</f>
        <v>1000000000000</v>
      </c>
      <c r="AR49" s="285" t="n">
        <f aca="true">IF($D49&lt;&gt;"Serviço",0,IF(AND(AUTOEVENTO="Manual",$M49=1),0,IF(OFFSET(CRONOPLE!$F$14,$M49,AR$13)="",10^12,OFFSET(CRONOPLE!$F$14,$M49,AR$13))))</f>
        <v>1000000000000</v>
      </c>
      <c r="AS49" s="285" t="n">
        <f aca="true">IF($D49&lt;&gt;"Serviço",0,IF(AND(AUTOEVENTO="Manual",$M49=1),0,IF(OFFSET(CRONOPLE!$F$14,$M49,AS$13)="",10^12,OFFSET(CRONOPLE!$F$14,$M49,AS$13))))</f>
        <v>1000000000000</v>
      </c>
      <c r="AT49" s="285" t="n">
        <f aca="true">IF($D49&lt;&gt;"Serviço",0,IF(AND(AUTOEVENTO="Manual",$M49=1),0,IF(OFFSET(CRONOPLE!$F$14,$M49,AT$13)="",10^12,OFFSET(CRONOPLE!$F$14,$M49,AT$13))))</f>
        <v>1000000000000</v>
      </c>
      <c r="AU49" s="285" t="n">
        <f aca="true">IF($D49&lt;&gt;"Serviço",0,IF(AND(AUTOEVENTO="Manual",$M49=1),0,IF(OFFSET(CRONOPLE!$F$14,$M49,AU$13)="",10^12,OFFSET(CRONOPLE!$F$14,$M49,AU$13))))</f>
        <v>1000000000000</v>
      </c>
      <c r="AV49" s="285" t="n">
        <f aca="true">IF($D49&lt;&gt;"Serviço",0,IF(AND(AUTOEVENTO="Manual",$M49=1),0,IF(OFFSET(CRONOPLE!$F$14,$M49,AV$13)="",10^12,OFFSET(CRONOPLE!$F$14,$M49,AV$13))))</f>
        <v>1000000000000</v>
      </c>
      <c r="AX49" s="286" t="n">
        <f aca="true">IF($D49&lt;&gt;"Serviço",0,IF(OR(AND(AUTOEVENTO="Manual",$M49=1),$M49&gt;(ROW(PLE.lastrow)-ROW(PLE.firstrow))),0,IF(OFFSET(PLE!$G$14,$M49,AX$13)="",10^12,OFFSET(PLE!$G$14,$M49,AX$13))))</f>
        <v>1000000000000</v>
      </c>
      <c r="AY49" s="286" t="n">
        <f aca="true">IF($D49&lt;&gt;"Serviço",0,IF(OR(AND(AUTOEVENTO="Manual",$M49=1),$M49&gt;(ROW(PLE.lastrow)-ROW(PLE.firstrow))),0,IF(OFFSET(PLE!$G$14,$M49,AY$13)="",10^12,OFFSET(PLE!$G$14,$M49,AY$13))))</f>
        <v>1000000000000</v>
      </c>
      <c r="AZ49" s="286" t="n">
        <f aca="true">IF($D49&lt;&gt;"Serviço",0,IF(OR(AND(AUTOEVENTO="Manual",$M49=1),$M49&gt;(ROW(PLE.lastrow)-ROW(PLE.firstrow))),0,IF(OFFSET(PLE!$G$14,$M49,AZ$13)="",10^12,OFFSET(PLE!$G$14,$M49,AZ$13))))</f>
        <v>1000000000000</v>
      </c>
      <c r="BA49" s="286" t="n">
        <f aca="true">IF($D49&lt;&gt;"Serviço",0,IF(OR(AND(AUTOEVENTO="Manual",$M49=1),$M49&gt;(ROW(PLE.lastrow)-ROW(PLE.firstrow))),0,IF(OFFSET(PLE!$G$14,$M49,BA$13)="",10^12,OFFSET(PLE!$G$14,$M49,BA$13))))</f>
        <v>1000000000000</v>
      </c>
      <c r="BB49" s="286" t="n">
        <f aca="true">IF($D49&lt;&gt;"Serviço",0,IF(OR(AND(AUTOEVENTO="Manual",$M49=1),$M49&gt;(ROW(PLE.lastrow)-ROW(PLE.firstrow))),0,IF(OFFSET(PLE!$G$14,$M49,BB$13)="",10^12,OFFSET(PLE!$G$14,$M49,BB$13))))</f>
        <v>1000000000000</v>
      </c>
      <c r="BC49" s="286" t="n">
        <f aca="true">IF($D49&lt;&gt;"Serviço",0,IF(OR(AND(AUTOEVENTO="Manual",$M49=1),$M49&gt;(ROW(PLE.lastrow)-ROW(PLE.firstrow))),0,IF(OFFSET(PLE!$G$14,$M49,BC$13)="",10^12,OFFSET(PLE!$G$14,$M49,BC$13))))</f>
        <v>1000000000000</v>
      </c>
      <c r="BD49" s="286" t="n">
        <f aca="true">IF($D49&lt;&gt;"Serviço",0,IF(OR(AND(AUTOEVENTO="Manual",$M49=1),$M49&gt;(ROW(PLE.lastrow)-ROW(PLE.firstrow))),0,IF(OFFSET(PLE!$G$14,$M49,BD$13)="",10^12,OFFSET(PLE!$G$14,$M49,BD$13))))</f>
        <v>1000000000000</v>
      </c>
      <c r="BE49" s="286" t="n">
        <f aca="true">IF($D49&lt;&gt;"Serviço",0,IF(OR(AND(AUTOEVENTO="Manual",$M49=1),$M49&gt;(ROW(PLE.lastrow)-ROW(PLE.firstrow))),0,IF(OFFSET(PLE!$G$14,$M49,BE$13)="",10^12,OFFSET(PLE!$G$14,$M49,BE$13))))</f>
        <v>1000000000000</v>
      </c>
      <c r="BF49" s="286" t="n">
        <f aca="true">IF($D49&lt;&gt;"Serviço",0,IF(OR(AND(AUTOEVENTO="Manual",$M49=1),$M49&gt;(ROW(PLE.lastrow)-ROW(PLE.firstrow))),0,IF(OFFSET(PLE!$G$14,$M49,BF$13)="",10^12,OFFSET(PLE!$G$14,$M49,BF$13))))</f>
        <v>1000000000000</v>
      </c>
      <c r="BG49" s="286" t="n">
        <f aca="true">IF($D49&lt;&gt;"Serviço",0,IF(OR(AND(AUTOEVENTO="Manual",$M49=1),$M49&gt;(ROW(PLE.lastrow)-ROW(PLE.firstrow))),0,IF(OFFSET(PLE!$G$14,$M49,BG$13)="",10^12,OFFSET(PLE!$G$14,$M49,BG$13))))</f>
        <v>1000000000000</v>
      </c>
    </row>
    <row r="50" customFormat="false" ht="23.85" hidden="false" customHeight="false" outlineLevel="0" collapsed="false">
      <c r="A50" s="34" t="n">
        <f aca="true">IF(AUTOEVENTO="Manual",IF(K50&lt;&gt;"",MIN(VALUE(LEFT(K50,FIND(".",K50)-1)),COUNTA(EVENTOS.Lista)),0),IF(OR($B50&gt;AUTOEVENTO,$B50="S",$B50=0),SUBSTITUTE(OFFSET($A50,-1,0),IF($D50="Serviço",".",""),""),ROW(A50)-ROW($A$15)&amp;"."))</f>
        <v>8</v>
      </c>
      <c r="B50" s="34" t="str">
        <f aca="true">OFFSET(ORÇAMENTO!C$15,ROW(B50)-ROW(B$15),0)</f>
        <v>S</v>
      </c>
      <c r="C50" s="34" t="str">
        <f aca="true">OFFSET(ORÇAMENTO!L$15,ROW(C50)-ROW(C$15),0)</f>
        <v/>
      </c>
      <c r="D50" s="187" t="str">
        <f aca="true">OFFSET(ORÇAMENTO!N$15,ROW(D50)-ROW(D$15),0)</f>
        <v>Serviço</v>
      </c>
      <c r="E50" s="188" t="str">
        <f aca="true">OFFSET(ORÇAMENTO!O$15,ROW(E50)-ROW(E$15),0)</f>
        <v>-</v>
      </c>
      <c r="F50" s="272" t="str">
        <f aca="true">OFFSET(ORÇAMENTO!R$15,ROW(F50)-ROW(F$15),0)</f>
        <v>(abra o arquivo 'Referência 02-Thursday.xlsm)</v>
      </c>
      <c r="G50" s="273" t="str">
        <f aca="true">IF($D50&lt;&gt;"Serviço","",OFFSET(ORÇAMENTO!S$15,ROW(G50)-ROW(G$15),0))</f>
        <v>-</v>
      </c>
      <c r="H50" s="193" t="n">
        <f aca="true">IF($D50&lt;&gt;"Serviço",0,IF(ACOMPANHAMENTO="BM",ROUND(OFFSET(ORÇAMENTO!AJ$15,ROW(H50)-ROW(H$15),0),15-13*ORÇAMENTO!$AF$7),SUMPRODUCT(($Q$12:$AA$12&lt;&gt;"")*ROUND($Q50:$AA50,15-13*ORÇAMENTO!$AF$7))))</f>
        <v>9573.75</v>
      </c>
      <c r="I50" s="274" t="s">
        <v>383</v>
      </c>
      <c r="K50" s="275" t="s">
        <v>381</v>
      </c>
      <c r="L50" s="276" t="s">
        <v>347</v>
      </c>
      <c r="M50" s="277" t="n">
        <f aca="true">IF($D50&lt;&gt;"Serviço","",IF(AUTOEVENTO="manual",$A50,IF(ISERROR(MATCH($A50,$A$15:OFFSET($A50,-1,0),0)),MAX($M$15:OFFSET(M50,-1,0))+1,INDEX($M$15:OFFSET(M50,-1,0),MATCH($A50,$A$15:OFFSET($A50,-1,0),0)))))</f>
        <v>8</v>
      </c>
      <c r="N50" s="278" t="str">
        <f aca="true">IF($D50&lt;&gt;"Serviço","",IF(AUTOEVENTO="Manual",IF($A50=0,"&lt;-- defina o número do agrupador",OFFSET(EVENTOS!$D$14,$A50,0)),OFFSET($F$15,$A50,0)))</f>
        <v>Concreto Asfáltico</v>
      </c>
      <c r="O50" s="279"/>
      <c r="Q50" s="279" t="n">
        <v>9573.75</v>
      </c>
      <c r="R50" s="280"/>
      <c r="S50" s="280"/>
      <c r="T50" s="280"/>
      <c r="U50" s="280"/>
      <c r="V50" s="280"/>
      <c r="W50" s="280"/>
      <c r="X50" s="280"/>
      <c r="Y50" s="280"/>
      <c r="Z50" s="281"/>
      <c r="AB50" s="282" t="n">
        <f aca="true">IF(AND($D50="Serviço",AB$12&lt;&gt;0,$H50&gt;0,OR(AUTOEVENTO&lt;&gt;"manual",$M50&lt;&gt;1)),
IF(Import.TipoArredondamento&lt;&gt;"TransfereGOV",
ROUND(OFFSET($P50,0,AB$13),15-13*ORÇAMENTO!$AF$7)/$H50*OFFSET(ORÇAMENTO!$X$15,ROW(AB50)-ROW(AB$15),0),
ROUND(ROUND(OFFSET($P50,0,AB$13),15-13*ORÇAMENTO!$AF$7)*OFFSET(ORÇAMENTO!$W$15,ROW(AB50)-ROW(AB$15),0),15-13*ORÇAMENTO!$AF$11)),0)</f>
        <v>0</v>
      </c>
      <c r="AC50" s="283" t="n">
        <f aca="true">IF(AND($D50="Serviço",AC$12&lt;&gt;0,$H50&gt;0,OR(AUTOEVENTO&lt;&gt;"manual",$M50&lt;&gt;1)),
IF(Import.TipoArredondamento&lt;&gt;"TransfereGOV",
ROUND(OFFSET($P50,0,AC$13),15-13*ORÇAMENTO!$AF$7)/$H50*OFFSET(ORÇAMENTO!$X$15,ROW(AC50)-ROW(AC$15),0),
ROUND(ROUND(OFFSET($P50,0,AC$13),15-13*ORÇAMENTO!$AF$7)*OFFSET(ORÇAMENTO!$W$15,ROW(AC50)-ROW(AC$15),0),15-13*ORÇAMENTO!$AF$11)),0)</f>
        <v>0</v>
      </c>
      <c r="AD50" s="283" t="n">
        <f aca="true">IF(AND($D50="Serviço",AD$12&lt;&gt;0,$H50&gt;0,OR(AUTOEVENTO&lt;&gt;"manual",$M50&lt;&gt;1)),
IF(Import.TipoArredondamento&lt;&gt;"TransfereGOV",
ROUND(OFFSET($P50,0,AD$13),15-13*ORÇAMENTO!$AF$7)/$H50*OFFSET(ORÇAMENTO!$X$15,ROW(AD50)-ROW(AD$15),0),
ROUND(ROUND(OFFSET($P50,0,AD$13),15-13*ORÇAMENTO!$AF$7)*OFFSET(ORÇAMENTO!$W$15,ROW(AD50)-ROW(AD$15),0),15-13*ORÇAMENTO!$AF$11)),0)</f>
        <v>0</v>
      </c>
      <c r="AE50" s="283" t="n">
        <f aca="true">IF(AND($D50="Serviço",AE$12&lt;&gt;0,$H50&gt;0,OR(AUTOEVENTO&lt;&gt;"manual",$M50&lt;&gt;1)),
IF(Import.TipoArredondamento&lt;&gt;"TransfereGOV",
ROUND(OFFSET($P50,0,AE$13),15-13*ORÇAMENTO!$AF$7)/$H50*OFFSET(ORÇAMENTO!$X$15,ROW(AE50)-ROW(AE$15),0),
ROUND(ROUND(OFFSET($P50,0,AE$13),15-13*ORÇAMENTO!$AF$7)*OFFSET(ORÇAMENTO!$W$15,ROW(AE50)-ROW(AE$15),0),15-13*ORÇAMENTO!$AF$11)),0)</f>
        <v>0</v>
      </c>
      <c r="AF50" s="283" t="n">
        <f aca="true">IF(AND($D50="Serviço",AF$12&lt;&gt;0,$H50&gt;0,OR(AUTOEVENTO&lt;&gt;"manual",$M50&lt;&gt;1)),
IF(Import.TipoArredondamento&lt;&gt;"TransfereGOV",
ROUND(OFFSET($P50,0,AF$13),15-13*ORÇAMENTO!$AF$7)/$H50*OFFSET(ORÇAMENTO!$X$15,ROW(AF50)-ROW(AF$15),0),
ROUND(ROUND(OFFSET($P50,0,AF$13),15-13*ORÇAMENTO!$AF$7)*OFFSET(ORÇAMENTO!$W$15,ROW(AF50)-ROW(AF$15),0),15-13*ORÇAMENTO!$AF$11)),0)</f>
        <v>0</v>
      </c>
      <c r="AG50" s="283" t="n">
        <f aca="true">IF(AND($D50="Serviço",AG$12&lt;&gt;0,$H50&gt;0,OR(AUTOEVENTO&lt;&gt;"manual",$M50&lt;&gt;1)),
IF(Import.TipoArredondamento&lt;&gt;"TransfereGOV",
ROUND(OFFSET($P50,0,AG$13),15-13*ORÇAMENTO!$AF$7)/$H50*OFFSET(ORÇAMENTO!$X$15,ROW(AG50)-ROW(AG$15),0),
ROUND(ROUND(OFFSET($P50,0,AG$13),15-13*ORÇAMENTO!$AF$7)*OFFSET(ORÇAMENTO!$W$15,ROW(AG50)-ROW(AG$15),0),15-13*ORÇAMENTO!$AF$11)),0)</f>
        <v>0</v>
      </c>
      <c r="AH50" s="283" t="n">
        <f aca="true">IF(AND($D50="Serviço",AH$12&lt;&gt;0,$H50&gt;0,OR(AUTOEVENTO&lt;&gt;"manual",$M50&lt;&gt;1)),
IF(Import.TipoArredondamento&lt;&gt;"TransfereGOV",
ROUND(OFFSET($P50,0,AH$13),15-13*ORÇAMENTO!$AF$7)/$H50*OFFSET(ORÇAMENTO!$X$15,ROW(AH50)-ROW(AH$15),0),
ROUND(ROUND(OFFSET($P50,0,AH$13),15-13*ORÇAMENTO!$AF$7)*OFFSET(ORÇAMENTO!$W$15,ROW(AH50)-ROW(AH$15),0),15-13*ORÇAMENTO!$AF$11)),0)</f>
        <v>0</v>
      </c>
      <c r="AI50" s="283" t="n">
        <f aca="true">IF(AND($D50="Serviço",AI$12&lt;&gt;0,$H50&gt;0,OR(AUTOEVENTO&lt;&gt;"manual",$M50&lt;&gt;1)),
IF(Import.TipoArredondamento&lt;&gt;"TransfereGOV",
ROUND(OFFSET($P50,0,AI$13),15-13*ORÇAMENTO!$AF$7)/$H50*OFFSET(ORÇAMENTO!$X$15,ROW(AI50)-ROW(AI$15),0),
ROUND(ROUND(OFFSET($P50,0,AI$13),15-13*ORÇAMENTO!$AF$7)*OFFSET(ORÇAMENTO!$W$15,ROW(AI50)-ROW(AI$15),0),15-13*ORÇAMENTO!$AF$11)),0)</f>
        <v>0</v>
      </c>
      <c r="AJ50" s="283" t="n">
        <f aca="true">IF(AND($D50="Serviço",AJ$12&lt;&gt;0,$H50&gt;0,OR(AUTOEVENTO&lt;&gt;"manual",$M50&lt;&gt;1)),
IF(Import.TipoArredondamento&lt;&gt;"TransfereGOV",
ROUND(OFFSET($P50,0,AJ$13),15-13*ORÇAMENTO!$AF$7)/$H50*OFFSET(ORÇAMENTO!$X$15,ROW(AJ50)-ROW(AJ$15),0),
ROUND(ROUND(OFFSET($P50,0,AJ$13),15-13*ORÇAMENTO!$AF$7)*OFFSET(ORÇAMENTO!$W$15,ROW(AJ50)-ROW(AJ$15),0),15-13*ORÇAMENTO!$AF$11)),0)</f>
        <v>0</v>
      </c>
      <c r="AK50" s="284" t="n">
        <f aca="true">IF(AND($D50="Serviço",AK$12&lt;&gt;0,$H50&gt;0,OR(AUTOEVENTO&lt;&gt;"manual",$M50&lt;&gt;1)),
IF(Import.TipoArredondamento&lt;&gt;"TransfereGOV",
ROUND(OFFSET($P50,0,AK$13),15-13*ORÇAMENTO!$AF$7)/$H50*OFFSET(ORÇAMENTO!$X$15,ROW(AK50)-ROW(AK$15),0),
ROUND(ROUND(OFFSET($P50,0,AK$13),15-13*ORÇAMENTO!$AF$7)*OFFSET(ORÇAMENTO!$W$15,ROW(AK50)-ROW(AK$15),0),15-13*ORÇAMENTO!$AF$11)),0)</f>
        <v>0</v>
      </c>
      <c r="AM50" s="285" t="n">
        <f aca="true">IF($D50&lt;&gt;"Serviço",0,IF(AND(AUTOEVENTO="Manual",$M50=1),0,IF(OFFSET(CRONOPLE!$F$14,$M50,AM$13)="",10^12,OFFSET(CRONOPLE!$F$14,$M50,AM$13))))</f>
        <v>3</v>
      </c>
      <c r="AN50" s="285" t="n">
        <f aca="true">IF($D50&lt;&gt;"Serviço",0,IF(AND(AUTOEVENTO="Manual",$M50=1),0,IF(OFFSET(CRONOPLE!$F$14,$M50,AN$13)="",10^12,OFFSET(CRONOPLE!$F$14,$M50,AN$13))))</f>
        <v>1000000000000</v>
      </c>
      <c r="AO50" s="285" t="n">
        <f aca="true">IF($D50&lt;&gt;"Serviço",0,IF(AND(AUTOEVENTO="Manual",$M50=1),0,IF(OFFSET(CRONOPLE!$F$14,$M50,AO$13)="",10^12,OFFSET(CRONOPLE!$F$14,$M50,AO$13))))</f>
        <v>1000000000000</v>
      </c>
      <c r="AP50" s="285" t="n">
        <f aca="true">IF($D50&lt;&gt;"Serviço",0,IF(AND(AUTOEVENTO="Manual",$M50=1),0,IF(OFFSET(CRONOPLE!$F$14,$M50,AP$13)="",10^12,OFFSET(CRONOPLE!$F$14,$M50,AP$13))))</f>
        <v>1000000000000</v>
      </c>
      <c r="AQ50" s="285" t="n">
        <f aca="true">IF($D50&lt;&gt;"Serviço",0,IF(AND(AUTOEVENTO="Manual",$M50=1),0,IF(OFFSET(CRONOPLE!$F$14,$M50,AQ$13)="",10^12,OFFSET(CRONOPLE!$F$14,$M50,AQ$13))))</f>
        <v>1000000000000</v>
      </c>
      <c r="AR50" s="285" t="n">
        <f aca="true">IF($D50&lt;&gt;"Serviço",0,IF(AND(AUTOEVENTO="Manual",$M50=1),0,IF(OFFSET(CRONOPLE!$F$14,$M50,AR$13)="",10^12,OFFSET(CRONOPLE!$F$14,$M50,AR$13))))</f>
        <v>1000000000000</v>
      </c>
      <c r="AS50" s="285" t="n">
        <f aca="true">IF($D50&lt;&gt;"Serviço",0,IF(AND(AUTOEVENTO="Manual",$M50=1),0,IF(OFFSET(CRONOPLE!$F$14,$M50,AS$13)="",10^12,OFFSET(CRONOPLE!$F$14,$M50,AS$13))))</f>
        <v>1000000000000</v>
      </c>
      <c r="AT50" s="285" t="n">
        <f aca="true">IF($D50&lt;&gt;"Serviço",0,IF(AND(AUTOEVENTO="Manual",$M50=1),0,IF(OFFSET(CRONOPLE!$F$14,$M50,AT$13)="",10^12,OFFSET(CRONOPLE!$F$14,$M50,AT$13))))</f>
        <v>1000000000000</v>
      </c>
      <c r="AU50" s="285" t="n">
        <f aca="true">IF($D50&lt;&gt;"Serviço",0,IF(AND(AUTOEVENTO="Manual",$M50=1),0,IF(OFFSET(CRONOPLE!$F$14,$M50,AU$13)="",10^12,OFFSET(CRONOPLE!$F$14,$M50,AU$13))))</f>
        <v>1000000000000</v>
      </c>
      <c r="AV50" s="285" t="n">
        <f aca="true">IF($D50&lt;&gt;"Serviço",0,IF(AND(AUTOEVENTO="Manual",$M50=1),0,IF(OFFSET(CRONOPLE!$F$14,$M50,AV$13)="",10^12,OFFSET(CRONOPLE!$F$14,$M50,AV$13))))</f>
        <v>1000000000000</v>
      </c>
      <c r="AX50" s="286" t="n">
        <f aca="true">IF($D50&lt;&gt;"Serviço",0,IF(OR(AND(AUTOEVENTO="Manual",$M50=1),$M50&gt;(ROW(PLE.lastrow)-ROW(PLE.firstrow))),0,IF(OFFSET(PLE!$G$14,$M50,AX$13)="",10^12,OFFSET(PLE!$G$14,$M50,AX$13))))</f>
        <v>1000000000000</v>
      </c>
      <c r="AY50" s="286" t="n">
        <f aca="true">IF($D50&lt;&gt;"Serviço",0,IF(OR(AND(AUTOEVENTO="Manual",$M50=1),$M50&gt;(ROW(PLE.lastrow)-ROW(PLE.firstrow))),0,IF(OFFSET(PLE!$G$14,$M50,AY$13)="",10^12,OFFSET(PLE!$G$14,$M50,AY$13))))</f>
        <v>1000000000000</v>
      </c>
      <c r="AZ50" s="286" t="n">
        <f aca="true">IF($D50&lt;&gt;"Serviço",0,IF(OR(AND(AUTOEVENTO="Manual",$M50=1),$M50&gt;(ROW(PLE.lastrow)-ROW(PLE.firstrow))),0,IF(OFFSET(PLE!$G$14,$M50,AZ$13)="",10^12,OFFSET(PLE!$G$14,$M50,AZ$13))))</f>
        <v>1000000000000</v>
      </c>
      <c r="BA50" s="286" t="n">
        <f aca="true">IF($D50&lt;&gt;"Serviço",0,IF(OR(AND(AUTOEVENTO="Manual",$M50=1),$M50&gt;(ROW(PLE.lastrow)-ROW(PLE.firstrow))),0,IF(OFFSET(PLE!$G$14,$M50,BA$13)="",10^12,OFFSET(PLE!$G$14,$M50,BA$13))))</f>
        <v>1000000000000</v>
      </c>
      <c r="BB50" s="286" t="n">
        <f aca="true">IF($D50&lt;&gt;"Serviço",0,IF(OR(AND(AUTOEVENTO="Manual",$M50=1),$M50&gt;(ROW(PLE.lastrow)-ROW(PLE.firstrow))),0,IF(OFFSET(PLE!$G$14,$M50,BB$13)="",10^12,OFFSET(PLE!$G$14,$M50,BB$13))))</f>
        <v>1000000000000</v>
      </c>
      <c r="BC50" s="286" t="n">
        <f aca="true">IF($D50&lt;&gt;"Serviço",0,IF(OR(AND(AUTOEVENTO="Manual",$M50=1),$M50&gt;(ROW(PLE.lastrow)-ROW(PLE.firstrow))),0,IF(OFFSET(PLE!$G$14,$M50,BC$13)="",10^12,OFFSET(PLE!$G$14,$M50,BC$13))))</f>
        <v>1000000000000</v>
      </c>
      <c r="BD50" s="286" t="n">
        <f aca="true">IF($D50&lt;&gt;"Serviço",0,IF(OR(AND(AUTOEVENTO="Manual",$M50=1),$M50&gt;(ROW(PLE.lastrow)-ROW(PLE.firstrow))),0,IF(OFFSET(PLE!$G$14,$M50,BD$13)="",10^12,OFFSET(PLE!$G$14,$M50,BD$13))))</f>
        <v>1000000000000</v>
      </c>
      <c r="BE50" s="286" t="n">
        <f aca="true">IF($D50&lt;&gt;"Serviço",0,IF(OR(AND(AUTOEVENTO="Manual",$M50=1),$M50&gt;(ROW(PLE.lastrow)-ROW(PLE.firstrow))),0,IF(OFFSET(PLE!$G$14,$M50,BE$13)="",10^12,OFFSET(PLE!$G$14,$M50,BE$13))))</f>
        <v>1000000000000</v>
      </c>
      <c r="BF50" s="286" t="n">
        <f aca="true">IF($D50&lt;&gt;"Serviço",0,IF(OR(AND(AUTOEVENTO="Manual",$M50=1),$M50&gt;(ROW(PLE.lastrow)-ROW(PLE.firstrow))),0,IF(OFFSET(PLE!$G$14,$M50,BF$13)="",10^12,OFFSET(PLE!$G$14,$M50,BF$13))))</f>
        <v>1000000000000</v>
      </c>
      <c r="BG50" s="286" t="n">
        <f aca="true">IF($D50&lt;&gt;"Serviço",0,IF(OR(AND(AUTOEVENTO="Manual",$M50=1),$M50&gt;(ROW(PLE.lastrow)-ROW(PLE.firstrow))),0,IF(OFFSET(PLE!$G$14,$M50,BG$13)="",10^12,OFFSET(PLE!$G$14,$M50,BG$13))))</f>
        <v>1000000000000</v>
      </c>
    </row>
    <row r="51" customFormat="false" ht="12.75" hidden="false" customHeight="false" outlineLevel="0" collapsed="false">
      <c r="A51" s="34" t="n">
        <f aca="true">IF(AUTOEVENTO="Manual",IF(K51&lt;&gt;"",MIN(VALUE(LEFT(K51,FIND(".",K51)-1)),COUNTA(EVENTOS.Lista)),0),IF(OR($B51&gt;AUTOEVENTO,$B51="S",$B51=0),SUBSTITUTE(OFFSET($A51,-1,0),IF($D51="Serviço",".",""),""),ROW(A51)-ROW($A$15)&amp;"."))</f>
        <v>0</v>
      </c>
      <c r="B51" s="34" t="n">
        <f aca="true">OFFSET(ORÇAMENTO!C$15,ROW(B51)-ROW(B$15),0)</f>
        <v>2</v>
      </c>
      <c r="C51" s="34" t="str">
        <f aca="true">OFFSET(ORÇAMENTO!L$15,ROW(C51)-ROW(C$15),0)</f>
        <v>F</v>
      </c>
      <c r="D51" s="187" t="str">
        <f aca="true">OFFSET(ORÇAMENTO!N$15,ROW(D51)-ROW(D$15),0)</f>
        <v>Nível 2</v>
      </c>
      <c r="E51" s="188" t="str">
        <f aca="true">OFFSET(ORÇAMENTO!O$15,ROW(E51)-ROW(E$15),0)</f>
        <v>1.9.</v>
      </c>
      <c r="F51" s="272" t="str">
        <f aca="true">OFFSET(ORÇAMENTO!R$15,ROW(F51)-ROW(F$15),0)</f>
        <v>Drenagem</v>
      </c>
      <c r="G51" s="273" t="str">
        <f aca="true">IF($D51&lt;&gt;"Serviço","",OFFSET(ORÇAMENTO!S$15,ROW(G51)-ROW(G$15),0))</f>
        <v/>
      </c>
      <c r="H51" s="193" t="n">
        <f aca="true">IF($D51&lt;&gt;"Serviço",0,IF(ACOMPANHAMENTO="BM",ROUND(OFFSET(ORÇAMENTO!AJ$15,ROW(H51)-ROW(H$15),0),15-13*ORÇAMENTO!$AF$7),SUMPRODUCT(($Q$12:$AA$12&lt;&gt;"")*ROUND($Q51:$AA51,15-13*ORÇAMENTO!$AF$7))))</f>
        <v>0</v>
      </c>
      <c r="I51" s="274"/>
      <c r="K51" s="275"/>
      <c r="L51" s="276" t="s">
        <v>347</v>
      </c>
      <c r="M51" s="277" t="str">
        <f aca="true">IF($D51&lt;&gt;"Serviço","",IF(AUTOEVENTO="manual",$A51,IF(ISERROR(MATCH($A51,$A$15:OFFSET($A51,-1,0),0)),MAX($M$15:OFFSET(M51,-1,0))+1,INDEX($M$15:OFFSET(M51,-1,0),MATCH($A51,$A$15:OFFSET($A51,-1,0),0)))))</f>
        <v/>
      </c>
      <c r="N51" s="278" t="str">
        <f aca="true">IF($D51&lt;&gt;"Serviço","",IF(AUTOEVENTO="Manual",IF($A51=0,"&lt;-- defina o número do agrupador",OFFSET(EVENTOS!$D$14,$A51,0)),OFFSET($F$15,$A51,0)))</f>
        <v/>
      </c>
      <c r="O51" s="279"/>
      <c r="Q51" s="279"/>
      <c r="R51" s="280"/>
      <c r="S51" s="280"/>
      <c r="T51" s="280"/>
      <c r="U51" s="280"/>
      <c r="V51" s="280"/>
      <c r="W51" s="280"/>
      <c r="X51" s="280"/>
      <c r="Y51" s="280"/>
      <c r="Z51" s="281"/>
      <c r="AB51" s="282" t="n">
        <f aca="true">IF(AND($D51="Serviço",AB$12&lt;&gt;0,$H51&gt;0,OR(AUTOEVENTO&lt;&gt;"manual",$M51&lt;&gt;1)),
IF(Import.TipoArredondamento&lt;&gt;"TransfereGOV",
ROUND(OFFSET($P51,0,AB$13),15-13*ORÇAMENTO!$AF$7)/$H51*OFFSET(ORÇAMENTO!$X$15,ROW(AB51)-ROW(AB$15),0),
ROUND(ROUND(OFFSET($P51,0,AB$13),15-13*ORÇAMENTO!$AF$7)*OFFSET(ORÇAMENTO!$W$15,ROW(AB51)-ROW(AB$15),0),15-13*ORÇAMENTO!$AF$11)),0)</f>
        <v>0</v>
      </c>
      <c r="AC51" s="283" t="n">
        <f aca="true">IF(AND($D51="Serviço",AC$12&lt;&gt;0,$H51&gt;0,OR(AUTOEVENTO&lt;&gt;"manual",$M51&lt;&gt;1)),
IF(Import.TipoArredondamento&lt;&gt;"TransfereGOV",
ROUND(OFFSET($P51,0,AC$13),15-13*ORÇAMENTO!$AF$7)/$H51*OFFSET(ORÇAMENTO!$X$15,ROW(AC51)-ROW(AC$15),0),
ROUND(ROUND(OFFSET($P51,0,AC$13),15-13*ORÇAMENTO!$AF$7)*OFFSET(ORÇAMENTO!$W$15,ROW(AC51)-ROW(AC$15),0),15-13*ORÇAMENTO!$AF$11)),0)</f>
        <v>0</v>
      </c>
      <c r="AD51" s="283" t="n">
        <f aca="true">IF(AND($D51="Serviço",AD$12&lt;&gt;0,$H51&gt;0,OR(AUTOEVENTO&lt;&gt;"manual",$M51&lt;&gt;1)),
IF(Import.TipoArredondamento&lt;&gt;"TransfereGOV",
ROUND(OFFSET($P51,0,AD$13),15-13*ORÇAMENTO!$AF$7)/$H51*OFFSET(ORÇAMENTO!$X$15,ROW(AD51)-ROW(AD$15),0),
ROUND(ROUND(OFFSET($P51,0,AD$13),15-13*ORÇAMENTO!$AF$7)*OFFSET(ORÇAMENTO!$W$15,ROW(AD51)-ROW(AD$15),0),15-13*ORÇAMENTO!$AF$11)),0)</f>
        <v>0</v>
      </c>
      <c r="AE51" s="283" t="n">
        <f aca="true">IF(AND($D51="Serviço",AE$12&lt;&gt;0,$H51&gt;0,OR(AUTOEVENTO&lt;&gt;"manual",$M51&lt;&gt;1)),
IF(Import.TipoArredondamento&lt;&gt;"TransfereGOV",
ROUND(OFFSET($P51,0,AE$13),15-13*ORÇAMENTO!$AF$7)/$H51*OFFSET(ORÇAMENTO!$X$15,ROW(AE51)-ROW(AE$15),0),
ROUND(ROUND(OFFSET($P51,0,AE$13),15-13*ORÇAMENTO!$AF$7)*OFFSET(ORÇAMENTO!$W$15,ROW(AE51)-ROW(AE$15),0),15-13*ORÇAMENTO!$AF$11)),0)</f>
        <v>0</v>
      </c>
      <c r="AF51" s="283" t="n">
        <f aca="true">IF(AND($D51="Serviço",AF$12&lt;&gt;0,$H51&gt;0,OR(AUTOEVENTO&lt;&gt;"manual",$M51&lt;&gt;1)),
IF(Import.TipoArredondamento&lt;&gt;"TransfereGOV",
ROUND(OFFSET($P51,0,AF$13),15-13*ORÇAMENTO!$AF$7)/$H51*OFFSET(ORÇAMENTO!$X$15,ROW(AF51)-ROW(AF$15),0),
ROUND(ROUND(OFFSET($P51,0,AF$13),15-13*ORÇAMENTO!$AF$7)*OFFSET(ORÇAMENTO!$W$15,ROW(AF51)-ROW(AF$15),0),15-13*ORÇAMENTO!$AF$11)),0)</f>
        <v>0</v>
      </c>
      <c r="AG51" s="283" t="n">
        <f aca="true">IF(AND($D51="Serviço",AG$12&lt;&gt;0,$H51&gt;0,OR(AUTOEVENTO&lt;&gt;"manual",$M51&lt;&gt;1)),
IF(Import.TipoArredondamento&lt;&gt;"TransfereGOV",
ROUND(OFFSET($P51,0,AG$13),15-13*ORÇAMENTO!$AF$7)/$H51*OFFSET(ORÇAMENTO!$X$15,ROW(AG51)-ROW(AG$15),0),
ROUND(ROUND(OFFSET($P51,0,AG$13),15-13*ORÇAMENTO!$AF$7)*OFFSET(ORÇAMENTO!$W$15,ROW(AG51)-ROW(AG$15),0),15-13*ORÇAMENTO!$AF$11)),0)</f>
        <v>0</v>
      </c>
      <c r="AH51" s="283" t="n">
        <f aca="true">IF(AND($D51="Serviço",AH$12&lt;&gt;0,$H51&gt;0,OR(AUTOEVENTO&lt;&gt;"manual",$M51&lt;&gt;1)),
IF(Import.TipoArredondamento&lt;&gt;"TransfereGOV",
ROUND(OFFSET($P51,0,AH$13),15-13*ORÇAMENTO!$AF$7)/$H51*OFFSET(ORÇAMENTO!$X$15,ROW(AH51)-ROW(AH$15),0),
ROUND(ROUND(OFFSET($P51,0,AH$13),15-13*ORÇAMENTO!$AF$7)*OFFSET(ORÇAMENTO!$W$15,ROW(AH51)-ROW(AH$15),0),15-13*ORÇAMENTO!$AF$11)),0)</f>
        <v>0</v>
      </c>
      <c r="AI51" s="283" t="n">
        <f aca="true">IF(AND($D51="Serviço",AI$12&lt;&gt;0,$H51&gt;0,OR(AUTOEVENTO&lt;&gt;"manual",$M51&lt;&gt;1)),
IF(Import.TipoArredondamento&lt;&gt;"TransfereGOV",
ROUND(OFFSET($P51,0,AI$13),15-13*ORÇAMENTO!$AF$7)/$H51*OFFSET(ORÇAMENTO!$X$15,ROW(AI51)-ROW(AI$15),0),
ROUND(ROUND(OFFSET($P51,0,AI$13),15-13*ORÇAMENTO!$AF$7)*OFFSET(ORÇAMENTO!$W$15,ROW(AI51)-ROW(AI$15),0),15-13*ORÇAMENTO!$AF$11)),0)</f>
        <v>0</v>
      </c>
      <c r="AJ51" s="283" t="n">
        <f aca="true">IF(AND($D51="Serviço",AJ$12&lt;&gt;0,$H51&gt;0,OR(AUTOEVENTO&lt;&gt;"manual",$M51&lt;&gt;1)),
IF(Import.TipoArredondamento&lt;&gt;"TransfereGOV",
ROUND(OFFSET($P51,0,AJ$13),15-13*ORÇAMENTO!$AF$7)/$H51*OFFSET(ORÇAMENTO!$X$15,ROW(AJ51)-ROW(AJ$15),0),
ROUND(ROUND(OFFSET($P51,0,AJ$13),15-13*ORÇAMENTO!$AF$7)*OFFSET(ORÇAMENTO!$W$15,ROW(AJ51)-ROW(AJ$15),0),15-13*ORÇAMENTO!$AF$11)),0)</f>
        <v>0</v>
      </c>
      <c r="AK51" s="284" t="n">
        <f aca="true">IF(AND($D51="Serviço",AK$12&lt;&gt;0,$H51&gt;0,OR(AUTOEVENTO&lt;&gt;"manual",$M51&lt;&gt;1)),
IF(Import.TipoArredondamento&lt;&gt;"TransfereGOV",
ROUND(OFFSET($P51,0,AK$13),15-13*ORÇAMENTO!$AF$7)/$H51*OFFSET(ORÇAMENTO!$X$15,ROW(AK51)-ROW(AK$15),0),
ROUND(ROUND(OFFSET($P51,0,AK$13),15-13*ORÇAMENTO!$AF$7)*OFFSET(ORÇAMENTO!$W$15,ROW(AK51)-ROW(AK$15),0),15-13*ORÇAMENTO!$AF$11)),0)</f>
        <v>0</v>
      </c>
      <c r="AM51" s="285" t="n">
        <f aca="true">IF($D51&lt;&gt;"Serviço",0,IF(AND(AUTOEVENTO="Manual",$M51=1),0,IF(OFFSET(CRONOPLE!$F$14,$M51,AM$13)="",10^12,OFFSET(CRONOPLE!$F$14,$M51,AM$13))))</f>
        <v>0</v>
      </c>
      <c r="AN51" s="285" t="n">
        <f aca="true">IF($D51&lt;&gt;"Serviço",0,IF(AND(AUTOEVENTO="Manual",$M51=1),0,IF(OFFSET(CRONOPLE!$F$14,$M51,AN$13)="",10^12,OFFSET(CRONOPLE!$F$14,$M51,AN$13))))</f>
        <v>0</v>
      </c>
      <c r="AO51" s="285" t="n">
        <f aca="true">IF($D51&lt;&gt;"Serviço",0,IF(AND(AUTOEVENTO="Manual",$M51=1),0,IF(OFFSET(CRONOPLE!$F$14,$M51,AO$13)="",10^12,OFFSET(CRONOPLE!$F$14,$M51,AO$13))))</f>
        <v>0</v>
      </c>
      <c r="AP51" s="285" t="n">
        <f aca="true">IF($D51&lt;&gt;"Serviço",0,IF(AND(AUTOEVENTO="Manual",$M51=1),0,IF(OFFSET(CRONOPLE!$F$14,$M51,AP$13)="",10^12,OFFSET(CRONOPLE!$F$14,$M51,AP$13))))</f>
        <v>0</v>
      </c>
      <c r="AQ51" s="285" t="n">
        <f aca="true">IF($D51&lt;&gt;"Serviço",0,IF(AND(AUTOEVENTO="Manual",$M51=1),0,IF(OFFSET(CRONOPLE!$F$14,$M51,AQ$13)="",10^12,OFFSET(CRONOPLE!$F$14,$M51,AQ$13))))</f>
        <v>0</v>
      </c>
      <c r="AR51" s="285" t="n">
        <f aca="true">IF($D51&lt;&gt;"Serviço",0,IF(AND(AUTOEVENTO="Manual",$M51=1),0,IF(OFFSET(CRONOPLE!$F$14,$M51,AR$13)="",10^12,OFFSET(CRONOPLE!$F$14,$M51,AR$13))))</f>
        <v>0</v>
      </c>
      <c r="AS51" s="285" t="n">
        <f aca="true">IF($D51&lt;&gt;"Serviço",0,IF(AND(AUTOEVENTO="Manual",$M51=1),0,IF(OFFSET(CRONOPLE!$F$14,$M51,AS$13)="",10^12,OFFSET(CRONOPLE!$F$14,$M51,AS$13))))</f>
        <v>0</v>
      </c>
      <c r="AT51" s="285" t="n">
        <f aca="true">IF($D51&lt;&gt;"Serviço",0,IF(AND(AUTOEVENTO="Manual",$M51=1),0,IF(OFFSET(CRONOPLE!$F$14,$M51,AT$13)="",10^12,OFFSET(CRONOPLE!$F$14,$M51,AT$13))))</f>
        <v>0</v>
      </c>
      <c r="AU51" s="285" t="n">
        <f aca="true">IF($D51&lt;&gt;"Serviço",0,IF(AND(AUTOEVENTO="Manual",$M51=1),0,IF(OFFSET(CRONOPLE!$F$14,$M51,AU$13)="",10^12,OFFSET(CRONOPLE!$F$14,$M51,AU$13))))</f>
        <v>0</v>
      </c>
      <c r="AV51" s="285" t="n">
        <f aca="true">IF($D51&lt;&gt;"Serviço",0,IF(AND(AUTOEVENTO="Manual",$M51=1),0,IF(OFFSET(CRONOPLE!$F$14,$M51,AV$13)="",10^12,OFFSET(CRONOPLE!$F$14,$M51,AV$13))))</f>
        <v>0</v>
      </c>
      <c r="AX51" s="286" t="n">
        <f aca="true">IF($D51&lt;&gt;"Serviço",0,IF(OR(AND(AUTOEVENTO="Manual",$M51=1),$M51&gt;(ROW(PLE.lastrow)-ROW(PLE.firstrow))),0,IF(OFFSET(PLE!$G$14,$M51,AX$13)="",10^12,OFFSET(PLE!$G$14,$M51,AX$13))))</f>
        <v>0</v>
      </c>
      <c r="AY51" s="286" t="n">
        <f aca="true">IF($D51&lt;&gt;"Serviço",0,IF(OR(AND(AUTOEVENTO="Manual",$M51=1),$M51&gt;(ROW(PLE.lastrow)-ROW(PLE.firstrow))),0,IF(OFFSET(PLE!$G$14,$M51,AY$13)="",10^12,OFFSET(PLE!$G$14,$M51,AY$13))))</f>
        <v>0</v>
      </c>
      <c r="AZ51" s="286" t="n">
        <f aca="true">IF($D51&lt;&gt;"Serviço",0,IF(OR(AND(AUTOEVENTO="Manual",$M51=1),$M51&gt;(ROW(PLE.lastrow)-ROW(PLE.firstrow))),0,IF(OFFSET(PLE!$G$14,$M51,AZ$13)="",10^12,OFFSET(PLE!$G$14,$M51,AZ$13))))</f>
        <v>0</v>
      </c>
      <c r="BA51" s="286" t="n">
        <f aca="true">IF($D51&lt;&gt;"Serviço",0,IF(OR(AND(AUTOEVENTO="Manual",$M51=1),$M51&gt;(ROW(PLE.lastrow)-ROW(PLE.firstrow))),0,IF(OFFSET(PLE!$G$14,$M51,BA$13)="",10^12,OFFSET(PLE!$G$14,$M51,BA$13))))</f>
        <v>0</v>
      </c>
      <c r="BB51" s="286" t="n">
        <f aca="true">IF($D51&lt;&gt;"Serviço",0,IF(OR(AND(AUTOEVENTO="Manual",$M51=1),$M51&gt;(ROW(PLE.lastrow)-ROW(PLE.firstrow))),0,IF(OFFSET(PLE!$G$14,$M51,BB$13)="",10^12,OFFSET(PLE!$G$14,$M51,BB$13))))</f>
        <v>0</v>
      </c>
      <c r="BC51" s="286" t="n">
        <f aca="true">IF($D51&lt;&gt;"Serviço",0,IF(OR(AND(AUTOEVENTO="Manual",$M51=1),$M51&gt;(ROW(PLE.lastrow)-ROW(PLE.firstrow))),0,IF(OFFSET(PLE!$G$14,$M51,BC$13)="",10^12,OFFSET(PLE!$G$14,$M51,BC$13))))</f>
        <v>0</v>
      </c>
      <c r="BD51" s="286" t="n">
        <f aca="true">IF($D51&lt;&gt;"Serviço",0,IF(OR(AND(AUTOEVENTO="Manual",$M51=1),$M51&gt;(ROW(PLE.lastrow)-ROW(PLE.firstrow))),0,IF(OFFSET(PLE!$G$14,$M51,BD$13)="",10^12,OFFSET(PLE!$G$14,$M51,BD$13))))</f>
        <v>0</v>
      </c>
      <c r="BE51" s="286" t="n">
        <f aca="true">IF($D51&lt;&gt;"Serviço",0,IF(OR(AND(AUTOEVENTO="Manual",$M51=1),$M51&gt;(ROW(PLE.lastrow)-ROW(PLE.firstrow))),0,IF(OFFSET(PLE!$G$14,$M51,BE$13)="",10^12,OFFSET(PLE!$G$14,$M51,BE$13))))</f>
        <v>0</v>
      </c>
      <c r="BF51" s="286" t="n">
        <f aca="true">IF($D51&lt;&gt;"Serviço",0,IF(OR(AND(AUTOEVENTO="Manual",$M51=1),$M51&gt;(ROW(PLE.lastrow)-ROW(PLE.firstrow))),0,IF(OFFSET(PLE!$G$14,$M51,BF$13)="",10^12,OFFSET(PLE!$G$14,$M51,BF$13))))</f>
        <v>0</v>
      </c>
      <c r="BG51" s="286" t="n">
        <f aca="true">IF($D51&lt;&gt;"Serviço",0,IF(OR(AND(AUTOEVENTO="Manual",$M51=1),$M51&gt;(ROW(PLE.lastrow)-ROW(PLE.firstrow))),0,IF(OFFSET(PLE!$G$14,$M51,BG$13)="",10^12,OFFSET(PLE!$G$14,$M51,BG$13))))</f>
        <v>0</v>
      </c>
    </row>
    <row r="52" customFormat="false" ht="23.85" hidden="false" customHeight="false" outlineLevel="0" collapsed="false">
      <c r="A52" s="34" t="n">
        <f aca="true">IF(AUTOEVENTO="Manual",IF(K52&lt;&gt;"",MIN(VALUE(LEFT(K52,FIND(".",K52)-1)),COUNTA(EVENTOS.Lista)),0),IF(OR($B52&gt;AUTOEVENTO,$B52="S",$B52=0),SUBSTITUTE(OFFSET($A52,-1,0),IF($D52="Serviço",".",""),""),ROW(A52)-ROW($A$15)&amp;"."))</f>
        <v>9</v>
      </c>
      <c r="B52" s="34" t="str">
        <f aca="true">OFFSET(ORÇAMENTO!C$15,ROW(B52)-ROW(B$15),0)</f>
        <v>S</v>
      </c>
      <c r="C52" s="34" t="str">
        <f aca="true">OFFSET(ORÇAMENTO!L$15,ROW(C52)-ROW(C$15),0)</f>
        <v/>
      </c>
      <c r="D52" s="187" t="str">
        <f aca="true">OFFSET(ORÇAMENTO!N$15,ROW(D52)-ROW(D$15),0)</f>
        <v>Serviço</v>
      </c>
      <c r="E52" s="188" t="str">
        <f aca="true">OFFSET(ORÇAMENTO!O$15,ROW(E52)-ROW(E$15),0)</f>
        <v>-</v>
      </c>
      <c r="F52" s="272" t="str">
        <f aca="true">OFFSET(ORÇAMENTO!R$15,ROW(F52)-ROW(F$15),0)</f>
        <v>(abra o arquivo 'Referência 02-Thursday.xlsm)</v>
      </c>
      <c r="G52" s="273" t="str">
        <f aca="true">IF($D52&lt;&gt;"Serviço","",OFFSET(ORÇAMENTO!S$15,ROW(G52)-ROW(G$15),0))</f>
        <v>-</v>
      </c>
      <c r="H52" s="193" t="n">
        <f aca="true">IF($D52&lt;&gt;"Serviço",0,IF(ACOMPANHAMENTO="BM",ROUND(OFFSET(ORÇAMENTO!AJ$15,ROW(H52)-ROW(H$15),0),15-13*ORÇAMENTO!$AF$7),SUMPRODUCT(($Q$12:$AA$12&lt;&gt;"")*ROUND($Q52:$AA52,15-13*ORÇAMENTO!$AF$7))))</f>
        <v>680</v>
      </c>
      <c r="I52" s="274" t="s">
        <v>384</v>
      </c>
      <c r="K52" s="275" t="s">
        <v>385</v>
      </c>
      <c r="L52" s="276" t="s">
        <v>347</v>
      </c>
      <c r="M52" s="277" t="n">
        <f aca="true">IF($D52&lt;&gt;"Serviço","",IF(AUTOEVENTO="manual",$A52,IF(ISERROR(MATCH($A52,$A$15:OFFSET($A52,-1,0),0)),MAX($M$15:OFFSET(M52,-1,0))+1,INDEX($M$15:OFFSET(M52,-1,0),MATCH($A52,$A$15:OFFSET($A52,-1,0),0)))))</f>
        <v>9</v>
      </c>
      <c r="N52" s="278" t="str">
        <f aca="true">IF($D52&lt;&gt;"Serviço","",IF(AUTOEVENTO="Manual",IF($A52=0,"&lt;-- defina o número do agrupador",OFFSET(EVENTOS!$D$14,$A52,0)),OFFSET($F$15,$A52,0)))</f>
        <v>Drenagem</v>
      </c>
      <c r="O52" s="279"/>
      <c r="Q52" s="279" t="n">
        <v>680</v>
      </c>
      <c r="R52" s="280"/>
      <c r="S52" s="280"/>
      <c r="T52" s="280"/>
      <c r="U52" s="280"/>
      <c r="V52" s="280"/>
      <c r="W52" s="280"/>
      <c r="X52" s="280"/>
      <c r="Y52" s="280"/>
      <c r="Z52" s="281"/>
      <c r="AB52" s="282" t="n">
        <f aca="true">IF(AND($D52="Serviço",AB$12&lt;&gt;0,$H52&gt;0,OR(AUTOEVENTO&lt;&gt;"manual",$M52&lt;&gt;1)),
IF(Import.TipoArredondamento&lt;&gt;"TransfereGOV",
ROUND(OFFSET($P52,0,AB$13),15-13*ORÇAMENTO!$AF$7)/$H52*OFFSET(ORÇAMENTO!$X$15,ROW(AB52)-ROW(AB$15),0),
ROUND(ROUND(OFFSET($P52,0,AB$13),15-13*ORÇAMENTO!$AF$7)*OFFSET(ORÇAMENTO!$W$15,ROW(AB52)-ROW(AB$15),0),15-13*ORÇAMENTO!$AF$11)),0)</f>
        <v>0</v>
      </c>
      <c r="AC52" s="283" t="n">
        <f aca="true">IF(AND($D52="Serviço",AC$12&lt;&gt;0,$H52&gt;0,OR(AUTOEVENTO&lt;&gt;"manual",$M52&lt;&gt;1)),
IF(Import.TipoArredondamento&lt;&gt;"TransfereGOV",
ROUND(OFFSET($P52,0,AC$13),15-13*ORÇAMENTO!$AF$7)/$H52*OFFSET(ORÇAMENTO!$X$15,ROW(AC52)-ROW(AC$15),0),
ROUND(ROUND(OFFSET($P52,0,AC$13),15-13*ORÇAMENTO!$AF$7)*OFFSET(ORÇAMENTO!$W$15,ROW(AC52)-ROW(AC$15),0),15-13*ORÇAMENTO!$AF$11)),0)</f>
        <v>0</v>
      </c>
      <c r="AD52" s="283" t="n">
        <f aca="true">IF(AND($D52="Serviço",AD$12&lt;&gt;0,$H52&gt;0,OR(AUTOEVENTO&lt;&gt;"manual",$M52&lt;&gt;1)),
IF(Import.TipoArredondamento&lt;&gt;"TransfereGOV",
ROUND(OFFSET($P52,0,AD$13),15-13*ORÇAMENTO!$AF$7)/$H52*OFFSET(ORÇAMENTO!$X$15,ROW(AD52)-ROW(AD$15),0),
ROUND(ROUND(OFFSET($P52,0,AD$13),15-13*ORÇAMENTO!$AF$7)*OFFSET(ORÇAMENTO!$W$15,ROW(AD52)-ROW(AD$15),0),15-13*ORÇAMENTO!$AF$11)),0)</f>
        <v>0</v>
      </c>
      <c r="AE52" s="283" t="n">
        <f aca="true">IF(AND($D52="Serviço",AE$12&lt;&gt;0,$H52&gt;0,OR(AUTOEVENTO&lt;&gt;"manual",$M52&lt;&gt;1)),
IF(Import.TipoArredondamento&lt;&gt;"TransfereGOV",
ROUND(OFFSET($P52,0,AE$13),15-13*ORÇAMENTO!$AF$7)/$H52*OFFSET(ORÇAMENTO!$X$15,ROW(AE52)-ROW(AE$15),0),
ROUND(ROUND(OFFSET($P52,0,AE$13),15-13*ORÇAMENTO!$AF$7)*OFFSET(ORÇAMENTO!$W$15,ROW(AE52)-ROW(AE$15),0),15-13*ORÇAMENTO!$AF$11)),0)</f>
        <v>0</v>
      </c>
      <c r="AF52" s="283" t="n">
        <f aca="true">IF(AND($D52="Serviço",AF$12&lt;&gt;0,$H52&gt;0,OR(AUTOEVENTO&lt;&gt;"manual",$M52&lt;&gt;1)),
IF(Import.TipoArredondamento&lt;&gt;"TransfereGOV",
ROUND(OFFSET($P52,0,AF$13),15-13*ORÇAMENTO!$AF$7)/$H52*OFFSET(ORÇAMENTO!$X$15,ROW(AF52)-ROW(AF$15),0),
ROUND(ROUND(OFFSET($P52,0,AF$13),15-13*ORÇAMENTO!$AF$7)*OFFSET(ORÇAMENTO!$W$15,ROW(AF52)-ROW(AF$15),0),15-13*ORÇAMENTO!$AF$11)),0)</f>
        <v>0</v>
      </c>
      <c r="AG52" s="283" t="n">
        <f aca="true">IF(AND($D52="Serviço",AG$12&lt;&gt;0,$H52&gt;0,OR(AUTOEVENTO&lt;&gt;"manual",$M52&lt;&gt;1)),
IF(Import.TipoArredondamento&lt;&gt;"TransfereGOV",
ROUND(OFFSET($P52,0,AG$13),15-13*ORÇAMENTO!$AF$7)/$H52*OFFSET(ORÇAMENTO!$X$15,ROW(AG52)-ROW(AG$15),0),
ROUND(ROUND(OFFSET($P52,0,AG$13),15-13*ORÇAMENTO!$AF$7)*OFFSET(ORÇAMENTO!$W$15,ROW(AG52)-ROW(AG$15),0),15-13*ORÇAMENTO!$AF$11)),0)</f>
        <v>0</v>
      </c>
      <c r="AH52" s="283" t="n">
        <f aca="true">IF(AND($D52="Serviço",AH$12&lt;&gt;0,$H52&gt;0,OR(AUTOEVENTO&lt;&gt;"manual",$M52&lt;&gt;1)),
IF(Import.TipoArredondamento&lt;&gt;"TransfereGOV",
ROUND(OFFSET($P52,0,AH$13),15-13*ORÇAMENTO!$AF$7)/$H52*OFFSET(ORÇAMENTO!$X$15,ROW(AH52)-ROW(AH$15),0),
ROUND(ROUND(OFFSET($P52,0,AH$13),15-13*ORÇAMENTO!$AF$7)*OFFSET(ORÇAMENTO!$W$15,ROW(AH52)-ROW(AH$15),0),15-13*ORÇAMENTO!$AF$11)),0)</f>
        <v>0</v>
      </c>
      <c r="AI52" s="283" t="n">
        <f aca="true">IF(AND($D52="Serviço",AI$12&lt;&gt;0,$H52&gt;0,OR(AUTOEVENTO&lt;&gt;"manual",$M52&lt;&gt;1)),
IF(Import.TipoArredondamento&lt;&gt;"TransfereGOV",
ROUND(OFFSET($P52,0,AI$13),15-13*ORÇAMENTO!$AF$7)/$H52*OFFSET(ORÇAMENTO!$X$15,ROW(AI52)-ROW(AI$15),0),
ROUND(ROUND(OFFSET($P52,0,AI$13),15-13*ORÇAMENTO!$AF$7)*OFFSET(ORÇAMENTO!$W$15,ROW(AI52)-ROW(AI$15),0),15-13*ORÇAMENTO!$AF$11)),0)</f>
        <v>0</v>
      </c>
      <c r="AJ52" s="283" t="n">
        <f aca="true">IF(AND($D52="Serviço",AJ$12&lt;&gt;0,$H52&gt;0,OR(AUTOEVENTO&lt;&gt;"manual",$M52&lt;&gt;1)),
IF(Import.TipoArredondamento&lt;&gt;"TransfereGOV",
ROUND(OFFSET($P52,0,AJ$13),15-13*ORÇAMENTO!$AF$7)/$H52*OFFSET(ORÇAMENTO!$X$15,ROW(AJ52)-ROW(AJ$15),0),
ROUND(ROUND(OFFSET($P52,0,AJ$13),15-13*ORÇAMENTO!$AF$7)*OFFSET(ORÇAMENTO!$W$15,ROW(AJ52)-ROW(AJ$15),0),15-13*ORÇAMENTO!$AF$11)),0)</f>
        <v>0</v>
      </c>
      <c r="AK52" s="284" t="n">
        <f aca="true">IF(AND($D52="Serviço",AK$12&lt;&gt;0,$H52&gt;0,OR(AUTOEVENTO&lt;&gt;"manual",$M52&lt;&gt;1)),
IF(Import.TipoArredondamento&lt;&gt;"TransfereGOV",
ROUND(OFFSET($P52,0,AK$13),15-13*ORÇAMENTO!$AF$7)/$H52*OFFSET(ORÇAMENTO!$X$15,ROW(AK52)-ROW(AK$15),0),
ROUND(ROUND(OFFSET($P52,0,AK$13),15-13*ORÇAMENTO!$AF$7)*OFFSET(ORÇAMENTO!$W$15,ROW(AK52)-ROW(AK$15),0),15-13*ORÇAMENTO!$AF$11)),0)</f>
        <v>0</v>
      </c>
      <c r="AM52" s="285" t="n">
        <f aca="true">IF($D52&lt;&gt;"Serviço",0,IF(AND(AUTOEVENTO="Manual",$M52=1),0,IF(OFFSET(CRONOPLE!$F$14,$M52,AM$13)="",10^12,OFFSET(CRONOPLE!$F$14,$M52,AM$13))))</f>
        <v>3</v>
      </c>
      <c r="AN52" s="285" t="n">
        <f aca="true">IF($D52&lt;&gt;"Serviço",0,IF(AND(AUTOEVENTO="Manual",$M52=1),0,IF(OFFSET(CRONOPLE!$F$14,$M52,AN$13)="",10^12,OFFSET(CRONOPLE!$F$14,$M52,AN$13))))</f>
        <v>1000000000000</v>
      </c>
      <c r="AO52" s="285" t="n">
        <f aca="true">IF($D52&lt;&gt;"Serviço",0,IF(AND(AUTOEVENTO="Manual",$M52=1),0,IF(OFFSET(CRONOPLE!$F$14,$M52,AO$13)="",10^12,OFFSET(CRONOPLE!$F$14,$M52,AO$13))))</f>
        <v>1000000000000</v>
      </c>
      <c r="AP52" s="285" t="n">
        <f aca="true">IF($D52&lt;&gt;"Serviço",0,IF(AND(AUTOEVENTO="Manual",$M52=1),0,IF(OFFSET(CRONOPLE!$F$14,$M52,AP$13)="",10^12,OFFSET(CRONOPLE!$F$14,$M52,AP$13))))</f>
        <v>1000000000000</v>
      </c>
      <c r="AQ52" s="285" t="n">
        <f aca="true">IF($D52&lt;&gt;"Serviço",0,IF(AND(AUTOEVENTO="Manual",$M52=1),0,IF(OFFSET(CRONOPLE!$F$14,$M52,AQ$13)="",10^12,OFFSET(CRONOPLE!$F$14,$M52,AQ$13))))</f>
        <v>1000000000000</v>
      </c>
      <c r="AR52" s="285" t="n">
        <f aca="true">IF($D52&lt;&gt;"Serviço",0,IF(AND(AUTOEVENTO="Manual",$M52=1),0,IF(OFFSET(CRONOPLE!$F$14,$M52,AR$13)="",10^12,OFFSET(CRONOPLE!$F$14,$M52,AR$13))))</f>
        <v>1000000000000</v>
      </c>
      <c r="AS52" s="285" t="n">
        <f aca="true">IF($D52&lt;&gt;"Serviço",0,IF(AND(AUTOEVENTO="Manual",$M52=1),0,IF(OFFSET(CRONOPLE!$F$14,$M52,AS$13)="",10^12,OFFSET(CRONOPLE!$F$14,$M52,AS$13))))</f>
        <v>1000000000000</v>
      </c>
      <c r="AT52" s="285" t="n">
        <f aca="true">IF($D52&lt;&gt;"Serviço",0,IF(AND(AUTOEVENTO="Manual",$M52=1),0,IF(OFFSET(CRONOPLE!$F$14,$M52,AT$13)="",10^12,OFFSET(CRONOPLE!$F$14,$M52,AT$13))))</f>
        <v>1000000000000</v>
      </c>
      <c r="AU52" s="285" t="n">
        <f aca="true">IF($D52&lt;&gt;"Serviço",0,IF(AND(AUTOEVENTO="Manual",$M52=1),0,IF(OFFSET(CRONOPLE!$F$14,$M52,AU$13)="",10^12,OFFSET(CRONOPLE!$F$14,$M52,AU$13))))</f>
        <v>1000000000000</v>
      </c>
      <c r="AV52" s="285" t="n">
        <f aca="true">IF($D52&lt;&gt;"Serviço",0,IF(AND(AUTOEVENTO="Manual",$M52=1),0,IF(OFFSET(CRONOPLE!$F$14,$M52,AV$13)="",10^12,OFFSET(CRONOPLE!$F$14,$M52,AV$13))))</f>
        <v>1000000000000</v>
      </c>
      <c r="AX52" s="286" t="n">
        <f aca="true">IF($D52&lt;&gt;"Serviço",0,IF(OR(AND(AUTOEVENTO="Manual",$M52=1),$M52&gt;(ROW(PLE.lastrow)-ROW(PLE.firstrow))),0,IF(OFFSET(PLE!$G$14,$M52,AX$13)="",10^12,OFFSET(PLE!$G$14,$M52,AX$13))))</f>
        <v>1000000000000</v>
      </c>
      <c r="AY52" s="286" t="n">
        <f aca="true">IF($D52&lt;&gt;"Serviço",0,IF(OR(AND(AUTOEVENTO="Manual",$M52=1),$M52&gt;(ROW(PLE.lastrow)-ROW(PLE.firstrow))),0,IF(OFFSET(PLE!$G$14,$M52,AY$13)="",10^12,OFFSET(PLE!$G$14,$M52,AY$13))))</f>
        <v>1000000000000</v>
      </c>
      <c r="AZ52" s="286" t="n">
        <f aca="true">IF($D52&lt;&gt;"Serviço",0,IF(OR(AND(AUTOEVENTO="Manual",$M52=1),$M52&gt;(ROW(PLE.lastrow)-ROW(PLE.firstrow))),0,IF(OFFSET(PLE!$G$14,$M52,AZ$13)="",10^12,OFFSET(PLE!$G$14,$M52,AZ$13))))</f>
        <v>1000000000000</v>
      </c>
      <c r="BA52" s="286" t="n">
        <f aca="true">IF($D52&lt;&gt;"Serviço",0,IF(OR(AND(AUTOEVENTO="Manual",$M52=1),$M52&gt;(ROW(PLE.lastrow)-ROW(PLE.firstrow))),0,IF(OFFSET(PLE!$G$14,$M52,BA$13)="",10^12,OFFSET(PLE!$G$14,$M52,BA$13))))</f>
        <v>1000000000000</v>
      </c>
      <c r="BB52" s="286" t="n">
        <f aca="true">IF($D52&lt;&gt;"Serviço",0,IF(OR(AND(AUTOEVENTO="Manual",$M52=1),$M52&gt;(ROW(PLE.lastrow)-ROW(PLE.firstrow))),0,IF(OFFSET(PLE!$G$14,$M52,BB$13)="",10^12,OFFSET(PLE!$G$14,$M52,BB$13))))</f>
        <v>1000000000000</v>
      </c>
      <c r="BC52" s="286" t="n">
        <f aca="true">IF($D52&lt;&gt;"Serviço",0,IF(OR(AND(AUTOEVENTO="Manual",$M52=1),$M52&gt;(ROW(PLE.lastrow)-ROW(PLE.firstrow))),0,IF(OFFSET(PLE!$G$14,$M52,BC$13)="",10^12,OFFSET(PLE!$G$14,$M52,BC$13))))</f>
        <v>1000000000000</v>
      </c>
      <c r="BD52" s="286" t="n">
        <f aca="true">IF($D52&lt;&gt;"Serviço",0,IF(OR(AND(AUTOEVENTO="Manual",$M52=1),$M52&gt;(ROW(PLE.lastrow)-ROW(PLE.firstrow))),0,IF(OFFSET(PLE!$G$14,$M52,BD$13)="",10^12,OFFSET(PLE!$G$14,$M52,BD$13))))</f>
        <v>1000000000000</v>
      </c>
      <c r="BE52" s="286" t="n">
        <f aca="true">IF($D52&lt;&gt;"Serviço",0,IF(OR(AND(AUTOEVENTO="Manual",$M52=1),$M52&gt;(ROW(PLE.lastrow)-ROW(PLE.firstrow))),0,IF(OFFSET(PLE!$G$14,$M52,BE$13)="",10^12,OFFSET(PLE!$G$14,$M52,BE$13))))</f>
        <v>1000000000000</v>
      </c>
      <c r="BF52" s="286" t="n">
        <f aca="true">IF($D52&lt;&gt;"Serviço",0,IF(OR(AND(AUTOEVENTO="Manual",$M52=1),$M52&gt;(ROW(PLE.lastrow)-ROW(PLE.firstrow))),0,IF(OFFSET(PLE!$G$14,$M52,BF$13)="",10^12,OFFSET(PLE!$G$14,$M52,BF$13))))</f>
        <v>1000000000000</v>
      </c>
      <c r="BG52" s="286" t="n">
        <f aca="true">IF($D52&lt;&gt;"Serviço",0,IF(OR(AND(AUTOEVENTO="Manual",$M52=1),$M52&gt;(ROW(PLE.lastrow)-ROW(PLE.firstrow))),0,IF(OFFSET(PLE!$G$14,$M52,BG$13)="",10^12,OFFSET(PLE!$G$14,$M52,BG$13))))</f>
        <v>1000000000000</v>
      </c>
    </row>
    <row r="53" customFormat="false" ht="23.85" hidden="false" customHeight="false" outlineLevel="0" collapsed="false">
      <c r="A53" s="34" t="n">
        <f aca="true">IF(AUTOEVENTO="Manual",IF(K53&lt;&gt;"",MIN(VALUE(LEFT(K53,FIND(".",K53)-1)),COUNTA(EVENTOS.Lista)),0),IF(OR($B53&gt;AUTOEVENTO,$B53="S",$B53=0),SUBSTITUTE(OFFSET($A53,-1,0),IF($D53="Serviço",".",""),""),ROW(A53)-ROW($A$15)&amp;"."))</f>
        <v>9</v>
      </c>
      <c r="B53" s="34" t="str">
        <f aca="true">OFFSET(ORÇAMENTO!C$15,ROW(B53)-ROW(B$15),0)</f>
        <v>S</v>
      </c>
      <c r="C53" s="34" t="str">
        <f aca="true">OFFSET(ORÇAMENTO!L$15,ROW(C53)-ROW(C$15),0)</f>
        <v/>
      </c>
      <c r="D53" s="187" t="str">
        <f aca="true">OFFSET(ORÇAMENTO!N$15,ROW(D53)-ROW(D$15),0)</f>
        <v>Serviço</v>
      </c>
      <c r="E53" s="188" t="str">
        <f aca="true">OFFSET(ORÇAMENTO!O$15,ROW(E53)-ROW(E$15),0)</f>
        <v>-</v>
      </c>
      <c r="F53" s="272" t="str">
        <f aca="true">OFFSET(ORÇAMENTO!R$15,ROW(F53)-ROW(F$15),0)</f>
        <v>(abra o arquivo 'Referência 02-Thursday.xlsm)</v>
      </c>
      <c r="G53" s="273" t="str">
        <f aca="true">IF($D53&lt;&gt;"Serviço","",OFFSET(ORÇAMENTO!S$15,ROW(G53)-ROW(G$15),0))</f>
        <v>-</v>
      </c>
      <c r="H53" s="193" t="n">
        <f aca="true">IF($D53&lt;&gt;"Serviço",0,IF(ACOMPANHAMENTO="BM",ROUND(OFFSET(ORÇAMENTO!AJ$15,ROW(H53)-ROW(H$15),0),15-13*ORÇAMENTO!$AF$7),SUMPRODUCT(($Q$12:$AA$12&lt;&gt;"")*ROUND($Q53:$AA53,15-13*ORÇAMENTO!$AF$7))))</f>
        <v>2</v>
      </c>
      <c r="I53" s="274" t="s">
        <v>384</v>
      </c>
      <c r="K53" s="275" t="s">
        <v>385</v>
      </c>
      <c r="L53" s="276" t="s">
        <v>347</v>
      </c>
      <c r="M53" s="277" t="n">
        <f aca="true">IF($D53&lt;&gt;"Serviço","",IF(AUTOEVENTO="manual",$A53,IF(ISERROR(MATCH($A53,$A$15:OFFSET($A53,-1,0),0)),MAX($M$15:OFFSET(M53,-1,0))+1,INDEX($M$15:OFFSET(M53,-1,0),MATCH($A53,$A$15:OFFSET($A53,-1,0),0)))))</f>
        <v>9</v>
      </c>
      <c r="N53" s="278" t="str">
        <f aca="true">IF($D53&lt;&gt;"Serviço","",IF(AUTOEVENTO="Manual",IF($A53=0,"&lt;-- defina o número do agrupador",OFFSET(EVENTOS!$D$14,$A53,0)),OFFSET($F$15,$A53,0)))</f>
        <v>Drenagem</v>
      </c>
      <c r="O53" s="279"/>
      <c r="Q53" s="279" t="n">
        <v>2</v>
      </c>
      <c r="R53" s="280"/>
      <c r="S53" s="280"/>
      <c r="T53" s="280"/>
      <c r="U53" s="280"/>
      <c r="V53" s="280"/>
      <c r="W53" s="280"/>
      <c r="X53" s="280"/>
      <c r="Y53" s="280"/>
      <c r="Z53" s="281"/>
      <c r="AB53" s="282" t="n">
        <f aca="true">IF(AND($D53="Serviço",AB$12&lt;&gt;0,$H53&gt;0,OR(AUTOEVENTO&lt;&gt;"manual",$M53&lt;&gt;1)),
IF(Import.TipoArredondamento&lt;&gt;"TransfereGOV",
ROUND(OFFSET($P53,0,AB$13),15-13*ORÇAMENTO!$AF$7)/$H53*OFFSET(ORÇAMENTO!$X$15,ROW(AB53)-ROW(AB$15),0),
ROUND(ROUND(OFFSET($P53,0,AB$13),15-13*ORÇAMENTO!$AF$7)*OFFSET(ORÇAMENTO!$W$15,ROW(AB53)-ROW(AB$15),0),15-13*ORÇAMENTO!$AF$11)),0)</f>
        <v>0</v>
      </c>
      <c r="AC53" s="283" t="n">
        <f aca="true">IF(AND($D53="Serviço",AC$12&lt;&gt;0,$H53&gt;0,OR(AUTOEVENTO&lt;&gt;"manual",$M53&lt;&gt;1)),
IF(Import.TipoArredondamento&lt;&gt;"TransfereGOV",
ROUND(OFFSET($P53,0,AC$13),15-13*ORÇAMENTO!$AF$7)/$H53*OFFSET(ORÇAMENTO!$X$15,ROW(AC53)-ROW(AC$15),0),
ROUND(ROUND(OFFSET($P53,0,AC$13),15-13*ORÇAMENTO!$AF$7)*OFFSET(ORÇAMENTO!$W$15,ROW(AC53)-ROW(AC$15),0),15-13*ORÇAMENTO!$AF$11)),0)</f>
        <v>0</v>
      </c>
      <c r="AD53" s="283" t="n">
        <f aca="true">IF(AND($D53="Serviço",AD$12&lt;&gt;0,$H53&gt;0,OR(AUTOEVENTO&lt;&gt;"manual",$M53&lt;&gt;1)),
IF(Import.TipoArredondamento&lt;&gt;"TransfereGOV",
ROUND(OFFSET($P53,0,AD$13),15-13*ORÇAMENTO!$AF$7)/$H53*OFFSET(ORÇAMENTO!$X$15,ROW(AD53)-ROW(AD$15),0),
ROUND(ROUND(OFFSET($P53,0,AD$13),15-13*ORÇAMENTO!$AF$7)*OFFSET(ORÇAMENTO!$W$15,ROW(AD53)-ROW(AD$15),0),15-13*ORÇAMENTO!$AF$11)),0)</f>
        <v>0</v>
      </c>
      <c r="AE53" s="283" t="n">
        <f aca="true">IF(AND($D53="Serviço",AE$12&lt;&gt;0,$H53&gt;0,OR(AUTOEVENTO&lt;&gt;"manual",$M53&lt;&gt;1)),
IF(Import.TipoArredondamento&lt;&gt;"TransfereGOV",
ROUND(OFFSET($P53,0,AE$13),15-13*ORÇAMENTO!$AF$7)/$H53*OFFSET(ORÇAMENTO!$X$15,ROW(AE53)-ROW(AE$15),0),
ROUND(ROUND(OFFSET($P53,0,AE$13),15-13*ORÇAMENTO!$AF$7)*OFFSET(ORÇAMENTO!$W$15,ROW(AE53)-ROW(AE$15),0),15-13*ORÇAMENTO!$AF$11)),0)</f>
        <v>0</v>
      </c>
      <c r="AF53" s="283" t="n">
        <f aca="true">IF(AND($D53="Serviço",AF$12&lt;&gt;0,$H53&gt;0,OR(AUTOEVENTO&lt;&gt;"manual",$M53&lt;&gt;1)),
IF(Import.TipoArredondamento&lt;&gt;"TransfereGOV",
ROUND(OFFSET($P53,0,AF$13),15-13*ORÇAMENTO!$AF$7)/$H53*OFFSET(ORÇAMENTO!$X$15,ROW(AF53)-ROW(AF$15),0),
ROUND(ROUND(OFFSET($P53,0,AF$13),15-13*ORÇAMENTO!$AF$7)*OFFSET(ORÇAMENTO!$W$15,ROW(AF53)-ROW(AF$15),0),15-13*ORÇAMENTO!$AF$11)),0)</f>
        <v>0</v>
      </c>
      <c r="AG53" s="283" t="n">
        <f aca="true">IF(AND($D53="Serviço",AG$12&lt;&gt;0,$H53&gt;0,OR(AUTOEVENTO&lt;&gt;"manual",$M53&lt;&gt;1)),
IF(Import.TipoArredondamento&lt;&gt;"TransfereGOV",
ROUND(OFFSET($P53,0,AG$13),15-13*ORÇAMENTO!$AF$7)/$H53*OFFSET(ORÇAMENTO!$X$15,ROW(AG53)-ROW(AG$15),0),
ROUND(ROUND(OFFSET($P53,0,AG$13),15-13*ORÇAMENTO!$AF$7)*OFFSET(ORÇAMENTO!$W$15,ROW(AG53)-ROW(AG$15),0),15-13*ORÇAMENTO!$AF$11)),0)</f>
        <v>0</v>
      </c>
      <c r="AH53" s="283" t="n">
        <f aca="true">IF(AND($D53="Serviço",AH$12&lt;&gt;0,$H53&gt;0,OR(AUTOEVENTO&lt;&gt;"manual",$M53&lt;&gt;1)),
IF(Import.TipoArredondamento&lt;&gt;"TransfereGOV",
ROUND(OFFSET($P53,0,AH$13),15-13*ORÇAMENTO!$AF$7)/$H53*OFFSET(ORÇAMENTO!$X$15,ROW(AH53)-ROW(AH$15),0),
ROUND(ROUND(OFFSET($P53,0,AH$13),15-13*ORÇAMENTO!$AF$7)*OFFSET(ORÇAMENTO!$W$15,ROW(AH53)-ROW(AH$15),0),15-13*ORÇAMENTO!$AF$11)),0)</f>
        <v>0</v>
      </c>
      <c r="AI53" s="283" t="n">
        <f aca="true">IF(AND($D53="Serviço",AI$12&lt;&gt;0,$H53&gt;0,OR(AUTOEVENTO&lt;&gt;"manual",$M53&lt;&gt;1)),
IF(Import.TipoArredondamento&lt;&gt;"TransfereGOV",
ROUND(OFFSET($P53,0,AI$13),15-13*ORÇAMENTO!$AF$7)/$H53*OFFSET(ORÇAMENTO!$X$15,ROW(AI53)-ROW(AI$15),0),
ROUND(ROUND(OFFSET($P53,0,AI$13),15-13*ORÇAMENTO!$AF$7)*OFFSET(ORÇAMENTO!$W$15,ROW(AI53)-ROW(AI$15),0),15-13*ORÇAMENTO!$AF$11)),0)</f>
        <v>0</v>
      </c>
      <c r="AJ53" s="283" t="n">
        <f aca="true">IF(AND($D53="Serviço",AJ$12&lt;&gt;0,$H53&gt;0,OR(AUTOEVENTO&lt;&gt;"manual",$M53&lt;&gt;1)),
IF(Import.TipoArredondamento&lt;&gt;"TransfereGOV",
ROUND(OFFSET($P53,0,AJ$13),15-13*ORÇAMENTO!$AF$7)/$H53*OFFSET(ORÇAMENTO!$X$15,ROW(AJ53)-ROW(AJ$15),0),
ROUND(ROUND(OFFSET($P53,0,AJ$13),15-13*ORÇAMENTO!$AF$7)*OFFSET(ORÇAMENTO!$W$15,ROW(AJ53)-ROW(AJ$15),0),15-13*ORÇAMENTO!$AF$11)),0)</f>
        <v>0</v>
      </c>
      <c r="AK53" s="284" t="n">
        <f aca="true">IF(AND($D53="Serviço",AK$12&lt;&gt;0,$H53&gt;0,OR(AUTOEVENTO&lt;&gt;"manual",$M53&lt;&gt;1)),
IF(Import.TipoArredondamento&lt;&gt;"TransfereGOV",
ROUND(OFFSET($P53,0,AK$13),15-13*ORÇAMENTO!$AF$7)/$H53*OFFSET(ORÇAMENTO!$X$15,ROW(AK53)-ROW(AK$15),0),
ROUND(ROUND(OFFSET($P53,0,AK$13),15-13*ORÇAMENTO!$AF$7)*OFFSET(ORÇAMENTO!$W$15,ROW(AK53)-ROW(AK$15),0),15-13*ORÇAMENTO!$AF$11)),0)</f>
        <v>0</v>
      </c>
      <c r="AM53" s="285" t="n">
        <f aca="true">IF($D53&lt;&gt;"Serviço",0,IF(AND(AUTOEVENTO="Manual",$M53=1),0,IF(OFFSET(CRONOPLE!$F$14,$M53,AM$13)="",10^12,OFFSET(CRONOPLE!$F$14,$M53,AM$13))))</f>
        <v>3</v>
      </c>
      <c r="AN53" s="285" t="n">
        <f aca="true">IF($D53&lt;&gt;"Serviço",0,IF(AND(AUTOEVENTO="Manual",$M53=1),0,IF(OFFSET(CRONOPLE!$F$14,$M53,AN$13)="",10^12,OFFSET(CRONOPLE!$F$14,$M53,AN$13))))</f>
        <v>1000000000000</v>
      </c>
      <c r="AO53" s="285" t="n">
        <f aca="true">IF($D53&lt;&gt;"Serviço",0,IF(AND(AUTOEVENTO="Manual",$M53=1),0,IF(OFFSET(CRONOPLE!$F$14,$M53,AO$13)="",10^12,OFFSET(CRONOPLE!$F$14,$M53,AO$13))))</f>
        <v>1000000000000</v>
      </c>
      <c r="AP53" s="285" t="n">
        <f aca="true">IF($D53&lt;&gt;"Serviço",0,IF(AND(AUTOEVENTO="Manual",$M53=1),0,IF(OFFSET(CRONOPLE!$F$14,$M53,AP$13)="",10^12,OFFSET(CRONOPLE!$F$14,$M53,AP$13))))</f>
        <v>1000000000000</v>
      </c>
      <c r="AQ53" s="285" t="n">
        <f aca="true">IF($D53&lt;&gt;"Serviço",0,IF(AND(AUTOEVENTO="Manual",$M53=1),0,IF(OFFSET(CRONOPLE!$F$14,$M53,AQ$13)="",10^12,OFFSET(CRONOPLE!$F$14,$M53,AQ$13))))</f>
        <v>1000000000000</v>
      </c>
      <c r="AR53" s="285" t="n">
        <f aca="true">IF($D53&lt;&gt;"Serviço",0,IF(AND(AUTOEVENTO="Manual",$M53=1),0,IF(OFFSET(CRONOPLE!$F$14,$M53,AR$13)="",10^12,OFFSET(CRONOPLE!$F$14,$M53,AR$13))))</f>
        <v>1000000000000</v>
      </c>
      <c r="AS53" s="285" t="n">
        <f aca="true">IF($D53&lt;&gt;"Serviço",0,IF(AND(AUTOEVENTO="Manual",$M53=1),0,IF(OFFSET(CRONOPLE!$F$14,$M53,AS$13)="",10^12,OFFSET(CRONOPLE!$F$14,$M53,AS$13))))</f>
        <v>1000000000000</v>
      </c>
      <c r="AT53" s="285" t="n">
        <f aca="true">IF($D53&lt;&gt;"Serviço",0,IF(AND(AUTOEVENTO="Manual",$M53=1),0,IF(OFFSET(CRONOPLE!$F$14,$M53,AT$13)="",10^12,OFFSET(CRONOPLE!$F$14,$M53,AT$13))))</f>
        <v>1000000000000</v>
      </c>
      <c r="AU53" s="285" t="n">
        <f aca="true">IF($D53&lt;&gt;"Serviço",0,IF(AND(AUTOEVENTO="Manual",$M53=1),0,IF(OFFSET(CRONOPLE!$F$14,$M53,AU$13)="",10^12,OFFSET(CRONOPLE!$F$14,$M53,AU$13))))</f>
        <v>1000000000000</v>
      </c>
      <c r="AV53" s="285" t="n">
        <f aca="true">IF($D53&lt;&gt;"Serviço",0,IF(AND(AUTOEVENTO="Manual",$M53=1),0,IF(OFFSET(CRONOPLE!$F$14,$M53,AV$13)="",10^12,OFFSET(CRONOPLE!$F$14,$M53,AV$13))))</f>
        <v>1000000000000</v>
      </c>
      <c r="AX53" s="286" t="n">
        <f aca="true">IF($D53&lt;&gt;"Serviço",0,IF(OR(AND(AUTOEVENTO="Manual",$M53=1),$M53&gt;(ROW(PLE.lastrow)-ROW(PLE.firstrow))),0,IF(OFFSET(PLE!$G$14,$M53,AX$13)="",10^12,OFFSET(PLE!$G$14,$M53,AX$13))))</f>
        <v>1000000000000</v>
      </c>
      <c r="AY53" s="286" t="n">
        <f aca="true">IF($D53&lt;&gt;"Serviço",0,IF(OR(AND(AUTOEVENTO="Manual",$M53=1),$M53&gt;(ROW(PLE.lastrow)-ROW(PLE.firstrow))),0,IF(OFFSET(PLE!$G$14,$M53,AY$13)="",10^12,OFFSET(PLE!$G$14,$M53,AY$13))))</f>
        <v>1000000000000</v>
      </c>
      <c r="AZ53" s="286" t="n">
        <f aca="true">IF($D53&lt;&gt;"Serviço",0,IF(OR(AND(AUTOEVENTO="Manual",$M53=1),$M53&gt;(ROW(PLE.lastrow)-ROW(PLE.firstrow))),0,IF(OFFSET(PLE!$G$14,$M53,AZ$13)="",10^12,OFFSET(PLE!$G$14,$M53,AZ$13))))</f>
        <v>1000000000000</v>
      </c>
      <c r="BA53" s="286" t="n">
        <f aca="true">IF($D53&lt;&gt;"Serviço",0,IF(OR(AND(AUTOEVENTO="Manual",$M53=1),$M53&gt;(ROW(PLE.lastrow)-ROW(PLE.firstrow))),0,IF(OFFSET(PLE!$G$14,$M53,BA$13)="",10^12,OFFSET(PLE!$G$14,$M53,BA$13))))</f>
        <v>1000000000000</v>
      </c>
      <c r="BB53" s="286" t="n">
        <f aca="true">IF($D53&lt;&gt;"Serviço",0,IF(OR(AND(AUTOEVENTO="Manual",$M53=1),$M53&gt;(ROW(PLE.lastrow)-ROW(PLE.firstrow))),0,IF(OFFSET(PLE!$G$14,$M53,BB$13)="",10^12,OFFSET(PLE!$G$14,$M53,BB$13))))</f>
        <v>1000000000000</v>
      </c>
      <c r="BC53" s="286" t="n">
        <f aca="true">IF($D53&lt;&gt;"Serviço",0,IF(OR(AND(AUTOEVENTO="Manual",$M53=1),$M53&gt;(ROW(PLE.lastrow)-ROW(PLE.firstrow))),0,IF(OFFSET(PLE!$G$14,$M53,BC$13)="",10^12,OFFSET(PLE!$G$14,$M53,BC$13))))</f>
        <v>1000000000000</v>
      </c>
      <c r="BD53" s="286" t="n">
        <f aca="true">IF($D53&lt;&gt;"Serviço",0,IF(OR(AND(AUTOEVENTO="Manual",$M53=1),$M53&gt;(ROW(PLE.lastrow)-ROW(PLE.firstrow))),0,IF(OFFSET(PLE!$G$14,$M53,BD$13)="",10^12,OFFSET(PLE!$G$14,$M53,BD$13))))</f>
        <v>1000000000000</v>
      </c>
      <c r="BE53" s="286" t="n">
        <f aca="true">IF($D53&lt;&gt;"Serviço",0,IF(OR(AND(AUTOEVENTO="Manual",$M53=1),$M53&gt;(ROW(PLE.lastrow)-ROW(PLE.firstrow))),0,IF(OFFSET(PLE!$G$14,$M53,BE$13)="",10^12,OFFSET(PLE!$G$14,$M53,BE$13))))</f>
        <v>1000000000000</v>
      </c>
      <c r="BF53" s="286" t="n">
        <f aca="true">IF($D53&lt;&gt;"Serviço",0,IF(OR(AND(AUTOEVENTO="Manual",$M53=1),$M53&gt;(ROW(PLE.lastrow)-ROW(PLE.firstrow))),0,IF(OFFSET(PLE!$G$14,$M53,BF$13)="",10^12,OFFSET(PLE!$G$14,$M53,BF$13))))</f>
        <v>1000000000000</v>
      </c>
      <c r="BG53" s="286" t="n">
        <f aca="true">IF($D53&lt;&gt;"Serviço",0,IF(OR(AND(AUTOEVENTO="Manual",$M53=1),$M53&gt;(ROW(PLE.lastrow)-ROW(PLE.firstrow))),0,IF(OFFSET(PLE!$G$14,$M53,BG$13)="",10^12,OFFSET(PLE!$G$14,$M53,BG$13))))</f>
        <v>1000000000000</v>
      </c>
    </row>
    <row r="54" customFormat="false" ht="12.75" hidden="false" customHeight="false" outlineLevel="0" collapsed="false">
      <c r="A54" s="34" t="n">
        <f aca="true">IF(AUTOEVENTO="Manual",IF(K54&lt;&gt;"",MIN(VALUE(LEFT(K54,FIND(".",K54)-1)),COUNTA(EVENTOS.Lista)),0),IF(OR($B54&gt;AUTOEVENTO,$B54="S",$B54=0),SUBSTITUTE(OFFSET($A54,-1,0),IF($D54="Serviço",".",""),""),ROW(A54)-ROW($A$15)&amp;"."))</f>
        <v>0</v>
      </c>
      <c r="B54" s="34" t="n">
        <f aca="true">OFFSET(ORÇAMENTO!C$15,ROW(B54)-ROW(B$15),0)</f>
        <v>2</v>
      </c>
      <c r="C54" s="34" t="str">
        <f aca="true">OFFSET(ORÇAMENTO!L$15,ROW(C54)-ROW(C$15),0)</f>
        <v>F</v>
      </c>
      <c r="D54" s="187" t="str">
        <f aca="true">OFFSET(ORÇAMENTO!N$15,ROW(D54)-ROW(D$15),0)</f>
        <v>Nível 2</v>
      </c>
      <c r="E54" s="188" t="str">
        <f aca="true">OFFSET(ORÇAMENTO!O$15,ROW(E54)-ROW(E$15),0)</f>
        <v>1.10.</v>
      </c>
      <c r="F54" s="272" t="str">
        <f aca="true">OFFSET(ORÇAMENTO!R$15,ROW(F54)-ROW(F$15),0)</f>
        <v>Sinalização</v>
      </c>
      <c r="G54" s="273" t="str">
        <f aca="true">IF($D54&lt;&gt;"Serviço","",OFFSET(ORÇAMENTO!S$15,ROW(G54)-ROW(G$15),0))</f>
        <v/>
      </c>
      <c r="H54" s="193" t="n">
        <f aca="true">IF($D54&lt;&gt;"Serviço",0,IF(ACOMPANHAMENTO="BM",ROUND(OFFSET(ORÇAMENTO!AJ$15,ROW(H54)-ROW(H$15),0),15-13*ORÇAMENTO!$AF$7),SUMPRODUCT(($Q$12:$AA$12&lt;&gt;"")*ROUND($Q54:$AA54,15-13*ORÇAMENTO!$AF$7))))</f>
        <v>0</v>
      </c>
      <c r="I54" s="274"/>
      <c r="K54" s="275"/>
      <c r="L54" s="276" t="s">
        <v>347</v>
      </c>
      <c r="M54" s="277" t="str">
        <f aca="true">IF($D54&lt;&gt;"Serviço","",IF(AUTOEVENTO="manual",$A54,IF(ISERROR(MATCH($A54,$A$15:OFFSET($A54,-1,0),0)),MAX($M$15:OFFSET(M54,-1,0))+1,INDEX($M$15:OFFSET(M54,-1,0),MATCH($A54,$A$15:OFFSET($A54,-1,0),0)))))</f>
        <v/>
      </c>
      <c r="N54" s="278" t="str">
        <f aca="true">IF($D54&lt;&gt;"Serviço","",IF(AUTOEVENTO="Manual",IF($A54=0,"&lt;-- defina o número do agrupador",OFFSET(EVENTOS!$D$14,$A54,0)),OFFSET($F$15,$A54,0)))</f>
        <v/>
      </c>
      <c r="O54" s="279"/>
      <c r="Q54" s="279"/>
      <c r="R54" s="280"/>
      <c r="S54" s="280"/>
      <c r="T54" s="280"/>
      <c r="U54" s="280"/>
      <c r="V54" s="280"/>
      <c r="W54" s="280"/>
      <c r="X54" s="280"/>
      <c r="Y54" s="280"/>
      <c r="Z54" s="281"/>
      <c r="AB54" s="282" t="n">
        <f aca="true">IF(AND($D54="Serviço",AB$12&lt;&gt;0,$H54&gt;0,OR(AUTOEVENTO&lt;&gt;"manual",$M54&lt;&gt;1)),
IF(Import.TipoArredondamento&lt;&gt;"TransfereGOV",
ROUND(OFFSET($P54,0,AB$13),15-13*ORÇAMENTO!$AF$7)/$H54*OFFSET(ORÇAMENTO!$X$15,ROW(AB54)-ROW(AB$15),0),
ROUND(ROUND(OFFSET($P54,0,AB$13),15-13*ORÇAMENTO!$AF$7)*OFFSET(ORÇAMENTO!$W$15,ROW(AB54)-ROW(AB$15),0),15-13*ORÇAMENTO!$AF$11)),0)</f>
        <v>0</v>
      </c>
      <c r="AC54" s="283" t="n">
        <f aca="true">IF(AND($D54="Serviço",AC$12&lt;&gt;0,$H54&gt;0,OR(AUTOEVENTO&lt;&gt;"manual",$M54&lt;&gt;1)),
IF(Import.TipoArredondamento&lt;&gt;"TransfereGOV",
ROUND(OFFSET($P54,0,AC$13),15-13*ORÇAMENTO!$AF$7)/$H54*OFFSET(ORÇAMENTO!$X$15,ROW(AC54)-ROW(AC$15),0),
ROUND(ROUND(OFFSET($P54,0,AC$13),15-13*ORÇAMENTO!$AF$7)*OFFSET(ORÇAMENTO!$W$15,ROW(AC54)-ROW(AC$15),0),15-13*ORÇAMENTO!$AF$11)),0)</f>
        <v>0</v>
      </c>
      <c r="AD54" s="283" t="n">
        <f aca="true">IF(AND($D54="Serviço",AD$12&lt;&gt;0,$H54&gt;0,OR(AUTOEVENTO&lt;&gt;"manual",$M54&lt;&gt;1)),
IF(Import.TipoArredondamento&lt;&gt;"TransfereGOV",
ROUND(OFFSET($P54,0,AD$13),15-13*ORÇAMENTO!$AF$7)/$H54*OFFSET(ORÇAMENTO!$X$15,ROW(AD54)-ROW(AD$15),0),
ROUND(ROUND(OFFSET($P54,0,AD$13),15-13*ORÇAMENTO!$AF$7)*OFFSET(ORÇAMENTO!$W$15,ROW(AD54)-ROW(AD$15),0),15-13*ORÇAMENTO!$AF$11)),0)</f>
        <v>0</v>
      </c>
      <c r="AE54" s="283" t="n">
        <f aca="true">IF(AND($D54="Serviço",AE$12&lt;&gt;0,$H54&gt;0,OR(AUTOEVENTO&lt;&gt;"manual",$M54&lt;&gt;1)),
IF(Import.TipoArredondamento&lt;&gt;"TransfereGOV",
ROUND(OFFSET($P54,0,AE$13),15-13*ORÇAMENTO!$AF$7)/$H54*OFFSET(ORÇAMENTO!$X$15,ROW(AE54)-ROW(AE$15),0),
ROUND(ROUND(OFFSET($P54,0,AE$13),15-13*ORÇAMENTO!$AF$7)*OFFSET(ORÇAMENTO!$W$15,ROW(AE54)-ROW(AE$15),0),15-13*ORÇAMENTO!$AF$11)),0)</f>
        <v>0</v>
      </c>
      <c r="AF54" s="283" t="n">
        <f aca="true">IF(AND($D54="Serviço",AF$12&lt;&gt;0,$H54&gt;0,OR(AUTOEVENTO&lt;&gt;"manual",$M54&lt;&gt;1)),
IF(Import.TipoArredondamento&lt;&gt;"TransfereGOV",
ROUND(OFFSET($P54,0,AF$13),15-13*ORÇAMENTO!$AF$7)/$H54*OFFSET(ORÇAMENTO!$X$15,ROW(AF54)-ROW(AF$15),0),
ROUND(ROUND(OFFSET($P54,0,AF$13),15-13*ORÇAMENTO!$AF$7)*OFFSET(ORÇAMENTO!$W$15,ROW(AF54)-ROW(AF$15),0),15-13*ORÇAMENTO!$AF$11)),0)</f>
        <v>0</v>
      </c>
      <c r="AG54" s="283" t="n">
        <f aca="true">IF(AND($D54="Serviço",AG$12&lt;&gt;0,$H54&gt;0,OR(AUTOEVENTO&lt;&gt;"manual",$M54&lt;&gt;1)),
IF(Import.TipoArredondamento&lt;&gt;"TransfereGOV",
ROUND(OFFSET($P54,0,AG$13),15-13*ORÇAMENTO!$AF$7)/$H54*OFFSET(ORÇAMENTO!$X$15,ROW(AG54)-ROW(AG$15),0),
ROUND(ROUND(OFFSET($P54,0,AG$13),15-13*ORÇAMENTO!$AF$7)*OFFSET(ORÇAMENTO!$W$15,ROW(AG54)-ROW(AG$15),0),15-13*ORÇAMENTO!$AF$11)),0)</f>
        <v>0</v>
      </c>
      <c r="AH54" s="283" t="n">
        <f aca="true">IF(AND($D54="Serviço",AH$12&lt;&gt;0,$H54&gt;0,OR(AUTOEVENTO&lt;&gt;"manual",$M54&lt;&gt;1)),
IF(Import.TipoArredondamento&lt;&gt;"TransfereGOV",
ROUND(OFFSET($P54,0,AH$13),15-13*ORÇAMENTO!$AF$7)/$H54*OFFSET(ORÇAMENTO!$X$15,ROW(AH54)-ROW(AH$15),0),
ROUND(ROUND(OFFSET($P54,0,AH$13),15-13*ORÇAMENTO!$AF$7)*OFFSET(ORÇAMENTO!$W$15,ROW(AH54)-ROW(AH$15),0),15-13*ORÇAMENTO!$AF$11)),0)</f>
        <v>0</v>
      </c>
      <c r="AI54" s="283" t="n">
        <f aca="true">IF(AND($D54="Serviço",AI$12&lt;&gt;0,$H54&gt;0,OR(AUTOEVENTO&lt;&gt;"manual",$M54&lt;&gt;1)),
IF(Import.TipoArredondamento&lt;&gt;"TransfereGOV",
ROUND(OFFSET($P54,0,AI$13),15-13*ORÇAMENTO!$AF$7)/$H54*OFFSET(ORÇAMENTO!$X$15,ROW(AI54)-ROW(AI$15),0),
ROUND(ROUND(OFFSET($P54,0,AI$13),15-13*ORÇAMENTO!$AF$7)*OFFSET(ORÇAMENTO!$W$15,ROW(AI54)-ROW(AI$15),0),15-13*ORÇAMENTO!$AF$11)),0)</f>
        <v>0</v>
      </c>
      <c r="AJ54" s="283" t="n">
        <f aca="true">IF(AND($D54="Serviço",AJ$12&lt;&gt;0,$H54&gt;0,OR(AUTOEVENTO&lt;&gt;"manual",$M54&lt;&gt;1)),
IF(Import.TipoArredondamento&lt;&gt;"TransfereGOV",
ROUND(OFFSET($P54,0,AJ$13),15-13*ORÇAMENTO!$AF$7)/$H54*OFFSET(ORÇAMENTO!$X$15,ROW(AJ54)-ROW(AJ$15),0),
ROUND(ROUND(OFFSET($P54,0,AJ$13),15-13*ORÇAMENTO!$AF$7)*OFFSET(ORÇAMENTO!$W$15,ROW(AJ54)-ROW(AJ$15),0),15-13*ORÇAMENTO!$AF$11)),0)</f>
        <v>0</v>
      </c>
      <c r="AK54" s="284" t="n">
        <f aca="true">IF(AND($D54="Serviço",AK$12&lt;&gt;0,$H54&gt;0,OR(AUTOEVENTO&lt;&gt;"manual",$M54&lt;&gt;1)),
IF(Import.TipoArredondamento&lt;&gt;"TransfereGOV",
ROUND(OFFSET($P54,0,AK$13),15-13*ORÇAMENTO!$AF$7)/$H54*OFFSET(ORÇAMENTO!$X$15,ROW(AK54)-ROW(AK$15),0),
ROUND(ROUND(OFFSET($P54,0,AK$13),15-13*ORÇAMENTO!$AF$7)*OFFSET(ORÇAMENTO!$W$15,ROW(AK54)-ROW(AK$15),0),15-13*ORÇAMENTO!$AF$11)),0)</f>
        <v>0</v>
      </c>
      <c r="AM54" s="285" t="n">
        <f aca="true">IF($D54&lt;&gt;"Serviço",0,IF(AND(AUTOEVENTO="Manual",$M54=1),0,IF(OFFSET(CRONOPLE!$F$14,$M54,AM$13)="",10^12,OFFSET(CRONOPLE!$F$14,$M54,AM$13))))</f>
        <v>0</v>
      </c>
      <c r="AN54" s="285" t="n">
        <f aca="true">IF($D54&lt;&gt;"Serviço",0,IF(AND(AUTOEVENTO="Manual",$M54=1),0,IF(OFFSET(CRONOPLE!$F$14,$M54,AN$13)="",10^12,OFFSET(CRONOPLE!$F$14,$M54,AN$13))))</f>
        <v>0</v>
      </c>
      <c r="AO54" s="285" t="n">
        <f aca="true">IF($D54&lt;&gt;"Serviço",0,IF(AND(AUTOEVENTO="Manual",$M54=1),0,IF(OFFSET(CRONOPLE!$F$14,$M54,AO$13)="",10^12,OFFSET(CRONOPLE!$F$14,$M54,AO$13))))</f>
        <v>0</v>
      </c>
      <c r="AP54" s="285" t="n">
        <f aca="true">IF($D54&lt;&gt;"Serviço",0,IF(AND(AUTOEVENTO="Manual",$M54=1),0,IF(OFFSET(CRONOPLE!$F$14,$M54,AP$13)="",10^12,OFFSET(CRONOPLE!$F$14,$M54,AP$13))))</f>
        <v>0</v>
      </c>
      <c r="AQ54" s="285" t="n">
        <f aca="true">IF($D54&lt;&gt;"Serviço",0,IF(AND(AUTOEVENTO="Manual",$M54=1),0,IF(OFFSET(CRONOPLE!$F$14,$M54,AQ$13)="",10^12,OFFSET(CRONOPLE!$F$14,$M54,AQ$13))))</f>
        <v>0</v>
      </c>
      <c r="AR54" s="285" t="n">
        <f aca="true">IF($D54&lt;&gt;"Serviço",0,IF(AND(AUTOEVENTO="Manual",$M54=1),0,IF(OFFSET(CRONOPLE!$F$14,$M54,AR$13)="",10^12,OFFSET(CRONOPLE!$F$14,$M54,AR$13))))</f>
        <v>0</v>
      </c>
      <c r="AS54" s="285" t="n">
        <f aca="true">IF($D54&lt;&gt;"Serviço",0,IF(AND(AUTOEVENTO="Manual",$M54=1),0,IF(OFFSET(CRONOPLE!$F$14,$M54,AS$13)="",10^12,OFFSET(CRONOPLE!$F$14,$M54,AS$13))))</f>
        <v>0</v>
      </c>
      <c r="AT54" s="285" t="n">
        <f aca="true">IF($D54&lt;&gt;"Serviço",0,IF(AND(AUTOEVENTO="Manual",$M54=1),0,IF(OFFSET(CRONOPLE!$F$14,$M54,AT$13)="",10^12,OFFSET(CRONOPLE!$F$14,$M54,AT$13))))</f>
        <v>0</v>
      </c>
      <c r="AU54" s="285" t="n">
        <f aca="true">IF($D54&lt;&gt;"Serviço",0,IF(AND(AUTOEVENTO="Manual",$M54=1),0,IF(OFFSET(CRONOPLE!$F$14,$M54,AU$13)="",10^12,OFFSET(CRONOPLE!$F$14,$M54,AU$13))))</f>
        <v>0</v>
      </c>
      <c r="AV54" s="285" t="n">
        <f aca="true">IF($D54&lt;&gt;"Serviço",0,IF(AND(AUTOEVENTO="Manual",$M54=1),0,IF(OFFSET(CRONOPLE!$F$14,$M54,AV$13)="",10^12,OFFSET(CRONOPLE!$F$14,$M54,AV$13))))</f>
        <v>0</v>
      </c>
      <c r="AX54" s="286" t="n">
        <f aca="true">IF($D54&lt;&gt;"Serviço",0,IF(OR(AND(AUTOEVENTO="Manual",$M54=1),$M54&gt;(ROW(PLE.lastrow)-ROW(PLE.firstrow))),0,IF(OFFSET(PLE!$G$14,$M54,AX$13)="",10^12,OFFSET(PLE!$G$14,$M54,AX$13))))</f>
        <v>0</v>
      </c>
      <c r="AY54" s="286" t="n">
        <f aca="true">IF($D54&lt;&gt;"Serviço",0,IF(OR(AND(AUTOEVENTO="Manual",$M54=1),$M54&gt;(ROW(PLE.lastrow)-ROW(PLE.firstrow))),0,IF(OFFSET(PLE!$G$14,$M54,AY$13)="",10^12,OFFSET(PLE!$G$14,$M54,AY$13))))</f>
        <v>0</v>
      </c>
      <c r="AZ54" s="286" t="n">
        <f aca="true">IF($D54&lt;&gt;"Serviço",0,IF(OR(AND(AUTOEVENTO="Manual",$M54=1),$M54&gt;(ROW(PLE.lastrow)-ROW(PLE.firstrow))),0,IF(OFFSET(PLE!$G$14,$M54,AZ$13)="",10^12,OFFSET(PLE!$G$14,$M54,AZ$13))))</f>
        <v>0</v>
      </c>
      <c r="BA54" s="286" t="n">
        <f aca="true">IF($D54&lt;&gt;"Serviço",0,IF(OR(AND(AUTOEVENTO="Manual",$M54=1),$M54&gt;(ROW(PLE.lastrow)-ROW(PLE.firstrow))),0,IF(OFFSET(PLE!$G$14,$M54,BA$13)="",10^12,OFFSET(PLE!$G$14,$M54,BA$13))))</f>
        <v>0</v>
      </c>
      <c r="BB54" s="286" t="n">
        <f aca="true">IF($D54&lt;&gt;"Serviço",0,IF(OR(AND(AUTOEVENTO="Manual",$M54=1),$M54&gt;(ROW(PLE.lastrow)-ROW(PLE.firstrow))),0,IF(OFFSET(PLE!$G$14,$M54,BB$13)="",10^12,OFFSET(PLE!$G$14,$M54,BB$13))))</f>
        <v>0</v>
      </c>
      <c r="BC54" s="286" t="n">
        <f aca="true">IF($D54&lt;&gt;"Serviço",0,IF(OR(AND(AUTOEVENTO="Manual",$M54=1),$M54&gt;(ROW(PLE.lastrow)-ROW(PLE.firstrow))),0,IF(OFFSET(PLE!$G$14,$M54,BC$13)="",10^12,OFFSET(PLE!$G$14,$M54,BC$13))))</f>
        <v>0</v>
      </c>
      <c r="BD54" s="286" t="n">
        <f aca="true">IF($D54&lt;&gt;"Serviço",0,IF(OR(AND(AUTOEVENTO="Manual",$M54=1),$M54&gt;(ROW(PLE.lastrow)-ROW(PLE.firstrow))),0,IF(OFFSET(PLE!$G$14,$M54,BD$13)="",10^12,OFFSET(PLE!$G$14,$M54,BD$13))))</f>
        <v>0</v>
      </c>
      <c r="BE54" s="286" t="n">
        <f aca="true">IF($D54&lt;&gt;"Serviço",0,IF(OR(AND(AUTOEVENTO="Manual",$M54=1),$M54&gt;(ROW(PLE.lastrow)-ROW(PLE.firstrow))),0,IF(OFFSET(PLE!$G$14,$M54,BE$13)="",10^12,OFFSET(PLE!$G$14,$M54,BE$13))))</f>
        <v>0</v>
      </c>
      <c r="BF54" s="286" t="n">
        <f aca="true">IF($D54&lt;&gt;"Serviço",0,IF(OR(AND(AUTOEVENTO="Manual",$M54=1),$M54&gt;(ROW(PLE.lastrow)-ROW(PLE.firstrow))),0,IF(OFFSET(PLE!$G$14,$M54,BF$13)="",10^12,OFFSET(PLE!$G$14,$M54,BF$13))))</f>
        <v>0</v>
      </c>
      <c r="BG54" s="286" t="n">
        <f aca="true">IF($D54&lt;&gt;"Serviço",0,IF(OR(AND(AUTOEVENTO="Manual",$M54=1),$M54&gt;(ROW(PLE.lastrow)-ROW(PLE.firstrow))),0,IF(OFFSET(PLE!$G$14,$M54,BG$13)="",10^12,OFFSET(PLE!$G$14,$M54,BG$13))))</f>
        <v>0</v>
      </c>
    </row>
    <row r="55" customFormat="false" ht="23.85" hidden="false" customHeight="false" outlineLevel="0" collapsed="false">
      <c r="A55" s="34" t="n">
        <f aca="true">IF(AUTOEVENTO="Manual",IF(K55&lt;&gt;"",MIN(VALUE(LEFT(K55,FIND(".",K55)-1)),COUNTA(EVENTOS.Lista)),0),IF(OR($B55&gt;AUTOEVENTO,$B55="S",$B55=0),SUBSTITUTE(OFFSET($A55,-1,0),IF($D55="Serviço",".",""),""),ROW(A55)-ROW($A$15)&amp;"."))</f>
        <v>10</v>
      </c>
      <c r="B55" s="34" t="str">
        <f aca="true">OFFSET(ORÇAMENTO!C$15,ROW(B55)-ROW(B$15),0)</f>
        <v>S</v>
      </c>
      <c r="C55" s="34" t="str">
        <f aca="true">OFFSET(ORÇAMENTO!L$15,ROW(C55)-ROW(C$15),0)</f>
        <v/>
      </c>
      <c r="D55" s="187" t="str">
        <f aca="true">OFFSET(ORÇAMENTO!N$15,ROW(D55)-ROW(D$15),0)</f>
        <v>Serviço</v>
      </c>
      <c r="E55" s="188" t="str">
        <f aca="true">OFFSET(ORÇAMENTO!O$15,ROW(E55)-ROW(E$15),0)</f>
        <v>-</v>
      </c>
      <c r="F55" s="272" t="str">
        <f aca="true">OFFSET(ORÇAMENTO!R$15,ROW(F55)-ROW(F$15),0)</f>
        <v>(abra o arquivo 'Referência 02-Thursday.xlsm)</v>
      </c>
      <c r="G55" s="273" t="str">
        <f aca="true">IF($D55&lt;&gt;"Serviço","",OFFSET(ORÇAMENTO!S$15,ROW(G55)-ROW(G$15),0))</f>
        <v>-</v>
      </c>
      <c r="H55" s="193" t="n">
        <f aca="true">IF($D55&lt;&gt;"Serviço",0,IF(ACOMPANHAMENTO="BM",ROUND(OFFSET(ORÇAMENTO!AJ$15,ROW(H55)-ROW(H$15),0),15-13*ORÇAMENTO!$AF$7),SUMPRODUCT(($Q$12:$AA$12&lt;&gt;"")*ROUND($Q55:$AA55,15-13*ORÇAMENTO!$AF$7))))</f>
        <v>150</v>
      </c>
      <c r="I55" s="274" t="s">
        <v>386</v>
      </c>
      <c r="K55" s="275" t="s">
        <v>387</v>
      </c>
      <c r="L55" s="276" t="s">
        <v>347</v>
      </c>
      <c r="M55" s="277" t="n">
        <f aca="true">IF($D55&lt;&gt;"Serviço","",IF(AUTOEVENTO="manual",$A55,IF(ISERROR(MATCH($A55,$A$15:OFFSET($A55,-1,0),0)),MAX($M$15:OFFSET(M55,-1,0))+1,INDEX($M$15:OFFSET(M55,-1,0),MATCH($A55,$A$15:OFFSET($A55,-1,0),0)))))</f>
        <v>10</v>
      </c>
      <c r="N55" s="278" t="str">
        <f aca="true">IF($D55&lt;&gt;"Serviço","",IF(AUTOEVENTO="Manual",IF($A55=0,"&lt;-- defina o número do agrupador",OFFSET(EVENTOS!$D$14,$A55,0)),OFFSET($F$15,$A55,0)))</f>
        <v>Sinalização</v>
      </c>
      <c r="O55" s="279"/>
      <c r="Q55" s="279" t="n">
        <v>150</v>
      </c>
      <c r="R55" s="280"/>
      <c r="S55" s="280"/>
      <c r="T55" s="280"/>
      <c r="U55" s="280"/>
      <c r="V55" s="280"/>
      <c r="W55" s="280"/>
      <c r="X55" s="280"/>
      <c r="Y55" s="280"/>
      <c r="Z55" s="281"/>
      <c r="AB55" s="282" t="n">
        <f aca="true">IF(AND($D55="Serviço",AB$12&lt;&gt;0,$H55&gt;0,OR(AUTOEVENTO&lt;&gt;"manual",$M55&lt;&gt;1)),
IF(Import.TipoArredondamento&lt;&gt;"TransfereGOV",
ROUND(OFFSET($P55,0,AB$13),15-13*ORÇAMENTO!$AF$7)/$H55*OFFSET(ORÇAMENTO!$X$15,ROW(AB55)-ROW(AB$15),0),
ROUND(ROUND(OFFSET($P55,0,AB$13),15-13*ORÇAMENTO!$AF$7)*OFFSET(ORÇAMENTO!$W$15,ROW(AB55)-ROW(AB$15),0),15-13*ORÇAMENTO!$AF$11)),0)</f>
        <v>0</v>
      </c>
      <c r="AC55" s="283" t="n">
        <f aca="true">IF(AND($D55="Serviço",AC$12&lt;&gt;0,$H55&gt;0,OR(AUTOEVENTO&lt;&gt;"manual",$M55&lt;&gt;1)),
IF(Import.TipoArredondamento&lt;&gt;"TransfereGOV",
ROUND(OFFSET($P55,0,AC$13),15-13*ORÇAMENTO!$AF$7)/$H55*OFFSET(ORÇAMENTO!$X$15,ROW(AC55)-ROW(AC$15),0),
ROUND(ROUND(OFFSET($P55,0,AC$13),15-13*ORÇAMENTO!$AF$7)*OFFSET(ORÇAMENTO!$W$15,ROW(AC55)-ROW(AC$15),0),15-13*ORÇAMENTO!$AF$11)),0)</f>
        <v>0</v>
      </c>
      <c r="AD55" s="283" t="n">
        <f aca="true">IF(AND($D55="Serviço",AD$12&lt;&gt;0,$H55&gt;0,OR(AUTOEVENTO&lt;&gt;"manual",$M55&lt;&gt;1)),
IF(Import.TipoArredondamento&lt;&gt;"TransfereGOV",
ROUND(OFFSET($P55,0,AD$13),15-13*ORÇAMENTO!$AF$7)/$H55*OFFSET(ORÇAMENTO!$X$15,ROW(AD55)-ROW(AD$15),0),
ROUND(ROUND(OFFSET($P55,0,AD$13),15-13*ORÇAMENTO!$AF$7)*OFFSET(ORÇAMENTO!$W$15,ROW(AD55)-ROW(AD$15),0),15-13*ORÇAMENTO!$AF$11)),0)</f>
        <v>0</v>
      </c>
      <c r="AE55" s="283" t="n">
        <f aca="true">IF(AND($D55="Serviço",AE$12&lt;&gt;0,$H55&gt;0,OR(AUTOEVENTO&lt;&gt;"manual",$M55&lt;&gt;1)),
IF(Import.TipoArredondamento&lt;&gt;"TransfereGOV",
ROUND(OFFSET($P55,0,AE$13),15-13*ORÇAMENTO!$AF$7)/$H55*OFFSET(ORÇAMENTO!$X$15,ROW(AE55)-ROW(AE$15),0),
ROUND(ROUND(OFFSET($P55,0,AE$13),15-13*ORÇAMENTO!$AF$7)*OFFSET(ORÇAMENTO!$W$15,ROW(AE55)-ROW(AE$15),0),15-13*ORÇAMENTO!$AF$11)),0)</f>
        <v>0</v>
      </c>
      <c r="AF55" s="283" t="n">
        <f aca="true">IF(AND($D55="Serviço",AF$12&lt;&gt;0,$H55&gt;0,OR(AUTOEVENTO&lt;&gt;"manual",$M55&lt;&gt;1)),
IF(Import.TipoArredondamento&lt;&gt;"TransfereGOV",
ROUND(OFFSET($P55,0,AF$13),15-13*ORÇAMENTO!$AF$7)/$H55*OFFSET(ORÇAMENTO!$X$15,ROW(AF55)-ROW(AF$15),0),
ROUND(ROUND(OFFSET($P55,0,AF$13),15-13*ORÇAMENTO!$AF$7)*OFFSET(ORÇAMENTO!$W$15,ROW(AF55)-ROW(AF$15),0),15-13*ORÇAMENTO!$AF$11)),0)</f>
        <v>0</v>
      </c>
      <c r="AG55" s="283" t="n">
        <f aca="true">IF(AND($D55="Serviço",AG$12&lt;&gt;0,$H55&gt;0,OR(AUTOEVENTO&lt;&gt;"manual",$M55&lt;&gt;1)),
IF(Import.TipoArredondamento&lt;&gt;"TransfereGOV",
ROUND(OFFSET($P55,0,AG$13),15-13*ORÇAMENTO!$AF$7)/$H55*OFFSET(ORÇAMENTO!$X$15,ROW(AG55)-ROW(AG$15),0),
ROUND(ROUND(OFFSET($P55,0,AG$13),15-13*ORÇAMENTO!$AF$7)*OFFSET(ORÇAMENTO!$W$15,ROW(AG55)-ROW(AG$15),0),15-13*ORÇAMENTO!$AF$11)),0)</f>
        <v>0</v>
      </c>
      <c r="AH55" s="283" t="n">
        <f aca="true">IF(AND($D55="Serviço",AH$12&lt;&gt;0,$H55&gt;0,OR(AUTOEVENTO&lt;&gt;"manual",$M55&lt;&gt;1)),
IF(Import.TipoArredondamento&lt;&gt;"TransfereGOV",
ROUND(OFFSET($P55,0,AH$13),15-13*ORÇAMENTO!$AF$7)/$H55*OFFSET(ORÇAMENTO!$X$15,ROW(AH55)-ROW(AH$15),0),
ROUND(ROUND(OFFSET($P55,0,AH$13),15-13*ORÇAMENTO!$AF$7)*OFFSET(ORÇAMENTO!$W$15,ROW(AH55)-ROW(AH$15),0),15-13*ORÇAMENTO!$AF$11)),0)</f>
        <v>0</v>
      </c>
      <c r="AI55" s="283" t="n">
        <f aca="true">IF(AND($D55="Serviço",AI$12&lt;&gt;0,$H55&gt;0,OR(AUTOEVENTO&lt;&gt;"manual",$M55&lt;&gt;1)),
IF(Import.TipoArredondamento&lt;&gt;"TransfereGOV",
ROUND(OFFSET($P55,0,AI$13),15-13*ORÇAMENTO!$AF$7)/$H55*OFFSET(ORÇAMENTO!$X$15,ROW(AI55)-ROW(AI$15),0),
ROUND(ROUND(OFFSET($P55,0,AI$13),15-13*ORÇAMENTO!$AF$7)*OFFSET(ORÇAMENTO!$W$15,ROW(AI55)-ROW(AI$15),0),15-13*ORÇAMENTO!$AF$11)),0)</f>
        <v>0</v>
      </c>
      <c r="AJ55" s="283" t="n">
        <f aca="true">IF(AND($D55="Serviço",AJ$12&lt;&gt;0,$H55&gt;0,OR(AUTOEVENTO&lt;&gt;"manual",$M55&lt;&gt;1)),
IF(Import.TipoArredondamento&lt;&gt;"TransfereGOV",
ROUND(OFFSET($P55,0,AJ$13),15-13*ORÇAMENTO!$AF$7)/$H55*OFFSET(ORÇAMENTO!$X$15,ROW(AJ55)-ROW(AJ$15),0),
ROUND(ROUND(OFFSET($P55,0,AJ$13),15-13*ORÇAMENTO!$AF$7)*OFFSET(ORÇAMENTO!$W$15,ROW(AJ55)-ROW(AJ$15),0),15-13*ORÇAMENTO!$AF$11)),0)</f>
        <v>0</v>
      </c>
      <c r="AK55" s="284" t="n">
        <f aca="true">IF(AND($D55="Serviço",AK$12&lt;&gt;0,$H55&gt;0,OR(AUTOEVENTO&lt;&gt;"manual",$M55&lt;&gt;1)),
IF(Import.TipoArredondamento&lt;&gt;"TransfereGOV",
ROUND(OFFSET($P55,0,AK$13),15-13*ORÇAMENTO!$AF$7)/$H55*OFFSET(ORÇAMENTO!$X$15,ROW(AK55)-ROW(AK$15),0),
ROUND(ROUND(OFFSET($P55,0,AK$13),15-13*ORÇAMENTO!$AF$7)*OFFSET(ORÇAMENTO!$W$15,ROW(AK55)-ROW(AK$15),0),15-13*ORÇAMENTO!$AF$11)),0)</f>
        <v>0</v>
      </c>
      <c r="AM55" s="285" t="n">
        <f aca="true">IF($D55&lt;&gt;"Serviço",0,IF(AND(AUTOEVENTO="Manual",$M55=1),0,IF(OFFSET(CRONOPLE!$F$14,$M55,AM$13)="",10^12,OFFSET(CRONOPLE!$F$14,$M55,AM$13))))</f>
        <v>3</v>
      </c>
      <c r="AN55" s="285" t="n">
        <f aca="true">IF($D55&lt;&gt;"Serviço",0,IF(AND(AUTOEVENTO="Manual",$M55=1),0,IF(OFFSET(CRONOPLE!$F$14,$M55,AN$13)="",10^12,OFFSET(CRONOPLE!$F$14,$M55,AN$13))))</f>
        <v>1000000000000</v>
      </c>
      <c r="AO55" s="285" t="n">
        <f aca="true">IF($D55&lt;&gt;"Serviço",0,IF(AND(AUTOEVENTO="Manual",$M55=1),0,IF(OFFSET(CRONOPLE!$F$14,$M55,AO$13)="",10^12,OFFSET(CRONOPLE!$F$14,$M55,AO$13))))</f>
        <v>1000000000000</v>
      </c>
      <c r="AP55" s="285" t="n">
        <f aca="true">IF($D55&lt;&gt;"Serviço",0,IF(AND(AUTOEVENTO="Manual",$M55=1),0,IF(OFFSET(CRONOPLE!$F$14,$M55,AP$13)="",10^12,OFFSET(CRONOPLE!$F$14,$M55,AP$13))))</f>
        <v>1000000000000</v>
      </c>
      <c r="AQ55" s="285" t="n">
        <f aca="true">IF($D55&lt;&gt;"Serviço",0,IF(AND(AUTOEVENTO="Manual",$M55=1),0,IF(OFFSET(CRONOPLE!$F$14,$M55,AQ$13)="",10^12,OFFSET(CRONOPLE!$F$14,$M55,AQ$13))))</f>
        <v>1000000000000</v>
      </c>
      <c r="AR55" s="285" t="n">
        <f aca="true">IF($D55&lt;&gt;"Serviço",0,IF(AND(AUTOEVENTO="Manual",$M55=1),0,IF(OFFSET(CRONOPLE!$F$14,$M55,AR$13)="",10^12,OFFSET(CRONOPLE!$F$14,$M55,AR$13))))</f>
        <v>1000000000000</v>
      </c>
      <c r="AS55" s="285" t="n">
        <f aca="true">IF($D55&lt;&gt;"Serviço",0,IF(AND(AUTOEVENTO="Manual",$M55=1),0,IF(OFFSET(CRONOPLE!$F$14,$M55,AS$13)="",10^12,OFFSET(CRONOPLE!$F$14,$M55,AS$13))))</f>
        <v>1000000000000</v>
      </c>
      <c r="AT55" s="285" t="n">
        <f aca="true">IF($D55&lt;&gt;"Serviço",0,IF(AND(AUTOEVENTO="Manual",$M55=1),0,IF(OFFSET(CRONOPLE!$F$14,$M55,AT$13)="",10^12,OFFSET(CRONOPLE!$F$14,$M55,AT$13))))</f>
        <v>1000000000000</v>
      </c>
      <c r="AU55" s="285" t="n">
        <f aca="true">IF($D55&lt;&gt;"Serviço",0,IF(AND(AUTOEVENTO="Manual",$M55=1),0,IF(OFFSET(CRONOPLE!$F$14,$M55,AU$13)="",10^12,OFFSET(CRONOPLE!$F$14,$M55,AU$13))))</f>
        <v>1000000000000</v>
      </c>
      <c r="AV55" s="285" t="n">
        <f aca="true">IF($D55&lt;&gt;"Serviço",0,IF(AND(AUTOEVENTO="Manual",$M55=1),0,IF(OFFSET(CRONOPLE!$F$14,$M55,AV$13)="",10^12,OFFSET(CRONOPLE!$F$14,$M55,AV$13))))</f>
        <v>1000000000000</v>
      </c>
      <c r="AX55" s="286" t="n">
        <f aca="true">IF($D55&lt;&gt;"Serviço",0,IF(OR(AND(AUTOEVENTO="Manual",$M55=1),$M55&gt;(ROW(PLE.lastrow)-ROW(PLE.firstrow))),0,IF(OFFSET(PLE!$G$14,$M55,AX$13)="",10^12,OFFSET(PLE!$G$14,$M55,AX$13))))</f>
        <v>1000000000000</v>
      </c>
      <c r="AY55" s="286" t="n">
        <f aca="true">IF($D55&lt;&gt;"Serviço",0,IF(OR(AND(AUTOEVENTO="Manual",$M55=1),$M55&gt;(ROW(PLE.lastrow)-ROW(PLE.firstrow))),0,IF(OFFSET(PLE!$G$14,$M55,AY$13)="",10^12,OFFSET(PLE!$G$14,$M55,AY$13))))</f>
        <v>1000000000000</v>
      </c>
      <c r="AZ55" s="286" t="n">
        <f aca="true">IF($D55&lt;&gt;"Serviço",0,IF(OR(AND(AUTOEVENTO="Manual",$M55=1),$M55&gt;(ROW(PLE.lastrow)-ROW(PLE.firstrow))),0,IF(OFFSET(PLE!$G$14,$M55,AZ$13)="",10^12,OFFSET(PLE!$G$14,$M55,AZ$13))))</f>
        <v>1000000000000</v>
      </c>
      <c r="BA55" s="286" t="n">
        <f aca="true">IF($D55&lt;&gt;"Serviço",0,IF(OR(AND(AUTOEVENTO="Manual",$M55=1),$M55&gt;(ROW(PLE.lastrow)-ROW(PLE.firstrow))),0,IF(OFFSET(PLE!$G$14,$M55,BA$13)="",10^12,OFFSET(PLE!$G$14,$M55,BA$13))))</f>
        <v>1000000000000</v>
      </c>
      <c r="BB55" s="286" t="n">
        <f aca="true">IF($D55&lt;&gt;"Serviço",0,IF(OR(AND(AUTOEVENTO="Manual",$M55=1),$M55&gt;(ROW(PLE.lastrow)-ROW(PLE.firstrow))),0,IF(OFFSET(PLE!$G$14,$M55,BB$13)="",10^12,OFFSET(PLE!$G$14,$M55,BB$13))))</f>
        <v>1000000000000</v>
      </c>
      <c r="BC55" s="286" t="n">
        <f aca="true">IF($D55&lt;&gt;"Serviço",0,IF(OR(AND(AUTOEVENTO="Manual",$M55=1),$M55&gt;(ROW(PLE.lastrow)-ROW(PLE.firstrow))),0,IF(OFFSET(PLE!$G$14,$M55,BC$13)="",10^12,OFFSET(PLE!$G$14,$M55,BC$13))))</f>
        <v>1000000000000</v>
      </c>
      <c r="BD55" s="286" t="n">
        <f aca="true">IF($D55&lt;&gt;"Serviço",0,IF(OR(AND(AUTOEVENTO="Manual",$M55=1),$M55&gt;(ROW(PLE.lastrow)-ROW(PLE.firstrow))),0,IF(OFFSET(PLE!$G$14,$M55,BD$13)="",10^12,OFFSET(PLE!$G$14,$M55,BD$13))))</f>
        <v>1000000000000</v>
      </c>
      <c r="BE55" s="286" t="n">
        <f aca="true">IF($D55&lt;&gt;"Serviço",0,IF(OR(AND(AUTOEVENTO="Manual",$M55=1),$M55&gt;(ROW(PLE.lastrow)-ROW(PLE.firstrow))),0,IF(OFFSET(PLE!$G$14,$M55,BE$13)="",10^12,OFFSET(PLE!$G$14,$M55,BE$13))))</f>
        <v>1000000000000</v>
      </c>
      <c r="BF55" s="286" t="n">
        <f aca="true">IF($D55&lt;&gt;"Serviço",0,IF(OR(AND(AUTOEVENTO="Manual",$M55=1),$M55&gt;(ROW(PLE.lastrow)-ROW(PLE.firstrow))),0,IF(OFFSET(PLE!$G$14,$M55,BF$13)="",10^12,OFFSET(PLE!$G$14,$M55,BF$13))))</f>
        <v>1000000000000</v>
      </c>
      <c r="BG55" s="286" t="n">
        <f aca="true">IF($D55&lt;&gt;"Serviço",0,IF(OR(AND(AUTOEVENTO="Manual",$M55=1),$M55&gt;(ROW(PLE.lastrow)-ROW(PLE.firstrow))),0,IF(OFFSET(PLE!$G$14,$M55,BG$13)="",10^12,OFFSET(PLE!$G$14,$M55,BG$13))))</f>
        <v>1000000000000</v>
      </c>
    </row>
    <row r="56" customFormat="false" ht="23.85" hidden="false" customHeight="false" outlineLevel="0" collapsed="false">
      <c r="A56" s="34" t="n">
        <f aca="true">IF(AUTOEVENTO="Manual",IF(K56&lt;&gt;"",MIN(VALUE(LEFT(K56,FIND(".",K56)-1)),COUNTA(EVENTOS.Lista)),0),IF(OR($B56&gt;AUTOEVENTO,$B56="S",$B56=0),SUBSTITUTE(OFFSET($A56,-1,0),IF($D56="Serviço",".",""),""),ROW(A56)-ROW($A$15)&amp;"."))</f>
        <v>10</v>
      </c>
      <c r="B56" s="34" t="str">
        <f aca="true">OFFSET(ORÇAMENTO!C$15,ROW(B56)-ROW(B$15),0)</f>
        <v>S</v>
      </c>
      <c r="C56" s="34" t="str">
        <f aca="true">OFFSET(ORÇAMENTO!L$15,ROW(C56)-ROW(C$15),0)</f>
        <v/>
      </c>
      <c r="D56" s="187" t="str">
        <f aca="true">OFFSET(ORÇAMENTO!N$15,ROW(D56)-ROW(D$15),0)</f>
        <v>Serviço</v>
      </c>
      <c r="E56" s="188" t="str">
        <f aca="true">OFFSET(ORÇAMENTO!O$15,ROW(E56)-ROW(E$15),0)</f>
        <v>-</v>
      </c>
      <c r="F56" s="272" t="str">
        <f aca="true">OFFSET(ORÇAMENTO!R$15,ROW(F56)-ROW(F$15),0)</f>
        <v>(abra o arquivo 'Referência 02-Thursday.xlsm)</v>
      </c>
      <c r="G56" s="273" t="str">
        <f aca="true">IF($D56&lt;&gt;"Serviço","",OFFSET(ORÇAMENTO!S$15,ROW(G56)-ROW(G$15),0))</f>
        <v>-</v>
      </c>
      <c r="H56" s="193" t="n">
        <f aca="true">IF($D56&lt;&gt;"Serviço",0,IF(ACOMPANHAMENTO="BM",ROUND(OFFSET(ORÇAMENTO!AJ$15,ROW(H56)-ROW(H$15),0),15-13*ORÇAMENTO!$AF$7),SUMPRODUCT(($Q$12:$AA$12&lt;&gt;"")*ROUND($Q56:$AA56,15-13*ORÇAMENTO!$AF$7))))</f>
        <v>3</v>
      </c>
      <c r="I56" s="274" t="s">
        <v>388</v>
      </c>
      <c r="K56" s="275" t="s">
        <v>387</v>
      </c>
      <c r="L56" s="276" t="s">
        <v>347</v>
      </c>
      <c r="M56" s="277" t="n">
        <f aca="true">IF($D56&lt;&gt;"Serviço","",IF(AUTOEVENTO="manual",$A56,IF(ISERROR(MATCH($A56,$A$15:OFFSET($A56,-1,0),0)),MAX($M$15:OFFSET(M56,-1,0))+1,INDEX($M$15:OFFSET(M56,-1,0),MATCH($A56,$A$15:OFFSET($A56,-1,0),0)))))</f>
        <v>10</v>
      </c>
      <c r="N56" s="278" t="str">
        <f aca="true">IF($D56&lt;&gt;"Serviço","",IF(AUTOEVENTO="Manual",IF($A56=0,"&lt;-- defina o número do agrupador",OFFSET(EVENTOS!$D$14,$A56,0)),OFFSET($F$15,$A56,0)))</f>
        <v>Sinalização</v>
      </c>
      <c r="O56" s="279"/>
      <c r="Q56" s="279" t="n">
        <v>3</v>
      </c>
      <c r="R56" s="280"/>
      <c r="S56" s="280"/>
      <c r="T56" s="280"/>
      <c r="U56" s="280"/>
      <c r="V56" s="280"/>
      <c r="W56" s="280"/>
      <c r="X56" s="280"/>
      <c r="Y56" s="280"/>
      <c r="Z56" s="281"/>
      <c r="AB56" s="282" t="n">
        <f aca="true">IF(AND($D56="Serviço",AB$12&lt;&gt;0,$H56&gt;0,OR(AUTOEVENTO&lt;&gt;"manual",$M56&lt;&gt;1)),
IF(Import.TipoArredondamento&lt;&gt;"TransfereGOV",
ROUND(OFFSET($P56,0,AB$13),15-13*ORÇAMENTO!$AF$7)/$H56*OFFSET(ORÇAMENTO!$X$15,ROW(AB56)-ROW(AB$15),0),
ROUND(ROUND(OFFSET($P56,0,AB$13),15-13*ORÇAMENTO!$AF$7)*OFFSET(ORÇAMENTO!$W$15,ROW(AB56)-ROW(AB$15),0),15-13*ORÇAMENTO!$AF$11)),0)</f>
        <v>0</v>
      </c>
      <c r="AC56" s="283" t="n">
        <f aca="true">IF(AND($D56="Serviço",AC$12&lt;&gt;0,$H56&gt;0,OR(AUTOEVENTO&lt;&gt;"manual",$M56&lt;&gt;1)),
IF(Import.TipoArredondamento&lt;&gt;"TransfereGOV",
ROUND(OFFSET($P56,0,AC$13),15-13*ORÇAMENTO!$AF$7)/$H56*OFFSET(ORÇAMENTO!$X$15,ROW(AC56)-ROW(AC$15),0),
ROUND(ROUND(OFFSET($P56,0,AC$13),15-13*ORÇAMENTO!$AF$7)*OFFSET(ORÇAMENTO!$W$15,ROW(AC56)-ROW(AC$15),0),15-13*ORÇAMENTO!$AF$11)),0)</f>
        <v>0</v>
      </c>
      <c r="AD56" s="283" t="n">
        <f aca="true">IF(AND($D56="Serviço",AD$12&lt;&gt;0,$H56&gt;0,OR(AUTOEVENTO&lt;&gt;"manual",$M56&lt;&gt;1)),
IF(Import.TipoArredondamento&lt;&gt;"TransfereGOV",
ROUND(OFFSET($P56,0,AD$13),15-13*ORÇAMENTO!$AF$7)/$H56*OFFSET(ORÇAMENTO!$X$15,ROW(AD56)-ROW(AD$15),0),
ROUND(ROUND(OFFSET($P56,0,AD$13),15-13*ORÇAMENTO!$AF$7)*OFFSET(ORÇAMENTO!$W$15,ROW(AD56)-ROW(AD$15),0),15-13*ORÇAMENTO!$AF$11)),0)</f>
        <v>0</v>
      </c>
      <c r="AE56" s="283" t="n">
        <f aca="true">IF(AND($D56="Serviço",AE$12&lt;&gt;0,$H56&gt;0,OR(AUTOEVENTO&lt;&gt;"manual",$M56&lt;&gt;1)),
IF(Import.TipoArredondamento&lt;&gt;"TransfereGOV",
ROUND(OFFSET($P56,0,AE$13),15-13*ORÇAMENTO!$AF$7)/$H56*OFFSET(ORÇAMENTO!$X$15,ROW(AE56)-ROW(AE$15),0),
ROUND(ROUND(OFFSET($P56,0,AE$13),15-13*ORÇAMENTO!$AF$7)*OFFSET(ORÇAMENTO!$W$15,ROW(AE56)-ROW(AE$15),0),15-13*ORÇAMENTO!$AF$11)),0)</f>
        <v>0</v>
      </c>
      <c r="AF56" s="283" t="n">
        <f aca="true">IF(AND($D56="Serviço",AF$12&lt;&gt;0,$H56&gt;0,OR(AUTOEVENTO&lt;&gt;"manual",$M56&lt;&gt;1)),
IF(Import.TipoArredondamento&lt;&gt;"TransfereGOV",
ROUND(OFFSET($P56,0,AF$13),15-13*ORÇAMENTO!$AF$7)/$H56*OFFSET(ORÇAMENTO!$X$15,ROW(AF56)-ROW(AF$15),0),
ROUND(ROUND(OFFSET($P56,0,AF$13),15-13*ORÇAMENTO!$AF$7)*OFFSET(ORÇAMENTO!$W$15,ROW(AF56)-ROW(AF$15),0),15-13*ORÇAMENTO!$AF$11)),0)</f>
        <v>0</v>
      </c>
      <c r="AG56" s="283" t="n">
        <f aca="true">IF(AND($D56="Serviço",AG$12&lt;&gt;0,$H56&gt;0,OR(AUTOEVENTO&lt;&gt;"manual",$M56&lt;&gt;1)),
IF(Import.TipoArredondamento&lt;&gt;"TransfereGOV",
ROUND(OFFSET($P56,0,AG$13),15-13*ORÇAMENTO!$AF$7)/$H56*OFFSET(ORÇAMENTO!$X$15,ROW(AG56)-ROW(AG$15),0),
ROUND(ROUND(OFFSET($P56,0,AG$13),15-13*ORÇAMENTO!$AF$7)*OFFSET(ORÇAMENTO!$W$15,ROW(AG56)-ROW(AG$15),0),15-13*ORÇAMENTO!$AF$11)),0)</f>
        <v>0</v>
      </c>
      <c r="AH56" s="283" t="n">
        <f aca="true">IF(AND($D56="Serviço",AH$12&lt;&gt;0,$H56&gt;0,OR(AUTOEVENTO&lt;&gt;"manual",$M56&lt;&gt;1)),
IF(Import.TipoArredondamento&lt;&gt;"TransfereGOV",
ROUND(OFFSET($P56,0,AH$13),15-13*ORÇAMENTO!$AF$7)/$H56*OFFSET(ORÇAMENTO!$X$15,ROW(AH56)-ROW(AH$15),0),
ROUND(ROUND(OFFSET($P56,0,AH$13),15-13*ORÇAMENTO!$AF$7)*OFFSET(ORÇAMENTO!$W$15,ROW(AH56)-ROW(AH$15),0),15-13*ORÇAMENTO!$AF$11)),0)</f>
        <v>0</v>
      </c>
      <c r="AI56" s="283" t="n">
        <f aca="true">IF(AND($D56="Serviço",AI$12&lt;&gt;0,$H56&gt;0,OR(AUTOEVENTO&lt;&gt;"manual",$M56&lt;&gt;1)),
IF(Import.TipoArredondamento&lt;&gt;"TransfereGOV",
ROUND(OFFSET($P56,0,AI$13),15-13*ORÇAMENTO!$AF$7)/$H56*OFFSET(ORÇAMENTO!$X$15,ROW(AI56)-ROW(AI$15),0),
ROUND(ROUND(OFFSET($P56,0,AI$13),15-13*ORÇAMENTO!$AF$7)*OFFSET(ORÇAMENTO!$W$15,ROW(AI56)-ROW(AI$15),0),15-13*ORÇAMENTO!$AF$11)),0)</f>
        <v>0</v>
      </c>
      <c r="AJ56" s="283" t="n">
        <f aca="true">IF(AND($D56="Serviço",AJ$12&lt;&gt;0,$H56&gt;0,OR(AUTOEVENTO&lt;&gt;"manual",$M56&lt;&gt;1)),
IF(Import.TipoArredondamento&lt;&gt;"TransfereGOV",
ROUND(OFFSET($P56,0,AJ$13),15-13*ORÇAMENTO!$AF$7)/$H56*OFFSET(ORÇAMENTO!$X$15,ROW(AJ56)-ROW(AJ$15),0),
ROUND(ROUND(OFFSET($P56,0,AJ$13),15-13*ORÇAMENTO!$AF$7)*OFFSET(ORÇAMENTO!$W$15,ROW(AJ56)-ROW(AJ$15),0),15-13*ORÇAMENTO!$AF$11)),0)</f>
        <v>0</v>
      </c>
      <c r="AK56" s="284" t="n">
        <f aca="true">IF(AND($D56="Serviço",AK$12&lt;&gt;0,$H56&gt;0,OR(AUTOEVENTO&lt;&gt;"manual",$M56&lt;&gt;1)),
IF(Import.TipoArredondamento&lt;&gt;"TransfereGOV",
ROUND(OFFSET($P56,0,AK$13),15-13*ORÇAMENTO!$AF$7)/$H56*OFFSET(ORÇAMENTO!$X$15,ROW(AK56)-ROW(AK$15),0),
ROUND(ROUND(OFFSET($P56,0,AK$13),15-13*ORÇAMENTO!$AF$7)*OFFSET(ORÇAMENTO!$W$15,ROW(AK56)-ROW(AK$15),0),15-13*ORÇAMENTO!$AF$11)),0)</f>
        <v>0</v>
      </c>
      <c r="AM56" s="285" t="n">
        <f aca="true">IF($D56&lt;&gt;"Serviço",0,IF(AND(AUTOEVENTO="Manual",$M56=1),0,IF(OFFSET(CRONOPLE!$F$14,$M56,AM$13)="",10^12,OFFSET(CRONOPLE!$F$14,$M56,AM$13))))</f>
        <v>3</v>
      </c>
      <c r="AN56" s="285" t="n">
        <f aca="true">IF($D56&lt;&gt;"Serviço",0,IF(AND(AUTOEVENTO="Manual",$M56=1),0,IF(OFFSET(CRONOPLE!$F$14,$M56,AN$13)="",10^12,OFFSET(CRONOPLE!$F$14,$M56,AN$13))))</f>
        <v>1000000000000</v>
      </c>
      <c r="AO56" s="285" t="n">
        <f aca="true">IF($D56&lt;&gt;"Serviço",0,IF(AND(AUTOEVENTO="Manual",$M56=1),0,IF(OFFSET(CRONOPLE!$F$14,$M56,AO$13)="",10^12,OFFSET(CRONOPLE!$F$14,$M56,AO$13))))</f>
        <v>1000000000000</v>
      </c>
      <c r="AP56" s="285" t="n">
        <f aca="true">IF($D56&lt;&gt;"Serviço",0,IF(AND(AUTOEVENTO="Manual",$M56=1),0,IF(OFFSET(CRONOPLE!$F$14,$M56,AP$13)="",10^12,OFFSET(CRONOPLE!$F$14,$M56,AP$13))))</f>
        <v>1000000000000</v>
      </c>
      <c r="AQ56" s="285" t="n">
        <f aca="true">IF($D56&lt;&gt;"Serviço",0,IF(AND(AUTOEVENTO="Manual",$M56=1),0,IF(OFFSET(CRONOPLE!$F$14,$M56,AQ$13)="",10^12,OFFSET(CRONOPLE!$F$14,$M56,AQ$13))))</f>
        <v>1000000000000</v>
      </c>
      <c r="AR56" s="285" t="n">
        <f aca="true">IF($D56&lt;&gt;"Serviço",0,IF(AND(AUTOEVENTO="Manual",$M56=1),0,IF(OFFSET(CRONOPLE!$F$14,$M56,AR$13)="",10^12,OFFSET(CRONOPLE!$F$14,$M56,AR$13))))</f>
        <v>1000000000000</v>
      </c>
      <c r="AS56" s="285" t="n">
        <f aca="true">IF($D56&lt;&gt;"Serviço",0,IF(AND(AUTOEVENTO="Manual",$M56=1),0,IF(OFFSET(CRONOPLE!$F$14,$M56,AS$13)="",10^12,OFFSET(CRONOPLE!$F$14,$M56,AS$13))))</f>
        <v>1000000000000</v>
      </c>
      <c r="AT56" s="285" t="n">
        <f aca="true">IF($D56&lt;&gt;"Serviço",0,IF(AND(AUTOEVENTO="Manual",$M56=1),0,IF(OFFSET(CRONOPLE!$F$14,$M56,AT$13)="",10^12,OFFSET(CRONOPLE!$F$14,$M56,AT$13))))</f>
        <v>1000000000000</v>
      </c>
      <c r="AU56" s="285" t="n">
        <f aca="true">IF($D56&lt;&gt;"Serviço",0,IF(AND(AUTOEVENTO="Manual",$M56=1),0,IF(OFFSET(CRONOPLE!$F$14,$M56,AU$13)="",10^12,OFFSET(CRONOPLE!$F$14,$M56,AU$13))))</f>
        <v>1000000000000</v>
      </c>
      <c r="AV56" s="285" t="n">
        <f aca="true">IF($D56&lt;&gt;"Serviço",0,IF(AND(AUTOEVENTO="Manual",$M56=1),0,IF(OFFSET(CRONOPLE!$F$14,$M56,AV$13)="",10^12,OFFSET(CRONOPLE!$F$14,$M56,AV$13))))</f>
        <v>1000000000000</v>
      </c>
      <c r="AX56" s="286" t="n">
        <f aca="true">IF($D56&lt;&gt;"Serviço",0,IF(OR(AND(AUTOEVENTO="Manual",$M56=1),$M56&gt;(ROW(PLE.lastrow)-ROW(PLE.firstrow))),0,IF(OFFSET(PLE!$G$14,$M56,AX$13)="",10^12,OFFSET(PLE!$G$14,$M56,AX$13))))</f>
        <v>1000000000000</v>
      </c>
      <c r="AY56" s="286" t="n">
        <f aca="true">IF($D56&lt;&gt;"Serviço",0,IF(OR(AND(AUTOEVENTO="Manual",$M56=1),$M56&gt;(ROW(PLE.lastrow)-ROW(PLE.firstrow))),0,IF(OFFSET(PLE!$G$14,$M56,AY$13)="",10^12,OFFSET(PLE!$G$14,$M56,AY$13))))</f>
        <v>1000000000000</v>
      </c>
      <c r="AZ56" s="286" t="n">
        <f aca="true">IF($D56&lt;&gt;"Serviço",0,IF(OR(AND(AUTOEVENTO="Manual",$M56=1),$M56&gt;(ROW(PLE.lastrow)-ROW(PLE.firstrow))),0,IF(OFFSET(PLE!$G$14,$M56,AZ$13)="",10^12,OFFSET(PLE!$G$14,$M56,AZ$13))))</f>
        <v>1000000000000</v>
      </c>
      <c r="BA56" s="286" t="n">
        <f aca="true">IF($D56&lt;&gt;"Serviço",0,IF(OR(AND(AUTOEVENTO="Manual",$M56=1),$M56&gt;(ROW(PLE.lastrow)-ROW(PLE.firstrow))),0,IF(OFFSET(PLE!$G$14,$M56,BA$13)="",10^12,OFFSET(PLE!$G$14,$M56,BA$13))))</f>
        <v>1000000000000</v>
      </c>
      <c r="BB56" s="286" t="n">
        <f aca="true">IF($D56&lt;&gt;"Serviço",0,IF(OR(AND(AUTOEVENTO="Manual",$M56=1),$M56&gt;(ROW(PLE.lastrow)-ROW(PLE.firstrow))),0,IF(OFFSET(PLE!$G$14,$M56,BB$13)="",10^12,OFFSET(PLE!$G$14,$M56,BB$13))))</f>
        <v>1000000000000</v>
      </c>
      <c r="BC56" s="286" t="n">
        <f aca="true">IF($D56&lt;&gt;"Serviço",0,IF(OR(AND(AUTOEVENTO="Manual",$M56=1),$M56&gt;(ROW(PLE.lastrow)-ROW(PLE.firstrow))),0,IF(OFFSET(PLE!$G$14,$M56,BC$13)="",10^12,OFFSET(PLE!$G$14,$M56,BC$13))))</f>
        <v>1000000000000</v>
      </c>
      <c r="BD56" s="286" t="n">
        <f aca="true">IF($D56&lt;&gt;"Serviço",0,IF(OR(AND(AUTOEVENTO="Manual",$M56=1),$M56&gt;(ROW(PLE.lastrow)-ROW(PLE.firstrow))),0,IF(OFFSET(PLE!$G$14,$M56,BD$13)="",10^12,OFFSET(PLE!$G$14,$M56,BD$13))))</f>
        <v>1000000000000</v>
      </c>
      <c r="BE56" s="286" t="n">
        <f aca="true">IF($D56&lt;&gt;"Serviço",0,IF(OR(AND(AUTOEVENTO="Manual",$M56=1),$M56&gt;(ROW(PLE.lastrow)-ROW(PLE.firstrow))),0,IF(OFFSET(PLE!$G$14,$M56,BE$13)="",10^12,OFFSET(PLE!$G$14,$M56,BE$13))))</f>
        <v>1000000000000</v>
      </c>
      <c r="BF56" s="286" t="n">
        <f aca="true">IF($D56&lt;&gt;"Serviço",0,IF(OR(AND(AUTOEVENTO="Manual",$M56=1),$M56&gt;(ROW(PLE.lastrow)-ROW(PLE.firstrow))),0,IF(OFFSET(PLE!$G$14,$M56,BF$13)="",10^12,OFFSET(PLE!$G$14,$M56,BF$13))))</f>
        <v>1000000000000</v>
      </c>
      <c r="BG56" s="286" t="n">
        <f aca="true">IF($D56&lt;&gt;"Serviço",0,IF(OR(AND(AUTOEVENTO="Manual",$M56=1),$M56&gt;(ROW(PLE.lastrow)-ROW(PLE.firstrow))),0,IF(OFFSET(PLE!$G$14,$M56,BG$13)="",10^12,OFFSET(PLE!$G$14,$M56,BG$13))))</f>
        <v>1000000000000</v>
      </c>
    </row>
    <row r="57" customFormat="false" ht="23.85" hidden="false" customHeight="false" outlineLevel="0" collapsed="false">
      <c r="A57" s="34" t="n">
        <f aca="true">IF(AUTOEVENTO="Manual",IF(K57&lt;&gt;"",MIN(VALUE(LEFT(K57,FIND(".",K57)-1)),COUNTA(EVENTOS.Lista)),0),IF(OR($B57&gt;AUTOEVENTO,$B57="S",$B57=0),SUBSTITUTE(OFFSET($A57,-1,0),IF($D57="Serviço",".",""),""),ROW(A57)-ROW($A$15)&amp;"."))</f>
        <v>10</v>
      </c>
      <c r="B57" s="34" t="str">
        <f aca="true">OFFSET(ORÇAMENTO!C$15,ROW(B57)-ROW(B$15),0)</f>
        <v>S</v>
      </c>
      <c r="C57" s="34" t="str">
        <f aca="true">OFFSET(ORÇAMENTO!L$15,ROW(C57)-ROW(C$15),0)</f>
        <v/>
      </c>
      <c r="D57" s="187" t="str">
        <f aca="true">OFFSET(ORÇAMENTO!N$15,ROW(D57)-ROW(D$15),0)</f>
        <v>Serviço</v>
      </c>
      <c r="E57" s="188" t="str">
        <f aca="true">OFFSET(ORÇAMENTO!O$15,ROW(E57)-ROW(E$15),0)</f>
        <v>-</v>
      </c>
      <c r="F57" s="272" t="str">
        <f aca="true">OFFSET(ORÇAMENTO!R$15,ROW(F57)-ROW(F$15),0)</f>
        <v>(abra o arquivo 'Referência 02-Thursday.xlsm)</v>
      </c>
      <c r="G57" s="273" t="str">
        <f aca="true">IF($D57&lt;&gt;"Serviço","",OFFSET(ORÇAMENTO!S$15,ROW(G57)-ROW(G$15),0))</f>
        <v>-</v>
      </c>
      <c r="H57" s="193" t="n">
        <f aca="true">IF($D57&lt;&gt;"Serviço",0,IF(ACOMPANHAMENTO="BM",ROUND(OFFSET(ORÇAMENTO!AJ$15,ROW(H57)-ROW(H$15),0),15-13*ORÇAMENTO!$AF$7),SUMPRODUCT(($Q$12:$AA$12&lt;&gt;"")*ROUND($Q57:$AA57,15-13*ORÇAMENTO!$AF$7))))</f>
        <v>4</v>
      </c>
      <c r="I57" s="274" t="s">
        <v>388</v>
      </c>
      <c r="K57" s="275" t="s">
        <v>387</v>
      </c>
      <c r="L57" s="276" t="s">
        <v>347</v>
      </c>
      <c r="M57" s="277" t="n">
        <f aca="true">IF($D57&lt;&gt;"Serviço","",IF(AUTOEVENTO="manual",$A57,IF(ISERROR(MATCH($A57,$A$15:OFFSET($A57,-1,0),0)),MAX($M$15:OFFSET(M57,-1,0))+1,INDEX($M$15:OFFSET(M57,-1,0),MATCH($A57,$A$15:OFFSET($A57,-1,0),0)))))</f>
        <v>10</v>
      </c>
      <c r="N57" s="278" t="str">
        <f aca="true">IF($D57&lt;&gt;"Serviço","",IF(AUTOEVENTO="Manual",IF($A57=0,"&lt;-- defina o número do agrupador",OFFSET(EVENTOS!$D$14,$A57,0)),OFFSET($F$15,$A57,0)))</f>
        <v>Sinalização</v>
      </c>
      <c r="O57" s="279"/>
      <c r="Q57" s="279" t="n">
        <v>4</v>
      </c>
      <c r="R57" s="280"/>
      <c r="S57" s="280"/>
      <c r="T57" s="280"/>
      <c r="U57" s="280"/>
      <c r="V57" s="280"/>
      <c r="W57" s="280"/>
      <c r="X57" s="280"/>
      <c r="Y57" s="280"/>
      <c r="Z57" s="281"/>
      <c r="AB57" s="282" t="n">
        <f aca="true">IF(AND($D57="Serviço",AB$12&lt;&gt;0,$H57&gt;0,OR(AUTOEVENTO&lt;&gt;"manual",$M57&lt;&gt;1)),
IF(Import.TipoArredondamento&lt;&gt;"TransfereGOV",
ROUND(OFFSET($P57,0,AB$13),15-13*ORÇAMENTO!$AF$7)/$H57*OFFSET(ORÇAMENTO!$X$15,ROW(AB57)-ROW(AB$15),0),
ROUND(ROUND(OFFSET($P57,0,AB$13),15-13*ORÇAMENTO!$AF$7)*OFFSET(ORÇAMENTO!$W$15,ROW(AB57)-ROW(AB$15),0),15-13*ORÇAMENTO!$AF$11)),0)</f>
        <v>0</v>
      </c>
      <c r="AC57" s="283" t="n">
        <f aca="true">IF(AND($D57="Serviço",AC$12&lt;&gt;0,$H57&gt;0,OR(AUTOEVENTO&lt;&gt;"manual",$M57&lt;&gt;1)),
IF(Import.TipoArredondamento&lt;&gt;"TransfereGOV",
ROUND(OFFSET($P57,0,AC$13),15-13*ORÇAMENTO!$AF$7)/$H57*OFFSET(ORÇAMENTO!$X$15,ROW(AC57)-ROW(AC$15),0),
ROUND(ROUND(OFFSET($P57,0,AC$13),15-13*ORÇAMENTO!$AF$7)*OFFSET(ORÇAMENTO!$W$15,ROW(AC57)-ROW(AC$15),0),15-13*ORÇAMENTO!$AF$11)),0)</f>
        <v>0</v>
      </c>
      <c r="AD57" s="283" t="n">
        <f aca="true">IF(AND($D57="Serviço",AD$12&lt;&gt;0,$H57&gt;0,OR(AUTOEVENTO&lt;&gt;"manual",$M57&lt;&gt;1)),
IF(Import.TipoArredondamento&lt;&gt;"TransfereGOV",
ROUND(OFFSET($P57,0,AD$13),15-13*ORÇAMENTO!$AF$7)/$H57*OFFSET(ORÇAMENTO!$X$15,ROW(AD57)-ROW(AD$15),0),
ROUND(ROUND(OFFSET($P57,0,AD$13),15-13*ORÇAMENTO!$AF$7)*OFFSET(ORÇAMENTO!$W$15,ROW(AD57)-ROW(AD$15),0),15-13*ORÇAMENTO!$AF$11)),0)</f>
        <v>0</v>
      </c>
      <c r="AE57" s="283" t="n">
        <f aca="true">IF(AND($D57="Serviço",AE$12&lt;&gt;0,$H57&gt;0,OR(AUTOEVENTO&lt;&gt;"manual",$M57&lt;&gt;1)),
IF(Import.TipoArredondamento&lt;&gt;"TransfereGOV",
ROUND(OFFSET($P57,0,AE$13),15-13*ORÇAMENTO!$AF$7)/$H57*OFFSET(ORÇAMENTO!$X$15,ROW(AE57)-ROW(AE$15),0),
ROUND(ROUND(OFFSET($P57,0,AE$13),15-13*ORÇAMENTO!$AF$7)*OFFSET(ORÇAMENTO!$W$15,ROW(AE57)-ROW(AE$15),0),15-13*ORÇAMENTO!$AF$11)),0)</f>
        <v>0</v>
      </c>
      <c r="AF57" s="283" t="n">
        <f aca="true">IF(AND($D57="Serviço",AF$12&lt;&gt;0,$H57&gt;0,OR(AUTOEVENTO&lt;&gt;"manual",$M57&lt;&gt;1)),
IF(Import.TipoArredondamento&lt;&gt;"TransfereGOV",
ROUND(OFFSET($P57,0,AF$13),15-13*ORÇAMENTO!$AF$7)/$H57*OFFSET(ORÇAMENTO!$X$15,ROW(AF57)-ROW(AF$15),0),
ROUND(ROUND(OFFSET($P57,0,AF$13),15-13*ORÇAMENTO!$AF$7)*OFFSET(ORÇAMENTO!$W$15,ROW(AF57)-ROW(AF$15),0),15-13*ORÇAMENTO!$AF$11)),0)</f>
        <v>0</v>
      </c>
      <c r="AG57" s="283" t="n">
        <f aca="true">IF(AND($D57="Serviço",AG$12&lt;&gt;0,$H57&gt;0,OR(AUTOEVENTO&lt;&gt;"manual",$M57&lt;&gt;1)),
IF(Import.TipoArredondamento&lt;&gt;"TransfereGOV",
ROUND(OFFSET($P57,0,AG$13),15-13*ORÇAMENTO!$AF$7)/$H57*OFFSET(ORÇAMENTO!$X$15,ROW(AG57)-ROW(AG$15),0),
ROUND(ROUND(OFFSET($P57,0,AG$13),15-13*ORÇAMENTO!$AF$7)*OFFSET(ORÇAMENTO!$W$15,ROW(AG57)-ROW(AG$15),0),15-13*ORÇAMENTO!$AF$11)),0)</f>
        <v>0</v>
      </c>
      <c r="AH57" s="283" t="n">
        <f aca="true">IF(AND($D57="Serviço",AH$12&lt;&gt;0,$H57&gt;0,OR(AUTOEVENTO&lt;&gt;"manual",$M57&lt;&gt;1)),
IF(Import.TipoArredondamento&lt;&gt;"TransfereGOV",
ROUND(OFFSET($P57,0,AH$13),15-13*ORÇAMENTO!$AF$7)/$H57*OFFSET(ORÇAMENTO!$X$15,ROW(AH57)-ROW(AH$15),0),
ROUND(ROUND(OFFSET($P57,0,AH$13),15-13*ORÇAMENTO!$AF$7)*OFFSET(ORÇAMENTO!$W$15,ROW(AH57)-ROW(AH$15),0),15-13*ORÇAMENTO!$AF$11)),0)</f>
        <v>0</v>
      </c>
      <c r="AI57" s="283" t="n">
        <f aca="true">IF(AND($D57="Serviço",AI$12&lt;&gt;0,$H57&gt;0,OR(AUTOEVENTO&lt;&gt;"manual",$M57&lt;&gt;1)),
IF(Import.TipoArredondamento&lt;&gt;"TransfereGOV",
ROUND(OFFSET($P57,0,AI$13),15-13*ORÇAMENTO!$AF$7)/$H57*OFFSET(ORÇAMENTO!$X$15,ROW(AI57)-ROW(AI$15),0),
ROUND(ROUND(OFFSET($P57,0,AI$13),15-13*ORÇAMENTO!$AF$7)*OFFSET(ORÇAMENTO!$W$15,ROW(AI57)-ROW(AI$15),0),15-13*ORÇAMENTO!$AF$11)),0)</f>
        <v>0</v>
      </c>
      <c r="AJ57" s="283" t="n">
        <f aca="true">IF(AND($D57="Serviço",AJ$12&lt;&gt;0,$H57&gt;0,OR(AUTOEVENTO&lt;&gt;"manual",$M57&lt;&gt;1)),
IF(Import.TipoArredondamento&lt;&gt;"TransfereGOV",
ROUND(OFFSET($P57,0,AJ$13),15-13*ORÇAMENTO!$AF$7)/$H57*OFFSET(ORÇAMENTO!$X$15,ROW(AJ57)-ROW(AJ$15),0),
ROUND(ROUND(OFFSET($P57,0,AJ$13),15-13*ORÇAMENTO!$AF$7)*OFFSET(ORÇAMENTO!$W$15,ROW(AJ57)-ROW(AJ$15),0),15-13*ORÇAMENTO!$AF$11)),0)</f>
        <v>0</v>
      </c>
      <c r="AK57" s="284" t="n">
        <f aca="true">IF(AND($D57="Serviço",AK$12&lt;&gt;0,$H57&gt;0,OR(AUTOEVENTO&lt;&gt;"manual",$M57&lt;&gt;1)),
IF(Import.TipoArredondamento&lt;&gt;"TransfereGOV",
ROUND(OFFSET($P57,0,AK$13),15-13*ORÇAMENTO!$AF$7)/$H57*OFFSET(ORÇAMENTO!$X$15,ROW(AK57)-ROW(AK$15),0),
ROUND(ROUND(OFFSET($P57,0,AK$13),15-13*ORÇAMENTO!$AF$7)*OFFSET(ORÇAMENTO!$W$15,ROW(AK57)-ROW(AK$15),0),15-13*ORÇAMENTO!$AF$11)),0)</f>
        <v>0</v>
      </c>
      <c r="AM57" s="285" t="n">
        <f aca="true">IF($D57&lt;&gt;"Serviço",0,IF(AND(AUTOEVENTO="Manual",$M57=1),0,IF(OFFSET(CRONOPLE!$F$14,$M57,AM$13)="",10^12,OFFSET(CRONOPLE!$F$14,$M57,AM$13))))</f>
        <v>3</v>
      </c>
      <c r="AN57" s="285" t="n">
        <f aca="true">IF($D57&lt;&gt;"Serviço",0,IF(AND(AUTOEVENTO="Manual",$M57=1),0,IF(OFFSET(CRONOPLE!$F$14,$M57,AN$13)="",10^12,OFFSET(CRONOPLE!$F$14,$M57,AN$13))))</f>
        <v>1000000000000</v>
      </c>
      <c r="AO57" s="285" t="n">
        <f aca="true">IF($D57&lt;&gt;"Serviço",0,IF(AND(AUTOEVENTO="Manual",$M57=1),0,IF(OFFSET(CRONOPLE!$F$14,$M57,AO$13)="",10^12,OFFSET(CRONOPLE!$F$14,$M57,AO$13))))</f>
        <v>1000000000000</v>
      </c>
      <c r="AP57" s="285" t="n">
        <f aca="true">IF($D57&lt;&gt;"Serviço",0,IF(AND(AUTOEVENTO="Manual",$M57=1),0,IF(OFFSET(CRONOPLE!$F$14,$M57,AP$13)="",10^12,OFFSET(CRONOPLE!$F$14,$M57,AP$13))))</f>
        <v>1000000000000</v>
      </c>
      <c r="AQ57" s="285" t="n">
        <f aca="true">IF($D57&lt;&gt;"Serviço",0,IF(AND(AUTOEVENTO="Manual",$M57=1),0,IF(OFFSET(CRONOPLE!$F$14,$M57,AQ$13)="",10^12,OFFSET(CRONOPLE!$F$14,$M57,AQ$13))))</f>
        <v>1000000000000</v>
      </c>
      <c r="AR57" s="285" t="n">
        <f aca="true">IF($D57&lt;&gt;"Serviço",0,IF(AND(AUTOEVENTO="Manual",$M57=1),0,IF(OFFSET(CRONOPLE!$F$14,$M57,AR$13)="",10^12,OFFSET(CRONOPLE!$F$14,$M57,AR$13))))</f>
        <v>1000000000000</v>
      </c>
      <c r="AS57" s="285" t="n">
        <f aca="true">IF($D57&lt;&gt;"Serviço",0,IF(AND(AUTOEVENTO="Manual",$M57=1),0,IF(OFFSET(CRONOPLE!$F$14,$M57,AS$13)="",10^12,OFFSET(CRONOPLE!$F$14,$M57,AS$13))))</f>
        <v>1000000000000</v>
      </c>
      <c r="AT57" s="285" t="n">
        <f aca="true">IF($D57&lt;&gt;"Serviço",0,IF(AND(AUTOEVENTO="Manual",$M57=1),0,IF(OFFSET(CRONOPLE!$F$14,$M57,AT$13)="",10^12,OFFSET(CRONOPLE!$F$14,$M57,AT$13))))</f>
        <v>1000000000000</v>
      </c>
      <c r="AU57" s="285" t="n">
        <f aca="true">IF($D57&lt;&gt;"Serviço",0,IF(AND(AUTOEVENTO="Manual",$M57=1),0,IF(OFFSET(CRONOPLE!$F$14,$M57,AU$13)="",10^12,OFFSET(CRONOPLE!$F$14,$M57,AU$13))))</f>
        <v>1000000000000</v>
      </c>
      <c r="AV57" s="285" t="n">
        <f aca="true">IF($D57&lt;&gt;"Serviço",0,IF(AND(AUTOEVENTO="Manual",$M57=1),0,IF(OFFSET(CRONOPLE!$F$14,$M57,AV$13)="",10^12,OFFSET(CRONOPLE!$F$14,$M57,AV$13))))</f>
        <v>1000000000000</v>
      </c>
      <c r="AX57" s="286" t="n">
        <f aca="true">IF($D57&lt;&gt;"Serviço",0,IF(OR(AND(AUTOEVENTO="Manual",$M57=1),$M57&gt;(ROW(PLE.lastrow)-ROW(PLE.firstrow))),0,IF(OFFSET(PLE!$G$14,$M57,AX$13)="",10^12,OFFSET(PLE!$G$14,$M57,AX$13))))</f>
        <v>1000000000000</v>
      </c>
      <c r="AY57" s="286" t="n">
        <f aca="true">IF($D57&lt;&gt;"Serviço",0,IF(OR(AND(AUTOEVENTO="Manual",$M57=1),$M57&gt;(ROW(PLE.lastrow)-ROW(PLE.firstrow))),0,IF(OFFSET(PLE!$G$14,$M57,AY$13)="",10^12,OFFSET(PLE!$G$14,$M57,AY$13))))</f>
        <v>1000000000000</v>
      </c>
      <c r="AZ57" s="286" t="n">
        <f aca="true">IF($D57&lt;&gt;"Serviço",0,IF(OR(AND(AUTOEVENTO="Manual",$M57=1),$M57&gt;(ROW(PLE.lastrow)-ROW(PLE.firstrow))),0,IF(OFFSET(PLE!$G$14,$M57,AZ$13)="",10^12,OFFSET(PLE!$G$14,$M57,AZ$13))))</f>
        <v>1000000000000</v>
      </c>
      <c r="BA57" s="286" t="n">
        <f aca="true">IF($D57&lt;&gt;"Serviço",0,IF(OR(AND(AUTOEVENTO="Manual",$M57=1),$M57&gt;(ROW(PLE.lastrow)-ROW(PLE.firstrow))),0,IF(OFFSET(PLE!$G$14,$M57,BA$13)="",10^12,OFFSET(PLE!$G$14,$M57,BA$13))))</f>
        <v>1000000000000</v>
      </c>
      <c r="BB57" s="286" t="n">
        <f aca="true">IF($D57&lt;&gt;"Serviço",0,IF(OR(AND(AUTOEVENTO="Manual",$M57=1),$M57&gt;(ROW(PLE.lastrow)-ROW(PLE.firstrow))),0,IF(OFFSET(PLE!$G$14,$M57,BB$13)="",10^12,OFFSET(PLE!$G$14,$M57,BB$13))))</f>
        <v>1000000000000</v>
      </c>
      <c r="BC57" s="286" t="n">
        <f aca="true">IF($D57&lt;&gt;"Serviço",0,IF(OR(AND(AUTOEVENTO="Manual",$M57=1),$M57&gt;(ROW(PLE.lastrow)-ROW(PLE.firstrow))),0,IF(OFFSET(PLE!$G$14,$M57,BC$13)="",10^12,OFFSET(PLE!$G$14,$M57,BC$13))))</f>
        <v>1000000000000</v>
      </c>
      <c r="BD57" s="286" t="n">
        <f aca="true">IF($D57&lt;&gt;"Serviço",0,IF(OR(AND(AUTOEVENTO="Manual",$M57=1),$M57&gt;(ROW(PLE.lastrow)-ROW(PLE.firstrow))),0,IF(OFFSET(PLE!$G$14,$M57,BD$13)="",10^12,OFFSET(PLE!$G$14,$M57,BD$13))))</f>
        <v>1000000000000</v>
      </c>
      <c r="BE57" s="286" t="n">
        <f aca="true">IF($D57&lt;&gt;"Serviço",0,IF(OR(AND(AUTOEVENTO="Manual",$M57=1),$M57&gt;(ROW(PLE.lastrow)-ROW(PLE.firstrow))),0,IF(OFFSET(PLE!$G$14,$M57,BE$13)="",10^12,OFFSET(PLE!$G$14,$M57,BE$13))))</f>
        <v>1000000000000</v>
      </c>
      <c r="BF57" s="286" t="n">
        <f aca="true">IF($D57&lt;&gt;"Serviço",0,IF(OR(AND(AUTOEVENTO="Manual",$M57=1),$M57&gt;(ROW(PLE.lastrow)-ROW(PLE.firstrow))),0,IF(OFFSET(PLE!$G$14,$M57,BF$13)="",10^12,OFFSET(PLE!$G$14,$M57,BF$13))))</f>
        <v>1000000000000</v>
      </c>
      <c r="BG57" s="286" t="n">
        <f aca="true">IF($D57&lt;&gt;"Serviço",0,IF(OR(AND(AUTOEVENTO="Manual",$M57=1),$M57&gt;(ROW(PLE.lastrow)-ROW(PLE.firstrow))),0,IF(OFFSET(PLE!$G$14,$M57,BG$13)="",10^12,OFFSET(PLE!$G$14,$M57,BG$13))))</f>
        <v>1000000000000</v>
      </c>
    </row>
    <row r="58" customFormat="false" ht="23.85" hidden="false" customHeight="false" outlineLevel="0" collapsed="false">
      <c r="A58" s="34" t="n">
        <f aca="true">IF(AUTOEVENTO="Manual",IF(K58&lt;&gt;"",MIN(VALUE(LEFT(K58,FIND(".",K58)-1)),COUNTA(EVENTOS.Lista)),0),IF(OR($B58&gt;AUTOEVENTO,$B58="S",$B58=0),SUBSTITUTE(OFFSET($A58,-1,0),IF($D58="Serviço",".",""),""),ROW(A58)-ROW($A$15)&amp;"."))</f>
        <v>10</v>
      </c>
      <c r="B58" s="34" t="str">
        <f aca="true">OFFSET(ORÇAMENTO!C$15,ROW(B58)-ROW(B$15),0)</f>
        <v>S</v>
      </c>
      <c r="C58" s="34" t="str">
        <f aca="true">OFFSET(ORÇAMENTO!L$15,ROW(C58)-ROW(C$15),0)</f>
        <v/>
      </c>
      <c r="D58" s="187" t="str">
        <f aca="true">OFFSET(ORÇAMENTO!N$15,ROW(D58)-ROW(D$15),0)</f>
        <v>Serviço</v>
      </c>
      <c r="E58" s="188" t="str">
        <f aca="true">OFFSET(ORÇAMENTO!O$15,ROW(E58)-ROW(E$15),0)</f>
        <v>-</v>
      </c>
      <c r="F58" s="272" t="str">
        <f aca="true">OFFSET(ORÇAMENTO!R$15,ROW(F58)-ROW(F$15),0)</f>
        <v>(abra o arquivo 'Referência 02-Thursday.xlsm)</v>
      </c>
      <c r="G58" s="273" t="str">
        <f aca="true">IF($D58&lt;&gt;"Serviço","",OFFSET(ORÇAMENTO!S$15,ROW(G58)-ROW(G$15),0))</f>
        <v>-</v>
      </c>
      <c r="H58" s="193" t="n">
        <f aca="true">IF($D58&lt;&gt;"Serviço",0,IF(ACOMPANHAMENTO="BM",ROUND(OFFSET(ORÇAMENTO!AJ$15,ROW(H58)-ROW(H$15),0),15-13*ORÇAMENTO!$AF$7),SUMPRODUCT(($Q$12:$AA$12&lt;&gt;"")*ROUND($Q58:$AA58,15-13*ORÇAMENTO!$AF$7))))</f>
        <v>125</v>
      </c>
      <c r="I58" s="274" t="s">
        <v>388</v>
      </c>
      <c r="K58" s="275" t="s">
        <v>387</v>
      </c>
      <c r="L58" s="276" t="s">
        <v>347</v>
      </c>
      <c r="M58" s="277" t="n">
        <f aca="true">IF($D58&lt;&gt;"Serviço","",IF(AUTOEVENTO="manual",$A58,IF(ISERROR(MATCH($A58,$A$15:OFFSET($A58,-1,0),0)),MAX($M$15:OFFSET(M58,-1,0))+1,INDEX($M$15:OFFSET(M58,-1,0),MATCH($A58,$A$15:OFFSET($A58,-1,0),0)))))</f>
        <v>10</v>
      </c>
      <c r="N58" s="278" t="str">
        <f aca="true">IF($D58&lt;&gt;"Serviço","",IF(AUTOEVENTO="Manual",IF($A58=0,"&lt;-- defina o número do agrupador",OFFSET(EVENTOS!$D$14,$A58,0)),OFFSET($F$15,$A58,0)))</f>
        <v>Sinalização</v>
      </c>
      <c r="O58" s="279"/>
      <c r="Q58" s="279" t="n">
        <v>125</v>
      </c>
      <c r="R58" s="280"/>
      <c r="S58" s="280"/>
      <c r="T58" s="280"/>
      <c r="U58" s="280"/>
      <c r="V58" s="280"/>
      <c r="W58" s="280"/>
      <c r="X58" s="280"/>
      <c r="Y58" s="280"/>
      <c r="Z58" s="281"/>
      <c r="AB58" s="282" t="n">
        <f aca="true">IF(AND($D58="Serviço",AB$12&lt;&gt;0,$H58&gt;0,OR(AUTOEVENTO&lt;&gt;"manual",$M58&lt;&gt;1)),
IF(Import.TipoArredondamento&lt;&gt;"TransfereGOV",
ROUND(OFFSET($P58,0,AB$13),15-13*ORÇAMENTO!$AF$7)/$H58*OFFSET(ORÇAMENTO!$X$15,ROW(AB58)-ROW(AB$15),0),
ROUND(ROUND(OFFSET($P58,0,AB$13),15-13*ORÇAMENTO!$AF$7)*OFFSET(ORÇAMENTO!$W$15,ROW(AB58)-ROW(AB$15),0),15-13*ORÇAMENTO!$AF$11)),0)</f>
        <v>0</v>
      </c>
      <c r="AC58" s="283" t="n">
        <f aca="true">IF(AND($D58="Serviço",AC$12&lt;&gt;0,$H58&gt;0,OR(AUTOEVENTO&lt;&gt;"manual",$M58&lt;&gt;1)),
IF(Import.TipoArredondamento&lt;&gt;"TransfereGOV",
ROUND(OFFSET($P58,0,AC$13),15-13*ORÇAMENTO!$AF$7)/$H58*OFFSET(ORÇAMENTO!$X$15,ROW(AC58)-ROW(AC$15),0),
ROUND(ROUND(OFFSET($P58,0,AC$13),15-13*ORÇAMENTO!$AF$7)*OFFSET(ORÇAMENTO!$W$15,ROW(AC58)-ROW(AC$15),0),15-13*ORÇAMENTO!$AF$11)),0)</f>
        <v>0</v>
      </c>
      <c r="AD58" s="283" t="n">
        <f aca="true">IF(AND($D58="Serviço",AD$12&lt;&gt;0,$H58&gt;0,OR(AUTOEVENTO&lt;&gt;"manual",$M58&lt;&gt;1)),
IF(Import.TipoArredondamento&lt;&gt;"TransfereGOV",
ROUND(OFFSET($P58,0,AD$13),15-13*ORÇAMENTO!$AF$7)/$H58*OFFSET(ORÇAMENTO!$X$15,ROW(AD58)-ROW(AD$15),0),
ROUND(ROUND(OFFSET($P58,0,AD$13),15-13*ORÇAMENTO!$AF$7)*OFFSET(ORÇAMENTO!$W$15,ROW(AD58)-ROW(AD$15),0),15-13*ORÇAMENTO!$AF$11)),0)</f>
        <v>0</v>
      </c>
      <c r="AE58" s="283" t="n">
        <f aca="true">IF(AND($D58="Serviço",AE$12&lt;&gt;0,$H58&gt;0,OR(AUTOEVENTO&lt;&gt;"manual",$M58&lt;&gt;1)),
IF(Import.TipoArredondamento&lt;&gt;"TransfereGOV",
ROUND(OFFSET($P58,0,AE$13),15-13*ORÇAMENTO!$AF$7)/$H58*OFFSET(ORÇAMENTO!$X$15,ROW(AE58)-ROW(AE$15),0),
ROUND(ROUND(OFFSET($P58,0,AE$13),15-13*ORÇAMENTO!$AF$7)*OFFSET(ORÇAMENTO!$W$15,ROW(AE58)-ROW(AE$15),0),15-13*ORÇAMENTO!$AF$11)),0)</f>
        <v>0</v>
      </c>
      <c r="AF58" s="283" t="n">
        <f aca="true">IF(AND($D58="Serviço",AF$12&lt;&gt;0,$H58&gt;0,OR(AUTOEVENTO&lt;&gt;"manual",$M58&lt;&gt;1)),
IF(Import.TipoArredondamento&lt;&gt;"TransfereGOV",
ROUND(OFFSET($P58,0,AF$13),15-13*ORÇAMENTO!$AF$7)/$H58*OFFSET(ORÇAMENTO!$X$15,ROW(AF58)-ROW(AF$15),0),
ROUND(ROUND(OFFSET($P58,0,AF$13),15-13*ORÇAMENTO!$AF$7)*OFFSET(ORÇAMENTO!$W$15,ROW(AF58)-ROW(AF$15),0),15-13*ORÇAMENTO!$AF$11)),0)</f>
        <v>0</v>
      </c>
      <c r="AG58" s="283" t="n">
        <f aca="true">IF(AND($D58="Serviço",AG$12&lt;&gt;0,$H58&gt;0,OR(AUTOEVENTO&lt;&gt;"manual",$M58&lt;&gt;1)),
IF(Import.TipoArredondamento&lt;&gt;"TransfereGOV",
ROUND(OFFSET($P58,0,AG$13),15-13*ORÇAMENTO!$AF$7)/$H58*OFFSET(ORÇAMENTO!$X$15,ROW(AG58)-ROW(AG$15),0),
ROUND(ROUND(OFFSET($P58,0,AG$13),15-13*ORÇAMENTO!$AF$7)*OFFSET(ORÇAMENTO!$W$15,ROW(AG58)-ROW(AG$15),0),15-13*ORÇAMENTO!$AF$11)),0)</f>
        <v>0</v>
      </c>
      <c r="AH58" s="283" t="n">
        <f aca="true">IF(AND($D58="Serviço",AH$12&lt;&gt;0,$H58&gt;0,OR(AUTOEVENTO&lt;&gt;"manual",$M58&lt;&gt;1)),
IF(Import.TipoArredondamento&lt;&gt;"TransfereGOV",
ROUND(OFFSET($P58,0,AH$13),15-13*ORÇAMENTO!$AF$7)/$H58*OFFSET(ORÇAMENTO!$X$15,ROW(AH58)-ROW(AH$15),0),
ROUND(ROUND(OFFSET($P58,0,AH$13),15-13*ORÇAMENTO!$AF$7)*OFFSET(ORÇAMENTO!$W$15,ROW(AH58)-ROW(AH$15),0),15-13*ORÇAMENTO!$AF$11)),0)</f>
        <v>0</v>
      </c>
      <c r="AI58" s="283" t="n">
        <f aca="true">IF(AND($D58="Serviço",AI$12&lt;&gt;0,$H58&gt;0,OR(AUTOEVENTO&lt;&gt;"manual",$M58&lt;&gt;1)),
IF(Import.TipoArredondamento&lt;&gt;"TransfereGOV",
ROUND(OFFSET($P58,0,AI$13),15-13*ORÇAMENTO!$AF$7)/$H58*OFFSET(ORÇAMENTO!$X$15,ROW(AI58)-ROW(AI$15),0),
ROUND(ROUND(OFFSET($P58,0,AI$13),15-13*ORÇAMENTO!$AF$7)*OFFSET(ORÇAMENTO!$W$15,ROW(AI58)-ROW(AI$15),0),15-13*ORÇAMENTO!$AF$11)),0)</f>
        <v>0</v>
      </c>
      <c r="AJ58" s="283" t="n">
        <f aca="true">IF(AND($D58="Serviço",AJ$12&lt;&gt;0,$H58&gt;0,OR(AUTOEVENTO&lt;&gt;"manual",$M58&lt;&gt;1)),
IF(Import.TipoArredondamento&lt;&gt;"TransfereGOV",
ROUND(OFFSET($P58,0,AJ$13),15-13*ORÇAMENTO!$AF$7)/$H58*OFFSET(ORÇAMENTO!$X$15,ROW(AJ58)-ROW(AJ$15),0),
ROUND(ROUND(OFFSET($P58,0,AJ$13),15-13*ORÇAMENTO!$AF$7)*OFFSET(ORÇAMENTO!$W$15,ROW(AJ58)-ROW(AJ$15),0),15-13*ORÇAMENTO!$AF$11)),0)</f>
        <v>0</v>
      </c>
      <c r="AK58" s="284" t="n">
        <f aca="true">IF(AND($D58="Serviço",AK$12&lt;&gt;0,$H58&gt;0,OR(AUTOEVENTO&lt;&gt;"manual",$M58&lt;&gt;1)),
IF(Import.TipoArredondamento&lt;&gt;"TransfereGOV",
ROUND(OFFSET($P58,0,AK$13),15-13*ORÇAMENTO!$AF$7)/$H58*OFFSET(ORÇAMENTO!$X$15,ROW(AK58)-ROW(AK$15),0),
ROUND(ROUND(OFFSET($P58,0,AK$13),15-13*ORÇAMENTO!$AF$7)*OFFSET(ORÇAMENTO!$W$15,ROW(AK58)-ROW(AK$15),0),15-13*ORÇAMENTO!$AF$11)),0)</f>
        <v>0</v>
      </c>
      <c r="AM58" s="285" t="n">
        <f aca="true">IF($D58&lt;&gt;"Serviço",0,IF(AND(AUTOEVENTO="Manual",$M58=1),0,IF(OFFSET(CRONOPLE!$F$14,$M58,AM$13)="",10^12,OFFSET(CRONOPLE!$F$14,$M58,AM$13))))</f>
        <v>3</v>
      </c>
      <c r="AN58" s="285" t="n">
        <f aca="true">IF($D58&lt;&gt;"Serviço",0,IF(AND(AUTOEVENTO="Manual",$M58=1),0,IF(OFFSET(CRONOPLE!$F$14,$M58,AN$13)="",10^12,OFFSET(CRONOPLE!$F$14,$M58,AN$13))))</f>
        <v>1000000000000</v>
      </c>
      <c r="AO58" s="285" t="n">
        <f aca="true">IF($D58&lt;&gt;"Serviço",0,IF(AND(AUTOEVENTO="Manual",$M58=1),0,IF(OFFSET(CRONOPLE!$F$14,$M58,AO$13)="",10^12,OFFSET(CRONOPLE!$F$14,$M58,AO$13))))</f>
        <v>1000000000000</v>
      </c>
      <c r="AP58" s="285" t="n">
        <f aca="true">IF($D58&lt;&gt;"Serviço",0,IF(AND(AUTOEVENTO="Manual",$M58=1),0,IF(OFFSET(CRONOPLE!$F$14,$M58,AP$13)="",10^12,OFFSET(CRONOPLE!$F$14,$M58,AP$13))))</f>
        <v>1000000000000</v>
      </c>
      <c r="AQ58" s="285" t="n">
        <f aca="true">IF($D58&lt;&gt;"Serviço",0,IF(AND(AUTOEVENTO="Manual",$M58=1),0,IF(OFFSET(CRONOPLE!$F$14,$M58,AQ$13)="",10^12,OFFSET(CRONOPLE!$F$14,$M58,AQ$13))))</f>
        <v>1000000000000</v>
      </c>
      <c r="AR58" s="285" t="n">
        <f aca="true">IF($D58&lt;&gt;"Serviço",0,IF(AND(AUTOEVENTO="Manual",$M58=1),0,IF(OFFSET(CRONOPLE!$F$14,$M58,AR$13)="",10^12,OFFSET(CRONOPLE!$F$14,$M58,AR$13))))</f>
        <v>1000000000000</v>
      </c>
      <c r="AS58" s="285" t="n">
        <f aca="true">IF($D58&lt;&gt;"Serviço",0,IF(AND(AUTOEVENTO="Manual",$M58=1),0,IF(OFFSET(CRONOPLE!$F$14,$M58,AS$13)="",10^12,OFFSET(CRONOPLE!$F$14,$M58,AS$13))))</f>
        <v>1000000000000</v>
      </c>
      <c r="AT58" s="285" t="n">
        <f aca="true">IF($D58&lt;&gt;"Serviço",0,IF(AND(AUTOEVENTO="Manual",$M58=1),0,IF(OFFSET(CRONOPLE!$F$14,$M58,AT$13)="",10^12,OFFSET(CRONOPLE!$F$14,$M58,AT$13))))</f>
        <v>1000000000000</v>
      </c>
      <c r="AU58" s="285" t="n">
        <f aca="true">IF($D58&lt;&gt;"Serviço",0,IF(AND(AUTOEVENTO="Manual",$M58=1),0,IF(OFFSET(CRONOPLE!$F$14,$M58,AU$13)="",10^12,OFFSET(CRONOPLE!$F$14,$M58,AU$13))))</f>
        <v>1000000000000</v>
      </c>
      <c r="AV58" s="285" t="n">
        <f aca="true">IF($D58&lt;&gt;"Serviço",0,IF(AND(AUTOEVENTO="Manual",$M58=1),0,IF(OFFSET(CRONOPLE!$F$14,$M58,AV$13)="",10^12,OFFSET(CRONOPLE!$F$14,$M58,AV$13))))</f>
        <v>1000000000000</v>
      </c>
      <c r="AX58" s="286" t="n">
        <f aca="true">IF($D58&lt;&gt;"Serviço",0,IF(OR(AND(AUTOEVENTO="Manual",$M58=1),$M58&gt;(ROW(PLE.lastrow)-ROW(PLE.firstrow))),0,IF(OFFSET(PLE!$G$14,$M58,AX$13)="",10^12,OFFSET(PLE!$G$14,$M58,AX$13))))</f>
        <v>1000000000000</v>
      </c>
      <c r="AY58" s="286" t="n">
        <f aca="true">IF($D58&lt;&gt;"Serviço",0,IF(OR(AND(AUTOEVENTO="Manual",$M58=1),$M58&gt;(ROW(PLE.lastrow)-ROW(PLE.firstrow))),0,IF(OFFSET(PLE!$G$14,$M58,AY$13)="",10^12,OFFSET(PLE!$G$14,$M58,AY$13))))</f>
        <v>1000000000000</v>
      </c>
      <c r="AZ58" s="286" t="n">
        <f aca="true">IF($D58&lt;&gt;"Serviço",0,IF(OR(AND(AUTOEVENTO="Manual",$M58=1),$M58&gt;(ROW(PLE.lastrow)-ROW(PLE.firstrow))),0,IF(OFFSET(PLE!$G$14,$M58,AZ$13)="",10^12,OFFSET(PLE!$G$14,$M58,AZ$13))))</f>
        <v>1000000000000</v>
      </c>
      <c r="BA58" s="286" t="n">
        <f aca="true">IF($D58&lt;&gt;"Serviço",0,IF(OR(AND(AUTOEVENTO="Manual",$M58=1),$M58&gt;(ROW(PLE.lastrow)-ROW(PLE.firstrow))),0,IF(OFFSET(PLE!$G$14,$M58,BA$13)="",10^12,OFFSET(PLE!$G$14,$M58,BA$13))))</f>
        <v>1000000000000</v>
      </c>
      <c r="BB58" s="286" t="n">
        <f aca="true">IF($D58&lt;&gt;"Serviço",0,IF(OR(AND(AUTOEVENTO="Manual",$M58=1),$M58&gt;(ROW(PLE.lastrow)-ROW(PLE.firstrow))),0,IF(OFFSET(PLE!$G$14,$M58,BB$13)="",10^12,OFFSET(PLE!$G$14,$M58,BB$13))))</f>
        <v>1000000000000</v>
      </c>
      <c r="BC58" s="286" t="n">
        <f aca="true">IF($D58&lt;&gt;"Serviço",0,IF(OR(AND(AUTOEVENTO="Manual",$M58=1),$M58&gt;(ROW(PLE.lastrow)-ROW(PLE.firstrow))),0,IF(OFFSET(PLE!$G$14,$M58,BC$13)="",10^12,OFFSET(PLE!$G$14,$M58,BC$13))))</f>
        <v>1000000000000</v>
      </c>
      <c r="BD58" s="286" t="n">
        <f aca="true">IF($D58&lt;&gt;"Serviço",0,IF(OR(AND(AUTOEVENTO="Manual",$M58=1),$M58&gt;(ROW(PLE.lastrow)-ROW(PLE.firstrow))),0,IF(OFFSET(PLE!$G$14,$M58,BD$13)="",10^12,OFFSET(PLE!$G$14,$M58,BD$13))))</f>
        <v>1000000000000</v>
      </c>
      <c r="BE58" s="286" t="n">
        <f aca="true">IF($D58&lt;&gt;"Serviço",0,IF(OR(AND(AUTOEVENTO="Manual",$M58=1),$M58&gt;(ROW(PLE.lastrow)-ROW(PLE.firstrow))),0,IF(OFFSET(PLE!$G$14,$M58,BE$13)="",10^12,OFFSET(PLE!$G$14,$M58,BE$13))))</f>
        <v>1000000000000</v>
      </c>
      <c r="BF58" s="286" t="n">
        <f aca="true">IF($D58&lt;&gt;"Serviço",0,IF(OR(AND(AUTOEVENTO="Manual",$M58=1),$M58&gt;(ROW(PLE.lastrow)-ROW(PLE.firstrow))),0,IF(OFFSET(PLE!$G$14,$M58,BF$13)="",10^12,OFFSET(PLE!$G$14,$M58,BF$13))))</f>
        <v>1000000000000</v>
      </c>
      <c r="BG58" s="286" t="n">
        <f aca="true">IF($D58&lt;&gt;"Serviço",0,IF(OR(AND(AUTOEVENTO="Manual",$M58=1),$M58&gt;(ROW(PLE.lastrow)-ROW(PLE.firstrow))),0,IF(OFFSET(PLE!$G$14,$M58,BG$13)="",10^12,OFFSET(PLE!$G$14,$M58,BG$13))))</f>
        <v>1000000000000</v>
      </c>
    </row>
    <row r="59" customFormat="false" ht="4.5" hidden="false" customHeight="true" outlineLevel="0" collapsed="false">
      <c r="B59" s="34" t="n">
        <f aca="true">OFFSET(ORÇAMENTO!C$15,ROW(B59)-ROW(B$15),0)</f>
        <v>-1</v>
      </c>
      <c r="C59" s="34" t="str">
        <f aca="true">OFFSET(ORÇAMENTO!L$15,ROW(C59)-ROW(C$15),0)</f>
        <v>F</v>
      </c>
      <c r="D59" s="297" t="s">
        <v>246</v>
      </c>
      <c r="E59" s="227"/>
      <c r="F59" s="230"/>
      <c r="G59" s="230"/>
      <c r="H59" s="230"/>
      <c r="I59" s="228"/>
      <c r="K59" s="298"/>
      <c r="L59" s="276" t="s">
        <v>347</v>
      </c>
      <c r="M59" s="299"/>
      <c r="N59" s="300"/>
      <c r="O59" s="301"/>
      <c r="Q59" s="227"/>
      <c r="R59" s="230"/>
      <c r="S59" s="230"/>
      <c r="T59" s="230"/>
      <c r="U59" s="230"/>
      <c r="V59" s="230"/>
      <c r="W59" s="230"/>
      <c r="X59" s="230"/>
      <c r="Y59" s="230"/>
      <c r="Z59" s="228"/>
      <c r="AB59" s="302"/>
      <c r="AC59" s="303"/>
      <c r="AD59" s="303"/>
      <c r="AE59" s="303"/>
      <c r="AF59" s="303"/>
      <c r="AG59" s="303"/>
      <c r="AH59" s="303"/>
      <c r="AI59" s="303"/>
      <c r="AJ59" s="303"/>
      <c r="AK59" s="304"/>
      <c r="AM59" s="302"/>
      <c r="AN59" s="303"/>
      <c r="AO59" s="303"/>
      <c r="AP59" s="303"/>
      <c r="AQ59" s="303"/>
      <c r="AR59" s="303"/>
      <c r="AS59" s="303"/>
      <c r="AT59" s="303"/>
      <c r="AU59" s="303"/>
      <c r="AV59" s="304"/>
      <c r="AX59" s="302"/>
      <c r="AY59" s="303"/>
      <c r="AZ59" s="303"/>
      <c r="BA59" s="303"/>
      <c r="BB59" s="303"/>
      <c r="BC59" s="303"/>
      <c r="BD59" s="303"/>
      <c r="BE59" s="303"/>
      <c r="BF59" s="303"/>
      <c r="BG59" s="304"/>
    </row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5" hidden="false" customHeight="true" outlineLevel="0" collapsed="false">
      <c r="F63" s="305" t="str">
        <f aca="false">Import.Município</f>
        <v>Alpinópolis</v>
      </c>
      <c r="I63" s="241"/>
      <c r="J63" s="241"/>
      <c r="K63" s="241"/>
      <c r="L63" s="241"/>
      <c r="M63" s="306"/>
      <c r="N63" s="29"/>
      <c r="T63" s="241"/>
      <c r="U63" s="241"/>
      <c r="V63" s="29"/>
      <c r="W63" s="29"/>
      <c r="X63" s="29"/>
      <c r="Y63" s="29"/>
    </row>
    <row r="64" customFormat="false" ht="12.75" hidden="false" customHeight="true" outlineLevel="0" collapsed="false">
      <c r="F64" s="38" t="s">
        <v>239</v>
      </c>
      <c r="I64" s="242" t="s">
        <v>242</v>
      </c>
      <c r="J64" s="242"/>
      <c r="K64" s="242"/>
      <c r="L64" s="242"/>
      <c r="T64" s="242" t="s">
        <v>242</v>
      </c>
      <c r="U64" s="242"/>
    </row>
    <row r="65" customFormat="false" ht="12.75" hidden="false" customHeight="true" outlineLevel="0" collapsed="false">
      <c r="I65" s="307" t="str">
        <f aca="true" t="array" ref="I65:I67">OFFSET(Import.RespOrçamento,0,-1) &amp; " " &amp; Import.RespOrçamento</f>
        <v>Nome: Fabiano Martins Cunha</v>
      </c>
      <c r="K65" s="136"/>
      <c r="L65" s="136"/>
      <c r="T65" s="307" t="str">
        <f aca="true" t="array" ref="T65:T67">OFFSET(Import.RespOrçamento,0,-1) &amp; " " &amp; Import.RespOrçamento</f>
        <v>Nome: Fabiano Martins Cunha</v>
      </c>
      <c r="U65" s="135"/>
    </row>
    <row r="66" customFormat="false" ht="12.75" hidden="false" customHeight="true" outlineLevel="0" collapsed="false">
      <c r="F66" s="308" t="n">
        <f aca="false">DADOS!$F$25</f>
        <v>45849</v>
      </c>
      <c r="I66" s="307" t="str">
        <v>CREA/CAU: 125417/D</v>
      </c>
      <c r="K66" s="136"/>
      <c r="L66" s="136"/>
      <c r="T66" s="307" t="str">
        <v>CREA/CAU: 125417/D</v>
      </c>
      <c r="U66" s="135"/>
    </row>
    <row r="67" customFormat="false" ht="12.75" hidden="false" customHeight="true" outlineLevel="0" collapsed="false">
      <c r="F67" s="244" t="s">
        <v>240</v>
      </c>
      <c r="I67" s="307" t="str">
        <v>ART/RRT: </v>
      </c>
      <c r="K67" s="136"/>
      <c r="L67" s="136"/>
      <c r="T67" s="307" t="str">
        <v>ART/RRT: </v>
      </c>
      <c r="U67" s="135"/>
    </row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2.75" hidden="false" customHeight="true" outlineLevel="0" collapsed="false"/>
    <row r="105" customFormat="false" ht="12.75" hidden="false" customHeight="true" outlineLevel="0" collapsed="false"/>
    <row r="106" customFormat="false" ht="12.75" hidden="false" customHeight="true" outlineLevel="0" collapsed="false"/>
    <row r="107" customFormat="false" ht="12.75" hidden="false" customHeight="true" outlineLevel="0" collapsed="false"/>
    <row r="108" customFormat="false" ht="12.75" hidden="false" customHeight="true" outlineLevel="0" collapsed="false"/>
    <row r="109" customFormat="false" ht="12.75" hidden="false" customHeight="true" outlineLevel="0" collapsed="false"/>
    <row r="110" customFormat="false" ht="12.75" hidden="false" customHeight="true" outlineLevel="0" collapsed="false"/>
    <row r="111" customFormat="false" ht="12.75" hidden="false" customHeight="true" outlineLevel="0" collapsed="false"/>
    <row r="112" customFormat="false" ht="12.75" hidden="false" customHeight="true" outlineLevel="0" collapsed="false"/>
    <row r="113" customFormat="false" ht="12.75" hidden="false" customHeight="true" outlineLevel="0" collapsed="false"/>
    <row r="114" customFormat="false" ht="12.75" hidden="false" customHeight="true" outlineLevel="0" collapsed="false"/>
    <row r="115" customFormat="false" ht="12.75" hidden="false" customHeight="true" outlineLevel="0" collapsed="false"/>
    <row r="116" customFormat="false" ht="12.75" hidden="false" customHeight="true" outlineLevel="0" collapsed="false"/>
    <row r="117" customFormat="false" ht="12.75" hidden="false" customHeight="true" outlineLevel="0" collapsed="false"/>
    <row r="118" customFormat="false" ht="12.75" hidden="false" customHeight="true" outlineLevel="0" collapsed="false"/>
    <row r="119" customFormat="false" ht="12.75" hidden="false" customHeight="true" outlineLevel="0" collapsed="false"/>
    <row r="120" customFormat="false" ht="12.75" hidden="false" customHeight="true" outlineLevel="0" collapsed="false"/>
    <row r="121" customFormat="false" ht="12.75" hidden="false" customHeight="true" outlineLevel="0" collapsed="false"/>
    <row r="122" customFormat="false" ht="12.75" hidden="false" customHeight="true" outlineLevel="0" collapsed="false"/>
    <row r="123" customFormat="false" ht="12.75" hidden="false" customHeight="true" outlineLevel="0" collapsed="false"/>
    <row r="124" customFormat="false" ht="12.75" hidden="false" customHeight="true" outlineLevel="0" collapsed="false"/>
    <row r="125" customFormat="false" ht="12.75" hidden="false" customHeight="true" outlineLevel="0" collapsed="false"/>
    <row r="126" customFormat="false" ht="12.75" hidden="false" customHeight="true" outlineLevel="0" collapsed="false"/>
    <row r="127" customFormat="false" ht="12.75" hidden="false" customHeight="true" outlineLevel="0" collapsed="false"/>
    <row r="128" customFormat="false" ht="12.75" hidden="false" customHeight="true" outlineLevel="0" collapsed="false"/>
    <row r="129" customFormat="false" ht="12.75" hidden="false" customHeight="true" outlineLevel="0" collapsed="false"/>
    <row r="130" customFormat="false" ht="12.75" hidden="false" customHeight="true" outlineLevel="0" collapsed="false"/>
    <row r="131" customFormat="false" ht="12.75" hidden="false" customHeight="true" outlineLevel="0" collapsed="false"/>
    <row r="132" customFormat="false" ht="12.75" hidden="false" customHeight="true" outlineLevel="0" collapsed="false"/>
    <row r="133" customFormat="false" ht="12.75" hidden="false" customHeight="true" outlineLevel="0" collapsed="false"/>
    <row r="134" customFormat="false" ht="12.75" hidden="false" customHeight="true" outlineLevel="0" collapsed="false"/>
    <row r="135" customFormat="false" ht="12.75" hidden="false" customHeight="true" outlineLevel="0" collapsed="false"/>
    <row r="136" customFormat="false" ht="12.75" hidden="false" customHeight="true" outlineLevel="0" collapsed="false"/>
    <row r="137" customFormat="false" ht="12.75" hidden="false" customHeight="true" outlineLevel="0" collapsed="false"/>
    <row r="138" customFormat="false" ht="12.75" hidden="false" customHeight="true" outlineLevel="0" collapsed="false"/>
    <row r="139" customFormat="false" ht="12.75" hidden="false" customHeight="true" outlineLevel="0" collapsed="false"/>
    <row r="140" customFormat="false" ht="12.75" hidden="false" customHeight="true" outlineLevel="0" collapsed="false"/>
    <row r="141" customFormat="false" ht="12.75" hidden="false" customHeight="true" outlineLevel="0" collapsed="false"/>
    <row r="142" customFormat="false" ht="12.75" hidden="false" customHeight="true" outlineLevel="0" collapsed="false"/>
    <row r="143" customFormat="false" ht="12.75" hidden="false" customHeight="true" outlineLevel="0" collapsed="false"/>
    <row r="144" customFormat="false" ht="12.75" hidden="false" customHeight="true" outlineLevel="0" collapsed="false"/>
    <row r="145" customFormat="false" ht="12.75" hidden="false" customHeight="true" outlineLevel="0" collapsed="false"/>
    <row r="146" customFormat="false" ht="12.75" hidden="false" customHeight="true" outlineLevel="0" collapsed="false"/>
    <row r="147" customFormat="false" ht="12.75" hidden="false" customHeight="true" outlineLevel="0" collapsed="false"/>
    <row r="148" customFormat="false" ht="12.75" hidden="false" customHeight="true" outlineLevel="0" collapsed="false"/>
    <row r="149" customFormat="false" ht="12.75" hidden="false" customHeight="true" outlineLevel="0" collapsed="false"/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2.75" hidden="false" customHeight="true" outlineLevel="0" collapsed="false"/>
    <row r="222" customFormat="false" ht="12.75" hidden="false" customHeight="true" outlineLevel="0" collapsed="false"/>
    <row r="223" customFormat="false" ht="12.75" hidden="false" customHeight="true" outlineLevel="0" collapsed="false"/>
    <row r="224" customFormat="false" ht="12.75" hidden="false" customHeight="true" outlineLevel="0" collapsed="false"/>
    <row r="225" customFormat="false" ht="12.75" hidden="false" customHeight="true" outlineLevel="0" collapsed="false"/>
    <row r="226" customFormat="false" ht="12.75" hidden="false" customHeight="true" outlineLevel="0" collapsed="false"/>
    <row r="227" customFormat="false" ht="12.75" hidden="false" customHeight="true" outlineLevel="0" collapsed="false"/>
    <row r="228" customFormat="false" ht="12.75" hidden="false" customHeight="true" outlineLevel="0" collapsed="false"/>
    <row r="229" customFormat="false" ht="12.75" hidden="false" customHeight="true" outlineLevel="0" collapsed="false"/>
    <row r="230" customFormat="false" ht="12.75" hidden="false" customHeight="true" outlineLevel="0" collapsed="false"/>
    <row r="231" customFormat="false" ht="12.75" hidden="false" customHeight="true" outlineLevel="0" collapsed="false"/>
    <row r="232" customFormat="false" ht="12.75" hidden="false" customHeight="true" outlineLevel="0" collapsed="false"/>
    <row r="233" customFormat="false" ht="12.75" hidden="false" customHeight="true" outlineLevel="0" collapsed="false"/>
    <row r="234" customFormat="false" ht="12.75" hidden="false" customHeight="true" outlineLevel="0" collapsed="false"/>
    <row r="235" customFormat="false" ht="12.75" hidden="false" customHeight="true" outlineLevel="0" collapsed="false"/>
    <row r="236" customFormat="false" ht="12.75" hidden="false" customHeight="true" outlineLevel="0" collapsed="false"/>
    <row r="237" customFormat="false" ht="12.75" hidden="false" customHeight="true" outlineLevel="0" collapsed="false"/>
    <row r="238" customFormat="false" ht="12.75" hidden="false" customHeight="true" outlineLevel="0" collapsed="false"/>
    <row r="239" customFormat="false" ht="12.75" hidden="false" customHeight="true" outlineLevel="0" collapsed="false"/>
    <row r="240" customFormat="false" ht="12.75" hidden="false" customHeight="true" outlineLevel="0" collapsed="false"/>
    <row r="241" customFormat="false" ht="12.75" hidden="false" customHeight="true" outlineLevel="0" collapsed="false"/>
    <row r="242" customFormat="false" ht="12.75" hidden="false" customHeight="true" outlineLevel="0" collapsed="false"/>
    <row r="243" customFormat="false" ht="12.75" hidden="false" customHeight="true" outlineLevel="0" collapsed="false"/>
    <row r="244" customFormat="false" ht="12.75" hidden="false" customHeight="true" outlineLevel="0" collapsed="false"/>
    <row r="245" customFormat="false" ht="12.75" hidden="false" customHeight="true" outlineLevel="0" collapsed="false"/>
    <row r="246" customFormat="false" ht="12.75" hidden="false" customHeight="true" outlineLevel="0" collapsed="false"/>
    <row r="247" customFormat="false" ht="12.75" hidden="false" customHeight="true" outlineLevel="0" collapsed="false"/>
    <row r="248" customFormat="false" ht="12.75" hidden="false" customHeight="true" outlineLevel="0" collapsed="false"/>
    <row r="249" customFormat="false" ht="12.75" hidden="false" customHeight="true" outlineLevel="0" collapsed="false"/>
    <row r="250" customFormat="false" ht="12.75" hidden="false" customHeight="true" outlineLevel="0" collapsed="false"/>
    <row r="251" customFormat="false" ht="12.75" hidden="false" customHeight="true" outlineLevel="0" collapsed="false"/>
    <row r="252" customFormat="false" ht="12.75" hidden="false" customHeight="true" outlineLevel="0" collapsed="false"/>
    <row r="253" customFormat="false" ht="12.75" hidden="false" customHeight="true" outlineLevel="0" collapsed="false"/>
    <row r="254" customFormat="false" ht="12.75" hidden="false" customHeight="true" outlineLevel="0" collapsed="false"/>
    <row r="255" customFormat="false" ht="12.75" hidden="false" customHeight="true" outlineLevel="0" collapsed="false"/>
    <row r="256" customFormat="false" ht="12.75" hidden="false" customHeight="true" outlineLevel="0" collapsed="false"/>
    <row r="257" customFormat="false" ht="12.75" hidden="false" customHeight="true" outlineLevel="0" collapsed="false"/>
    <row r="258" customFormat="false" ht="12.75" hidden="false" customHeight="true" outlineLevel="0" collapsed="false"/>
    <row r="259" customFormat="false" ht="12.75" hidden="false" customHeight="true" outlineLevel="0" collapsed="false"/>
    <row r="260" customFormat="false" ht="12.75" hidden="false" customHeight="true" outlineLevel="0" collapsed="false"/>
    <row r="261" customFormat="false" ht="12.75" hidden="false" customHeight="true" outlineLevel="0" collapsed="false"/>
    <row r="262" customFormat="false" ht="12.75" hidden="false" customHeight="true" outlineLevel="0" collapsed="false"/>
    <row r="263" customFormat="false" ht="12.75" hidden="false" customHeight="true" outlineLevel="0" collapsed="false"/>
    <row r="264" customFormat="false" ht="12.75" hidden="false" customHeight="true" outlineLevel="0" collapsed="false"/>
    <row r="265" customFormat="false" ht="12.75" hidden="false" customHeight="true" outlineLevel="0" collapsed="false"/>
    <row r="266" customFormat="false" ht="12.75" hidden="false" customHeight="true" outlineLevel="0" collapsed="false"/>
    <row r="267" customFormat="false" ht="12.75" hidden="false" customHeight="true" outlineLevel="0" collapsed="false"/>
    <row r="268" customFormat="false" ht="12.75" hidden="false" customHeight="true" outlineLevel="0" collapsed="false"/>
    <row r="269" customFormat="false" ht="12.75" hidden="false" customHeight="true" outlineLevel="0" collapsed="false"/>
    <row r="270" customFormat="false" ht="12.75" hidden="false" customHeight="true" outlineLevel="0" collapsed="false"/>
    <row r="271" customFormat="false" ht="12.75" hidden="false" customHeight="true" outlineLevel="0" collapsed="false"/>
    <row r="272" customFormat="false" ht="12.75" hidden="false" customHeight="true" outlineLevel="0" collapsed="false"/>
    <row r="273" customFormat="false" ht="12.75" hidden="false" customHeight="true" outlineLevel="0" collapsed="false"/>
    <row r="274" customFormat="false" ht="12.75" hidden="false" customHeight="true" outlineLevel="0" collapsed="false"/>
    <row r="275" customFormat="false" ht="12.75" hidden="false" customHeight="true" outlineLevel="0" collapsed="false"/>
    <row r="276" customFormat="false" ht="12.75" hidden="false" customHeight="true" outlineLevel="0" collapsed="false"/>
    <row r="277" customFormat="false" ht="12.75" hidden="false" customHeight="true" outlineLevel="0" collapsed="false"/>
    <row r="278" customFormat="false" ht="12.75" hidden="false" customHeight="true" outlineLevel="0" collapsed="false"/>
    <row r="279" customFormat="false" ht="12.75" hidden="false" customHeight="true" outlineLevel="0" collapsed="false"/>
    <row r="280" customFormat="false" ht="12.75" hidden="false" customHeight="true" outlineLevel="0" collapsed="false"/>
    <row r="281" customFormat="false" ht="12.75" hidden="false" customHeight="true" outlineLevel="0" collapsed="false"/>
    <row r="282" customFormat="false" ht="12.75" hidden="false" customHeight="true" outlineLevel="0" collapsed="false"/>
    <row r="283" customFormat="false" ht="12.75" hidden="false" customHeight="true" outlineLevel="0" collapsed="false"/>
    <row r="284" customFormat="false" ht="12.75" hidden="false" customHeight="true" outlineLevel="0" collapsed="false"/>
    <row r="285" customFormat="false" ht="12.75" hidden="false" customHeight="true" outlineLevel="0" collapsed="false"/>
    <row r="286" customFormat="false" ht="12.75" hidden="false" customHeight="true" outlineLevel="0" collapsed="false"/>
    <row r="287" customFormat="false" ht="12.75" hidden="false" customHeight="true" outlineLevel="0" collapsed="false"/>
    <row r="288" customFormat="false" ht="12.75" hidden="false" customHeight="true" outlineLevel="0" collapsed="false"/>
    <row r="289" customFormat="false" ht="12.75" hidden="false" customHeight="true" outlineLevel="0" collapsed="false"/>
    <row r="290" customFormat="false" ht="12.75" hidden="false" customHeight="true" outlineLevel="0" collapsed="false"/>
    <row r="291" customFormat="false" ht="12.75" hidden="false" customHeight="true" outlineLevel="0" collapsed="false"/>
    <row r="292" customFormat="false" ht="12.75" hidden="false" customHeight="true" outlineLevel="0" collapsed="false"/>
    <row r="293" customFormat="false" ht="12.75" hidden="false" customHeight="true" outlineLevel="0" collapsed="false"/>
    <row r="294" customFormat="false" ht="12.75" hidden="false" customHeight="true" outlineLevel="0" collapsed="false"/>
    <row r="295" customFormat="false" ht="12.75" hidden="false" customHeight="true" outlineLevel="0" collapsed="false"/>
    <row r="296" customFormat="false" ht="12.75" hidden="false" customHeight="true" outlineLevel="0" collapsed="false"/>
    <row r="297" customFormat="false" ht="12.75" hidden="false" customHeight="true" outlineLevel="0" collapsed="false"/>
    <row r="298" customFormat="false" ht="12.75" hidden="false" customHeight="true" outlineLevel="0" collapsed="false"/>
    <row r="299" customFormat="false" ht="12.75" hidden="false" customHeight="true" outlineLevel="0" collapsed="false"/>
    <row r="300" customFormat="false" ht="12.75" hidden="false" customHeight="true" outlineLevel="0" collapsed="false"/>
    <row r="301" customFormat="false" ht="12.75" hidden="false" customHeight="true" outlineLevel="0" collapsed="false"/>
    <row r="302" customFormat="false" ht="12.75" hidden="false" customHeight="true" outlineLevel="0" collapsed="false"/>
    <row r="303" customFormat="false" ht="12.75" hidden="false" customHeight="true" outlineLevel="0" collapsed="false"/>
    <row r="304" customFormat="false" ht="12.75" hidden="false" customHeight="true" outlineLevel="0" collapsed="false"/>
    <row r="305" customFormat="false" ht="12.75" hidden="false" customHeight="true" outlineLevel="0" collapsed="false"/>
    <row r="306" customFormat="false" ht="12.75" hidden="false" customHeight="true" outlineLevel="0" collapsed="false"/>
    <row r="307" customFormat="false" ht="12.75" hidden="false" customHeight="true" outlineLevel="0" collapsed="false"/>
    <row r="308" customFormat="false" ht="12.75" hidden="false" customHeight="true" outlineLevel="0" collapsed="false"/>
    <row r="309" customFormat="false" ht="12.75" hidden="false" customHeight="true" outlineLevel="0" collapsed="false"/>
    <row r="310" customFormat="false" ht="12.75" hidden="false" customHeight="true" outlineLevel="0" collapsed="false"/>
    <row r="311" customFormat="false" ht="12.75" hidden="false" customHeight="true" outlineLevel="0" collapsed="false"/>
    <row r="312" customFormat="false" ht="12.75" hidden="false" customHeight="true" outlineLevel="0" collapsed="false"/>
    <row r="313" customFormat="false" ht="12.75" hidden="false" customHeight="true" outlineLevel="0" collapsed="false"/>
    <row r="314" customFormat="false" ht="12.75" hidden="false" customHeight="true" outlineLevel="0" collapsed="false"/>
    <row r="315" customFormat="false" ht="12.75" hidden="false" customHeight="true" outlineLevel="0" collapsed="false"/>
    <row r="316" customFormat="false" ht="12.75" hidden="false" customHeight="true" outlineLevel="0" collapsed="false"/>
    <row r="317" customFormat="false" ht="12.75" hidden="false" customHeight="true" outlineLevel="0" collapsed="false"/>
    <row r="318" customFormat="false" ht="12.75" hidden="false" customHeight="true" outlineLevel="0" collapsed="false"/>
    <row r="319" customFormat="false" ht="12.75" hidden="false" customHeight="true" outlineLevel="0" collapsed="false"/>
    <row r="320" customFormat="false" ht="12.75" hidden="false" customHeight="true" outlineLevel="0" collapsed="false"/>
    <row r="321" customFormat="false" ht="12.75" hidden="false" customHeight="true" outlineLevel="0" collapsed="false"/>
    <row r="322" customFormat="false" ht="12.75" hidden="false" customHeight="true" outlineLevel="0" collapsed="false"/>
    <row r="323" customFormat="false" ht="12.75" hidden="false" customHeight="true" outlineLevel="0" collapsed="false"/>
    <row r="324" customFormat="false" ht="12.75" hidden="false" customHeight="true" outlineLevel="0" collapsed="false"/>
    <row r="325" customFormat="false" ht="12.75" hidden="false" customHeight="true" outlineLevel="0" collapsed="false"/>
    <row r="326" customFormat="false" ht="12.75" hidden="false" customHeight="true" outlineLevel="0" collapsed="false"/>
    <row r="327" customFormat="false" ht="12.75" hidden="false" customHeight="true" outlineLevel="0" collapsed="false"/>
    <row r="328" customFormat="false" ht="12.75" hidden="false" customHeight="true" outlineLevel="0" collapsed="false"/>
    <row r="329" customFormat="false" ht="12.75" hidden="false" customHeight="true" outlineLevel="0" collapsed="false"/>
    <row r="330" customFormat="false" ht="12.75" hidden="false" customHeight="true" outlineLevel="0" collapsed="false"/>
    <row r="331" customFormat="false" ht="12.75" hidden="false" customHeight="true" outlineLevel="0" collapsed="false"/>
    <row r="332" customFormat="false" ht="12.75" hidden="false" customHeight="true" outlineLevel="0" collapsed="false"/>
    <row r="333" customFormat="false" ht="12.75" hidden="false" customHeight="true" outlineLevel="0" collapsed="false"/>
    <row r="334" customFormat="false" ht="12.75" hidden="false" customHeight="true" outlineLevel="0" collapsed="false"/>
    <row r="335" customFormat="false" ht="12.75" hidden="false" customHeight="true" outlineLevel="0" collapsed="false"/>
    <row r="336" customFormat="false" ht="12.75" hidden="false" customHeight="true" outlineLevel="0" collapsed="false"/>
    <row r="337" customFormat="false" ht="12.75" hidden="false" customHeight="true" outlineLevel="0" collapsed="false"/>
    <row r="338" customFormat="false" ht="12.75" hidden="false" customHeight="true" outlineLevel="0" collapsed="false"/>
    <row r="339" customFormat="false" ht="12.75" hidden="false" customHeight="true" outlineLevel="0" collapsed="false"/>
    <row r="340" customFormat="false" ht="12.75" hidden="false" customHeight="true" outlineLevel="0" collapsed="false"/>
    <row r="341" customFormat="false" ht="12.75" hidden="false" customHeight="true" outlineLevel="0" collapsed="false"/>
    <row r="342" customFormat="false" ht="12.75" hidden="false" customHeight="true" outlineLevel="0" collapsed="false"/>
    <row r="343" customFormat="false" ht="12.75" hidden="false" customHeight="true" outlineLevel="0" collapsed="false"/>
    <row r="344" customFormat="false" ht="12.75" hidden="false" customHeight="true" outlineLevel="0" collapsed="false"/>
    <row r="345" customFormat="false" ht="12.75" hidden="false" customHeight="true" outlineLevel="0" collapsed="false"/>
    <row r="346" customFormat="false" ht="12.75" hidden="false" customHeight="true" outlineLevel="0" collapsed="false"/>
    <row r="347" customFormat="false" ht="12.75" hidden="false" customHeight="true" outlineLevel="0" collapsed="false"/>
    <row r="348" customFormat="false" ht="12.75" hidden="false" customHeight="true" outlineLevel="0" collapsed="false"/>
    <row r="349" customFormat="false" ht="12.75" hidden="false" customHeight="true" outlineLevel="0" collapsed="false"/>
    <row r="350" customFormat="false" ht="12.75" hidden="false" customHeight="true" outlineLevel="0" collapsed="false"/>
    <row r="351" customFormat="false" ht="12.75" hidden="false" customHeight="true" outlineLevel="0" collapsed="false"/>
    <row r="352" customFormat="false" ht="12.75" hidden="false" customHeight="true" outlineLevel="0" collapsed="false"/>
    <row r="353" customFormat="false" ht="12.75" hidden="false" customHeight="true" outlineLevel="0" collapsed="false"/>
    <row r="354" customFormat="false" ht="12.75" hidden="false" customHeight="true" outlineLevel="0" collapsed="false"/>
    <row r="355" customFormat="false" ht="12.75" hidden="false" customHeight="true" outlineLevel="0" collapsed="false"/>
    <row r="356" customFormat="false" ht="12.75" hidden="false" customHeight="true" outlineLevel="0" collapsed="false"/>
    <row r="357" customFormat="false" ht="12.75" hidden="false" customHeight="true" outlineLevel="0" collapsed="false"/>
    <row r="358" customFormat="false" ht="12.75" hidden="false" customHeight="true" outlineLevel="0" collapsed="false"/>
    <row r="359" customFormat="false" ht="12.75" hidden="false" customHeight="true" outlineLevel="0" collapsed="false"/>
    <row r="360" customFormat="false" ht="12.75" hidden="false" customHeight="true" outlineLevel="0" collapsed="false"/>
    <row r="361" customFormat="false" ht="12.75" hidden="false" customHeight="true" outlineLevel="0" collapsed="false"/>
    <row r="362" customFormat="false" ht="12.75" hidden="false" customHeight="true" outlineLevel="0" collapsed="false"/>
    <row r="363" customFormat="false" ht="12.75" hidden="false" customHeight="true" outlineLevel="0" collapsed="false"/>
    <row r="364" customFormat="false" ht="12.75" hidden="false" customHeight="true" outlineLevel="0" collapsed="false"/>
    <row r="365" customFormat="false" ht="12.75" hidden="false" customHeight="true" outlineLevel="0" collapsed="false"/>
    <row r="366" customFormat="false" ht="12.75" hidden="false" customHeight="true" outlineLevel="0" collapsed="false"/>
    <row r="367" customFormat="false" ht="12.75" hidden="false" customHeight="true" outlineLevel="0" collapsed="false"/>
    <row r="368" customFormat="false" ht="12.75" hidden="false" customHeight="true" outlineLevel="0" collapsed="false"/>
    <row r="369" customFormat="false" ht="12.75" hidden="false" customHeight="true" outlineLevel="0" collapsed="false"/>
    <row r="370" customFormat="false" ht="12.75" hidden="false" customHeight="true" outlineLevel="0" collapsed="false"/>
    <row r="371" customFormat="false" ht="12.75" hidden="false" customHeight="true" outlineLevel="0" collapsed="false"/>
    <row r="372" customFormat="false" ht="12.75" hidden="false" customHeight="true" outlineLevel="0" collapsed="false"/>
    <row r="373" customFormat="false" ht="12.75" hidden="false" customHeight="true" outlineLevel="0" collapsed="false"/>
    <row r="374" customFormat="false" ht="12.75" hidden="false" customHeight="true" outlineLevel="0" collapsed="false"/>
    <row r="375" customFormat="false" ht="12.75" hidden="false" customHeight="true" outlineLevel="0" collapsed="false"/>
    <row r="376" customFormat="false" ht="12.75" hidden="false" customHeight="true" outlineLevel="0" collapsed="false"/>
    <row r="377" customFormat="false" ht="12.75" hidden="false" customHeight="true" outlineLevel="0" collapsed="false"/>
    <row r="378" customFormat="false" ht="12.75" hidden="false" customHeight="true" outlineLevel="0" collapsed="false"/>
    <row r="379" customFormat="false" ht="12.75" hidden="false" customHeight="true" outlineLevel="0" collapsed="false"/>
    <row r="380" customFormat="false" ht="12.75" hidden="false" customHeight="true" outlineLevel="0" collapsed="false"/>
    <row r="381" customFormat="false" ht="12.75" hidden="false" customHeight="true" outlineLevel="0" collapsed="false"/>
    <row r="382" customFormat="false" ht="12.75" hidden="false" customHeight="true" outlineLevel="0" collapsed="false"/>
    <row r="383" customFormat="false" ht="12.75" hidden="false" customHeight="true" outlineLevel="0" collapsed="false"/>
    <row r="384" customFormat="false" ht="12.75" hidden="false" customHeight="true" outlineLevel="0" collapsed="false"/>
    <row r="385" customFormat="false" ht="12.75" hidden="false" customHeight="true" outlineLevel="0" collapsed="false"/>
    <row r="386" customFormat="false" ht="12.75" hidden="false" customHeight="true" outlineLevel="0" collapsed="false"/>
    <row r="387" customFormat="false" ht="12.75" hidden="false" customHeight="true" outlineLevel="0" collapsed="false"/>
    <row r="388" customFormat="false" ht="12.75" hidden="false" customHeight="true" outlineLevel="0" collapsed="false"/>
    <row r="389" customFormat="false" ht="12.75" hidden="false" customHeight="true" outlineLevel="0" collapsed="false"/>
    <row r="390" customFormat="false" ht="12.75" hidden="false" customHeight="true" outlineLevel="0" collapsed="false"/>
    <row r="391" customFormat="false" ht="12.75" hidden="false" customHeight="true" outlineLevel="0" collapsed="false"/>
    <row r="392" customFormat="false" ht="12.75" hidden="false" customHeight="true" outlineLevel="0" collapsed="false"/>
    <row r="393" customFormat="false" ht="12.75" hidden="false" customHeight="true" outlineLevel="0" collapsed="false"/>
    <row r="394" customFormat="false" ht="12.75" hidden="false" customHeight="true" outlineLevel="0" collapsed="false"/>
    <row r="395" customFormat="false" ht="12.75" hidden="false" customHeight="true" outlineLevel="0" collapsed="false"/>
    <row r="396" customFormat="false" ht="12.75" hidden="false" customHeight="true" outlineLevel="0" collapsed="false"/>
    <row r="397" customFormat="false" ht="12.75" hidden="false" customHeight="true" outlineLevel="0" collapsed="false"/>
    <row r="398" customFormat="false" ht="12.75" hidden="false" customHeight="true" outlineLevel="0" collapsed="false"/>
    <row r="399" customFormat="false" ht="12.75" hidden="false" customHeight="true" outlineLevel="0" collapsed="false"/>
    <row r="400" customFormat="false" ht="12.75" hidden="false" customHeight="true" outlineLevel="0" collapsed="false"/>
    <row r="401" customFormat="false" ht="12.75" hidden="false" customHeight="true" outlineLevel="0" collapsed="false"/>
    <row r="402" customFormat="false" ht="12.75" hidden="false" customHeight="true" outlineLevel="0" collapsed="false"/>
    <row r="403" customFormat="false" ht="12.75" hidden="false" customHeight="true" outlineLevel="0" collapsed="false"/>
    <row r="404" customFormat="false" ht="12.75" hidden="false" customHeight="true" outlineLevel="0" collapsed="false"/>
    <row r="405" customFormat="false" ht="12.75" hidden="false" customHeight="true" outlineLevel="0" collapsed="false"/>
    <row r="406" customFormat="false" ht="12.75" hidden="false" customHeight="true" outlineLevel="0" collapsed="false"/>
    <row r="407" customFormat="false" ht="12.75" hidden="false" customHeight="true" outlineLevel="0" collapsed="false"/>
    <row r="408" customFormat="false" ht="12.75" hidden="false" customHeight="true" outlineLevel="0" collapsed="false"/>
    <row r="409" customFormat="false" ht="12.75" hidden="false" customHeight="true" outlineLevel="0" collapsed="false"/>
    <row r="410" customFormat="false" ht="12.75" hidden="false" customHeight="true" outlineLevel="0" collapsed="false"/>
    <row r="411" customFormat="false" ht="12.75" hidden="false" customHeight="true" outlineLevel="0" collapsed="false"/>
    <row r="412" customFormat="false" ht="12.75" hidden="false" customHeight="true" outlineLevel="0" collapsed="false"/>
    <row r="413" customFormat="false" ht="12.75" hidden="false" customHeight="true" outlineLevel="0" collapsed="false"/>
    <row r="414" customFormat="false" ht="12.75" hidden="false" customHeight="true" outlineLevel="0" collapsed="false"/>
    <row r="415" customFormat="false" ht="12.75" hidden="false" customHeight="true" outlineLevel="0" collapsed="false"/>
    <row r="416" customFormat="false" ht="12.75" hidden="false" customHeight="true" outlineLevel="0" collapsed="false"/>
    <row r="417" customFormat="false" ht="12.75" hidden="false" customHeight="true" outlineLevel="0" collapsed="false"/>
    <row r="418" customFormat="false" ht="12.75" hidden="false" customHeight="true" outlineLevel="0" collapsed="false"/>
    <row r="419" customFormat="false" ht="12.75" hidden="false" customHeight="true" outlineLevel="0" collapsed="false"/>
    <row r="420" customFormat="false" ht="12.75" hidden="false" customHeight="true" outlineLevel="0" collapsed="false"/>
    <row r="421" customFormat="false" ht="12.75" hidden="false" customHeight="true" outlineLevel="0" collapsed="false"/>
    <row r="422" customFormat="false" ht="12.75" hidden="false" customHeight="true" outlineLevel="0" collapsed="false"/>
    <row r="423" customFormat="false" ht="12.75" hidden="false" customHeight="true" outlineLevel="0" collapsed="false"/>
    <row r="424" customFormat="false" ht="12.75" hidden="false" customHeight="true" outlineLevel="0" collapsed="false"/>
    <row r="425" customFormat="false" ht="12.75" hidden="false" customHeight="true" outlineLevel="0" collapsed="false"/>
    <row r="426" customFormat="false" ht="12.75" hidden="false" customHeight="true" outlineLevel="0" collapsed="false"/>
    <row r="427" customFormat="false" ht="12.75" hidden="false" customHeight="true" outlineLevel="0" collapsed="false"/>
    <row r="428" customFormat="false" ht="12.75" hidden="false" customHeight="true" outlineLevel="0" collapsed="false"/>
    <row r="429" customFormat="false" ht="12.75" hidden="false" customHeight="true" outlineLevel="0" collapsed="false"/>
    <row r="430" customFormat="false" ht="12.75" hidden="false" customHeight="true" outlineLevel="0" collapsed="false"/>
    <row r="431" customFormat="false" ht="12.75" hidden="false" customHeight="true" outlineLevel="0" collapsed="false"/>
    <row r="432" customFormat="false" ht="12.75" hidden="false" customHeight="true" outlineLevel="0" collapsed="false"/>
    <row r="433" customFormat="false" ht="12.75" hidden="false" customHeight="true" outlineLevel="0" collapsed="false"/>
    <row r="434" customFormat="false" ht="12.75" hidden="false" customHeight="true" outlineLevel="0" collapsed="false"/>
    <row r="435" customFormat="false" ht="12.75" hidden="false" customHeight="true" outlineLevel="0" collapsed="false"/>
    <row r="436" customFormat="false" ht="12.75" hidden="false" customHeight="true" outlineLevel="0" collapsed="false"/>
    <row r="437" customFormat="false" ht="12.75" hidden="false" customHeight="true" outlineLevel="0" collapsed="false"/>
    <row r="438" customFormat="false" ht="12.75" hidden="false" customHeight="true" outlineLevel="0" collapsed="false"/>
    <row r="439" customFormat="false" ht="12.75" hidden="false" customHeight="true" outlineLevel="0" collapsed="false"/>
    <row r="440" customFormat="false" ht="12.75" hidden="false" customHeight="true" outlineLevel="0" collapsed="false"/>
    <row r="441" customFormat="false" ht="12.75" hidden="false" customHeight="true" outlineLevel="0" collapsed="false"/>
    <row r="442" customFormat="false" ht="12.75" hidden="false" customHeight="true" outlineLevel="0" collapsed="false"/>
    <row r="443" customFormat="false" ht="12.75" hidden="false" customHeight="true" outlineLevel="0" collapsed="false"/>
    <row r="444" customFormat="false" ht="12.75" hidden="false" customHeight="true" outlineLevel="0" collapsed="false"/>
    <row r="445" customFormat="false" ht="12.75" hidden="false" customHeight="true" outlineLevel="0" collapsed="false"/>
    <row r="446" customFormat="false" ht="12.75" hidden="false" customHeight="true" outlineLevel="0" collapsed="false"/>
    <row r="447" customFormat="false" ht="12.75" hidden="false" customHeight="true" outlineLevel="0" collapsed="false"/>
    <row r="448" customFormat="false" ht="12.75" hidden="false" customHeight="true" outlineLevel="0" collapsed="false"/>
    <row r="449" customFormat="false" ht="12.75" hidden="false" customHeight="true" outlineLevel="0" collapsed="false"/>
    <row r="450" customFormat="false" ht="12.75" hidden="false" customHeight="true" outlineLevel="0" collapsed="false"/>
    <row r="451" customFormat="false" ht="12.75" hidden="false" customHeight="true" outlineLevel="0" collapsed="false"/>
    <row r="452" customFormat="false" ht="12.75" hidden="false" customHeight="true" outlineLevel="0" collapsed="false"/>
    <row r="453" customFormat="false" ht="12.75" hidden="false" customHeight="true" outlineLevel="0" collapsed="false"/>
    <row r="454" customFormat="false" ht="12.75" hidden="false" customHeight="true" outlineLevel="0" collapsed="false"/>
    <row r="455" customFormat="false" ht="12.75" hidden="false" customHeight="true" outlineLevel="0" collapsed="false"/>
    <row r="456" customFormat="false" ht="12.75" hidden="false" customHeight="true" outlineLevel="0" collapsed="false"/>
    <row r="457" customFormat="false" ht="12.75" hidden="false" customHeight="true" outlineLevel="0" collapsed="false"/>
    <row r="458" customFormat="false" ht="12.75" hidden="false" customHeight="true" outlineLevel="0" collapsed="false"/>
    <row r="459" customFormat="false" ht="12.75" hidden="false" customHeight="true" outlineLevel="0" collapsed="false"/>
    <row r="460" customFormat="false" ht="12.75" hidden="false" customHeight="true" outlineLevel="0" collapsed="false"/>
    <row r="461" customFormat="false" ht="12.75" hidden="false" customHeight="true" outlineLevel="0" collapsed="false"/>
    <row r="462" customFormat="false" ht="12.75" hidden="false" customHeight="true" outlineLevel="0" collapsed="false"/>
    <row r="463" customFormat="false" ht="12.75" hidden="false" customHeight="true" outlineLevel="0" collapsed="false"/>
    <row r="464" customFormat="false" ht="12.75" hidden="false" customHeight="true" outlineLevel="0" collapsed="false"/>
    <row r="465" customFormat="false" ht="12.75" hidden="false" customHeight="true" outlineLevel="0" collapsed="false"/>
    <row r="466" customFormat="false" ht="12.75" hidden="false" customHeight="true" outlineLevel="0" collapsed="false"/>
    <row r="467" customFormat="false" ht="12.75" hidden="false" customHeight="true" outlineLevel="0" collapsed="false"/>
    <row r="468" customFormat="false" ht="12.75" hidden="false" customHeight="true" outlineLevel="0" collapsed="false"/>
    <row r="469" customFormat="false" ht="12.75" hidden="false" customHeight="true" outlineLevel="0" collapsed="false"/>
    <row r="470" customFormat="false" ht="12.75" hidden="false" customHeight="true" outlineLevel="0" collapsed="false"/>
    <row r="471" customFormat="false" ht="12.75" hidden="false" customHeight="true" outlineLevel="0" collapsed="false"/>
    <row r="472" customFormat="false" ht="12.75" hidden="false" customHeight="true" outlineLevel="0" collapsed="false"/>
    <row r="473" customFormat="false" ht="12.75" hidden="false" customHeight="true" outlineLevel="0" collapsed="false"/>
    <row r="474" customFormat="false" ht="12.75" hidden="false" customHeight="true" outlineLevel="0" collapsed="false"/>
    <row r="475" customFormat="false" ht="12.75" hidden="false" customHeight="true" outlineLevel="0" collapsed="false"/>
    <row r="476" customFormat="false" ht="12.75" hidden="false" customHeight="true" outlineLevel="0" collapsed="false"/>
    <row r="477" customFormat="false" ht="12.75" hidden="false" customHeight="true" outlineLevel="0" collapsed="false"/>
    <row r="478" customFormat="false" ht="12.75" hidden="false" customHeight="true" outlineLevel="0" collapsed="false"/>
    <row r="479" customFormat="false" ht="12.75" hidden="false" customHeight="true" outlineLevel="0" collapsed="false"/>
    <row r="480" customFormat="false" ht="12.75" hidden="false" customHeight="true" outlineLevel="0" collapsed="false"/>
    <row r="481" customFormat="false" ht="12.75" hidden="false" customHeight="true" outlineLevel="0" collapsed="false"/>
    <row r="482" customFormat="false" ht="12.75" hidden="false" customHeight="true" outlineLevel="0" collapsed="false"/>
    <row r="483" customFormat="false" ht="12.75" hidden="false" customHeight="true" outlineLevel="0" collapsed="false"/>
    <row r="484" customFormat="false" ht="12.75" hidden="false" customHeight="true" outlineLevel="0" collapsed="false"/>
    <row r="485" customFormat="false" ht="12.75" hidden="false" customHeight="true" outlineLevel="0" collapsed="false"/>
    <row r="486" customFormat="false" ht="12.75" hidden="false" customHeight="true" outlineLevel="0" collapsed="false"/>
    <row r="487" customFormat="false" ht="12.75" hidden="false" customHeight="true" outlineLevel="0" collapsed="false"/>
    <row r="488" customFormat="false" ht="12.75" hidden="false" customHeight="true" outlineLevel="0" collapsed="false"/>
    <row r="489" customFormat="false" ht="12.75" hidden="false" customHeight="true" outlineLevel="0" collapsed="false"/>
    <row r="490" customFormat="false" ht="12.75" hidden="false" customHeight="true" outlineLevel="0" collapsed="false"/>
    <row r="491" customFormat="false" ht="12.75" hidden="false" customHeight="true" outlineLevel="0" collapsed="false"/>
    <row r="492" customFormat="false" ht="12.75" hidden="false" customHeight="true" outlineLevel="0" collapsed="false"/>
    <row r="493" customFormat="false" ht="12.75" hidden="false" customHeight="true" outlineLevel="0" collapsed="false"/>
    <row r="494" customFormat="false" ht="12.75" hidden="false" customHeight="true" outlineLevel="0" collapsed="false"/>
    <row r="495" customFormat="false" ht="12.75" hidden="false" customHeight="true" outlineLevel="0" collapsed="false"/>
    <row r="496" customFormat="false" ht="12.75" hidden="false" customHeight="true" outlineLevel="0" collapsed="false"/>
    <row r="497" customFormat="false" ht="12.75" hidden="false" customHeight="true" outlineLevel="0" collapsed="false"/>
    <row r="498" customFormat="false" ht="12.75" hidden="false" customHeight="true" outlineLevel="0" collapsed="false"/>
    <row r="499" customFormat="false" ht="12.75" hidden="false" customHeight="true" outlineLevel="0" collapsed="false"/>
    <row r="500" customFormat="false" ht="12.75" hidden="false" customHeight="true" outlineLevel="0" collapsed="false"/>
    <row r="501" customFormat="false" ht="12.75" hidden="false" customHeight="true" outlineLevel="0" collapsed="false"/>
    <row r="502" customFormat="false" ht="12.75" hidden="false" customHeight="true" outlineLevel="0" collapsed="false"/>
    <row r="503" customFormat="false" ht="12.75" hidden="false" customHeight="true" outlineLevel="0" collapsed="false"/>
    <row r="504" customFormat="false" ht="12.75" hidden="false" customHeight="true" outlineLevel="0" collapsed="false"/>
    <row r="505" customFormat="false" ht="12.75" hidden="false" customHeight="true" outlineLevel="0" collapsed="false"/>
    <row r="506" customFormat="false" ht="12.75" hidden="false" customHeight="true" outlineLevel="0" collapsed="false"/>
    <row r="507" customFormat="false" ht="12.75" hidden="false" customHeight="true" outlineLevel="0" collapsed="false"/>
    <row r="508" customFormat="false" ht="12.75" hidden="false" customHeight="true" outlineLevel="0" collapsed="false"/>
    <row r="509" customFormat="false" ht="12.75" hidden="false" customHeight="true" outlineLevel="0" collapsed="false"/>
    <row r="510" customFormat="false" ht="12.75" hidden="false" customHeight="true" outlineLevel="0" collapsed="false"/>
    <row r="511" customFormat="false" ht="12.75" hidden="false" customHeight="true" outlineLevel="0" collapsed="false"/>
    <row r="512" customFormat="false" ht="12.75" hidden="false" customHeight="true" outlineLevel="0" collapsed="false"/>
    <row r="513" customFormat="false" ht="12.75" hidden="false" customHeight="true" outlineLevel="0" collapsed="false"/>
    <row r="514" customFormat="false" ht="12.75" hidden="false" customHeight="true" outlineLevel="0" collapsed="false"/>
    <row r="515" customFormat="false" ht="12.75" hidden="false" customHeight="true" outlineLevel="0" collapsed="false"/>
    <row r="516" customFormat="false" ht="12.75" hidden="false" customHeight="true" outlineLevel="0" collapsed="false"/>
    <row r="517" customFormat="false" ht="12.75" hidden="false" customHeight="true" outlineLevel="0" collapsed="false"/>
    <row r="518" customFormat="false" ht="12.75" hidden="false" customHeight="true" outlineLevel="0" collapsed="false"/>
    <row r="519" customFormat="false" ht="12.75" hidden="false" customHeight="true" outlineLevel="0" collapsed="false"/>
    <row r="520" customFormat="false" ht="12.75" hidden="false" customHeight="true" outlineLevel="0" collapsed="false"/>
    <row r="521" customFormat="false" ht="12.75" hidden="false" customHeight="true" outlineLevel="0" collapsed="false"/>
    <row r="522" customFormat="false" ht="12.75" hidden="false" customHeight="true" outlineLevel="0" collapsed="false"/>
    <row r="523" customFormat="false" ht="12.75" hidden="false" customHeight="true" outlineLevel="0" collapsed="false"/>
    <row r="524" customFormat="false" ht="12.75" hidden="false" customHeight="true" outlineLevel="0" collapsed="false"/>
    <row r="525" customFormat="false" ht="12.75" hidden="false" customHeight="true" outlineLevel="0" collapsed="false"/>
    <row r="526" customFormat="false" ht="12.75" hidden="false" customHeight="true" outlineLevel="0" collapsed="false"/>
    <row r="527" customFormat="false" ht="12.75" hidden="false" customHeight="true" outlineLevel="0" collapsed="false"/>
    <row r="528" customFormat="false" ht="12.75" hidden="false" customHeight="true" outlineLevel="0" collapsed="false"/>
    <row r="529" customFormat="false" ht="12.75" hidden="false" customHeight="true" outlineLevel="0" collapsed="false"/>
    <row r="530" customFormat="false" ht="12.75" hidden="false" customHeight="true" outlineLevel="0" collapsed="false"/>
    <row r="531" customFormat="false" ht="12.75" hidden="false" customHeight="true" outlineLevel="0" collapsed="false"/>
    <row r="532" customFormat="false" ht="12.75" hidden="false" customHeight="true" outlineLevel="0" collapsed="false"/>
    <row r="533" customFormat="false" ht="12.75" hidden="false" customHeight="true" outlineLevel="0" collapsed="false"/>
    <row r="534" customFormat="false" ht="12.75" hidden="false" customHeight="true" outlineLevel="0" collapsed="false"/>
    <row r="535" customFormat="false" ht="12.75" hidden="false" customHeight="true" outlineLevel="0" collapsed="false"/>
    <row r="536" customFormat="false" ht="12.75" hidden="false" customHeight="true" outlineLevel="0" collapsed="false"/>
    <row r="537" customFormat="false" ht="12.75" hidden="false" customHeight="true" outlineLevel="0" collapsed="false"/>
    <row r="538" customFormat="false" ht="12.75" hidden="false" customHeight="true" outlineLevel="0" collapsed="false"/>
    <row r="539" customFormat="false" ht="12.75" hidden="false" customHeight="true" outlineLevel="0" collapsed="false"/>
    <row r="540" customFormat="false" ht="12.75" hidden="false" customHeight="true" outlineLevel="0" collapsed="false"/>
    <row r="541" customFormat="false" ht="12.75" hidden="false" customHeight="true" outlineLevel="0" collapsed="false"/>
    <row r="542" customFormat="false" ht="12.75" hidden="false" customHeight="true" outlineLevel="0" collapsed="false"/>
    <row r="543" customFormat="false" ht="12.75" hidden="false" customHeight="true" outlineLevel="0" collapsed="false"/>
    <row r="544" customFormat="false" ht="12.75" hidden="false" customHeight="true" outlineLevel="0" collapsed="false"/>
    <row r="545" customFormat="false" ht="12.75" hidden="false" customHeight="true" outlineLevel="0" collapsed="false"/>
    <row r="546" customFormat="false" ht="12.75" hidden="false" customHeight="true" outlineLevel="0" collapsed="false"/>
    <row r="547" customFormat="false" ht="12.75" hidden="false" customHeight="true" outlineLevel="0" collapsed="false"/>
    <row r="548" customFormat="false" ht="12.75" hidden="false" customHeight="true" outlineLevel="0" collapsed="false"/>
    <row r="549" customFormat="false" ht="12.75" hidden="false" customHeight="true" outlineLevel="0" collapsed="false"/>
    <row r="550" customFormat="false" ht="12.75" hidden="false" customHeight="true" outlineLevel="0" collapsed="false"/>
    <row r="551" customFormat="false" ht="12.75" hidden="false" customHeight="true" outlineLevel="0" collapsed="false"/>
    <row r="552" customFormat="false" ht="12.75" hidden="false" customHeight="true" outlineLevel="0" collapsed="false"/>
    <row r="553" customFormat="false" ht="12.75" hidden="false" customHeight="true" outlineLevel="0" collapsed="false"/>
    <row r="554" customFormat="false" ht="12.75" hidden="false" customHeight="true" outlineLevel="0" collapsed="false"/>
    <row r="555" customFormat="false" ht="12.75" hidden="false" customHeight="true" outlineLevel="0" collapsed="false"/>
    <row r="556" customFormat="false" ht="12.75" hidden="false" customHeight="true" outlineLevel="0" collapsed="false"/>
    <row r="557" customFormat="false" ht="12.75" hidden="false" customHeight="true" outlineLevel="0" collapsed="false"/>
    <row r="558" customFormat="false" ht="12.75" hidden="false" customHeight="true" outlineLevel="0" collapsed="false"/>
    <row r="559" customFormat="false" ht="12.75" hidden="false" customHeight="true" outlineLevel="0" collapsed="false"/>
    <row r="560" customFormat="false" ht="12.75" hidden="false" customHeight="true" outlineLevel="0" collapsed="false"/>
    <row r="561" customFormat="false" ht="12.75" hidden="false" customHeight="true" outlineLevel="0" collapsed="false"/>
    <row r="562" customFormat="false" ht="12.75" hidden="false" customHeight="true" outlineLevel="0" collapsed="false"/>
    <row r="563" customFormat="false" ht="12.75" hidden="false" customHeight="true" outlineLevel="0" collapsed="false"/>
    <row r="564" customFormat="false" ht="12.75" hidden="false" customHeight="true" outlineLevel="0" collapsed="false"/>
    <row r="565" customFormat="false" ht="12.75" hidden="false" customHeight="true" outlineLevel="0" collapsed="false"/>
    <row r="566" customFormat="false" ht="12.75" hidden="false" customHeight="true" outlineLevel="0" collapsed="false"/>
    <row r="567" customFormat="false" ht="12.75" hidden="false" customHeight="true" outlineLevel="0" collapsed="false"/>
    <row r="568" customFormat="false" ht="12.75" hidden="false" customHeight="true" outlineLevel="0" collapsed="false"/>
    <row r="569" customFormat="false" ht="12.75" hidden="false" customHeight="true" outlineLevel="0" collapsed="false"/>
    <row r="570" customFormat="false" ht="12.75" hidden="false" customHeight="true" outlineLevel="0" collapsed="false"/>
    <row r="571" customFormat="false" ht="12.75" hidden="false" customHeight="true" outlineLevel="0" collapsed="false"/>
    <row r="572" customFormat="false" ht="12.75" hidden="false" customHeight="true" outlineLevel="0" collapsed="false"/>
    <row r="573" customFormat="false" ht="12.75" hidden="false" customHeight="true" outlineLevel="0" collapsed="false"/>
    <row r="574" customFormat="false" ht="12.75" hidden="false" customHeight="true" outlineLevel="0" collapsed="false"/>
    <row r="575" customFormat="false" ht="12.75" hidden="false" customHeight="true" outlineLevel="0" collapsed="false"/>
    <row r="576" customFormat="false" ht="12.75" hidden="false" customHeight="true" outlineLevel="0" collapsed="false"/>
    <row r="577" customFormat="false" ht="12.75" hidden="false" customHeight="true" outlineLevel="0" collapsed="false"/>
    <row r="578" customFormat="false" ht="12.75" hidden="false" customHeight="true" outlineLevel="0" collapsed="false"/>
    <row r="579" customFormat="false" ht="12.75" hidden="false" customHeight="true" outlineLevel="0" collapsed="false"/>
    <row r="580" customFormat="false" ht="12.75" hidden="false" customHeight="true" outlineLevel="0" collapsed="false"/>
    <row r="581" customFormat="false" ht="12.75" hidden="false" customHeight="true" outlineLevel="0" collapsed="false"/>
    <row r="582" customFormat="false" ht="12.75" hidden="false" customHeight="true" outlineLevel="0" collapsed="false"/>
    <row r="583" customFormat="false" ht="12.75" hidden="false" customHeight="true" outlineLevel="0" collapsed="false"/>
    <row r="584" customFormat="false" ht="12.75" hidden="false" customHeight="true" outlineLevel="0" collapsed="false"/>
    <row r="585" customFormat="false" ht="12.75" hidden="false" customHeight="true" outlineLevel="0" collapsed="false"/>
    <row r="586" customFormat="false" ht="12.75" hidden="false" customHeight="true" outlineLevel="0" collapsed="false"/>
    <row r="587" customFormat="false" ht="12.75" hidden="false" customHeight="true" outlineLevel="0" collapsed="false"/>
    <row r="588" customFormat="false" ht="12.75" hidden="false" customHeight="true" outlineLevel="0" collapsed="false"/>
    <row r="589" customFormat="false" ht="12.75" hidden="false" customHeight="true" outlineLevel="0" collapsed="false"/>
    <row r="590" customFormat="false" ht="12.75" hidden="false" customHeight="true" outlineLevel="0" collapsed="false"/>
    <row r="591" customFormat="false" ht="12.75" hidden="false" customHeight="true" outlineLevel="0" collapsed="false"/>
    <row r="592" customFormat="false" ht="12.75" hidden="false" customHeight="true" outlineLevel="0" collapsed="false"/>
    <row r="593" customFormat="false" ht="12.75" hidden="false" customHeight="true" outlineLevel="0" collapsed="false"/>
    <row r="594" customFormat="false" ht="12.75" hidden="false" customHeight="true" outlineLevel="0" collapsed="false"/>
    <row r="595" customFormat="false" ht="12.75" hidden="false" customHeight="true" outlineLevel="0" collapsed="false"/>
    <row r="596" customFormat="false" ht="12.75" hidden="false" customHeight="true" outlineLevel="0" collapsed="false"/>
    <row r="597" customFormat="false" ht="12.75" hidden="false" customHeight="true" outlineLevel="0" collapsed="false"/>
    <row r="598" customFormat="false" ht="12.75" hidden="false" customHeight="true" outlineLevel="0" collapsed="false"/>
    <row r="599" customFormat="false" ht="12.75" hidden="false" customHeight="true" outlineLevel="0" collapsed="false"/>
    <row r="600" customFormat="false" ht="12.75" hidden="false" customHeight="true" outlineLevel="0" collapsed="false"/>
    <row r="601" customFormat="false" ht="12.75" hidden="false" customHeight="true" outlineLevel="0" collapsed="false"/>
    <row r="602" customFormat="false" ht="12.75" hidden="false" customHeight="true" outlineLevel="0" collapsed="false"/>
    <row r="603" customFormat="false" ht="12.75" hidden="false" customHeight="true" outlineLevel="0" collapsed="false"/>
    <row r="604" customFormat="false" ht="12.75" hidden="false" customHeight="true" outlineLevel="0" collapsed="false"/>
    <row r="605" customFormat="false" ht="12.75" hidden="false" customHeight="true" outlineLevel="0" collapsed="false"/>
    <row r="606" customFormat="false" ht="12.75" hidden="false" customHeight="true" outlineLevel="0" collapsed="false"/>
    <row r="607" customFormat="false" ht="12.75" hidden="false" customHeight="true" outlineLevel="0" collapsed="false"/>
    <row r="608" customFormat="false" ht="12.75" hidden="false" customHeight="true" outlineLevel="0" collapsed="false"/>
    <row r="609" customFormat="false" ht="12.75" hidden="false" customHeight="true" outlineLevel="0" collapsed="false"/>
    <row r="610" customFormat="false" ht="12.75" hidden="false" customHeight="true" outlineLevel="0" collapsed="false"/>
    <row r="611" customFormat="false" ht="12.75" hidden="false" customHeight="true" outlineLevel="0" collapsed="false"/>
    <row r="612" customFormat="false" ht="12.75" hidden="false" customHeight="true" outlineLevel="0" collapsed="false"/>
    <row r="613" customFormat="false" ht="12.75" hidden="false" customHeight="true" outlineLevel="0" collapsed="false"/>
    <row r="614" customFormat="false" ht="12.75" hidden="false" customHeight="true" outlineLevel="0" collapsed="false"/>
    <row r="615" customFormat="false" ht="12.75" hidden="false" customHeight="true" outlineLevel="0" collapsed="false"/>
    <row r="616" customFormat="false" ht="12.75" hidden="false" customHeight="true" outlineLevel="0" collapsed="false"/>
    <row r="617" customFormat="false" ht="12.75" hidden="false" customHeight="true" outlineLevel="0" collapsed="false"/>
    <row r="618" customFormat="false" ht="12.75" hidden="false" customHeight="true" outlineLevel="0" collapsed="false"/>
    <row r="619" customFormat="false" ht="12.75" hidden="false" customHeight="true" outlineLevel="0" collapsed="false"/>
    <row r="620" customFormat="false" ht="12.75" hidden="false" customHeight="true" outlineLevel="0" collapsed="false"/>
    <row r="621" customFormat="false" ht="12.75" hidden="false" customHeight="true" outlineLevel="0" collapsed="false"/>
    <row r="622" customFormat="false" ht="12.75" hidden="false" customHeight="true" outlineLevel="0" collapsed="false"/>
    <row r="623" customFormat="false" ht="12.75" hidden="false" customHeight="true" outlineLevel="0" collapsed="false"/>
    <row r="624" customFormat="false" ht="12.75" hidden="false" customHeight="true" outlineLevel="0" collapsed="false"/>
    <row r="625" customFormat="false" ht="12.75" hidden="false" customHeight="true" outlineLevel="0" collapsed="false"/>
    <row r="626" customFormat="false" ht="12.75" hidden="false" customHeight="true" outlineLevel="0" collapsed="false"/>
    <row r="627" customFormat="false" ht="12.75" hidden="false" customHeight="true" outlineLevel="0" collapsed="false"/>
    <row r="628" customFormat="false" ht="12.75" hidden="false" customHeight="true" outlineLevel="0" collapsed="false"/>
    <row r="629" customFormat="false" ht="12.75" hidden="false" customHeight="true" outlineLevel="0" collapsed="false"/>
    <row r="630" customFormat="false" ht="12.75" hidden="false" customHeight="true" outlineLevel="0" collapsed="false"/>
    <row r="631" customFormat="false" ht="12.75" hidden="false" customHeight="true" outlineLevel="0" collapsed="false"/>
    <row r="632" customFormat="false" ht="12.75" hidden="false" customHeight="true" outlineLevel="0" collapsed="false"/>
    <row r="633" customFormat="false" ht="12.75" hidden="false" customHeight="true" outlineLevel="0" collapsed="false"/>
    <row r="634" customFormat="false" ht="12.75" hidden="false" customHeight="true" outlineLevel="0" collapsed="false"/>
    <row r="635" customFormat="false" ht="12.75" hidden="false" customHeight="true" outlineLevel="0" collapsed="false"/>
    <row r="636" customFormat="false" ht="12.75" hidden="false" customHeight="true" outlineLevel="0" collapsed="false"/>
    <row r="637" customFormat="false" ht="12.75" hidden="false" customHeight="true" outlineLevel="0" collapsed="false"/>
    <row r="638" customFormat="false" ht="12.75" hidden="false" customHeight="true" outlineLevel="0" collapsed="false"/>
    <row r="639" customFormat="false" ht="12.75" hidden="false" customHeight="true" outlineLevel="0" collapsed="false"/>
    <row r="640" customFormat="false" ht="12.75" hidden="false" customHeight="true" outlineLevel="0" collapsed="false"/>
    <row r="641" customFormat="false" ht="12.75" hidden="false" customHeight="true" outlineLevel="0" collapsed="false"/>
    <row r="642" customFormat="false" ht="12.75" hidden="false" customHeight="true" outlineLevel="0" collapsed="false"/>
    <row r="643" customFormat="false" ht="12.75" hidden="false" customHeight="true" outlineLevel="0" collapsed="false"/>
    <row r="644" customFormat="false" ht="12.75" hidden="false" customHeight="true" outlineLevel="0" collapsed="false"/>
    <row r="645" customFormat="false" ht="12.75" hidden="false" customHeight="true" outlineLevel="0" collapsed="false"/>
    <row r="646" customFormat="false" ht="12.75" hidden="false" customHeight="true" outlineLevel="0" collapsed="false"/>
    <row r="647" customFormat="false" ht="12.75" hidden="false" customHeight="true" outlineLevel="0" collapsed="false"/>
    <row r="648" customFormat="false" ht="12.75" hidden="false" customHeight="true" outlineLevel="0" collapsed="false"/>
    <row r="649" customFormat="false" ht="12.75" hidden="false" customHeight="true" outlineLevel="0" collapsed="false"/>
    <row r="650" customFormat="false" ht="12.75" hidden="false" customHeight="true" outlineLevel="0" collapsed="false"/>
    <row r="651" customFormat="false" ht="12.75" hidden="false" customHeight="true" outlineLevel="0" collapsed="false"/>
    <row r="652" customFormat="false" ht="12.75" hidden="false" customHeight="true" outlineLevel="0" collapsed="false"/>
    <row r="653" customFormat="false" ht="12.75" hidden="false" customHeight="true" outlineLevel="0" collapsed="false"/>
    <row r="654" customFormat="false" ht="12.75" hidden="false" customHeight="true" outlineLevel="0" collapsed="false"/>
    <row r="655" customFormat="false" ht="12.75" hidden="false" customHeight="true" outlineLevel="0" collapsed="false"/>
    <row r="656" customFormat="false" ht="12.75" hidden="false" customHeight="true" outlineLevel="0" collapsed="false"/>
    <row r="657" customFormat="false" ht="12.75" hidden="false" customHeight="true" outlineLevel="0" collapsed="false"/>
    <row r="658" customFormat="false" ht="12.75" hidden="false" customHeight="true" outlineLevel="0" collapsed="false"/>
    <row r="659" customFormat="false" ht="12.75" hidden="false" customHeight="true" outlineLevel="0" collapsed="false"/>
    <row r="660" customFormat="false" ht="12.75" hidden="false" customHeight="true" outlineLevel="0" collapsed="false"/>
    <row r="661" customFormat="false" ht="12.75" hidden="false" customHeight="true" outlineLevel="0" collapsed="false"/>
    <row r="662" customFormat="false" ht="12.75" hidden="false" customHeight="true" outlineLevel="0" collapsed="false"/>
    <row r="663" customFormat="false" ht="12.75" hidden="false" customHeight="true" outlineLevel="0" collapsed="false"/>
    <row r="664" customFormat="false" ht="12.75" hidden="false" customHeight="true" outlineLevel="0" collapsed="false"/>
    <row r="665" customFormat="false" ht="12.75" hidden="false" customHeight="true" outlineLevel="0" collapsed="false"/>
    <row r="666" customFormat="false" ht="12.75" hidden="false" customHeight="true" outlineLevel="0" collapsed="false"/>
    <row r="667" customFormat="false" ht="12.75" hidden="false" customHeight="true" outlineLevel="0" collapsed="false"/>
    <row r="668" customFormat="false" ht="12.75" hidden="false" customHeight="true" outlineLevel="0" collapsed="false"/>
    <row r="669" customFormat="false" ht="12.75" hidden="false" customHeight="true" outlineLevel="0" collapsed="false"/>
    <row r="670" customFormat="false" ht="12.75" hidden="false" customHeight="true" outlineLevel="0" collapsed="false"/>
    <row r="671" customFormat="false" ht="12.75" hidden="false" customHeight="true" outlineLevel="0" collapsed="false"/>
    <row r="672" customFormat="false" ht="12.75" hidden="false" customHeight="true" outlineLevel="0" collapsed="false"/>
    <row r="673" customFormat="false" ht="12.75" hidden="false" customHeight="true" outlineLevel="0" collapsed="false"/>
    <row r="674" customFormat="false" ht="12.75" hidden="false" customHeight="true" outlineLevel="0" collapsed="false"/>
    <row r="675" customFormat="false" ht="12.75" hidden="false" customHeight="true" outlineLevel="0" collapsed="false"/>
    <row r="676" customFormat="false" ht="12.75" hidden="false" customHeight="true" outlineLevel="0" collapsed="false"/>
    <row r="677" customFormat="false" ht="12.75" hidden="false" customHeight="true" outlineLevel="0" collapsed="false"/>
    <row r="678" customFormat="false" ht="12.75" hidden="false" customHeight="true" outlineLevel="0" collapsed="false"/>
    <row r="679" customFormat="false" ht="12.75" hidden="false" customHeight="true" outlineLevel="0" collapsed="false"/>
    <row r="680" customFormat="false" ht="12.75" hidden="false" customHeight="true" outlineLevel="0" collapsed="false"/>
    <row r="681" customFormat="false" ht="12.75" hidden="false" customHeight="true" outlineLevel="0" collapsed="false"/>
    <row r="682" customFormat="false" ht="12.75" hidden="false" customHeight="true" outlineLevel="0" collapsed="false"/>
    <row r="683" customFormat="false" ht="12.75" hidden="false" customHeight="true" outlineLevel="0" collapsed="false"/>
    <row r="684" customFormat="false" ht="12.75" hidden="false" customHeight="true" outlineLevel="0" collapsed="false"/>
    <row r="685" customFormat="false" ht="12.75" hidden="false" customHeight="true" outlineLevel="0" collapsed="false"/>
    <row r="686" customFormat="false" ht="12.75" hidden="false" customHeight="true" outlineLevel="0" collapsed="false"/>
    <row r="687" customFormat="false" ht="12.75" hidden="false" customHeight="true" outlineLevel="0" collapsed="false"/>
    <row r="688" customFormat="false" ht="12.75" hidden="false" customHeight="true" outlineLevel="0" collapsed="false"/>
    <row r="689" customFormat="false" ht="12.75" hidden="false" customHeight="true" outlineLevel="0" collapsed="false"/>
    <row r="690" customFormat="false" ht="12.75" hidden="false" customHeight="true" outlineLevel="0" collapsed="false"/>
    <row r="691" customFormat="false" ht="12.75" hidden="false" customHeight="true" outlineLevel="0" collapsed="false"/>
    <row r="692" customFormat="false" ht="12.75" hidden="false" customHeight="true" outlineLevel="0" collapsed="false"/>
    <row r="693" customFormat="false" ht="12.75" hidden="false" customHeight="true" outlineLevel="0" collapsed="false"/>
    <row r="694" customFormat="false" ht="12.75" hidden="false" customHeight="true" outlineLevel="0" collapsed="false"/>
    <row r="695" customFormat="false" ht="12.75" hidden="false" customHeight="true" outlineLevel="0" collapsed="false"/>
    <row r="696" customFormat="false" ht="12.75" hidden="false" customHeight="true" outlineLevel="0" collapsed="false"/>
    <row r="697" customFormat="false" ht="12.75" hidden="false" customHeight="true" outlineLevel="0" collapsed="false"/>
    <row r="698" customFormat="false" ht="12.75" hidden="false" customHeight="true" outlineLevel="0" collapsed="false"/>
    <row r="699" customFormat="false" ht="12.75" hidden="false" customHeight="true" outlineLevel="0" collapsed="false"/>
    <row r="700" customFormat="false" ht="12.75" hidden="false" customHeight="true" outlineLevel="0" collapsed="false"/>
    <row r="701" customFormat="false" ht="12.75" hidden="false" customHeight="true" outlineLevel="0" collapsed="false"/>
    <row r="702" customFormat="false" ht="12.75" hidden="false" customHeight="true" outlineLevel="0" collapsed="false"/>
    <row r="703" customFormat="false" ht="12.75" hidden="false" customHeight="true" outlineLevel="0" collapsed="false"/>
    <row r="704" customFormat="false" ht="12.75" hidden="false" customHeight="true" outlineLevel="0" collapsed="false"/>
    <row r="705" customFormat="false" ht="12.75" hidden="false" customHeight="true" outlineLevel="0" collapsed="false"/>
    <row r="706" customFormat="false" ht="12.75" hidden="false" customHeight="true" outlineLevel="0" collapsed="false"/>
    <row r="707" customFormat="false" ht="12.75" hidden="false" customHeight="true" outlineLevel="0" collapsed="false"/>
    <row r="708" customFormat="false" ht="12.75" hidden="false" customHeight="true" outlineLevel="0" collapsed="false"/>
    <row r="709" customFormat="false" ht="12.75" hidden="false" customHeight="true" outlineLevel="0" collapsed="false"/>
    <row r="710" customFormat="false" ht="12.75" hidden="false" customHeight="true" outlineLevel="0" collapsed="false"/>
    <row r="711" customFormat="false" ht="12.75" hidden="false" customHeight="true" outlineLevel="0" collapsed="false"/>
    <row r="712" customFormat="false" ht="12.75" hidden="false" customHeight="true" outlineLevel="0" collapsed="false"/>
    <row r="713" customFormat="false" ht="12.75" hidden="false" customHeight="true" outlineLevel="0" collapsed="false"/>
    <row r="714" customFormat="false" ht="12.75" hidden="false" customHeight="true" outlineLevel="0" collapsed="false"/>
    <row r="715" customFormat="false" ht="12.75" hidden="false" customHeight="true" outlineLevel="0" collapsed="false"/>
    <row r="716" customFormat="false" ht="12.75" hidden="false" customHeight="true" outlineLevel="0" collapsed="false"/>
    <row r="717" customFormat="false" ht="12.75" hidden="false" customHeight="true" outlineLevel="0" collapsed="false"/>
    <row r="718" customFormat="false" ht="12.75" hidden="false" customHeight="true" outlineLevel="0" collapsed="false"/>
    <row r="719" customFormat="false" ht="12.75" hidden="false" customHeight="true" outlineLevel="0" collapsed="false"/>
    <row r="720" customFormat="false" ht="12.75" hidden="false" customHeight="true" outlineLevel="0" collapsed="false"/>
    <row r="721" customFormat="false" ht="12.75" hidden="false" customHeight="true" outlineLevel="0" collapsed="false"/>
    <row r="722" customFormat="false" ht="12.75" hidden="false" customHeight="true" outlineLevel="0" collapsed="false"/>
    <row r="723" customFormat="false" ht="12.75" hidden="false" customHeight="true" outlineLevel="0" collapsed="false"/>
    <row r="724" customFormat="false" ht="12.75" hidden="false" customHeight="true" outlineLevel="0" collapsed="false"/>
    <row r="725" customFormat="false" ht="12.75" hidden="false" customHeight="true" outlineLevel="0" collapsed="false"/>
    <row r="726" customFormat="false" ht="12.75" hidden="false" customHeight="true" outlineLevel="0" collapsed="false"/>
    <row r="727" customFormat="false" ht="12.75" hidden="false" customHeight="true" outlineLevel="0" collapsed="false"/>
    <row r="728" customFormat="false" ht="12.75" hidden="false" customHeight="true" outlineLevel="0" collapsed="false"/>
    <row r="729" customFormat="false" ht="12.75" hidden="false" customHeight="true" outlineLevel="0" collapsed="false"/>
    <row r="730" customFormat="false" ht="12.75" hidden="false" customHeight="true" outlineLevel="0" collapsed="false"/>
    <row r="731" customFormat="false" ht="12.75" hidden="false" customHeight="true" outlineLevel="0" collapsed="false"/>
    <row r="732" customFormat="false" ht="12.75" hidden="false" customHeight="true" outlineLevel="0" collapsed="false"/>
    <row r="733" customFormat="false" ht="12.75" hidden="false" customHeight="true" outlineLevel="0" collapsed="false"/>
    <row r="734" customFormat="false" ht="12.75" hidden="false" customHeight="true" outlineLevel="0" collapsed="false"/>
    <row r="735" customFormat="false" ht="12.75" hidden="false" customHeight="true" outlineLevel="0" collapsed="false"/>
    <row r="736" customFormat="false" ht="12.75" hidden="false" customHeight="true" outlineLevel="0" collapsed="false"/>
    <row r="737" customFormat="false" ht="12.75" hidden="false" customHeight="true" outlineLevel="0" collapsed="false"/>
    <row r="738" customFormat="false" ht="12.75" hidden="false" customHeight="true" outlineLevel="0" collapsed="false"/>
    <row r="739" customFormat="false" ht="12.75" hidden="false" customHeight="true" outlineLevel="0" collapsed="false"/>
    <row r="740" customFormat="false" ht="12.75" hidden="false" customHeight="true" outlineLevel="0" collapsed="false"/>
    <row r="741" customFormat="false" ht="12.75" hidden="false" customHeight="true" outlineLevel="0" collapsed="false"/>
    <row r="742" customFormat="false" ht="12.75" hidden="false" customHeight="true" outlineLevel="0" collapsed="false"/>
    <row r="743" customFormat="false" ht="12.75" hidden="false" customHeight="true" outlineLevel="0" collapsed="false"/>
    <row r="744" customFormat="false" ht="12.75" hidden="false" customHeight="true" outlineLevel="0" collapsed="false"/>
    <row r="745" customFormat="false" ht="12.75" hidden="false" customHeight="true" outlineLevel="0" collapsed="false"/>
    <row r="746" customFormat="false" ht="12.75" hidden="false" customHeight="true" outlineLevel="0" collapsed="false"/>
    <row r="747" customFormat="false" ht="12.75" hidden="false" customHeight="true" outlineLevel="0" collapsed="false"/>
    <row r="748" customFormat="false" ht="12.75" hidden="false" customHeight="true" outlineLevel="0" collapsed="false"/>
    <row r="749" customFormat="false" ht="12.75" hidden="false" customHeight="true" outlineLevel="0" collapsed="false"/>
    <row r="750" customFormat="false" ht="12.75" hidden="false" customHeight="true" outlineLevel="0" collapsed="false"/>
    <row r="751" customFormat="false" ht="12.75" hidden="false" customHeight="true" outlineLevel="0" collapsed="false"/>
    <row r="752" customFormat="false" ht="12.75" hidden="false" customHeight="true" outlineLevel="0" collapsed="false"/>
    <row r="753" customFormat="false" ht="12.75" hidden="false" customHeight="true" outlineLevel="0" collapsed="false"/>
    <row r="754" customFormat="false" ht="12.75" hidden="false" customHeight="true" outlineLevel="0" collapsed="false"/>
    <row r="755" customFormat="false" ht="12.75" hidden="false" customHeight="true" outlineLevel="0" collapsed="false"/>
    <row r="756" customFormat="false" ht="12.75" hidden="false" customHeight="true" outlineLevel="0" collapsed="false"/>
    <row r="757" customFormat="false" ht="12.75" hidden="false" customHeight="true" outlineLevel="0" collapsed="false"/>
    <row r="758" customFormat="false" ht="12.75" hidden="false" customHeight="true" outlineLevel="0" collapsed="false"/>
    <row r="759" customFormat="false" ht="12.75" hidden="false" customHeight="true" outlineLevel="0" collapsed="false"/>
    <row r="760" customFormat="false" ht="12.75" hidden="false" customHeight="true" outlineLevel="0" collapsed="false"/>
    <row r="761" customFormat="false" ht="12.75" hidden="false" customHeight="true" outlineLevel="0" collapsed="false"/>
    <row r="762" customFormat="false" ht="12.75" hidden="false" customHeight="true" outlineLevel="0" collapsed="false"/>
    <row r="763" customFormat="false" ht="12.75" hidden="false" customHeight="true" outlineLevel="0" collapsed="false"/>
    <row r="764" customFormat="false" ht="12.75" hidden="false" customHeight="true" outlineLevel="0" collapsed="false"/>
    <row r="765" customFormat="false" ht="12.75" hidden="false" customHeight="true" outlineLevel="0" collapsed="false"/>
    <row r="766" customFormat="false" ht="12.75" hidden="false" customHeight="true" outlineLevel="0" collapsed="false"/>
    <row r="767" customFormat="false" ht="12.75" hidden="false" customHeight="true" outlineLevel="0" collapsed="false"/>
    <row r="768" customFormat="false" ht="12.75" hidden="false" customHeight="true" outlineLevel="0" collapsed="false"/>
    <row r="769" customFormat="false" ht="12.75" hidden="false" customHeight="true" outlineLevel="0" collapsed="false"/>
    <row r="770" customFormat="false" ht="12.75" hidden="false" customHeight="true" outlineLevel="0" collapsed="false"/>
    <row r="771" customFormat="false" ht="12.75" hidden="false" customHeight="true" outlineLevel="0" collapsed="false"/>
    <row r="772" customFormat="false" ht="12.75" hidden="false" customHeight="true" outlineLevel="0" collapsed="false"/>
    <row r="773" customFormat="false" ht="12.75" hidden="false" customHeight="true" outlineLevel="0" collapsed="false"/>
    <row r="774" customFormat="false" ht="12.75" hidden="false" customHeight="true" outlineLevel="0" collapsed="false"/>
    <row r="775" customFormat="false" ht="12.75" hidden="false" customHeight="true" outlineLevel="0" collapsed="false"/>
    <row r="776" customFormat="false" ht="12.75" hidden="false" customHeight="true" outlineLevel="0" collapsed="false"/>
    <row r="777" customFormat="false" ht="12.75" hidden="false" customHeight="true" outlineLevel="0" collapsed="false"/>
    <row r="778" customFormat="false" ht="12.75" hidden="false" customHeight="true" outlineLevel="0" collapsed="false"/>
    <row r="779" customFormat="false" ht="12.75" hidden="false" customHeight="true" outlineLevel="0" collapsed="false"/>
    <row r="780" customFormat="false" ht="12.75" hidden="false" customHeight="true" outlineLevel="0" collapsed="false"/>
    <row r="781" customFormat="false" ht="12.75" hidden="false" customHeight="true" outlineLevel="0" collapsed="false"/>
    <row r="782" customFormat="false" ht="12.75" hidden="false" customHeight="true" outlineLevel="0" collapsed="false"/>
    <row r="783" customFormat="false" ht="12.75" hidden="false" customHeight="true" outlineLevel="0" collapsed="false"/>
    <row r="784" customFormat="false" ht="12.75" hidden="false" customHeight="true" outlineLevel="0" collapsed="false"/>
    <row r="785" customFormat="false" ht="12.75" hidden="false" customHeight="true" outlineLevel="0" collapsed="false"/>
    <row r="786" customFormat="false" ht="12.75" hidden="false" customHeight="true" outlineLevel="0" collapsed="false"/>
    <row r="787" customFormat="false" ht="12.75" hidden="false" customHeight="true" outlineLevel="0" collapsed="false"/>
    <row r="788" customFormat="false" ht="12.75" hidden="false" customHeight="true" outlineLevel="0" collapsed="false"/>
    <row r="789" customFormat="false" ht="12.75" hidden="false" customHeight="true" outlineLevel="0" collapsed="false"/>
    <row r="790" customFormat="false" ht="12.75" hidden="false" customHeight="true" outlineLevel="0" collapsed="false"/>
    <row r="791" customFormat="false" ht="12.75" hidden="false" customHeight="true" outlineLevel="0" collapsed="false"/>
    <row r="792" customFormat="false" ht="12.75" hidden="false" customHeight="true" outlineLevel="0" collapsed="false"/>
    <row r="793" customFormat="false" ht="12.75" hidden="false" customHeight="true" outlineLevel="0" collapsed="false"/>
    <row r="794" customFormat="false" ht="12.75" hidden="false" customHeight="true" outlineLevel="0" collapsed="false"/>
    <row r="795" customFormat="false" ht="12.75" hidden="false" customHeight="true" outlineLevel="0" collapsed="false"/>
    <row r="796" customFormat="false" ht="12.75" hidden="false" customHeight="true" outlineLevel="0" collapsed="false"/>
    <row r="797" customFormat="false" ht="12.75" hidden="false" customHeight="true" outlineLevel="0" collapsed="false"/>
    <row r="798" customFormat="false" ht="12.75" hidden="false" customHeight="true" outlineLevel="0" collapsed="false"/>
    <row r="799" customFormat="false" ht="12.75" hidden="false" customHeight="true" outlineLevel="0" collapsed="false"/>
    <row r="800" customFormat="false" ht="12.75" hidden="false" customHeight="true" outlineLevel="0" collapsed="false"/>
    <row r="801" customFormat="false" ht="12.75" hidden="false" customHeight="true" outlineLevel="0" collapsed="false"/>
    <row r="802" customFormat="false" ht="12.75" hidden="false" customHeight="true" outlineLevel="0" collapsed="false"/>
    <row r="803" customFormat="false" ht="12.75" hidden="false" customHeight="true" outlineLevel="0" collapsed="false"/>
    <row r="804" customFormat="false" ht="12.75" hidden="false" customHeight="true" outlineLevel="0" collapsed="false"/>
    <row r="805" customFormat="false" ht="12.75" hidden="false" customHeight="true" outlineLevel="0" collapsed="false"/>
    <row r="806" customFormat="false" ht="12.75" hidden="false" customHeight="true" outlineLevel="0" collapsed="false"/>
    <row r="807" customFormat="false" ht="12.75" hidden="false" customHeight="true" outlineLevel="0" collapsed="false"/>
    <row r="808" customFormat="false" ht="12.75" hidden="false" customHeight="true" outlineLevel="0" collapsed="false"/>
    <row r="809" customFormat="false" ht="12.75" hidden="false" customHeight="true" outlineLevel="0" collapsed="false"/>
    <row r="810" customFormat="false" ht="12.75" hidden="false" customHeight="true" outlineLevel="0" collapsed="false"/>
    <row r="811" customFormat="false" ht="12.75" hidden="false" customHeight="true" outlineLevel="0" collapsed="false"/>
    <row r="812" customFormat="false" ht="12.75" hidden="false" customHeight="true" outlineLevel="0" collapsed="false"/>
    <row r="813" customFormat="false" ht="12.75" hidden="false" customHeight="true" outlineLevel="0" collapsed="false"/>
    <row r="814" customFormat="false" ht="12.75" hidden="false" customHeight="true" outlineLevel="0" collapsed="false"/>
    <row r="815" customFormat="false" ht="12.75" hidden="false" customHeight="true" outlineLevel="0" collapsed="false"/>
    <row r="816" customFormat="false" ht="12.75" hidden="false" customHeight="true" outlineLevel="0" collapsed="false"/>
    <row r="817" customFormat="false" ht="12.75" hidden="false" customHeight="true" outlineLevel="0" collapsed="false"/>
    <row r="818" customFormat="false" ht="12.75" hidden="false" customHeight="true" outlineLevel="0" collapsed="false"/>
    <row r="819" customFormat="false" ht="12.75" hidden="false" customHeight="true" outlineLevel="0" collapsed="false"/>
    <row r="820" customFormat="false" ht="12.75" hidden="false" customHeight="true" outlineLevel="0" collapsed="false"/>
    <row r="821" customFormat="false" ht="12.75" hidden="false" customHeight="true" outlineLevel="0" collapsed="false"/>
    <row r="822" customFormat="false" ht="12.75" hidden="false" customHeight="true" outlineLevel="0" collapsed="false"/>
    <row r="823" customFormat="false" ht="12.75" hidden="false" customHeight="true" outlineLevel="0" collapsed="false"/>
    <row r="824" customFormat="false" ht="12.75" hidden="false" customHeight="true" outlineLevel="0" collapsed="false"/>
    <row r="825" customFormat="false" ht="12.75" hidden="false" customHeight="true" outlineLevel="0" collapsed="false"/>
    <row r="826" customFormat="false" ht="12.75" hidden="false" customHeight="true" outlineLevel="0" collapsed="false"/>
    <row r="827" customFormat="false" ht="12.75" hidden="false" customHeight="true" outlineLevel="0" collapsed="false"/>
    <row r="828" customFormat="false" ht="12.75" hidden="false" customHeight="true" outlineLevel="0" collapsed="false"/>
    <row r="829" customFormat="false" ht="12.75" hidden="false" customHeight="true" outlineLevel="0" collapsed="false"/>
    <row r="830" customFormat="false" ht="12.75" hidden="false" customHeight="true" outlineLevel="0" collapsed="false"/>
    <row r="831" customFormat="false" ht="12.75" hidden="false" customHeight="true" outlineLevel="0" collapsed="false"/>
    <row r="832" customFormat="false" ht="12.75" hidden="false" customHeight="true" outlineLevel="0" collapsed="false"/>
    <row r="833" customFormat="false" ht="12.75" hidden="false" customHeight="true" outlineLevel="0" collapsed="false"/>
    <row r="834" customFormat="false" ht="12.75" hidden="false" customHeight="true" outlineLevel="0" collapsed="false"/>
    <row r="835" customFormat="false" ht="12.75" hidden="false" customHeight="true" outlineLevel="0" collapsed="false"/>
    <row r="836" customFormat="false" ht="12.75" hidden="false" customHeight="true" outlineLevel="0" collapsed="false"/>
    <row r="837" customFormat="false" ht="12.75" hidden="false" customHeight="true" outlineLevel="0" collapsed="false"/>
    <row r="838" customFormat="false" ht="12.75" hidden="false" customHeight="true" outlineLevel="0" collapsed="false"/>
    <row r="839" customFormat="false" ht="12.75" hidden="false" customHeight="true" outlineLevel="0" collapsed="false"/>
    <row r="840" customFormat="false" ht="12.75" hidden="false" customHeight="true" outlineLevel="0" collapsed="false"/>
    <row r="841" customFormat="false" ht="12.75" hidden="false" customHeight="true" outlineLevel="0" collapsed="false"/>
    <row r="842" customFormat="false" ht="12.75" hidden="false" customHeight="true" outlineLevel="0" collapsed="false"/>
    <row r="843" customFormat="false" ht="12.75" hidden="false" customHeight="true" outlineLevel="0" collapsed="false"/>
    <row r="844" customFormat="false" ht="12.75" hidden="false" customHeight="true" outlineLevel="0" collapsed="false"/>
    <row r="845" customFormat="false" ht="12.75" hidden="false" customHeight="true" outlineLevel="0" collapsed="false"/>
    <row r="846" customFormat="false" ht="12.75" hidden="false" customHeight="true" outlineLevel="0" collapsed="false"/>
    <row r="847" customFormat="false" ht="12.75" hidden="false" customHeight="true" outlineLevel="0" collapsed="false"/>
    <row r="848" customFormat="false" ht="12.75" hidden="false" customHeight="true" outlineLevel="0" collapsed="false"/>
    <row r="849" customFormat="false" ht="12.75" hidden="false" customHeight="true" outlineLevel="0" collapsed="false"/>
    <row r="850" customFormat="false" ht="12.75" hidden="false" customHeight="true" outlineLevel="0" collapsed="false"/>
    <row r="851" customFormat="false" ht="12.75" hidden="false" customHeight="true" outlineLevel="0" collapsed="false"/>
    <row r="852" customFormat="false" ht="12.75" hidden="false" customHeight="true" outlineLevel="0" collapsed="false"/>
    <row r="853" customFormat="false" ht="12.75" hidden="false" customHeight="true" outlineLevel="0" collapsed="false"/>
    <row r="854" customFormat="false" ht="12.75" hidden="false" customHeight="true" outlineLevel="0" collapsed="false"/>
    <row r="855" customFormat="false" ht="12.75" hidden="false" customHeight="true" outlineLevel="0" collapsed="false"/>
    <row r="856" customFormat="false" ht="12.75" hidden="false" customHeight="true" outlineLevel="0" collapsed="false"/>
    <row r="857" customFormat="false" ht="12.75" hidden="false" customHeight="true" outlineLevel="0" collapsed="false"/>
    <row r="858" customFormat="false" ht="12.75" hidden="false" customHeight="true" outlineLevel="0" collapsed="false"/>
    <row r="859" customFormat="false" ht="12.75" hidden="false" customHeight="true" outlineLevel="0" collapsed="false"/>
    <row r="860" customFormat="false" ht="12.75" hidden="false" customHeight="true" outlineLevel="0" collapsed="false"/>
    <row r="861" customFormat="false" ht="12.75" hidden="false" customHeight="true" outlineLevel="0" collapsed="false"/>
    <row r="862" customFormat="false" ht="12.75" hidden="false" customHeight="true" outlineLevel="0" collapsed="false"/>
    <row r="863" customFormat="false" ht="12.75" hidden="false" customHeight="true" outlineLevel="0" collapsed="false"/>
    <row r="864" customFormat="false" ht="12.75" hidden="false" customHeight="true" outlineLevel="0" collapsed="false"/>
    <row r="865" customFormat="false" ht="12.75" hidden="false" customHeight="true" outlineLevel="0" collapsed="false"/>
    <row r="866" customFormat="false" ht="12.75" hidden="false" customHeight="true" outlineLevel="0" collapsed="false"/>
    <row r="867" customFormat="false" ht="12.75" hidden="false" customHeight="true" outlineLevel="0" collapsed="false"/>
    <row r="868" customFormat="false" ht="12.75" hidden="false" customHeight="true" outlineLevel="0" collapsed="false"/>
    <row r="869" customFormat="false" ht="12.75" hidden="false" customHeight="true" outlineLevel="0" collapsed="false"/>
    <row r="870" customFormat="false" ht="12.75" hidden="false" customHeight="true" outlineLevel="0" collapsed="false"/>
    <row r="871" customFormat="false" ht="12.75" hidden="false" customHeight="true" outlineLevel="0" collapsed="false"/>
    <row r="872" customFormat="false" ht="12.75" hidden="false" customHeight="true" outlineLevel="0" collapsed="false"/>
    <row r="873" customFormat="false" ht="12.75" hidden="false" customHeight="true" outlineLevel="0" collapsed="false"/>
    <row r="874" customFormat="false" ht="12.75" hidden="false" customHeight="true" outlineLevel="0" collapsed="false"/>
    <row r="875" customFormat="false" ht="12.75" hidden="false" customHeight="true" outlineLevel="0" collapsed="false"/>
    <row r="876" customFormat="false" ht="12.75" hidden="false" customHeight="true" outlineLevel="0" collapsed="false"/>
    <row r="877" customFormat="false" ht="12.75" hidden="false" customHeight="true" outlineLevel="0" collapsed="false"/>
    <row r="878" customFormat="false" ht="12.75" hidden="false" customHeight="true" outlineLevel="0" collapsed="false"/>
    <row r="879" customFormat="false" ht="12.75" hidden="false" customHeight="true" outlineLevel="0" collapsed="false"/>
    <row r="880" customFormat="false" ht="12.75" hidden="false" customHeight="true" outlineLevel="0" collapsed="false"/>
    <row r="881" customFormat="false" ht="12.75" hidden="false" customHeight="true" outlineLevel="0" collapsed="false"/>
    <row r="882" customFormat="false" ht="12.75" hidden="false" customHeight="true" outlineLevel="0" collapsed="false"/>
    <row r="883" customFormat="false" ht="12.75" hidden="false" customHeight="true" outlineLevel="0" collapsed="false"/>
    <row r="884" customFormat="false" ht="12.75" hidden="false" customHeight="true" outlineLevel="0" collapsed="false"/>
    <row r="885" customFormat="false" ht="12.75" hidden="false" customHeight="true" outlineLevel="0" collapsed="false"/>
    <row r="886" customFormat="false" ht="12.75" hidden="false" customHeight="true" outlineLevel="0" collapsed="false"/>
    <row r="887" customFormat="false" ht="12.75" hidden="false" customHeight="true" outlineLevel="0" collapsed="false"/>
    <row r="888" customFormat="false" ht="12.75" hidden="false" customHeight="true" outlineLevel="0" collapsed="false"/>
    <row r="889" customFormat="false" ht="12.75" hidden="false" customHeight="true" outlineLevel="0" collapsed="false"/>
    <row r="890" customFormat="false" ht="12.75" hidden="false" customHeight="true" outlineLevel="0" collapsed="false"/>
    <row r="891" customFormat="false" ht="12.75" hidden="false" customHeight="true" outlineLevel="0" collapsed="false"/>
    <row r="892" customFormat="false" ht="12.75" hidden="false" customHeight="true" outlineLevel="0" collapsed="false"/>
    <row r="893" customFormat="false" ht="12.75" hidden="false" customHeight="true" outlineLevel="0" collapsed="false"/>
    <row r="894" customFormat="false" ht="12.75" hidden="false" customHeight="true" outlineLevel="0" collapsed="false"/>
    <row r="895" customFormat="false" ht="12.75" hidden="false" customHeight="true" outlineLevel="0" collapsed="false"/>
    <row r="896" customFormat="false" ht="12.75" hidden="false" customHeight="true" outlineLevel="0" collapsed="false"/>
    <row r="897" customFormat="false" ht="12.75" hidden="false" customHeight="true" outlineLevel="0" collapsed="false"/>
    <row r="898" customFormat="false" ht="12.75" hidden="false" customHeight="true" outlineLevel="0" collapsed="false"/>
    <row r="899" customFormat="false" ht="12.75" hidden="false" customHeight="true" outlineLevel="0" collapsed="false"/>
    <row r="900" customFormat="false" ht="12.75" hidden="false" customHeight="true" outlineLevel="0" collapsed="false"/>
    <row r="901" customFormat="false" ht="12.75" hidden="false" customHeight="true" outlineLevel="0" collapsed="false"/>
    <row r="902" customFormat="false" ht="12.75" hidden="false" customHeight="true" outlineLevel="0" collapsed="false"/>
    <row r="903" customFormat="false" ht="12.75" hidden="false" customHeight="true" outlineLevel="0" collapsed="false"/>
    <row r="904" customFormat="false" ht="12.75" hidden="false" customHeight="true" outlineLevel="0" collapsed="false"/>
    <row r="905" customFormat="false" ht="12.75" hidden="false" customHeight="true" outlineLevel="0" collapsed="false"/>
    <row r="906" customFormat="false" ht="12.75" hidden="false" customHeight="true" outlineLevel="0" collapsed="false"/>
    <row r="907" customFormat="false" ht="12.75" hidden="false" customHeight="true" outlineLevel="0" collapsed="false"/>
    <row r="908" customFormat="false" ht="12.75" hidden="false" customHeight="true" outlineLevel="0" collapsed="false"/>
    <row r="909" customFormat="false" ht="12.75" hidden="false" customHeight="true" outlineLevel="0" collapsed="false"/>
    <row r="910" customFormat="false" ht="12.75" hidden="false" customHeight="true" outlineLevel="0" collapsed="false"/>
    <row r="911" customFormat="false" ht="12.75" hidden="false" customHeight="true" outlineLevel="0" collapsed="false"/>
    <row r="912" customFormat="false" ht="12.75" hidden="false" customHeight="true" outlineLevel="0" collapsed="false"/>
    <row r="913" customFormat="false" ht="12.75" hidden="false" customHeight="true" outlineLevel="0" collapsed="false"/>
    <row r="914" customFormat="false" ht="12.75" hidden="false" customHeight="true" outlineLevel="0" collapsed="false"/>
    <row r="915" customFormat="false" ht="12.75" hidden="false" customHeight="true" outlineLevel="0" collapsed="false"/>
    <row r="916" customFormat="false" ht="12.75" hidden="false" customHeight="true" outlineLevel="0" collapsed="false"/>
    <row r="917" customFormat="false" ht="12.75" hidden="false" customHeight="true" outlineLevel="0" collapsed="false"/>
    <row r="918" customFormat="false" ht="12.75" hidden="false" customHeight="true" outlineLevel="0" collapsed="false"/>
    <row r="919" customFormat="false" ht="12.75" hidden="false" customHeight="true" outlineLevel="0" collapsed="false"/>
    <row r="920" customFormat="false" ht="12.75" hidden="false" customHeight="true" outlineLevel="0" collapsed="false"/>
    <row r="921" customFormat="false" ht="12.75" hidden="false" customHeight="true" outlineLevel="0" collapsed="false"/>
    <row r="922" customFormat="false" ht="12.75" hidden="false" customHeight="true" outlineLevel="0" collapsed="false"/>
    <row r="923" customFormat="false" ht="12.75" hidden="false" customHeight="true" outlineLevel="0" collapsed="false"/>
    <row r="924" customFormat="false" ht="12.75" hidden="false" customHeight="true" outlineLevel="0" collapsed="false"/>
    <row r="925" customFormat="false" ht="12.75" hidden="false" customHeight="true" outlineLevel="0" collapsed="false"/>
    <row r="926" customFormat="false" ht="12.75" hidden="false" customHeight="true" outlineLevel="0" collapsed="false"/>
    <row r="927" customFormat="false" ht="12.75" hidden="false" customHeight="true" outlineLevel="0" collapsed="false"/>
    <row r="928" customFormat="false" ht="12.75" hidden="false" customHeight="true" outlineLevel="0" collapsed="false"/>
    <row r="929" customFormat="false" ht="12.75" hidden="false" customHeight="true" outlineLevel="0" collapsed="false"/>
    <row r="930" customFormat="false" ht="12.75" hidden="false" customHeight="true" outlineLevel="0" collapsed="false"/>
    <row r="931" customFormat="false" ht="12.75" hidden="false" customHeight="true" outlineLevel="0" collapsed="false"/>
    <row r="932" customFormat="false" ht="12.75" hidden="false" customHeight="true" outlineLevel="0" collapsed="false"/>
    <row r="933" customFormat="false" ht="12.75" hidden="false" customHeight="true" outlineLevel="0" collapsed="false"/>
    <row r="934" customFormat="false" ht="12.75" hidden="false" customHeight="true" outlineLevel="0" collapsed="false"/>
    <row r="935" customFormat="false" ht="12.75" hidden="false" customHeight="true" outlineLevel="0" collapsed="false"/>
    <row r="936" customFormat="false" ht="12.75" hidden="false" customHeight="true" outlineLevel="0" collapsed="false"/>
    <row r="937" customFormat="false" ht="12.75" hidden="false" customHeight="true" outlineLevel="0" collapsed="false"/>
    <row r="938" customFormat="false" ht="12.75" hidden="false" customHeight="true" outlineLevel="0" collapsed="false"/>
    <row r="939" customFormat="false" ht="12.75" hidden="false" customHeight="true" outlineLevel="0" collapsed="false"/>
    <row r="940" customFormat="false" ht="12.75" hidden="false" customHeight="true" outlineLevel="0" collapsed="false"/>
    <row r="941" customFormat="false" ht="12.75" hidden="false" customHeight="true" outlineLevel="0" collapsed="false"/>
    <row r="942" customFormat="false" ht="12.75" hidden="false" customHeight="true" outlineLevel="0" collapsed="false"/>
    <row r="943" customFormat="false" ht="12.75" hidden="false" customHeight="true" outlineLevel="0" collapsed="false"/>
    <row r="944" customFormat="false" ht="12.75" hidden="false" customHeight="true" outlineLevel="0" collapsed="false"/>
    <row r="945" customFormat="false" ht="12.75" hidden="false" customHeight="true" outlineLevel="0" collapsed="false"/>
    <row r="946" customFormat="false" ht="12.75" hidden="false" customHeight="true" outlineLevel="0" collapsed="false"/>
    <row r="947" customFormat="false" ht="12.75" hidden="false" customHeight="true" outlineLevel="0" collapsed="false"/>
    <row r="948" customFormat="false" ht="12.75" hidden="false" customHeight="true" outlineLevel="0" collapsed="false"/>
    <row r="949" customFormat="false" ht="12.75" hidden="false" customHeight="true" outlineLevel="0" collapsed="false"/>
    <row r="950" customFormat="false" ht="12.75" hidden="false" customHeight="true" outlineLevel="0" collapsed="false"/>
    <row r="951" customFormat="false" ht="12.75" hidden="false" customHeight="true" outlineLevel="0" collapsed="false"/>
    <row r="952" customFormat="false" ht="12.75" hidden="false" customHeight="true" outlineLevel="0" collapsed="false"/>
    <row r="953" customFormat="false" ht="12.75" hidden="false" customHeight="true" outlineLevel="0" collapsed="false"/>
    <row r="954" customFormat="false" ht="12.75" hidden="false" customHeight="true" outlineLevel="0" collapsed="false"/>
    <row r="955" customFormat="false" ht="12.75" hidden="false" customHeight="true" outlineLevel="0" collapsed="false"/>
    <row r="956" customFormat="false" ht="12.75" hidden="false" customHeight="true" outlineLevel="0" collapsed="false"/>
    <row r="957" customFormat="false" ht="12.75" hidden="false" customHeight="true" outlineLevel="0" collapsed="false"/>
    <row r="958" customFormat="false" ht="12.75" hidden="false" customHeight="true" outlineLevel="0" collapsed="false"/>
    <row r="959" customFormat="false" ht="12.75" hidden="false" customHeight="true" outlineLevel="0" collapsed="false"/>
    <row r="960" customFormat="false" ht="12.75" hidden="false" customHeight="true" outlineLevel="0" collapsed="false"/>
    <row r="961" customFormat="false" ht="12.75" hidden="false" customHeight="true" outlineLevel="0" collapsed="false"/>
    <row r="962" customFormat="false" ht="12.75" hidden="false" customHeight="true" outlineLevel="0" collapsed="false"/>
    <row r="963" customFormat="false" ht="12.75" hidden="false" customHeight="true" outlineLevel="0" collapsed="false"/>
    <row r="964" customFormat="false" ht="12.75" hidden="false" customHeight="true" outlineLevel="0" collapsed="false"/>
    <row r="965" customFormat="false" ht="12.75" hidden="false" customHeight="true" outlineLevel="0" collapsed="false"/>
    <row r="966" customFormat="false" ht="12.75" hidden="false" customHeight="true" outlineLevel="0" collapsed="false"/>
    <row r="967" customFormat="false" ht="12.75" hidden="false" customHeight="true" outlineLevel="0" collapsed="false"/>
    <row r="968" customFormat="false" ht="12.75" hidden="false" customHeight="true" outlineLevel="0" collapsed="false"/>
    <row r="969" customFormat="false" ht="12.75" hidden="false" customHeight="true" outlineLevel="0" collapsed="false"/>
    <row r="970" customFormat="false" ht="12.75" hidden="false" customHeight="true" outlineLevel="0" collapsed="false"/>
    <row r="971" customFormat="false" ht="12.75" hidden="false" customHeight="true" outlineLevel="0" collapsed="false"/>
    <row r="972" customFormat="false" ht="12.75" hidden="false" customHeight="true" outlineLevel="0" collapsed="false"/>
    <row r="973" customFormat="false" ht="12.75" hidden="false" customHeight="true" outlineLevel="0" collapsed="false"/>
    <row r="974" customFormat="false" ht="12.75" hidden="false" customHeight="true" outlineLevel="0" collapsed="false"/>
    <row r="975" customFormat="false" ht="12.75" hidden="false" customHeight="true" outlineLevel="0" collapsed="false"/>
    <row r="976" customFormat="false" ht="12.75" hidden="false" customHeight="true" outlineLevel="0" collapsed="false"/>
    <row r="977" customFormat="false" ht="12.75" hidden="false" customHeight="true" outlineLevel="0" collapsed="false"/>
    <row r="978" customFormat="false" ht="12.75" hidden="false" customHeight="true" outlineLevel="0" collapsed="false"/>
    <row r="979" customFormat="false" ht="12.75" hidden="false" customHeight="true" outlineLevel="0" collapsed="false"/>
    <row r="980" customFormat="false" ht="12.75" hidden="false" customHeight="true" outlineLevel="0" collapsed="false"/>
    <row r="981" customFormat="false" ht="12.75" hidden="false" customHeight="true" outlineLevel="0" collapsed="false"/>
    <row r="982" customFormat="false" ht="12.75" hidden="false" customHeight="true" outlineLevel="0" collapsed="false"/>
    <row r="983" customFormat="false" ht="12.75" hidden="false" customHeight="true" outlineLevel="0" collapsed="false"/>
    <row r="984" customFormat="false" ht="12.75" hidden="false" customHeight="true" outlineLevel="0" collapsed="false"/>
    <row r="985" customFormat="false" ht="12.75" hidden="false" customHeight="true" outlineLevel="0" collapsed="false"/>
    <row r="986" customFormat="false" ht="12.75" hidden="false" customHeight="true" outlineLevel="0" collapsed="false"/>
    <row r="987" customFormat="false" ht="12.75" hidden="false" customHeight="true" outlineLevel="0" collapsed="false"/>
    <row r="988" customFormat="false" ht="12.75" hidden="false" customHeight="true" outlineLevel="0" collapsed="false"/>
    <row r="989" customFormat="false" ht="12.75" hidden="false" customHeight="true" outlineLevel="0" collapsed="false"/>
    <row r="990" customFormat="false" ht="12.75" hidden="false" customHeight="true" outlineLevel="0" collapsed="false"/>
    <row r="991" customFormat="false" ht="12.75" hidden="false" customHeight="true" outlineLevel="0" collapsed="false"/>
    <row r="992" customFormat="false" ht="12.75" hidden="false" customHeight="true" outlineLevel="0" collapsed="false"/>
    <row r="993" customFormat="false" ht="12.75" hidden="false" customHeight="true" outlineLevel="0" collapsed="false"/>
    <row r="994" customFormat="false" ht="12.75" hidden="false" customHeight="true" outlineLevel="0" collapsed="false"/>
    <row r="995" customFormat="false" ht="12.75" hidden="false" customHeight="true" outlineLevel="0" collapsed="false"/>
    <row r="996" customFormat="false" ht="12.75" hidden="false" customHeight="true" outlineLevel="0" collapsed="false"/>
    <row r="997" customFormat="false" ht="12.75" hidden="false" customHeight="true" outlineLevel="0" collapsed="false"/>
    <row r="998" customFormat="false" ht="12.75" hidden="false" customHeight="true" outlineLevel="0" collapsed="false"/>
    <row r="999" customFormat="false" ht="12.75" hidden="false" customHeight="true" outlineLevel="0" collapsed="false"/>
    <row r="1000" customFormat="false" ht="12.75" hidden="false" customHeight="true" outlineLevel="0" collapsed="false"/>
    <row r="1001" customFormat="false" ht="12.75" hidden="false" customHeight="true" outlineLevel="0" collapsed="false"/>
    <row r="1002" customFormat="false" ht="12.75" hidden="false" customHeight="true" outlineLevel="0" collapsed="false"/>
    <row r="1003" customFormat="false" ht="12.75" hidden="false" customHeight="true" outlineLevel="0" collapsed="false"/>
    <row r="1004" customFormat="false" ht="12.75" hidden="false" customHeight="true" outlineLevel="0" collapsed="false"/>
    <row r="1005" customFormat="false" ht="12.75" hidden="false" customHeight="true" outlineLevel="0" collapsed="false"/>
    <row r="1006" customFormat="false" ht="12.75" hidden="false" customHeight="true" outlineLevel="0" collapsed="false"/>
    <row r="1007" customFormat="false" ht="12.75" hidden="false" customHeight="true" outlineLevel="0" collapsed="false"/>
    <row r="1008" customFormat="false" ht="12.75" hidden="false" customHeight="true" outlineLevel="0" collapsed="false"/>
    <row r="1009" customFormat="false" ht="12.75" hidden="false" customHeight="true" outlineLevel="0" collapsed="false"/>
    <row r="1010" customFormat="false" ht="12.75" hidden="false" customHeight="true" outlineLevel="0" collapsed="false"/>
    <row r="1011" customFormat="false" ht="12.75" hidden="false" customHeight="true" outlineLevel="0" collapsed="false"/>
    <row r="1012" customFormat="false" ht="12.75" hidden="false" customHeight="true" outlineLevel="0" collapsed="false"/>
    <row r="1013" customFormat="false" ht="12.75" hidden="false" customHeight="true" outlineLevel="0" collapsed="false"/>
    <row r="1014" customFormat="false" ht="12.75" hidden="false" customHeight="true" outlineLevel="0" collapsed="false"/>
    <row r="1015" customFormat="false" ht="12.75" hidden="false" customHeight="true" outlineLevel="0" collapsed="false"/>
    <row r="1016" customFormat="false" ht="12.75" hidden="false" customHeight="true" outlineLevel="0" collapsed="false"/>
    <row r="1017" customFormat="false" ht="12.75" hidden="false" customHeight="true" outlineLevel="0" collapsed="false"/>
    <row r="1018" customFormat="false" ht="12.75" hidden="false" customHeight="true" outlineLevel="0" collapsed="false"/>
    <row r="1019" customFormat="false" ht="12.75" hidden="false" customHeight="true" outlineLevel="0" collapsed="false"/>
    <row r="1020" customFormat="false" ht="12.75" hidden="false" customHeight="true" outlineLevel="0" collapsed="false"/>
    <row r="1021" customFormat="false" ht="12.75" hidden="false" customHeight="true" outlineLevel="0" collapsed="false"/>
    <row r="1022" customFormat="false" ht="12.75" hidden="false" customHeight="true" outlineLevel="0" collapsed="false"/>
    <row r="1023" customFormat="false" ht="12.75" hidden="false" customHeight="true" outlineLevel="0" collapsed="false"/>
    <row r="1024" customFormat="false" ht="12.75" hidden="false" customHeight="true" outlineLevel="0" collapsed="false"/>
    <row r="1025" customFormat="false" ht="12.75" hidden="false" customHeight="true" outlineLevel="0" collapsed="false"/>
    <row r="1026" customFormat="false" ht="12.75" hidden="false" customHeight="true" outlineLevel="0" collapsed="false"/>
    <row r="1027" customFormat="false" ht="12.75" hidden="false" customHeight="true" outlineLevel="0" collapsed="false"/>
    <row r="1028" customFormat="false" ht="12.75" hidden="false" customHeight="true" outlineLevel="0" collapsed="false"/>
    <row r="1029" customFormat="false" ht="12.75" hidden="false" customHeight="true" outlineLevel="0" collapsed="false"/>
    <row r="1030" customFormat="false" ht="12.75" hidden="false" customHeight="true" outlineLevel="0" collapsed="false"/>
    <row r="1031" customFormat="false" ht="12.75" hidden="false" customHeight="true" outlineLevel="0" collapsed="false"/>
    <row r="1032" customFormat="false" ht="12.75" hidden="false" customHeight="true" outlineLevel="0" collapsed="false"/>
    <row r="1033" customFormat="false" ht="12.75" hidden="false" customHeight="true" outlineLevel="0" collapsed="false"/>
    <row r="1034" customFormat="false" ht="12.75" hidden="false" customHeight="true" outlineLevel="0" collapsed="false"/>
    <row r="1035" customFormat="false" ht="12.75" hidden="false" customHeight="true" outlineLevel="0" collapsed="false"/>
    <row r="1036" customFormat="false" ht="12.75" hidden="false" customHeight="true" outlineLevel="0" collapsed="false"/>
    <row r="1037" customFormat="false" ht="12.75" hidden="false" customHeight="true" outlineLevel="0" collapsed="false"/>
    <row r="1038" customFormat="false" ht="12.75" hidden="false" customHeight="true" outlineLevel="0" collapsed="false"/>
    <row r="1039" customFormat="false" ht="12.75" hidden="false" customHeight="true" outlineLevel="0" collapsed="false"/>
    <row r="1040" customFormat="false" ht="12.75" hidden="false" customHeight="true" outlineLevel="0" collapsed="false"/>
    <row r="1041" customFormat="false" ht="12.75" hidden="false" customHeight="true" outlineLevel="0" collapsed="false"/>
    <row r="1042" customFormat="false" ht="12.75" hidden="false" customHeight="true" outlineLevel="0" collapsed="false"/>
    <row r="1043" customFormat="false" ht="12.75" hidden="false" customHeight="true" outlineLevel="0" collapsed="false"/>
    <row r="1044" customFormat="false" ht="12.75" hidden="false" customHeight="true" outlineLevel="0" collapsed="false"/>
    <row r="1045" customFormat="false" ht="12.75" hidden="false" customHeight="true" outlineLevel="0" collapsed="false"/>
    <row r="1046" customFormat="false" ht="12.75" hidden="false" customHeight="true" outlineLevel="0" collapsed="false"/>
    <row r="1047" customFormat="false" ht="12.75" hidden="false" customHeight="true" outlineLevel="0" collapsed="false"/>
    <row r="1048" customFormat="false" ht="12.75" hidden="false" customHeight="true" outlineLevel="0" collapsed="false"/>
    <row r="1049" customFormat="false" ht="12.75" hidden="false" customHeight="true" outlineLevel="0" collapsed="false"/>
    <row r="1050" customFormat="false" ht="12.75" hidden="false" customHeight="true" outlineLevel="0" collapsed="false"/>
    <row r="1051" customFormat="false" ht="12.75" hidden="false" customHeight="true" outlineLevel="0" collapsed="false"/>
    <row r="1052" customFormat="false" ht="12.75" hidden="false" customHeight="true" outlineLevel="0" collapsed="false"/>
    <row r="1053" customFormat="false" ht="12.75" hidden="false" customHeight="true" outlineLevel="0" collapsed="false"/>
    <row r="1054" customFormat="false" ht="12.75" hidden="false" customHeight="true" outlineLevel="0" collapsed="false"/>
    <row r="1055" customFormat="false" ht="12.75" hidden="false" customHeight="true" outlineLevel="0" collapsed="false"/>
    <row r="1056" customFormat="false" ht="12.75" hidden="false" customHeight="true" outlineLevel="0" collapsed="false"/>
    <row r="1057" customFormat="false" ht="12.75" hidden="false" customHeight="true" outlineLevel="0" collapsed="false"/>
    <row r="1058" customFormat="false" ht="12.75" hidden="false" customHeight="true" outlineLevel="0" collapsed="false"/>
    <row r="1059" customFormat="false" ht="12.75" hidden="false" customHeight="true" outlineLevel="0" collapsed="false"/>
    <row r="1060" customFormat="false" ht="12.75" hidden="false" customHeight="true" outlineLevel="0" collapsed="false"/>
    <row r="1061" customFormat="false" ht="12.75" hidden="false" customHeight="true" outlineLevel="0" collapsed="false"/>
    <row r="1062" customFormat="false" ht="12.75" hidden="false" customHeight="true" outlineLevel="0" collapsed="false"/>
    <row r="1063" customFormat="false" ht="12.75" hidden="false" customHeight="true" outlineLevel="0" collapsed="false"/>
    <row r="1064" customFormat="false" ht="12.75" hidden="false" customHeight="true" outlineLevel="0" collapsed="false"/>
    <row r="1065" customFormat="false" ht="12.75" hidden="false" customHeight="true" outlineLevel="0" collapsed="false"/>
    <row r="1066" customFormat="false" ht="12.75" hidden="false" customHeight="true" outlineLevel="0" collapsed="false"/>
    <row r="1067" customFormat="false" ht="12.75" hidden="false" customHeight="true" outlineLevel="0" collapsed="false"/>
    <row r="1068" customFormat="false" ht="12.75" hidden="false" customHeight="true" outlineLevel="0" collapsed="false"/>
    <row r="1069" customFormat="false" ht="12.75" hidden="false" customHeight="true" outlineLevel="0" collapsed="false"/>
    <row r="1070" customFormat="false" ht="12.75" hidden="false" customHeight="true" outlineLevel="0" collapsed="false"/>
    <row r="1071" customFormat="false" ht="12.75" hidden="false" customHeight="true" outlineLevel="0" collapsed="false"/>
    <row r="1072" customFormat="false" ht="12.75" hidden="false" customHeight="true" outlineLevel="0" collapsed="false"/>
    <row r="1073" customFormat="false" ht="12.75" hidden="false" customHeight="true" outlineLevel="0" collapsed="false"/>
    <row r="1074" customFormat="false" ht="12.75" hidden="false" customHeight="true" outlineLevel="0" collapsed="false"/>
    <row r="1075" customFormat="false" ht="12.75" hidden="false" customHeight="true" outlineLevel="0" collapsed="false"/>
    <row r="1076" customFormat="false" ht="12.75" hidden="false" customHeight="true" outlineLevel="0" collapsed="false"/>
    <row r="1077" customFormat="false" ht="12.75" hidden="false" customHeight="true" outlineLevel="0" collapsed="false"/>
    <row r="1078" customFormat="false" ht="12.75" hidden="false" customHeight="true" outlineLevel="0" collapsed="false"/>
    <row r="1079" customFormat="false" ht="12.75" hidden="false" customHeight="true" outlineLevel="0" collapsed="false"/>
    <row r="1080" customFormat="false" ht="12.75" hidden="false" customHeight="true" outlineLevel="0" collapsed="false"/>
    <row r="1081" customFormat="false" ht="12.75" hidden="false" customHeight="true" outlineLevel="0" collapsed="false"/>
    <row r="1082" customFormat="false" ht="12.75" hidden="false" customHeight="true" outlineLevel="0" collapsed="false"/>
    <row r="1083" customFormat="false" ht="12.75" hidden="false" customHeight="true" outlineLevel="0" collapsed="false"/>
    <row r="1084" customFormat="false" ht="12.75" hidden="false" customHeight="true" outlineLevel="0" collapsed="false"/>
    <row r="1085" customFormat="false" ht="12.75" hidden="false" customHeight="true" outlineLevel="0" collapsed="false"/>
    <row r="1086" customFormat="false" ht="12.75" hidden="false" customHeight="true" outlineLevel="0" collapsed="false"/>
    <row r="1087" customFormat="false" ht="12.75" hidden="false" customHeight="true" outlineLevel="0" collapsed="false"/>
    <row r="1088" customFormat="false" ht="12.75" hidden="false" customHeight="true" outlineLevel="0" collapsed="false"/>
    <row r="1089" customFormat="false" ht="12.75" hidden="false" customHeight="true" outlineLevel="0" collapsed="false"/>
    <row r="1090" customFormat="false" ht="12.75" hidden="false" customHeight="true" outlineLevel="0" collapsed="false"/>
    <row r="1091" customFormat="false" ht="12.75" hidden="false" customHeight="true" outlineLevel="0" collapsed="false"/>
    <row r="1092" customFormat="false" ht="12.75" hidden="false" customHeight="true" outlineLevel="0" collapsed="false"/>
    <row r="1093" customFormat="false" ht="12.75" hidden="false" customHeight="true" outlineLevel="0" collapsed="false"/>
    <row r="1094" customFormat="false" ht="12.75" hidden="false" customHeight="true" outlineLevel="0" collapsed="false"/>
    <row r="1095" customFormat="false" ht="12.75" hidden="false" customHeight="true" outlineLevel="0" collapsed="false"/>
    <row r="1096" customFormat="false" ht="12.75" hidden="false" customHeight="true" outlineLevel="0" collapsed="false"/>
    <row r="1097" customFormat="false" ht="12.75" hidden="false" customHeight="true" outlineLevel="0" collapsed="false"/>
    <row r="1098" customFormat="false" ht="12.75" hidden="false" customHeight="true" outlineLevel="0" collapsed="false"/>
    <row r="1099" customFormat="false" ht="12.75" hidden="false" customHeight="true" outlineLevel="0" collapsed="false"/>
    <row r="1100" customFormat="false" ht="12.75" hidden="false" customHeight="true" outlineLevel="0" collapsed="false"/>
    <row r="1101" customFormat="false" ht="12.75" hidden="false" customHeight="true" outlineLevel="0" collapsed="false"/>
    <row r="1102" customFormat="false" ht="12.75" hidden="false" customHeight="true" outlineLevel="0" collapsed="false"/>
    <row r="1103" customFormat="false" ht="12.75" hidden="false" customHeight="true" outlineLevel="0" collapsed="false"/>
    <row r="1104" customFormat="false" ht="12.75" hidden="false" customHeight="true" outlineLevel="0" collapsed="false"/>
    <row r="1105" customFormat="false" ht="12.75" hidden="false" customHeight="true" outlineLevel="0" collapsed="false"/>
    <row r="1106" customFormat="false" ht="12.75" hidden="false" customHeight="true" outlineLevel="0" collapsed="false"/>
    <row r="1107" customFormat="false" ht="12.75" hidden="false" customHeight="true" outlineLevel="0" collapsed="false"/>
    <row r="1108" customFormat="false" ht="12.75" hidden="false" customHeight="true" outlineLevel="0" collapsed="false"/>
    <row r="1109" customFormat="false" ht="12.75" hidden="false" customHeight="true" outlineLevel="0" collapsed="false"/>
    <row r="1110" customFormat="false" ht="12.75" hidden="false" customHeight="true" outlineLevel="0" collapsed="false"/>
    <row r="1111" customFormat="false" ht="12.75" hidden="false" customHeight="true" outlineLevel="0" collapsed="false"/>
    <row r="1112" customFormat="false" ht="12.75" hidden="false" customHeight="true" outlineLevel="0" collapsed="false"/>
    <row r="1113" customFormat="false" ht="12.75" hidden="false" customHeight="true" outlineLevel="0" collapsed="false"/>
    <row r="1114" customFormat="false" ht="12.75" hidden="false" customHeight="true" outlineLevel="0" collapsed="false"/>
    <row r="1115" customFormat="false" ht="12.75" hidden="false" customHeight="true" outlineLevel="0" collapsed="false"/>
    <row r="1116" customFormat="false" ht="12.75" hidden="false" customHeight="true" outlineLevel="0" collapsed="false"/>
    <row r="1117" customFormat="false" ht="12.75" hidden="false" customHeight="true" outlineLevel="0" collapsed="false"/>
    <row r="1118" customFormat="false" ht="12.75" hidden="false" customHeight="true" outlineLevel="0" collapsed="false"/>
    <row r="1119" customFormat="false" ht="12.75" hidden="false" customHeight="true" outlineLevel="0" collapsed="false"/>
    <row r="1120" customFormat="false" ht="12.75" hidden="false" customHeight="true" outlineLevel="0" collapsed="false"/>
    <row r="1121" customFormat="false" ht="12.75" hidden="false" customHeight="true" outlineLevel="0" collapsed="false"/>
    <row r="1122" customFormat="false" ht="12.75" hidden="false" customHeight="true" outlineLevel="0" collapsed="false"/>
    <row r="1123" customFormat="false" ht="12.75" hidden="false" customHeight="true" outlineLevel="0" collapsed="false"/>
    <row r="1124" customFormat="false" ht="12.75" hidden="false" customHeight="true" outlineLevel="0" collapsed="false"/>
    <row r="1125" customFormat="false" ht="12.75" hidden="false" customHeight="true" outlineLevel="0" collapsed="false"/>
    <row r="1126" customFormat="false" ht="12.75" hidden="false" customHeight="true" outlineLevel="0" collapsed="false"/>
    <row r="1127" customFormat="false" ht="12.75" hidden="false" customHeight="true" outlineLevel="0" collapsed="false"/>
    <row r="1128" customFormat="false" ht="12.75" hidden="false" customHeight="true" outlineLevel="0" collapsed="false"/>
    <row r="1129" customFormat="false" ht="12.75" hidden="false" customHeight="true" outlineLevel="0" collapsed="false"/>
    <row r="1130" customFormat="false" ht="12.75" hidden="false" customHeight="true" outlineLevel="0" collapsed="false"/>
    <row r="1131" customFormat="false" ht="12.75" hidden="false" customHeight="true" outlineLevel="0" collapsed="false"/>
    <row r="1132" customFormat="false" ht="12.75" hidden="false" customHeight="true" outlineLevel="0" collapsed="false"/>
    <row r="1133" customFormat="false" ht="12.75" hidden="false" customHeight="true" outlineLevel="0" collapsed="false"/>
    <row r="1134" customFormat="false" ht="12.75" hidden="false" customHeight="true" outlineLevel="0" collapsed="false"/>
    <row r="1135" customFormat="false" ht="12.75" hidden="false" customHeight="true" outlineLevel="0" collapsed="false"/>
    <row r="1136" customFormat="false" ht="12.75" hidden="false" customHeight="true" outlineLevel="0" collapsed="false"/>
    <row r="1137" customFormat="false" ht="12.75" hidden="false" customHeight="true" outlineLevel="0" collapsed="false"/>
    <row r="1138" customFormat="false" ht="12.75" hidden="false" customHeight="true" outlineLevel="0" collapsed="false"/>
    <row r="1139" customFormat="false" ht="12.75" hidden="false" customHeight="true" outlineLevel="0" collapsed="false"/>
    <row r="1140" customFormat="false" ht="12.75" hidden="false" customHeight="true" outlineLevel="0" collapsed="false"/>
    <row r="1141" customFormat="false" ht="12.75" hidden="false" customHeight="true" outlineLevel="0" collapsed="false"/>
    <row r="1142" customFormat="false" ht="12.75" hidden="false" customHeight="true" outlineLevel="0" collapsed="false"/>
    <row r="1143" customFormat="false" ht="12.75" hidden="false" customHeight="true" outlineLevel="0" collapsed="false"/>
    <row r="1144" customFormat="false" ht="12.75" hidden="false" customHeight="true" outlineLevel="0" collapsed="false"/>
    <row r="1145" customFormat="false" ht="12.75" hidden="false" customHeight="true" outlineLevel="0" collapsed="false"/>
    <row r="1146" customFormat="false" ht="12.75" hidden="false" customHeight="true" outlineLevel="0" collapsed="false"/>
    <row r="1147" customFormat="false" ht="12.75" hidden="false" customHeight="true" outlineLevel="0" collapsed="false"/>
    <row r="1148" customFormat="false" ht="12.75" hidden="false" customHeight="true" outlineLevel="0" collapsed="false"/>
    <row r="1149" customFormat="false" ht="12.75" hidden="false" customHeight="true" outlineLevel="0" collapsed="false"/>
    <row r="1150" customFormat="false" ht="12.75" hidden="false" customHeight="true" outlineLevel="0" collapsed="false"/>
    <row r="1151" customFormat="false" ht="12.75" hidden="false" customHeight="true" outlineLevel="0" collapsed="false"/>
    <row r="1152" customFormat="false" ht="12.75" hidden="false" customHeight="true" outlineLevel="0" collapsed="false"/>
    <row r="1153" customFormat="false" ht="12.75" hidden="false" customHeight="true" outlineLevel="0" collapsed="false"/>
    <row r="1154" customFormat="false" ht="12.75" hidden="false" customHeight="true" outlineLevel="0" collapsed="false"/>
    <row r="1155" customFormat="false" ht="12.75" hidden="false" customHeight="true" outlineLevel="0" collapsed="false"/>
    <row r="1156" customFormat="false" ht="12.75" hidden="false" customHeight="true" outlineLevel="0" collapsed="false"/>
    <row r="1157" customFormat="false" ht="12.75" hidden="false" customHeight="true" outlineLevel="0" collapsed="false"/>
    <row r="1158" customFormat="false" ht="12.75" hidden="false" customHeight="true" outlineLevel="0" collapsed="false"/>
    <row r="1159" customFormat="false" ht="12.75" hidden="false" customHeight="true" outlineLevel="0" collapsed="false"/>
    <row r="1160" customFormat="false" ht="12.75" hidden="false" customHeight="true" outlineLevel="0" collapsed="false"/>
    <row r="1161" customFormat="false" ht="12.75" hidden="false" customHeight="true" outlineLevel="0" collapsed="false"/>
    <row r="1162" customFormat="false" ht="12.75" hidden="false" customHeight="true" outlineLevel="0" collapsed="false"/>
    <row r="1163" customFormat="false" ht="12.75" hidden="false" customHeight="true" outlineLevel="0" collapsed="false"/>
    <row r="1164" customFormat="false" ht="12.75" hidden="false" customHeight="true" outlineLevel="0" collapsed="false"/>
    <row r="1165" customFormat="false" ht="12.75" hidden="false" customHeight="true" outlineLevel="0" collapsed="false"/>
    <row r="1166" customFormat="false" ht="12.75" hidden="false" customHeight="true" outlineLevel="0" collapsed="false"/>
    <row r="1167" customFormat="false" ht="12.75" hidden="false" customHeight="true" outlineLevel="0" collapsed="false"/>
    <row r="1168" customFormat="false" ht="12.75" hidden="false" customHeight="true" outlineLevel="0" collapsed="false"/>
    <row r="1169" customFormat="false" ht="12.75" hidden="false" customHeight="true" outlineLevel="0" collapsed="false"/>
    <row r="1170" customFormat="false" ht="12.75" hidden="false" customHeight="true" outlineLevel="0" collapsed="false"/>
    <row r="1171" customFormat="false" ht="12.75" hidden="false" customHeight="true" outlineLevel="0" collapsed="false"/>
    <row r="1172" customFormat="false" ht="12.75" hidden="false" customHeight="true" outlineLevel="0" collapsed="false"/>
    <row r="1173" customFormat="false" ht="12.75" hidden="false" customHeight="true" outlineLevel="0" collapsed="false"/>
    <row r="1174" customFormat="false" ht="12.75" hidden="false" customHeight="true" outlineLevel="0" collapsed="false"/>
    <row r="1175" customFormat="false" ht="12.75" hidden="false" customHeight="true" outlineLevel="0" collapsed="false"/>
    <row r="1176" customFormat="false" ht="12.75" hidden="false" customHeight="true" outlineLevel="0" collapsed="false"/>
    <row r="1177" customFormat="false" ht="12.75" hidden="false" customHeight="true" outlineLevel="0" collapsed="false"/>
    <row r="1178" customFormat="false" ht="12.75" hidden="false" customHeight="true" outlineLevel="0" collapsed="false"/>
    <row r="1179" customFormat="false" ht="12.75" hidden="false" customHeight="true" outlineLevel="0" collapsed="false"/>
    <row r="1180" customFormat="false" ht="12.75" hidden="false" customHeight="true" outlineLevel="0" collapsed="false"/>
    <row r="1181" customFormat="false" ht="12.75" hidden="false" customHeight="true" outlineLevel="0" collapsed="false"/>
    <row r="1182" customFormat="false" ht="12.75" hidden="false" customHeight="true" outlineLevel="0" collapsed="false"/>
    <row r="1183" customFormat="false" ht="12.75" hidden="false" customHeight="true" outlineLevel="0" collapsed="false"/>
    <row r="1184" customFormat="false" ht="12.75" hidden="false" customHeight="true" outlineLevel="0" collapsed="false"/>
    <row r="1185" customFormat="false" ht="12.75" hidden="false" customHeight="true" outlineLevel="0" collapsed="false"/>
    <row r="1186" customFormat="false" ht="12.75" hidden="false" customHeight="true" outlineLevel="0" collapsed="false"/>
    <row r="1187" customFormat="false" ht="12.75" hidden="false" customHeight="true" outlineLevel="0" collapsed="false"/>
    <row r="1188" customFormat="false" ht="12.75" hidden="false" customHeight="true" outlineLevel="0" collapsed="false"/>
    <row r="1189" customFormat="false" ht="12.75" hidden="false" customHeight="true" outlineLevel="0" collapsed="false"/>
    <row r="1190" customFormat="false" ht="12.75" hidden="false" customHeight="true" outlineLevel="0" collapsed="false"/>
    <row r="1191" customFormat="false" ht="12.75" hidden="false" customHeight="true" outlineLevel="0" collapsed="false"/>
    <row r="1192" customFormat="false" ht="12.75" hidden="false" customHeight="true" outlineLevel="0" collapsed="false"/>
    <row r="1193" customFormat="false" ht="12.75" hidden="false" customHeight="true" outlineLevel="0" collapsed="false"/>
    <row r="1194" customFormat="false" ht="12.75" hidden="false" customHeight="true" outlineLevel="0" collapsed="false"/>
    <row r="1195" customFormat="false" ht="12.75" hidden="false" customHeight="true" outlineLevel="0" collapsed="false"/>
    <row r="1196" customFormat="false" ht="12.75" hidden="false" customHeight="true" outlineLevel="0" collapsed="false"/>
    <row r="1197" customFormat="false" ht="12.75" hidden="false" customHeight="true" outlineLevel="0" collapsed="false"/>
    <row r="1198" customFormat="false" ht="12.75" hidden="false" customHeight="true" outlineLevel="0" collapsed="false"/>
    <row r="1199" customFormat="false" ht="12.75" hidden="false" customHeight="true" outlineLevel="0" collapsed="false"/>
    <row r="1200" customFormat="false" ht="12.75" hidden="false" customHeight="true" outlineLevel="0" collapsed="false"/>
    <row r="1201" customFormat="false" ht="12.75" hidden="false" customHeight="true" outlineLevel="0" collapsed="false"/>
    <row r="1202" customFormat="false" ht="12.75" hidden="false" customHeight="true" outlineLevel="0" collapsed="false"/>
    <row r="1203" customFormat="false" ht="12.75" hidden="false" customHeight="true" outlineLevel="0" collapsed="false"/>
    <row r="1204" customFormat="false" ht="12.75" hidden="false" customHeight="true" outlineLevel="0" collapsed="false"/>
    <row r="1205" customFormat="false" ht="12.75" hidden="false" customHeight="true" outlineLevel="0" collapsed="false"/>
    <row r="1206" customFormat="false" ht="12.75" hidden="false" customHeight="true" outlineLevel="0" collapsed="false"/>
    <row r="1207" customFormat="false" ht="12.75" hidden="false" customHeight="true" outlineLevel="0" collapsed="false"/>
    <row r="1208" customFormat="false" ht="12.75" hidden="false" customHeight="true" outlineLevel="0" collapsed="false"/>
    <row r="1209" customFormat="false" ht="12.75" hidden="false" customHeight="true" outlineLevel="0" collapsed="false"/>
    <row r="1210" customFormat="false" ht="12.75" hidden="false" customHeight="true" outlineLevel="0" collapsed="false"/>
    <row r="1211" customFormat="false" ht="12.75" hidden="false" customHeight="true" outlineLevel="0" collapsed="false"/>
    <row r="1212" customFormat="false" ht="12.75" hidden="false" customHeight="true" outlineLevel="0" collapsed="false"/>
    <row r="1213" customFormat="false" ht="12.75" hidden="false" customHeight="true" outlineLevel="0" collapsed="false"/>
    <row r="1214" customFormat="false" ht="12.75" hidden="false" customHeight="true" outlineLevel="0" collapsed="false"/>
    <row r="1215" customFormat="false" ht="12.75" hidden="false" customHeight="true" outlineLevel="0" collapsed="false"/>
    <row r="1216" customFormat="false" ht="12.75" hidden="false" customHeight="true" outlineLevel="0" collapsed="false"/>
    <row r="1217" customFormat="false" ht="12.75" hidden="false" customHeight="true" outlineLevel="0" collapsed="false"/>
    <row r="1218" customFormat="false" ht="12.75" hidden="false" customHeight="true" outlineLevel="0" collapsed="false"/>
    <row r="1219" customFormat="false" ht="12.75" hidden="false" customHeight="true" outlineLevel="0" collapsed="false"/>
    <row r="1220" customFormat="false" ht="12.75" hidden="false" customHeight="true" outlineLevel="0" collapsed="false"/>
    <row r="1221" customFormat="false" ht="12.75" hidden="false" customHeight="true" outlineLevel="0" collapsed="false"/>
    <row r="1222" customFormat="false" ht="12.75" hidden="false" customHeight="true" outlineLevel="0" collapsed="false"/>
    <row r="1223" customFormat="false" ht="12.75" hidden="false" customHeight="true" outlineLevel="0" collapsed="false"/>
    <row r="1224" customFormat="false" ht="12.75" hidden="false" customHeight="true" outlineLevel="0" collapsed="false"/>
    <row r="1225" customFormat="false" ht="12.75" hidden="false" customHeight="true" outlineLevel="0" collapsed="false"/>
    <row r="1226" customFormat="false" ht="12.75" hidden="false" customHeight="true" outlineLevel="0" collapsed="false"/>
    <row r="1227" customFormat="false" ht="12.75" hidden="false" customHeight="true" outlineLevel="0" collapsed="false"/>
    <row r="1228" customFormat="false" ht="12.75" hidden="false" customHeight="true" outlineLevel="0" collapsed="false"/>
    <row r="1229" customFormat="false" ht="12.75" hidden="false" customHeight="true" outlineLevel="0" collapsed="false"/>
    <row r="1230" customFormat="false" ht="12.75" hidden="false" customHeight="true" outlineLevel="0" collapsed="false"/>
    <row r="1231" customFormat="false" ht="12.75" hidden="false" customHeight="true" outlineLevel="0" collapsed="false"/>
    <row r="1232" customFormat="false" ht="12.75" hidden="false" customHeight="true" outlineLevel="0" collapsed="false"/>
    <row r="1233" customFormat="false" ht="12.75" hidden="false" customHeight="true" outlineLevel="0" collapsed="false"/>
    <row r="1234" customFormat="false" ht="12.75" hidden="false" customHeight="true" outlineLevel="0" collapsed="false"/>
    <row r="1235" customFormat="false" ht="12.75" hidden="false" customHeight="true" outlineLevel="0" collapsed="false"/>
    <row r="1236" customFormat="false" ht="12.75" hidden="false" customHeight="true" outlineLevel="0" collapsed="false"/>
    <row r="1237" customFormat="false" ht="12.75" hidden="false" customHeight="true" outlineLevel="0" collapsed="false"/>
    <row r="1238" customFormat="false" ht="12.75" hidden="false" customHeight="true" outlineLevel="0" collapsed="false"/>
    <row r="1239" customFormat="false" ht="12.75" hidden="false" customHeight="true" outlineLevel="0" collapsed="false"/>
    <row r="1240" customFormat="false" ht="12.75" hidden="false" customHeight="true" outlineLevel="0" collapsed="false"/>
    <row r="1241" customFormat="false" ht="12.75" hidden="false" customHeight="true" outlineLevel="0" collapsed="false"/>
    <row r="1242" customFormat="false" ht="12.75" hidden="false" customHeight="true" outlineLevel="0" collapsed="false"/>
    <row r="1243" customFormat="false" ht="12.75" hidden="false" customHeight="true" outlineLevel="0" collapsed="false"/>
    <row r="1244" customFormat="false" ht="12.75" hidden="false" customHeight="true" outlineLevel="0" collapsed="false"/>
    <row r="1245" customFormat="false" ht="12.75" hidden="false" customHeight="true" outlineLevel="0" collapsed="false"/>
    <row r="1246" customFormat="false" ht="12.75" hidden="false" customHeight="true" outlineLevel="0" collapsed="false"/>
    <row r="1247" customFormat="false" ht="12.75" hidden="false" customHeight="true" outlineLevel="0" collapsed="false"/>
    <row r="1248" customFormat="false" ht="12.75" hidden="false" customHeight="true" outlineLevel="0" collapsed="false"/>
    <row r="1249" customFormat="false" ht="12.75" hidden="false" customHeight="true" outlineLevel="0" collapsed="false"/>
    <row r="1250" customFormat="false" ht="12.75" hidden="false" customHeight="true" outlineLevel="0" collapsed="false"/>
    <row r="1251" customFormat="false" ht="12.75" hidden="false" customHeight="true" outlineLevel="0" collapsed="false"/>
    <row r="1252" customFormat="false" ht="12.75" hidden="false" customHeight="true" outlineLevel="0" collapsed="false"/>
    <row r="1253" customFormat="false" ht="12.75" hidden="false" customHeight="true" outlineLevel="0" collapsed="false"/>
    <row r="1254" customFormat="false" ht="12.75" hidden="false" customHeight="true" outlineLevel="0" collapsed="false"/>
    <row r="1255" customFormat="false" ht="12.75" hidden="false" customHeight="true" outlineLevel="0" collapsed="false"/>
    <row r="1256" customFormat="false" ht="12.75" hidden="false" customHeight="true" outlineLevel="0" collapsed="false"/>
    <row r="1257" customFormat="false" ht="12.75" hidden="false" customHeight="true" outlineLevel="0" collapsed="false"/>
    <row r="1258" customFormat="false" ht="12.75" hidden="false" customHeight="true" outlineLevel="0" collapsed="false"/>
    <row r="1259" customFormat="false" ht="12.75" hidden="false" customHeight="true" outlineLevel="0" collapsed="false"/>
    <row r="1260" customFormat="false" ht="12.75" hidden="false" customHeight="true" outlineLevel="0" collapsed="false"/>
    <row r="1261" customFormat="false" ht="12.75" hidden="false" customHeight="true" outlineLevel="0" collapsed="false"/>
    <row r="1262" customFormat="false" ht="12.75" hidden="false" customHeight="true" outlineLevel="0" collapsed="false"/>
    <row r="1263" customFormat="false" ht="12.75" hidden="false" customHeight="true" outlineLevel="0" collapsed="false"/>
    <row r="1264" customFormat="false" ht="12.75" hidden="false" customHeight="true" outlineLevel="0" collapsed="false"/>
    <row r="1265" customFormat="false" ht="12.75" hidden="false" customHeight="true" outlineLevel="0" collapsed="false"/>
    <row r="1266" customFormat="false" ht="12.75" hidden="false" customHeight="true" outlineLevel="0" collapsed="false"/>
    <row r="1267" customFormat="false" ht="12.75" hidden="false" customHeight="true" outlineLevel="0" collapsed="false"/>
    <row r="1268" customFormat="false" ht="12.75" hidden="false" customHeight="true" outlineLevel="0" collapsed="false"/>
    <row r="1269" customFormat="false" ht="12.75" hidden="false" customHeight="true" outlineLevel="0" collapsed="false"/>
    <row r="1270" customFormat="false" ht="12.75" hidden="false" customHeight="true" outlineLevel="0" collapsed="false"/>
    <row r="1271" customFormat="false" ht="12.75" hidden="false" customHeight="true" outlineLevel="0" collapsed="false"/>
    <row r="1272" customFormat="false" ht="12.75" hidden="false" customHeight="true" outlineLevel="0" collapsed="false"/>
    <row r="1273" customFormat="false" ht="12.75" hidden="false" customHeight="true" outlineLevel="0" collapsed="false"/>
    <row r="1274" customFormat="false" ht="12.75" hidden="false" customHeight="true" outlineLevel="0" collapsed="false"/>
    <row r="1275" customFormat="false" ht="12.75" hidden="false" customHeight="true" outlineLevel="0" collapsed="false"/>
    <row r="1276" customFormat="false" ht="12.75" hidden="false" customHeight="true" outlineLevel="0" collapsed="false"/>
    <row r="1277" customFormat="false" ht="12.75" hidden="false" customHeight="true" outlineLevel="0" collapsed="false"/>
    <row r="1278" customFormat="false" ht="12.75" hidden="false" customHeight="true" outlineLevel="0" collapsed="false"/>
    <row r="1279" customFormat="false" ht="12.75" hidden="false" customHeight="true" outlineLevel="0" collapsed="false"/>
    <row r="1280" customFormat="false" ht="12.75" hidden="false" customHeight="true" outlineLevel="0" collapsed="false"/>
    <row r="1281" customFormat="false" ht="12.75" hidden="false" customHeight="true" outlineLevel="0" collapsed="false"/>
    <row r="1282" customFormat="false" ht="12.75" hidden="false" customHeight="true" outlineLevel="0" collapsed="false"/>
    <row r="1283" customFormat="false" ht="12.75" hidden="false" customHeight="true" outlineLevel="0" collapsed="false"/>
    <row r="1284" customFormat="false" ht="12.75" hidden="false" customHeight="true" outlineLevel="0" collapsed="false"/>
    <row r="1285" customFormat="false" ht="12.75" hidden="false" customHeight="true" outlineLevel="0" collapsed="false"/>
    <row r="1286" customFormat="false" ht="12.75" hidden="false" customHeight="true" outlineLevel="0" collapsed="false"/>
    <row r="1287" customFormat="false" ht="12.75" hidden="false" customHeight="true" outlineLevel="0" collapsed="false"/>
    <row r="1288" customFormat="false" ht="12.75" hidden="false" customHeight="true" outlineLevel="0" collapsed="false"/>
    <row r="1289" customFormat="false" ht="12.75" hidden="false" customHeight="true" outlineLevel="0" collapsed="false"/>
    <row r="1290" customFormat="false" ht="12.75" hidden="false" customHeight="true" outlineLevel="0" collapsed="false"/>
    <row r="1291" customFormat="false" ht="12.75" hidden="false" customHeight="true" outlineLevel="0" collapsed="false"/>
    <row r="1292" customFormat="false" ht="12.75" hidden="false" customHeight="true" outlineLevel="0" collapsed="false"/>
    <row r="1293" customFormat="false" ht="12.75" hidden="false" customHeight="true" outlineLevel="0" collapsed="false"/>
    <row r="1294" customFormat="false" ht="12.75" hidden="false" customHeight="true" outlineLevel="0" collapsed="false"/>
    <row r="1295" customFormat="false" ht="12.75" hidden="false" customHeight="true" outlineLevel="0" collapsed="false"/>
    <row r="1296" customFormat="false" ht="12.75" hidden="false" customHeight="true" outlineLevel="0" collapsed="false"/>
    <row r="1297" customFormat="false" ht="12.75" hidden="false" customHeight="true" outlineLevel="0" collapsed="false"/>
    <row r="1298" customFormat="false" ht="12.75" hidden="false" customHeight="true" outlineLevel="0" collapsed="false"/>
    <row r="1299" customFormat="false" ht="12.75" hidden="false" customHeight="true" outlineLevel="0" collapsed="false"/>
    <row r="1300" customFormat="false" ht="12.75" hidden="false" customHeight="true" outlineLevel="0" collapsed="false"/>
    <row r="1301" customFormat="false" ht="12.75" hidden="false" customHeight="true" outlineLevel="0" collapsed="false"/>
    <row r="1302" customFormat="false" ht="12.75" hidden="false" customHeight="true" outlineLevel="0" collapsed="false"/>
    <row r="1303" customFormat="false" ht="12.75" hidden="false" customHeight="true" outlineLevel="0" collapsed="false"/>
    <row r="1304" customFormat="false" ht="12.75" hidden="false" customHeight="true" outlineLevel="0" collapsed="false"/>
    <row r="1305" customFormat="false" ht="12.75" hidden="false" customHeight="true" outlineLevel="0" collapsed="false"/>
    <row r="1306" customFormat="false" ht="12.75" hidden="false" customHeight="true" outlineLevel="0" collapsed="false"/>
    <row r="1307" customFormat="false" ht="12.75" hidden="false" customHeight="true" outlineLevel="0" collapsed="false"/>
    <row r="1308" customFormat="false" ht="12.75" hidden="false" customHeight="true" outlineLevel="0" collapsed="false"/>
    <row r="1309" customFormat="false" ht="12.75" hidden="false" customHeight="true" outlineLevel="0" collapsed="false"/>
    <row r="1310" customFormat="false" ht="12.75" hidden="false" customHeight="true" outlineLevel="0" collapsed="false"/>
    <row r="1311" customFormat="false" ht="12.75" hidden="false" customHeight="true" outlineLevel="0" collapsed="false"/>
    <row r="1312" customFormat="false" ht="12.75" hidden="false" customHeight="true" outlineLevel="0" collapsed="false"/>
    <row r="1313" customFormat="false" ht="12.75" hidden="false" customHeight="true" outlineLevel="0" collapsed="false"/>
    <row r="1314" customFormat="false" ht="12.75" hidden="false" customHeight="true" outlineLevel="0" collapsed="false"/>
    <row r="1315" customFormat="false" ht="12.75" hidden="false" customHeight="true" outlineLevel="0" collapsed="false"/>
    <row r="1316" customFormat="false" ht="12.75" hidden="false" customHeight="true" outlineLevel="0" collapsed="false"/>
    <row r="1317" customFormat="false" ht="12.75" hidden="false" customHeight="true" outlineLevel="0" collapsed="false"/>
    <row r="1318" customFormat="false" ht="12.75" hidden="false" customHeight="true" outlineLevel="0" collapsed="false"/>
    <row r="1319" customFormat="false" ht="12.75" hidden="false" customHeight="true" outlineLevel="0" collapsed="false"/>
    <row r="1320" customFormat="false" ht="12.75" hidden="false" customHeight="true" outlineLevel="0" collapsed="false"/>
    <row r="1321" customFormat="false" ht="12.75" hidden="false" customHeight="true" outlineLevel="0" collapsed="false"/>
    <row r="1322" customFormat="false" ht="12.75" hidden="false" customHeight="true" outlineLevel="0" collapsed="false"/>
    <row r="1323" customFormat="false" ht="12.75" hidden="false" customHeight="true" outlineLevel="0" collapsed="false"/>
    <row r="1324" customFormat="false" ht="12.75" hidden="false" customHeight="true" outlineLevel="0" collapsed="false"/>
    <row r="1325" customFormat="false" ht="12.75" hidden="false" customHeight="true" outlineLevel="0" collapsed="false"/>
    <row r="1326" customFormat="false" ht="12.75" hidden="false" customHeight="true" outlineLevel="0" collapsed="false"/>
    <row r="1327" customFormat="false" ht="12.75" hidden="false" customHeight="true" outlineLevel="0" collapsed="false"/>
    <row r="1328" customFormat="false" ht="12.75" hidden="false" customHeight="true" outlineLevel="0" collapsed="false"/>
    <row r="1329" customFormat="false" ht="12.75" hidden="false" customHeight="true" outlineLevel="0" collapsed="false"/>
    <row r="1330" customFormat="false" ht="12.75" hidden="false" customHeight="true" outlineLevel="0" collapsed="false"/>
    <row r="1331" customFormat="false" ht="12.75" hidden="false" customHeight="true" outlineLevel="0" collapsed="false"/>
    <row r="1332" customFormat="false" ht="12.75" hidden="false" customHeight="true" outlineLevel="0" collapsed="false"/>
    <row r="1333" customFormat="false" ht="12.75" hidden="false" customHeight="true" outlineLevel="0" collapsed="false"/>
    <row r="1334" customFormat="false" ht="12.75" hidden="false" customHeight="true" outlineLevel="0" collapsed="false"/>
    <row r="1335" customFormat="false" ht="12.75" hidden="false" customHeight="true" outlineLevel="0" collapsed="false"/>
    <row r="1336" customFormat="false" ht="12.75" hidden="false" customHeight="true" outlineLevel="0" collapsed="false"/>
    <row r="1337" customFormat="false" ht="12.75" hidden="false" customHeight="true" outlineLevel="0" collapsed="false"/>
    <row r="1338" customFormat="false" ht="12.75" hidden="false" customHeight="true" outlineLevel="0" collapsed="false"/>
    <row r="1339" customFormat="false" ht="12.75" hidden="false" customHeight="true" outlineLevel="0" collapsed="false"/>
    <row r="1340" customFormat="false" ht="12.75" hidden="false" customHeight="true" outlineLevel="0" collapsed="false"/>
    <row r="1341" customFormat="false" ht="12.75" hidden="false" customHeight="true" outlineLevel="0" collapsed="false"/>
    <row r="1342" customFormat="false" ht="12.75" hidden="false" customHeight="true" outlineLevel="0" collapsed="false"/>
    <row r="1343" customFormat="false" ht="12.75" hidden="false" customHeight="true" outlineLevel="0" collapsed="false"/>
    <row r="1344" customFormat="false" ht="12.75" hidden="false" customHeight="true" outlineLevel="0" collapsed="false"/>
    <row r="1345" customFormat="false" ht="12.75" hidden="false" customHeight="true" outlineLevel="0" collapsed="false"/>
    <row r="1346" customFormat="false" ht="12.75" hidden="false" customHeight="true" outlineLevel="0" collapsed="false"/>
    <row r="1347" customFormat="false" ht="12.75" hidden="false" customHeight="true" outlineLevel="0" collapsed="false"/>
    <row r="1348" customFormat="false" ht="12.75" hidden="false" customHeight="true" outlineLevel="0" collapsed="false"/>
    <row r="1349" customFormat="false" ht="12.75" hidden="false" customHeight="true" outlineLevel="0" collapsed="false"/>
    <row r="1350" customFormat="false" ht="12.75" hidden="false" customHeight="true" outlineLevel="0" collapsed="false"/>
    <row r="1351" customFormat="false" ht="12.75" hidden="false" customHeight="true" outlineLevel="0" collapsed="false"/>
    <row r="1352" customFormat="false" ht="12.75" hidden="false" customHeight="true" outlineLevel="0" collapsed="false"/>
    <row r="1353" customFormat="false" ht="12.75" hidden="false" customHeight="true" outlineLevel="0" collapsed="false"/>
    <row r="1354" customFormat="false" ht="12.75" hidden="false" customHeight="true" outlineLevel="0" collapsed="false"/>
    <row r="1355" customFormat="false" ht="12.75" hidden="false" customHeight="true" outlineLevel="0" collapsed="false"/>
    <row r="1356" customFormat="false" ht="12.75" hidden="false" customHeight="true" outlineLevel="0" collapsed="false"/>
    <row r="1357" customFormat="false" ht="12.75" hidden="false" customHeight="true" outlineLevel="0" collapsed="false"/>
    <row r="1358" customFormat="false" ht="12.75" hidden="false" customHeight="true" outlineLevel="0" collapsed="false"/>
    <row r="1359" customFormat="false" ht="12.75" hidden="false" customHeight="true" outlineLevel="0" collapsed="false"/>
    <row r="1360" customFormat="false" ht="12.75" hidden="false" customHeight="true" outlineLevel="0" collapsed="false"/>
    <row r="1361" customFormat="false" ht="12.75" hidden="false" customHeight="true" outlineLevel="0" collapsed="false"/>
    <row r="1362" customFormat="false" ht="12.75" hidden="false" customHeight="true" outlineLevel="0" collapsed="false"/>
    <row r="1363" customFormat="false" ht="12.75" hidden="false" customHeight="true" outlineLevel="0" collapsed="false"/>
    <row r="1364" customFormat="false" ht="12.75" hidden="false" customHeight="true" outlineLevel="0" collapsed="false"/>
    <row r="1365" customFormat="false" ht="12.75" hidden="false" customHeight="true" outlineLevel="0" collapsed="false"/>
    <row r="1366" customFormat="false" ht="12.75" hidden="false" customHeight="true" outlineLevel="0" collapsed="false"/>
    <row r="1367" customFormat="false" ht="12.75" hidden="false" customHeight="true" outlineLevel="0" collapsed="false"/>
    <row r="1368" customFormat="false" ht="12.75" hidden="false" customHeight="true" outlineLevel="0" collapsed="false"/>
    <row r="1369" customFormat="false" ht="12.75" hidden="false" customHeight="true" outlineLevel="0" collapsed="false"/>
    <row r="1370" customFormat="false" ht="12.75" hidden="false" customHeight="true" outlineLevel="0" collapsed="false"/>
    <row r="1371" customFormat="false" ht="12.75" hidden="false" customHeight="true" outlineLevel="0" collapsed="false"/>
    <row r="1372" customFormat="false" ht="12.75" hidden="false" customHeight="true" outlineLevel="0" collapsed="false"/>
    <row r="1373" customFormat="false" ht="12.75" hidden="false" customHeight="true" outlineLevel="0" collapsed="false"/>
    <row r="1374" customFormat="false" ht="12.75" hidden="false" customHeight="true" outlineLevel="0" collapsed="false"/>
    <row r="1375" customFormat="false" ht="12.75" hidden="false" customHeight="true" outlineLevel="0" collapsed="false"/>
    <row r="1376" customFormat="false" ht="12.75" hidden="false" customHeight="true" outlineLevel="0" collapsed="false"/>
    <row r="1377" customFormat="false" ht="12.75" hidden="false" customHeight="true" outlineLevel="0" collapsed="false"/>
    <row r="1378" customFormat="false" ht="12.75" hidden="false" customHeight="true" outlineLevel="0" collapsed="false"/>
    <row r="1379" customFormat="false" ht="12.75" hidden="false" customHeight="true" outlineLevel="0" collapsed="false"/>
    <row r="1380" customFormat="false" ht="12.75" hidden="false" customHeight="true" outlineLevel="0" collapsed="false"/>
    <row r="1381" customFormat="false" ht="12.75" hidden="false" customHeight="true" outlineLevel="0" collapsed="false"/>
    <row r="1382" customFormat="false" ht="12.75" hidden="false" customHeight="true" outlineLevel="0" collapsed="false"/>
    <row r="1383" customFormat="false" ht="12.75" hidden="false" customHeight="true" outlineLevel="0" collapsed="false"/>
    <row r="1384" customFormat="false" ht="12.75" hidden="false" customHeight="true" outlineLevel="0" collapsed="false"/>
    <row r="1385" customFormat="false" ht="12.75" hidden="false" customHeight="true" outlineLevel="0" collapsed="false"/>
    <row r="1386" customFormat="false" ht="12.75" hidden="false" customHeight="true" outlineLevel="0" collapsed="false"/>
    <row r="1387" customFormat="false" ht="12.75" hidden="false" customHeight="true" outlineLevel="0" collapsed="false"/>
    <row r="1388" customFormat="false" ht="12.75" hidden="false" customHeight="true" outlineLevel="0" collapsed="false"/>
    <row r="1389" customFormat="false" ht="12.75" hidden="false" customHeight="true" outlineLevel="0" collapsed="false"/>
    <row r="1390" customFormat="false" ht="12.75" hidden="false" customHeight="true" outlineLevel="0" collapsed="false"/>
    <row r="1391" customFormat="false" ht="12.75" hidden="false" customHeight="true" outlineLevel="0" collapsed="false"/>
    <row r="1392" customFormat="false" ht="12.75" hidden="false" customHeight="true" outlineLevel="0" collapsed="false"/>
    <row r="1393" customFormat="false" ht="12.75" hidden="false" customHeight="true" outlineLevel="0" collapsed="false"/>
    <row r="1394" customFormat="false" ht="12.75" hidden="false" customHeight="true" outlineLevel="0" collapsed="false"/>
    <row r="1395" customFormat="false" ht="12.75" hidden="false" customHeight="true" outlineLevel="0" collapsed="false"/>
    <row r="1396" customFormat="false" ht="12.75" hidden="false" customHeight="true" outlineLevel="0" collapsed="false"/>
    <row r="1397" customFormat="false" ht="12.75" hidden="false" customHeight="true" outlineLevel="0" collapsed="false"/>
    <row r="1398" customFormat="false" ht="12.75" hidden="false" customHeight="true" outlineLevel="0" collapsed="false"/>
    <row r="1399" customFormat="false" ht="12.75" hidden="false" customHeight="true" outlineLevel="0" collapsed="false"/>
    <row r="1400" customFormat="false" ht="12.75" hidden="false" customHeight="true" outlineLevel="0" collapsed="false"/>
    <row r="1401" customFormat="false" ht="12.75" hidden="false" customHeight="true" outlineLevel="0" collapsed="false"/>
    <row r="1402" customFormat="false" ht="12.75" hidden="false" customHeight="true" outlineLevel="0" collapsed="false"/>
    <row r="1403" customFormat="false" ht="12.75" hidden="false" customHeight="true" outlineLevel="0" collapsed="false"/>
    <row r="1404" customFormat="false" ht="12.75" hidden="false" customHeight="true" outlineLevel="0" collapsed="false"/>
    <row r="1405" customFormat="false" ht="12.75" hidden="false" customHeight="true" outlineLevel="0" collapsed="false"/>
    <row r="1406" customFormat="false" ht="12.75" hidden="false" customHeight="true" outlineLevel="0" collapsed="false"/>
    <row r="1407" customFormat="false" ht="12.75" hidden="false" customHeight="true" outlineLevel="0" collapsed="false"/>
    <row r="1408" customFormat="false" ht="12.75" hidden="false" customHeight="true" outlineLevel="0" collapsed="false"/>
    <row r="1409" customFormat="false" ht="12.75" hidden="false" customHeight="true" outlineLevel="0" collapsed="false"/>
    <row r="1410" customFormat="false" ht="12.75" hidden="false" customHeight="true" outlineLevel="0" collapsed="false"/>
    <row r="1411" customFormat="false" ht="12.75" hidden="false" customHeight="true" outlineLevel="0" collapsed="false"/>
    <row r="1412" customFormat="false" ht="12.75" hidden="false" customHeight="true" outlineLevel="0" collapsed="false"/>
    <row r="1413" customFormat="false" ht="12.75" hidden="false" customHeight="true" outlineLevel="0" collapsed="false"/>
    <row r="1414" customFormat="false" ht="12.75" hidden="false" customHeight="true" outlineLevel="0" collapsed="false"/>
    <row r="1415" customFormat="false" ht="12.75" hidden="false" customHeight="true" outlineLevel="0" collapsed="false"/>
    <row r="1416" customFormat="false" ht="12.75" hidden="false" customHeight="true" outlineLevel="0" collapsed="false"/>
    <row r="1417" customFormat="false" ht="12.75" hidden="false" customHeight="true" outlineLevel="0" collapsed="false"/>
    <row r="1418" customFormat="false" ht="12.75" hidden="false" customHeight="true" outlineLevel="0" collapsed="false"/>
    <row r="1419" customFormat="false" ht="12.75" hidden="false" customHeight="true" outlineLevel="0" collapsed="false"/>
    <row r="1420" customFormat="false" ht="12.75" hidden="false" customHeight="true" outlineLevel="0" collapsed="false"/>
    <row r="1421" customFormat="false" ht="12.75" hidden="false" customHeight="true" outlineLevel="0" collapsed="false"/>
    <row r="1422" customFormat="false" ht="12.75" hidden="false" customHeight="true" outlineLevel="0" collapsed="false"/>
    <row r="1423" customFormat="false" ht="12.75" hidden="false" customHeight="true" outlineLevel="0" collapsed="false"/>
    <row r="1424" customFormat="false" ht="12.75" hidden="false" customHeight="true" outlineLevel="0" collapsed="false"/>
    <row r="1425" customFormat="false" ht="12.75" hidden="false" customHeight="true" outlineLevel="0" collapsed="false"/>
    <row r="1426" customFormat="false" ht="12.75" hidden="false" customHeight="true" outlineLevel="0" collapsed="false"/>
    <row r="1427" customFormat="false" ht="12.75" hidden="false" customHeight="true" outlineLevel="0" collapsed="false"/>
    <row r="1428" customFormat="false" ht="12.75" hidden="false" customHeight="true" outlineLevel="0" collapsed="false"/>
    <row r="1429" customFormat="false" ht="12.75" hidden="false" customHeight="true" outlineLevel="0" collapsed="false"/>
    <row r="1430" customFormat="false" ht="12.75" hidden="false" customHeight="true" outlineLevel="0" collapsed="false"/>
    <row r="1431" customFormat="false" ht="12.75" hidden="false" customHeight="true" outlineLevel="0" collapsed="false"/>
    <row r="1432" customFormat="false" ht="12.75" hidden="false" customHeight="true" outlineLevel="0" collapsed="false"/>
    <row r="1433" customFormat="false" ht="12.75" hidden="false" customHeight="true" outlineLevel="0" collapsed="false"/>
    <row r="1434" customFormat="false" ht="12.75" hidden="false" customHeight="true" outlineLevel="0" collapsed="false"/>
    <row r="1435" customFormat="false" ht="12.75" hidden="false" customHeight="true" outlineLevel="0" collapsed="false"/>
    <row r="1436" customFormat="false" ht="12.75" hidden="false" customHeight="true" outlineLevel="0" collapsed="false"/>
    <row r="1437" customFormat="false" ht="12.75" hidden="false" customHeight="true" outlineLevel="0" collapsed="false"/>
    <row r="1438" customFormat="false" ht="12.75" hidden="false" customHeight="true" outlineLevel="0" collapsed="false"/>
    <row r="1439" customFormat="false" ht="12.75" hidden="false" customHeight="true" outlineLevel="0" collapsed="false"/>
    <row r="1440" customFormat="false" ht="12.75" hidden="false" customHeight="true" outlineLevel="0" collapsed="false"/>
    <row r="1441" customFormat="false" ht="12.75" hidden="false" customHeight="true" outlineLevel="0" collapsed="false"/>
    <row r="1442" customFormat="false" ht="12.75" hidden="false" customHeight="true" outlineLevel="0" collapsed="false"/>
    <row r="1443" customFormat="false" ht="12.75" hidden="false" customHeight="true" outlineLevel="0" collapsed="false"/>
    <row r="1444" customFormat="false" ht="12.75" hidden="false" customHeight="true" outlineLevel="0" collapsed="false"/>
    <row r="1445" customFormat="false" ht="12.75" hidden="false" customHeight="true" outlineLevel="0" collapsed="false"/>
    <row r="1446" customFormat="false" ht="12.75" hidden="false" customHeight="true" outlineLevel="0" collapsed="false"/>
    <row r="1447" customFormat="false" ht="12.75" hidden="false" customHeight="true" outlineLevel="0" collapsed="false"/>
    <row r="1448" customFormat="false" ht="12.75" hidden="false" customHeight="true" outlineLevel="0" collapsed="false"/>
    <row r="1449" customFormat="false" ht="12.75" hidden="false" customHeight="true" outlineLevel="0" collapsed="false"/>
    <row r="1450" customFormat="false" ht="12.75" hidden="false" customHeight="true" outlineLevel="0" collapsed="false"/>
    <row r="1451" customFormat="false" ht="12.75" hidden="false" customHeight="true" outlineLevel="0" collapsed="false"/>
    <row r="1452" customFormat="false" ht="12.75" hidden="false" customHeight="true" outlineLevel="0" collapsed="false"/>
    <row r="1453" customFormat="false" ht="12.75" hidden="false" customHeight="true" outlineLevel="0" collapsed="false"/>
    <row r="1454" customFormat="false" ht="12.75" hidden="false" customHeight="true" outlineLevel="0" collapsed="false"/>
    <row r="1455" customFormat="false" ht="12.75" hidden="false" customHeight="true" outlineLevel="0" collapsed="false"/>
    <row r="1456" customFormat="false" ht="12.75" hidden="false" customHeight="true" outlineLevel="0" collapsed="false"/>
    <row r="1457" customFormat="false" ht="12.75" hidden="false" customHeight="true" outlineLevel="0" collapsed="false"/>
    <row r="1458" customFormat="false" ht="12.75" hidden="false" customHeight="true" outlineLevel="0" collapsed="false"/>
    <row r="1459" customFormat="false" ht="12.75" hidden="false" customHeight="true" outlineLevel="0" collapsed="false"/>
    <row r="1460" customFormat="false" ht="12.75" hidden="false" customHeight="true" outlineLevel="0" collapsed="false"/>
    <row r="1461" customFormat="false" ht="12.75" hidden="false" customHeight="true" outlineLevel="0" collapsed="false"/>
    <row r="1462" customFormat="false" ht="12.75" hidden="false" customHeight="true" outlineLevel="0" collapsed="false"/>
    <row r="1463" customFormat="false" ht="12.75" hidden="false" customHeight="true" outlineLevel="0" collapsed="false"/>
    <row r="1464" customFormat="false" ht="12.75" hidden="false" customHeight="true" outlineLevel="0" collapsed="false"/>
    <row r="1465" customFormat="false" ht="12.75" hidden="false" customHeight="true" outlineLevel="0" collapsed="false"/>
    <row r="1466" customFormat="false" ht="12.75" hidden="false" customHeight="true" outlineLevel="0" collapsed="false"/>
    <row r="1467" customFormat="false" ht="12.75" hidden="false" customHeight="true" outlineLevel="0" collapsed="false"/>
    <row r="1468" customFormat="false" ht="12.75" hidden="false" customHeight="true" outlineLevel="0" collapsed="false"/>
    <row r="1469" customFormat="false" ht="12.75" hidden="false" customHeight="true" outlineLevel="0" collapsed="false"/>
    <row r="1470" customFormat="false" ht="12.75" hidden="false" customHeight="true" outlineLevel="0" collapsed="false"/>
    <row r="1471" customFormat="false" ht="12.75" hidden="false" customHeight="true" outlineLevel="0" collapsed="false"/>
    <row r="1472" customFormat="false" ht="12.75" hidden="false" customHeight="true" outlineLevel="0" collapsed="false"/>
    <row r="1473" customFormat="false" ht="12.75" hidden="false" customHeight="true" outlineLevel="0" collapsed="false"/>
    <row r="1474" customFormat="false" ht="12.75" hidden="false" customHeight="true" outlineLevel="0" collapsed="false"/>
    <row r="1475" customFormat="false" ht="12.75" hidden="false" customHeight="true" outlineLevel="0" collapsed="false"/>
    <row r="1476" customFormat="false" ht="12.75" hidden="false" customHeight="true" outlineLevel="0" collapsed="false"/>
    <row r="1477" customFormat="false" ht="12.75" hidden="false" customHeight="true" outlineLevel="0" collapsed="false"/>
    <row r="1478" customFormat="false" ht="12.75" hidden="false" customHeight="true" outlineLevel="0" collapsed="false"/>
    <row r="1479" customFormat="false" ht="12.75" hidden="false" customHeight="true" outlineLevel="0" collapsed="false"/>
    <row r="1480" customFormat="false" ht="12.75" hidden="false" customHeight="true" outlineLevel="0" collapsed="false"/>
    <row r="1481" customFormat="false" ht="12.75" hidden="false" customHeight="true" outlineLevel="0" collapsed="false"/>
    <row r="1482" customFormat="false" ht="12.75" hidden="false" customHeight="true" outlineLevel="0" collapsed="false"/>
    <row r="1483" customFormat="false" ht="12.75" hidden="false" customHeight="true" outlineLevel="0" collapsed="false"/>
    <row r="1484" customFormat="false" ht="12.75" hidden="false" customHeight="true" outlineLevel="0" collapsed="false"/>
    <row r="1485" customFormat="false" ht="12.75" hidden="false" customHeight="true" outlineLevel="0" collapsed="false"/>
    <row r="1486" customFormat="false" ht="12.75" hidden="false" customHeight="true" outlineLevel="0" collapsed="false"/>
    <row r="1487" customFormat="false" ht="12.75" hidden="false" customHeight="true" outlineLevel="0" collapsed="false"/>
    <row r="1488" customFormat="false" ht="12.75" hidden="false" customHeight="true" outlineLevel="0" collapsed="false"/>
    <row r="1489" customFormat="false" ht="12.75" hidden="false" customHeight="true" outlineLevel="0" collapsed="false"/>
    <row r="1490" customFormat="false" ht="12.75" hidden="false" customHeight="true" outlineLevel="0" collapsed="false"/>
    <row r="1491" customFormat="false" ht="12.75" hidden="false" customHeight="true" outlineLevel="0" collapsed="false"/>
    <row r="1492" customFormat="false" ht="12.75" hidden="false" customHeight="true" outlineLevel="0" collapsed="false"/>
    <row r="1493" customFormat="false" ht="12.75" hidden="false" customHeight="true" outlineLevel="0" collapsed="false"/>
    <row r="1494" customFormat="false" ht="12.75" hidden="false" customHeight="true" outlineLevel="0" collapsed="false"/>
    <row r="1495" customFormat="false" ht="12.75" hidden="false" customHeight="true" outlineLevel="0" collapsed="false"/>
    <row r="1496" customFormat="false" ht="12.75" hidden="false" customHeight="true" outlineLevel="0" collapsed="false"/>
    <row r="1497" customFormat="false" ht="12.75" hidden="false" customHeight="true" outlineLevel="0" collapsed="false"/>
    <row r="1498" customFormat="false" ht="12.75" hidden="false" customHeight="true" outlineLevel="0" collapsed="false"/>
    <row r="1499" customFormat="false" ht="12.75" hidden="false" customHeight="true" outlineLevel="0" collapsed="false"/>
    <row r="1500" customFormat="false" ht="12.75" hidden="false" customHeight="true" outlineLevel="0" collapsed="false"/>
    <row r="1501" customFormat="false" ht="12.75" hidden="false" customHeight="true" outlineLevel="0" collapsed="false"/>
    <row r="1502" customFormat="false" ht="12.75" hidden="false" customHeight="true" outlineLevel="0" collapsed="false"/>
    <row r="1503" customFormat="false" ht="12.75" hidden="false" customHeight="true" outlineLevel="0" collapsed="false"/>
    <row r="1504" customFormat="false" ht="12.75" hidden="false" customHeight="true" outlineLevel="0" collapsed="false"/>
    <row r="1505" customFormat="false" ht="12.75" hidden="false" customHeight="true" outlineLevel="0" collapsed="false"/>
    <row r="1506" customFormat="false" ht="12.75" hidden="false" customHeight="true" outlineLevel="0" collapsed="false"/>
    <row r="1507" customFormat="false" ht="12.75" hidden="false" customHeight="true" outlineLevel="0" collapsed="false"/>
    <row r="1508" customFormat="false" ht="12.75" hidden="false" customHeight="true" outlineLevel="0" collapsed="false"/>
    <row r="1509" customFormat="false" ht="12.75" hidden="false" customHeight="true" outlineLevel="0" collapsed="false"/>
    <row r="1510" customFormat="false" ht="12.75" hidden="false" customHeight="true" outlineLevel="0" collapsed="false"/>
    <row r="1511" customFormat="false" ht="12.75" hidden="false" customHeight="true" outlineLevel="0" collapsed="false"/>
    <row r="1512" customFormat="false" ht="12.75" hidden="false" customHeight="true" outlineLevel="0" collapsed="false"/>
    <row r="1513" customFormat="false" ht="12.75" hidden="false" customHeight="true" outlineLevel="0" collapsed="false"/>
    <row r="1514" customFormat="false" ht="12.75" hidden="false" customHeight="true" outlineLevel="0" collapsed="false"/>
    <row r="1515" customFormat="false" ht="12.75" hidden="false" customHeight="true" outlineLevel="0" collapsed="false"/>
    <row r="1516" customFormat="false" ht="12.75" hidden="false" customHeight="true" outlineLevel="0" collapsed="false"/>
    <row r="1517" customFormat="false" ht="12.75" hidden="false" customHeight="true" outlineLevel="0" collapsed="false"/>
    <row r="1518" customFormat="false" ht="12.75" hidden="false" customHeight="true" outlineLevel="0" collapsed="false"/>
    <row r="1519" customFormat="false" ht="12.75" hidden="false" customHeight="true" outlineLevel="0" collapsed="false"/>
    <row r="1520" customFormat="false" ht="12.75" hidden="false" customHeight="true" outlineLevel="0" collapsed="false"/>
    <row r="1521" customFormat="false" ht="12.75" hidden="false" customHeight="true" outlineLevel="0" collapsed="false"/>
    <row r="1522" customFormat="false" ht="12.75" hidden="false" customHeight="true" outlineLevel="0" collapsed="false"/>
    <row r="1523" customFormat="false" ht="12.75" hidden="false" customHeight="true" outlineLevel="0" collapsed="false"/>
    <row r="1524" customFormat="false" ht="12.75" hidden="false" customHeight="true" outlineLevel="0" collapsed="false"/>
    <row r="1525" customFormat="false" ht="12.75" hidden="false" customHeight="true" outlineLevel="0" collapsed="false"/>
    <row r="1526" customFormat="false" ht="12.75" hidden="false" customHeight="true" outlineLevel="0" collapsed="false"/>
    <row r="1527" customFormat="false" ht="12.75" hidden="false" customHeight="true" outlineLevel="0" collapsed="false"/>
    <row r="1528" customFormat="false" ht="12.75" hidden="false" customHeight="true" outlineLevel="0" collapsed="false"/>
    <row r="1529" customFormat="false" ht="12.75" hidden="false" customHeight="true" outlineLevel="0" collapsed="false"/>
    <row r="1530" customFormat="false" ht="12.75" hidden="false" customHeight="true" outlineLevel="0" collapsed="false"/>
    <row r="1531" customFormat="false" ht="12.75" hidden="false" customHeight="true" outlineLevel="0" collapsed="false"/>
    <row r="1532" customFormat="false" ht="12.75" hidden="false" customHeight="true" outlineLevel="0" collapsed="false"/>
    <row r="1533" customFormat="false" ht="12.75" hidden="false" customHeight="true" outlineLevel="0" collapsed="false"/>
    <row r="1534" customFormat="false" ht="12.75" hidden="false" customHeight="true" outlineLevel="0" collapsed="false"/>
    <row r="1535" customFormat="false" ht="12.75" hidden="false" customHeight="true" outlineLevel="0" collapsed="false"/>
    <row r="1536" customFormat="false" ht="12.75" hidden="false" customHeight="true" outlineLevel="0" collapsed="false"/>
    <row r="1537" customFormat="false" ht="12.75" hidden="false" customHeight="true" outlineLevel="0" collapsed="false"/>
    <row r="1538" customFormat="false" ht="12.75" hidden="false" customHeight="true" outlineLevel="0" collapsed="false"/>
    <row r="1539" customFormat="false" ht="12.75" hidden="false" customHeight="true" outlineLevel="0" collapsed="false"/>
    <row r="1540" customFormat="false" ht="12.75" hidden="false" customHeight="true" outlineLevel="0" collapsed="false"/>
    <row r="1541" customFormat="false" ht="12.75" hidden="false" customHeight="true" outlineLevel="0" collapsed="false"/>
    <row r="1542" customFormat="false" ht="12.75" hidden="false" customHeight="true" outlineLevel="0" collapsed="false"/>
    <row r="1543" customFormat="false" ht="12.75" hidden="false" customHeight="true" outlineLevel="0" collapsed="false"/>
    <row r="1544" customFormat="false" ht="12.75" hidden="false" customHeight="true" outlineLevel="0" collapsed="false"/>
    <row r="1545" customFormat="false" ht="12.75" hidden="false" customHeight="true" outlineLevel="0" collapsed="false"/>
    <row r="1546" customFormat="false" ht="12.75" hidden="false" customHeight="true" outlineLevel="0" collapsed="false"/>
    <row r="1547" customFormat="false" ht="12.75" hidden="false" customHeight="true" outlineLevel="0" collapsed="false"/>
    <row r="1548" customFormat="false" ht="12.75" hidden="false" customHeight="true" outlineLevel="0" collapsed="false"/>
    <row r="1549" customFormat="false" ht="12.75" hidden="false" customHeight="true" outlineLevel="0" collapsed="false"/>
    <row r="1550" customFormat="false" ht="12.75" hidden="false" customHeight="true" outlineLevel="0" collapsed="false"/>
    <row r="1551" customFormat="false" ht="12.75" hidden="false" customHeight="true" outlineLevel="0" collapsed="false"/>
    <row r="1552" customFormat="false" ht="12.75" hidden="false" customHeight="true" outlineLevel="0" collapsed="false"/>
    <row r="1553" customFormat="false" ht="12.75" hidden="false" customHeight="true" outlineLevel="0" collapsed="false"/>
    <row r="1554" customFormat="false" ht="12.75" hidden="false" customHeight="true" outlineLevel="0" collapsed="false"/>
    <row r="1555" customFormat="false" ht="12.75" hidden="false" customHeight="true" outlineLevel="0" collapsed="false"/>
    <row r="1556" customFormat="false" ht="12.75" hidden="false" customHeight="true" outlineLevel="0" collapsed="false"/>
    <row r="1557" customFormat="false" ht="12.75" hidden="false" customHeight="true" outlineLevel="0" collapsed="false"/>
    <row r="1558" customFormat="false" ht="12.75" hidden="false" customHeight="true" outlineLevel="0" collapsed="false"/>
    <row r="1559" customFormat="false" ht="12.75" hidden="false" customHeight="true" outlineLevel="0" collapsed="false"/>
    <row r="1560" customFormat="false" ht="12.75" hidden="false" customHeight="true" outlineLevel="0" collapsed="false"/>
    <row r="1561" customFormat="false" ht="12.75" hidden="false" customHeight="true" outlineLevel="0" collapsed="false"/>
    <row r="1562" customFormat="false" ht="12.75" hidden="false" customHeight="true" outlineLevel="0" collapsed="false"/>
    <row r="1563" customFormat="false" ht="12.75" hidden="false" customHeight="true" outlineLevel="0" collapsed="false"/>
    <row r="1564" customFormat="false" ht="12.75" hidden="false" customHeight="true" outlineLevel="0" collapsed="false"/>
    <row r="1565" customFormat="false" ht="12.75" hidden="false" customHeight="true" outlineLevel="0" collapsed="false"/>
    <row r="1566" customFormat="false" ht="12.75" hidden="false" customHeight="true" outlineLevel="0" collapsed="false"/>
    <row r="1567" customFormat="false" ht="12.75" hidden="false" customHeight="true" outlineLevel="0" collapsed="false"/>
    <row r="1568" customFormat="false" ht="12.75" hidden="false" customHeight="true" outlineLevel="0" collapsed="false"/>
    <row r="1569" customFormat="false" ht="12.75" hidden="false" customHeight="true" outlineLevel="0" collapsed="false"/>
    <row r="1570" customFormat="false" ht="12.75" hidden="false" customHeight="true" outlineLevel="0" collapsed="false"/>
    <row r="1571" customFormat="false" ht="12.75" hidden="false" customHeight="true" outlineLevel="0" collapsed="false"/>
    <row r="1572" customFormat="false" ht="12.75" hidden="false" customHeight="true" outlineLevel="0" collapsed="false"/>
    <row r="1573" customFormat="false" ht="12.75" hidden="false" customHeight="true" outlineLevel="0" collapsed="false"/>
    <row r="1574" customFormat="false" ht="12.75" hidden="false" customHeight="true" outlineLevel="0" collapsed="false"/>
    <row r="1575" customFormat="false" ht="12.75" hidden="false" customHeight="true" outlineLevel="0" collapsed="false"/>
    <row r="1576" customFormat="false" ht="12.75" hidden="false" customHeight="true" outlineLevel="0" collapsed="false"/>
    <row r="1577" customFormat="false" ht="12.75" hidden="false" customHeight="true" outlineLevel="0" collapsed="false"/>
    <row r="1578" customFormat="false" ht="12.75" hidden="false" customHeight="true" outlineLevel="0" collapsed="false"/>
    <row r="1579" customFormat="false" ht="12.75" hidden="false" customHeight="true" outlineLevel="0" collapsed="false"/>
    <row r="1580" customFormat="false" ht="12.75" hidden="false" customHeight="true" outlineLevel="0" collapsed="false"/>
    <row r="1581" customFormat="false" ht="12.75" hidden="false" customHeight="true" outlineLevel="0" collapsed="false"/>
    <row r="1582" customFormat="false" ht="12.75" hidden="false" customHeight="true" outlineLevel="0" collapsed="false"/>
    <row r="1583" customFormat="false" ht="12.75" hidden="false" customHeight="true" outlineLevel="0" collapsed="false"/>
    <row r="1584" customFormat="false" ht="12.75" hidden="false" customHeight="true" outlineLevel="0" collapsed="false"/>
    <row r="1585" customFormat="false" ht="12.75" hidden="false" customHeight="true" outlineLevel="0" collapsed="false"/>
    <row r="1586" customFormat="false" ht="12.75" hidden="false" customHeight="true" outlineLevel="0" collapsed="false"/>
    <row r="1587" customFormat="false" ht="12.75" hidden="false" customHeight="true" outlineLevel="0" collapsed="false"/>
    <row r="1588" customFormat="false" ht="12.75" hidden="false" customHeight="true" outlineLevel="0" collapsed="false"/>
    <row r="1589" customFormat="false" ht="12.75" hidden="false" customHeight="true" outlineLevel="0" collapsed="false"/>
    <row r="1590" customFormat="false" ht="12.75" hidden="false" customHeight="true" outlineLevel="0" collapsed="false"/>
    <row r="1591" customFormat="false" ht="12.75" hidden="false" customHeight="true" outlineLevel="0" collapsed="false"/>
    <row r="1592" customFormat="false" ht="12.75" hidden="false" customHeight="true" outlineLevel="0" collapsed="false"/>
    <row r="1593" customFormat="false" ht="12.75" hidden="false" customHeight="true" outlineLevel="0" collapsed="false"/>
    <row r="1594" customFormat="false" ht="12.75" hidden="false" customHeight="true" outlineLevel="0" collapsed="false"/>
    <row r="1595" customFormat="false" ht="12.75" hidden="false" customHeight="true" outlineLevel="0" collapsed="false"/>
    <row r="1596" customFormat="false" ht="12.75" hidden="false" customHeight="true" outlineLevel="0" collapsed="false"/>
    <row r="1597" customFormat="false" ht="12.75" hidden="false" customHeight="true" outlineLevel="0" collapsed="false"/>
    <row r="1598" customFormat="false" ht="12.75" hidden="false" customHeight="true" outlineLevel="0" collapsed="false"/>
    <row r="1599" customFormat="false" ht="12.75" hidden="false" customHeight="true" outlineLevel="0" collapsed="false"/>
    <row r="1600" customFormat="false" ht="12.75" hidden="false" customHeight="true" outlineLevel="0" collapsed="false"/>
    <row r="1601" customFormat="false" ht="12.75" hidden="false" customHeight="true" outlineLevel="0" collapsed="false"/>
    <row r="1602" customFormat="false" ht="12.75" hidden="false" customHeight="true" outlineLevel="0" collapsed="false"/>
    <row r="1603" customFormat="false" ht="12.75" hidden="false" customHeight="true" outlineLevel="0" collapsed="false"/>
    <row r="1604" customFormat="false" ht="12.75" hidden="false" customHeight="true" outlineLevel="0" collapsed="false"/>
    <row r="1605" customFormat="false" ht="12.75" hidden="false" customHeight="true" outlineLevel="0" collapsed="false"/>
    <row r="1606" customFormat="false" ht="12.75" hidden="false" customHeight="true" outlineLevel="0" collapsed="false"/>
    <row r="1607" customFormat="false" ht="12.75" hidden="false" customHeight="true" outlineLevel="0" collapsed="false"/>
    <row r="1608" customFormat="false" ht="12.75" hidden="false" customHeight="true" outlineLevel="0" collapsed="false"/>
    <row r="1609" customFormat="false" ht="12.75" hidden="false" customHeight="true" outlineLevel="0" collapsed="false"/>
    <row r="1610" customFormat="false" ht="12.75" hidden="false" customHeight="true" outlineLevel="0" collapsed="false"/>
    <row r="1611" customFormat="false" ht="12.75" hidden="false" customHeight="true" outlineLevel="0" collapsed="false"/>
    <row r="1612" customFormat="false" ht="12.75" hidden="false" customHeight="true" outlineLevel="0" collapsed="false"/>
    <row r="1613" customFormat="false" ht="12.75" hidden="false" customHeight="true" outlineLevel="0" collapsed="false"/>
    <row r="1614" customFormat="false" ht="12.75" hidden="false" customHeight="true" outlineLevel="0" collapsed="false"/>
    <row r="1615" customFormat="false" ht="12.75" hidden="false" customHeight="true" outlineLevel="0" collapsed="false"/>
    <row r="1616" customFormat="false" ht="12.75" hidden="false" customHeight="true" outlineLevel="0" collapsed="false"/>
    <row r="1617" customFormat="false" ht="12.75" hidden="false" customHeight="true" outlineLevel="0" collapsed="false"/>
    <row r="1618" customFormat="false" ht="12.75" hidden="false" customHeight="true" outlineLevel="0" collapsed="false"/>
    <row r="1619" customFormat="false" ht="12.75" hidden="false" customHeight="true" outlineLevel="0" collapsed="false"/>
    <row r="1620" customFormat="false" ht="12.75" hidden="false" customHeight="true" outlineLevel="0" collapsed="false"/>
    <row r="1621" customFormat="false" ht="12.75" hidden="false" customHeight="true" outlineLevel="0" collapsed="false"/>
    <row r="1622" customFormat="false" ht="12.75" hidden="false" customHeight="true" outlineLevel="0" collapsed="false"/>
    <row r="1623" customFormat="false" ht="12.75" hidden="false" customHeight="true" outlineLevel="0" collapsed="false"/>
    <row r="1624" customFormat="false" ht="12.75" hidden="false" customHeight="true" outlineLevel="0" collapsed="false"/>
    <row r="1625" customFormat="false" ht="12.75" hidden="false" customHeight="true" outlineLevel="0" collapsed="false"/>
    <row r="1626" customFormat="false" ht="12.75" hidden="false" customHeight="true" outlineLevel="0" collapsed="false"/>
    <row r="1627" customFormat="false" ht="12.75" hidden="false" customHeight="true" outlineLevel="0" collapsed="false"/>
    <row r="1628" customFormat="false" ht="12.75" hidden="false" customHeight="true" outlineLevel="0" collapsed="false"/>
    <row r="1629" customFormat="false" ht="12.75" hidden="false" customHeight="true" outlineLevel="0" collapsed="false"/>
    <row r="1630" customFormat="false" ht="12.75" hidden="false" customHeight="true" outlineLevel="0" collapsed="false"/>
    <row r="1631" customFormat="false" ht="12.75" hidden="false" customHeight="true" outlineLevel="0" collapsed="false"/>
    <row r="1632" customFormat="false" ht="12.75" hidden="false" customHeight="true" outlineLevel="0" collapsed="false"/>
    <row r="1633" customFormat="false" ht="12.75" hidden="false" customHeight="true" outlineLevel="0" collapsed="false"/>
    <row r="1634" customFormat="false" ht="12.75" hidden="false" customHeight="true" outlineLevel="0" collapsed="false"/>
    <row r="1635" customFormat="false" ht="12.75" hidden="false" customHeight="true" outlineLevel="0" collapsed="false"/>
    <row r="1636" customFormat="false" ht="12.75" hidden="false" customHeight="true" outlineLevel="0" collapsed="false"/>
    <row r="1637" customFormat="false" ht="12.75" hidden="false" customHeight="true" outlineLevel="0" collapsed="false"/>
    <row r="1638" customFormat="false" ht="12.75" hidden="false" customHeight="true" outlineLevel="0" collapsed="false"/>
    <row r="1639" customFormat="false" ht="12.75" hidden="false" customHeight="true" outlineLevel="0" collapsed="false"/>
    <row r="1640" customFormat="false" ht="12.75" hidden="false" customHeight="true" outlineLevel="0" collapsed="false"/>
    <row r="1641" customFormat="false" ht="12.75" hidden="false" customHeight="true" outlineLevel="0" collapsed="false"/>
    <row r="1642" customFormat="false" ht="12.75" hidden="false" customHeight="true" outlineLevel="0" collapsed="false"/>
    <row r="1643" customFormat="false" ht="12.75" hidden="false" customHeight="true" outlineLevel="0" collapsed="false"/>
    <row r="1644" customFormat="false" ht="12.75" hidden="false" customHeight="true" outlineLevel="0" collapsed="false"/>
    <row r="1645" customFormat="false" ht="12.75" hidden="false" customHeight="true" outlineLevel="0" collapsed="false"/>
    <row r="1646" customFormat="false" ht="12.75" hidden="false" customHeight="true" outlineLevel="0" collapsed="false"/>
    <row r="1647" customFormat="false" ht="12.75" hidden="false" customHeight="true" outlineLevel="0" collapsed="false"/>
    <row r="1648" customFormat="false" ht="12.75" hidden="false" customHeight="true" outlineLevel="0" collapsed="false"/>
    <row r="1649" customFormat="false" ht="12.75" hidden="false" customHeight="true" outlineLevel="0" collapsed="false"/>
    <row r="1650" customFormat="false" ht="12.75" hidden="false" customHeight="true" outlineLevel="0" collapsed="false"/>
    <row r="1651" customFormat="false" ht="12.75" hidden="false" customHeight="true" outlineLevel="0" collapsed="false"/>
    <row r="1652" customFormat="false" ht="12.75" hidden="false" customHeight="true" outlineLevel="0" collapsed="false"/>
    <row r="1653" customFormat="false" ht="12.75" hidden="false" customHeight="true" outlineLevel="0" collapsed="false"/>
    <row r="1654" customFormat="false" ht="12.75" hidden="false" customHeight="true" outlineLevel="0" collapsed="false"/>
    <row r="1655" customFormat="false" ht="12.75" hidden="false" customHeight="true" outlineLevel="0" collapsed="false"/>
    <row r="1656" customFormat="false" ht="12.75" hidden="false" customHeight="true" outlineLevel="0" collapsed="false"/>
    <row r="1657" customFormat="false" ht="12.75" hidden="false" customHeight="true" outlineLevel="0" collapsed="false"/>
    <row r="1658" customFormat="false" ht="12.75" hidden="false" customHeight="true" outlineLevel="0" collapsed="false"/>
    <row r="1659" customFormat="false" ht="12.75" hidden="false" customHeight="true" outlineLevel="0" collapsed="false"/>
    <row r="1660" customFormat="false" ht="12.75" hidden="false" customHeight="true" outlineLevel="0" collapsed="false"/>
    <row r="1661" customFormat="false" ht="12.75" hidden="false" customHeight="true" outlineLevel="0" collapsed="false"/>
    <row r="1662" customFormat="false" ht="12.75" hidden="false" customHeight="true" outlineLevel="0" collapsed="false"/>
    <row r="1663" customFormat="false" ht="12.75" hidden="false" customHeight="true" outlineLevel="0" collapsed="false"/>
    <row r="1664" customFormat="false" ht="12.75" hidden="false" customHeight="true" outlineLevel="0" collapsed="false"/>
    <row r="1665" customFormat="false" ht="12.75" hidden="false" customHeight="true" outlineLevel="0" collapsed="false"/>
    <row r="1666" customFormat="false" ht="12.75" hidden="false" customHeight="true" outlineLevel="0" collapsed="false"/>
    <row r="1667" customFormat="false" ht="12.75" hidden="false" customHeight="true" outlineLevel="0" collapsed="false"/>
    <row r="1668" customFormat="false" ht="12.75" hidden="false" customHeight="true" outlineLevel="0" collapsed="false"/>
    <row r="1669" customFormat="false" ht="12.75" hidden="false" customHeight="true" outlineLevel="0" collapsed="false"/>
    <row r="1670" customFormat="false" ht="12.75" hidden="false" customHeight="true" outlineLevel="0" collapsed="false"/>
    <row r="1671" customFormat="false" ht="12.75" hidden="false" customHeight="true" outlineLevel="0" collapsed="false"/>
    <row r="1672" customFormat="false" ht="12.75" hidden="false" customHeight="true" outlineLevel="0" collapsed="false"/>
    <row r="1673" customFormat="false" ht="12.75" hidden="false" customHeight="true" outlineLevel="0" collapsed="false"/>
    <row r="1674" customFormat="false" ht="12.75" hidden="false" customHeight="true" outlineLevel="0" collapsed="false"/>
    <row r="1675" customFormat="false" ht="12.75" hidden="false" customHeight="true" outlineLevel="0" collapsed="false"/>
    <row r="1676" customFormat="false" ht="12.75" hidden="false" customHeight="true" outlineLevel="0" collapsed="false"/>
    <row r="1677" customFormat="false" ht="12.75" hidden="false" customHeight="true" outlineLevel="0" collapsed="false"/>
    <row r="1678" customFormat="false" ht="12.75" hidden="false" customHeight="true" outlineLevel="0" collapsed="false"/>
    <row r="1679" customFormat="false" ht="12.75" hidden="false" customHeight="true" outlineLevel="0" collapsed="false"/>
    <row r="1680" customFormat="false" ht="12.75" hidden="false" customHeight="true" outlineLevel="0" collapsed="false"/>
    <row r="1681" customFormat="false" ht="12.75" hidden="false" customHeight="true" outlineLevel="0" collapsed="false"/>
    <row r="1682" customFormat="false" ht="12.75" hidden="false" customHeight="true" outlineLevel="0" collapsed="false"/>
    <row r="1683" customFormat="false" ht="12.75" hidden="false" customHeight="true" outlineLevel="0" collapsed="false"/>
    <row r="1684" customFormat="false" ht="12.75" hidden="false" customHeight="true" outlineLevel="0" collapsed="false"/>
    <row r="1685" customFormat="false" ht="12.75" hidden="false" customHeight="true" outlineLevel="0" collapsed="false"/>
    <row r="1686" customFormat="false" ht="12.75" hidden="false" customHeight="true" outlineLevel="0" collapsed="false"/>
    <row r="1687" customFormat="false" ht="12.75" hidden="false" customHeight="true" outlineLevel="0" collapsed="false"/>
    <row r="1688" customFormat="false" ht="12.75" hidden="false" customHeight="true" outlineLevel="0" collapsed="false"/>
    <row r="1689" customFormat="false" ht="12.75" hidden="false" customHeight="true" outlineLevel="0" collapsed="false"/>
    <row r="1690" customFormat="false" ht="12.75" hidden="false" customHeight="true" outlineLevel="0" collapsed="false"/>
    <row r="1691" customFormat="false" ht="12.75" hidden="false" customHeight="true" outlineLevel="0" collapsed="false"/>
    <row r="1692" customFormat="false" ht="12.75" hidden="false" customHeight="true" outlineLevel="0" collapsed="false"/>
    <row r="1693" customFormat="false" ht="12.75" hidden="false" customHeight="true" outlineLevel="0" collapsed="false"/>
    <row r="1694" customFormat="false" ht="12.75" hidden="false" customHeight="true" outlineLevel="0" collapsed="false"/>
    <row r="1695" customFormat="false" ht="12.75" hidden="false" customHeight="true" outlineLevel="0" collapsed="false"/>
    <row r="1696" customFormat="false" ht="12.75" hidden="false" customHeight="true" outlineLevel="0" collapsed="false"/>
    <row r="1697" customFormat="false" ht="12.75" hidden="false" customHeight="true" outlineLevel="0" collapsed="false"/>
    <row r="1698" customFormat="false" ht="12.75" hidden="false" customHeight="true" outlineLevel="0" collapsed="false"/>
    <row r="1699" customFormat="false" ht="12.75" hidden="false" customHeight="true" outlineLevel="0" collapsed="false"/>
    <row r="1700" customFormat="false" ht="12.75" hidden="false" customHeight="true" outlineLevel="0" collapsed="false"/>
    <row r="1701" customFormat="false" ht="12.75" hidden="false" customHeight="true" outlineLevel="0" collapsed="false"/>
    <row r="1702" customFormat="false" ht="12.75" hidden="false" customHeight="true" outlineLevel="0" collapsed="false"/>
    <row r="1703" customFormat="false" ht="12.75" hidden="false" customHeight="true" outlineLevel="0" collapsed="false"/>
    <row r="1704" customFormat="false" ht="12.75" hidden="false" customHeight="true" outlineLevel="0" collapsed="false"/>
    <row r="1705" customFormat="false" ht="12.75" hidden="false" customHeight="true" outlineLevel="0" collapsed="false"/>
    <row r="1706" customFormat="false" ht="12.75" hidden="false" customHeight="true" outlineLevel="0" collapsed="false"/>
    <row r="1707" customFormat="false" ht="12.75" hidden="false" customHeight="true" outlineLevel="0" collapsed="false"/>
    <row r="1708" customFormat="false" ht="12.75" hidden="false" customHeight="true" outlineLevel="0" collapsed="false"/>
    <row r="1709" customFormat="false" ht="12.75" hidden="false" customHeight="true" outlineLevel="0" collapsed="false"/>
    <row r="1710" customFormat="false" ht="12.75" hidden="false" customHeight="true" outlineLevel="0" collapsed="false"/>
    <row r="1711" customFormat="false" ht="12.75" hidden="false" customHeight="true" outlineLevel="0" collapsed="false"/>
    <row r="1712" customFormat="false" ht="12.75" hidden="false" customHeight="true" outlineLevel="0" collapsed="false"/>
    <row r="1713" customFormat="false" ht="12.75" hidden="false" customHeight="true" outlineLevel="0" collapsed="false"/>
    <row r="1714" customFormat="false" ht="12.75" hidden="false" customHeight="true" outlineLevel="0" collapsed="false"/>
    <row r="1715" customFormat="false" ht="12.75" hidden="false" customHeight="true" outlineLevel="0" collapsed="false"/>
    <row r="1716" customFormat="false" ht="12.75" hidden="false" customHeight="true" outlineLevel="0" collapsed="false"/>
    <row r="1717" customFormat="false" ht="12.75" hidden="false" customHeight="true" outlineLevel="0" collapsed="false"/>
    <row r="1718" customFormat="false" ht="12.75" hidden="false" customHeight="true" outlineLevel="0" collapsed="false"/>
    <row r="1719" customFormat="false" ht="12.75" hidden="false" customHeight="true" outlineLevel="0" collapsed="false"/>
    <row r="1720" customFormat="false" ht="12.75" hidden="false" customHeight="true" outlineLevel="0" collapsed="false"/>
    <row r="1721" customFormat="false" ht="12.75" hidden="false" customHeight="true" outlineLevel="0" collapsed="false"/>
    <row r="1722" customFormat="false" ht="12.75" hidden="false" customHeight="true" outlineLevel="0" collapsed="false"/>
    <row r="1723" customFormat="false" ht="12.75" hidden="false" customHeight="true" outlineLevel="0" collapsed="false"/>
    <row r="1724" customFormat="false" ht="12.75" hidden="false" customHeight="true" outlineLevel="0" collapsed="false"/>
    <row r="1725" customFormat="false" ht="12.75" hidden="false" customHeight="true" outlineLevel="0" collapsed="false"/>
    <row r="1726" customFormat="false" ht="12.75" hidden="false" customHeight="true" outlineLevel="0" collapsed="false"/>
    <row r="1727" customFormat="false" ht="12.75" hidden="false" customHeight="true" outlineLevel="0" collapsed="false"/>
    <row r="1728" customFormat="false" ht="12.75" hidden="false" customHeight="true" outlineLevel="0" collapsed="false"/>
    <row r="1729" customFormat="false" ht="12.75" hidden="false" customHeight="true" outlineLevel="0" collapsed="false"/>
    <row r="1730" customFormat="false" ht="12.75" hidden="false" customHeight="true" outlineLevel="0" collapsed="false"/>
    <row r="1731" customFormat="false" ht="12.75" hidden="false" customHeight="true" outlineLevel="0" collapsed="false"/>
    <row r="1732" customFormat="false" ht="12.75" hidden="false" customHeight="true" outlineLevel="0" collapsed="false"/>
    <row r="1733" customFormat="false" ht="12.75" hidden="false" customHeight="true" outlineLevel="0" collapsed="false"/>
    <row r="1734" customFormat="false" ht="12.75" hidden="false" customHeight="true" outlineLevel="0" collapsed="false"/>
    <row r="1735" customFormat="false" ht="12.75" hidden="false" customHeight="true" outlineLevel="0" collapsed="false"/>
    <row r="1736" customFormat="false" ht="12.75" hidden="false" customHeight="true" outlineLevel="0" collapsed="false"/>
    <row r="1737" customFormat="false" ht="12.75" hidden="false" customHeight="true" outlineLevel="0" collapsed="false"/>
    <row r="1738" customFormat="false" ht="12.75" hidden="false" customHeight="true" outlineLevel="0" collapsed="false"/>
    <row r="1739" customFormat="false" ht="12.75" hidden="false" customHeight="true" outlineLevel="0" collapsed="false"/>
    <row r="1740" customFormat="false" ht="12.75" hidden="false" customHeight="true" outlineLevel="0" collapsed="false"/>
    <row r="1741" customFormat="false" ht="12.75" hidden="false" customHeight="true" outlineLevel="0" collapsed="false"/>
    <row r="1742" customFormat="false" ht="12.75" hidden="false" customHeight="true" outlineLevel="0" collapsed="false"/>
    <row r="1743" customFormat="false" ht="12.75" hidden="false" customHeight="true" outlineLevel="0" collapsed="false"/>
    <row r="1744" customFormat="false" ht="12.75" hidden="false" customHeight="true" outlineLevel="0" collapsed="false"/>
    <row r="1745" customFormat="false" ht="12.75" hidden="false" customHeight="true" outlineLevel="0" collapsed="false"/>
    <row r="1746" customFormat="false" ht="12.75" hidden="false" customHeight="true" outlineLevel="0" collapsed="false"/>
    <row r="1747" customFormat="false" ht="12.75" hidden="false" customHeight="true" outlineLevel="0" collapsed="false"/>
    <row r="1748" customFormat="false" ht="12.75" hidden="false" customHeight="true" outlineLevel="0" collapsed="false"/>
    <row r="1749" customFormat="false" ht="12.75" hidden="false" customHeight="true" outlineLevel="0" collapsed="false"/>
    <row r="1750" customFormat="false" ht="12.75" hidden="false" customHeight="true" outlineLevel="0" collapsed="false"/>
    <row r="1751" customFormat="false" ht="12.75" hidden="false" customHeight="true" outlineLevel="0" collapsed="false"/>
    <row r="1752" customFormat="false" ht="12.75" hidden="false" customHeight="true" outlineLevel="0" collapsed="false"/>
    <row r="1753" customFormat="false" ht="12.75" hidden="false" customHeight="true" outlineLevel="0" collapsed="false"/>
    <row r="1754" customFormat="false" ht="12.75" hidden="false" customHeight="true" outlineLevel="0" collapsed="false"/>
    <row r="1755" customFormat="false" ht="12.75" hidden="false" customHeight="true" outlineLevel="0" collapsed="false"/>
    <row r="1756" customFormat="false" ht="12.75" hidden="false" customHeight="true" outlineLevel="0" collapsed="false"/>
    <row r="1757" customFormat="false" ht="12.75" hidden="false" customHeight="true" outlineLevel="0" collapsed="false"/>
    <row r="1758" customFormat="false" ht="12.75" hidden="false" customHeight="true" outlineLevel="0" collapsed="false"/>
    <row r="1759" customFormat="false" ht="12.75" hidden="false" customHeight="true" outlineLevel="0" collapsed="false"/>
    <row r="1760" customFormat="false" ht="12.75" hidden="false" customHeight="true" outlineLevel="0" collapsed="false"/>
    <row r="1761" customFormat="false" ht="12.75" hidden="false" customHeight="true" outlineLevel="0" collapsed="false"/>
    <row r="1762" customFormat="false" ht="12.75" hidden="false" customHeight="true" outlineLevel="0" collapsed="false"/>
    <row r="1763" customFormat="false" ht="12.75" hidden="false" customHeight="true" outlineLevel="0" collapsed="false"/>
    <row r="1764" customFormat="false" ht="12.75" hidden="false" customHeight="true" outlineLevel="0" collapsed="false"/>
    <row r="1765" customFormat="false" ht="12.75" hidden="false" customHeight="true" outlineLevel="0" collapsed="false"/>
    <row r="1766" customFormat="false" ht="12.75" hidden="false" customHeight="true" outlineLevel="0" collapsed="false"/>
    <row r="1767" customFormat="false" ht="12.75" hidden="false" customHeight="true" outlineLevel="0" collapsed="false"/>
    <row r="1768" customFormat="false" ht="12.75" hidden="false" customHeight="true" outlineLevel="0" collapsed="false"/>
    <row r="1769" customFormat="false" ht="12.75" hidden="false" customHeight="true" outlineLevel="0" collapsed="false"/>
    <row r="1770" customFormat="false" ht="12.75" hidden="false" customHeight="true" outlineLevel="0" collapsed="false"/>
    <row r="1771" customFormat="false" ht="12.75" hidden="false" customHeight="true" outlineLevel="0" collapsed="false"/>
    <row r="1772" customFormat="false" ht="12.75" hidden="false" customHeight="true" outlineLevel="0" collapsed="false"/>
    <row r="1773" customFormat="false" ht="12.75" hidden="false" customHeight="true" outlineLevel="0" collapsed="false"/>
    <row r="1774" customFormat="false" ht="12.75" hidden="false" customHeight="true" outlineLevel="0" collapsed="false"/>
    <row r="1775" customFormat="false" ht="12.75" hidden="false" customHeight="true" outlineLevel="0" collapsed="false"/>
    <row r="1776" customFormat="false" ht="12.75" hidden="false" customHeight="true" outlineLevel="0" collapsed="false"/>
    <row r="1777" customFormat="false" ht="12.75" hidden="false" customHeight="true" outlineLevel="0" collapsed="false"/>
    <row r="1778" customFormat="false" ht="12.75" hidden="false" customHeight="true" outlineLevel="0" collapsed="false"/>
    <row r="1779" customFormat="false" ht="12.75" hidden="false" customHeight="true" outlineLevel="0" collapsed="false"/>
    <row r="1780" customFormat="false" ht="12.75" hidden="false" customHeight="true" outlineLevel="0" collapsed="false"/>
    <row r="1781" customFormat="false" ht="12.75" hidden="false" customHeight="true" outlineLevel="0" collapsed="false"/>
    <row r="1782" customFormat="false" ht="12.75" hidden="false" customHeight="true" outlineLevel="0" collapsed="false"/>
    <row r="1783" customFormat="false" ht="12.75" hidden="false" customHeight="true" outlineLevel="0" collapsed="false"/>
    <row r="1784" customFormat="false" ht="12.75" hidden="false" customHeight="true" outlineLevel="0" collapsed="false"/>
    <row r="1785" customFormat="false" ht="12.75" hidden="false" customHeight="true" outlineLevel="0" collapsed="false"/>
    <row r="1786" customFormat="false" ht="12.75" hidden="false" customHeight="true" outlineLevel="0" collapsed="false"/>
    <row r="1787" customFormat="false" ht="12.75" hidden="false" customHeight="true" outlineLevel="0" collapsed="false"/>
    <row r="1788" customFormat="false" ht="12.75" hidden="false" customHeight="true" outlineLevel="0" collapsed="false"/>
    <row r="1789" customFormat="false" ht="12.75" hidden="false" customHeight="true" outlineLevel="0" collapsed="false"/>
    <row r="1790" customFormat="false" ht="12.75" hidden="false" customHeight="true" outlineLevel="0" collapsed="false"/>
    <row r="1791" customFormat="false" ht="12.75" hidden="false" customHeight="true" outlineLevel="0" collapsed="false"/>
    <row r="1792" customFormat="false" ht="12.75" hidden="false" customHeight="true" outlineLevel="0" collapsed="false"/>
    <row r="1793" customFormat="false" ht="12.75" hidden="false" customHeight="true" outlineLevel="0" collapsed="false"/>
    <row r="1794" customFormat="false" ht="12.75" hidden="false" customHeight="true" outlineLevel="0" collapsed="false"/>
    <row r="1795" customFormat="false" ht="12.75" hidden="false" customHeight="true" outlineLevel="0" collapsed="false"/>
    <row r="1796" customFormat="false" ht="12.75" hidden="false" customHeight="true" outlineLevel="0" collapsed="false"/>
    <row r="1797" customFormat="false" ht="12.75" hidden="false" customHeight="true" outlineLevel="0" collapsed="false"/>
    <row r="1798" customFormat="false" ht="12.75" hidden="false" customHeight="true" outlineLevel="0" collapsed="false"/>
    <row r="1799" customFormat="false" ht="12.75" hidden="false" customHeight="true" outlineLevel="0" collapsed="false"/>
    <row r="1800" customFormat="false" ht="12.75" hidden="false" customHeight="true" outlineLevel="0" collapsed="false"/>
    <row r="1801" customFormat="false" ht="12.75" hidden="false" customHeight="true" outlineLevel="0" collapsed="false"/>
    <row r="1802" customFormat="false" ht="12.75" hidden="false" customHeight="true" outlineLevel="0" collapsed="false"/>
    <row r="1803" customFormat="false" ht="12.75" hidden="false" customHeight="true" outlineLevel="0" collapsed="false"/>
    <row r="1804" customFormat="false" ht="12.75" hidden="false" customHeight="true" outlineLevel="0" collapsed="false"/>
    <row r="1805" customFormat="false" ht="12.75" hidden="false" customHeight="true" outlineLevel="0" collapsed="false"/>
    <row r="1806" customFormat="false" ht="12.75" hidden="false" customHeight="true" outlineLevel="0" collapsed="false"/>
    <row r="1807" customFormat="false" ht="12.75" hidden="false" customHeight="true" outlineLevel="0" collapsed="false"/>
    <row r="1808" customFormat="false" ht="12.75" hidden="false" customHeight="true" outlineLevel="0" collapsed="false"/>
    <row r="1809" customFormat="false" ht="12.75" hidden="false" customHeight="true" outlineLevel="0" collapsed="false"/>
    <row r="1810" customFormat="false" ht="12.75" hidden="false" customHeight="true" outlineLevel="0" collapsed="false"/>
    <row r="1811" customFormat="false" ht="12.75" hidden="false" customHeight="true" outlineLevel="0" collapsed="false"/>
    <row r="1812" customFormat="false" ht="12.75" hidden="false" customHeight="true" outlineLevel="0" collapsed="false"/>
    <row r="1813" customFormat="false" ht="12.75" hidden="false" customHeight="true" outlineLevel="0" collapsed="false"/>
    <row r="1814" customFormat="false" ht="12.75" hidden="false" customHeight="true" outlineLevel="0" collapsed="false"/>
    <row r="1815" customFormat="false" ht="12.75" hidden="false" customHeight="true" outlineLevel="0" collapsed="false"/>
    <row r="1816" customFormat="false" ht="12.75" hidden="false" customHeight="true" outlineLevel="0" collapsed="false"/>
    <row r="1817" customFormat="false" ht="12.75" hidden="false" customHeight="true" outlineLevel="0" collapsed="false"/>
    <row r="1818" customFormat="false" ht="12.75" hidden="false" customHeight="true" outlineLevel="0" collapsed="false"/>
    <row r="1819" customFormat="false" ht="12.75" hidden="false" customHeight="true" outlineLevel="0" collapsed="false"/>
    <row r="1820" customFormat="false" ht="12.75" hidden="false" customHeight="true" outlineLevel="0" collapsed="false"/>
    <row r="1821" customFormat="false" ht="12.75" hidden="false" customHeight="true" outlineLevel="0" collapsed="false"/>
    <row r="1822" customFormat="false" ht="12.75" hidden="false" customHeight="true" outlineLevel="0" collapsed="false"/>
    <row r="1823" customFormat="false" ht="12.75" hidden="false" customHeight="true" outlineLevel="0" collapsed="false"/>
    <row r="1824" customFormat="false" ht="12.75" hidden="false" customHeight="true" outlineLevel="0" collapsed="false"/>
    <row r="1825" customFormat="false" ht="12.75" hidden="false" customHeight="true" outlineLevel="0" collapsed="false"/>
    <row r="1826" customFormat="false" ht="12.75" hidden="false" customHeight="true" outlineLevel="0" collapsed="false"/>
    <row r="1827" customFormat="false" ht="12.75" hidden="false" customHeight="true" outlineLevel="0" collapsed="false"/>
    <row r="1828" customFormat="false" ht="12.75" hidden="false" customHeight="true" outlineLevel="0" collapsed="false"/>
    <row r="1829" customFormat="false" ht="12.75" hidden="false" customHeight="true" outlineLevel="0" collapsed="false"/>
    <row r="1830" customFormat="false" ht="12.75" hidden="false" customHeight="true" outlineLevel="0" collapsed="false"/>
    <row r="1831" customFormat="false" ht="12.75" hidden="false" customHeight="true" outlineLevel="0" collapsed="false"/>
    <row r="1832" customFormat="false" ht="12.75" hidden="false" customHeight="true" outlineLevel="0" collapsed="false"/>
    <row r="1833" customFormat="false" ht="12.75" hidden="false" customHeight="true" outlineLevel="0" collapsed="false"/>
    <row r="1834" customFormat="false" ht="12.75" hidden="false" customHeight="true" outlineLevel="0" collapsed="false"/>
    <row r="1835" customFormat="false" ht="12.75" hidden="false" customHeight="true" outlineLevel="0" collapsed="false"/>
    <row r="1836" customFormat="false" ht="12.75" hidden="false" customHeight="true" outlineLevel="0" collapsed="false"/>
    <row r="1837" customFormat="false" ht="12.75" hidden="false" customHeight="true" outlineLevel="0" collapsed="false"/>
    <row r="1838" customFormat="false" ht="12.75" hidden="false" customHeight="true" outlineLevel="0" collapsed="false"/>
    <row r="1839" customFormat="false" ht="12.75" hidden="false" customHeight="true" outlineLevel="0" collapsed="false"/>
    <row r="1840" customFormat="false" ht="12.75" hidden="false" customHeight="true" outlineLevel="0" collapsed="false"/>
    <row r="1841" customFormat="false" ht="12.75" hidden="false" customHeight="true" outlineLevel="0" collapsed="false"/>
    <row r="1842" customFormat="false" ht="12.75" hidden="false" customHeight="true" outlineLevel="0" collapsed="false"/>
    <row r="1843" customFormat="false" ht="12.75" hidden="false" customHeight="true" outlineLevel="0" collapsed="false"/>
    <row r="1844" customFormat="false" ht="12.75" hidden="false" customHeight="true" outlineLevel="0" collapsed="false"/>
    <row r="1845" customFormat="false" ht="12.75" hidden="false" customHeight="true" outlineLevel="0" collapsed="false"/>
    <row r="1846" customFormat="false" ht="12.75" hidden="false" customHeight="true" outlineLevel="0" collapsed="false"/>
    <row r="1847" customFormat="false" ht="12.75" hidden="false" customHeight="true" outlineLevel="0" collapsed="false"/>
    <row r="1848" customFormat="false" ht="12.75" hidden="false" customHeight="true" outlineLevel="0" collapsed="false"/>
    <row r="1849" customFormat="false" ht="12.75" hidden="false" customHeight="true" outlineLevel="0" collapsed="false"/>
    <row r="1850" customFormat="false" ht="12.75" hidden="false" customHeight="true" outlineLevel="0" collapsed="false"/>
    <row r="1851" customFormat="false" ht="12.75" hidden="false" customHeight="true" outlineLevel="0" collapsed="false"/>
    <row r="1852" customFormat="false" ht="12.75" hidden="false" customHeight="true" outlineLevel="0" collapsed="false"/>
    <row r="1853" customFormat="false" ht="12.75" hidden="false" customHeight="true" outlineLevel="0" collapsed="false"/>
    <row r="1854" customFormat="false" ht="12.75" hidden="false" customHeight="true" outlineLevel="0" collapsed="false"/>
    <row r="1855" customFormat="false" ht="12.75" hidden="false" customHeight="true" outlineLevel="0" collapsed="false"/>
    <row r="1856" customFormat="false" ht="12.75" hidden="false" customHeight="true" outlineLevel="0" collapsed="false"/>
    <row r="1857" customFormat="false" ht="12.75" hidden="false" customHeight="true" outlineLevel="0" collapsed="false"/>
    <row r="1858" customFormat="false" ht="12.75" hidden="false" customHeight="true" outlineLevel="0" collapsed="false"/>
    <row r="1859" customFormat="false" ht="12.75" hidden="false" customHeight="true" outlineLevel="0" collapsed="false"/>
    <row r="1860" customFormat="false" ht="12.75" hidden="false" customHeight="true" outlineLevel="0" collapsed="false"/>
    <row r="1861" customFormat="false" ht="12.75" hidden="false" customHeight="true" outlineLevel="0" collapsed="false"/>
    <row r="1862" customFormat="false" ht="12.75" hidden="false" customHeight="true" outlineLevel="0" collapsed="false"/>
    <row r="1863" customFormat="false" ht="12.75" hidden="false" customHeight="true" outlineLevel="0" collapsed="false"/>
    <row r="1864" customFormat="false" ht="12.75" hidden="false" customHeight="true" outlineLevel="0" collapsed="false"/>
    <row r="1865" customFormat="false" ht="12.75" hidden="false" customHeight="true" outlineLevel="0" collapsed="false"/>
    <row r="1866" customFormat="false" ht="12.75" hidden="false" customHeight="true" outlineLevel="0" collapsed="false"/>
    <row r="1867" customFormat="false" ht="12.75" hidden="false" customHeight="true" outlineLevel="0" collapsed="false"/>
    <row r="1868" customFormat="false" ht="12.75" hidden="false" customHeight="true" outlineLevel="0" collapsed="false"/>
    <row r="1869" customFormat="false" ht="12.75" hidden="false" customHeight="true" outlineLevel="0" collapsed="false"/>
    <row r="1870" customFormat="false" ht="12.75" hidden="false" customHeight="true" outlineLevel="0" collapsed="false"/>
    <row r="1871" customFormat="false" ht="12.75" hidden="false" customHeight="true" outlineLevel="0" collapsed="false"/>
    <row r="1872" customFormat="false" ht="12.75" hidden="false" customHeight="true" outlineLevel="0" collapsed="false"/>
    <row r="1873" customFormat="false" ht="12.75" hidden="false" customHeight="true" outlineLevel="0" collapsed="false"/>
    <row r="1874" customFormat="false" ht="12.75" hidden="false" customHeight="true" outlineLevel="0" collapsed="false"/>
    <row r="1875" customFormat="false" ht="12.75" hidden="false" customHeight="true" outlineLevel="0" collapsed="false"/>
    <row r="1876" customFormat="false" ht="12.75" hidden="false" customHeight="true" outlineLevel="0" collapsed="false"/>
    <row r="1877" customFormat="false" ht="12.75" hidden="false" customHeight="true" outlineLevel="0" collapsed="false"/>
    <row r="1878" customFormat="false" ht="12.75" hidden="false" customHeight="true" outlineLevel="0" collapsed="false"/>
    <row r="1879" customFormat="false" ht="12.75" hidden="false" customHeight="true" outlineLevel="0" collapsed="false"/>
    <row r="1880" customFormat="false" ht="12.75" hidden="false" customHeight="true" outlineLevel="0" collapsed="false"/>
    <row r="1881" customFormat="false" ht="12.75" hidden="false" customHeight="true" outlineLevel="0" collapsed="false"/>
    <row r="1882" customFormat="false" ht="12.75" hidden="false" customHeight="true" outlineLevel="0" collapsed="false"/>
    <row r="1883" customFormat="false" ht="12.75" hidden="false" customHeight="true" outlineLevel="0" collapsed="false"/>
    <row r="1884" customFormat="false" ht="12.75" hidden="false" customHeight="true" outlineLevel="0" collapsed="false"/>
    <row r="1885" customFormat="false" ht="12.75" hidden="false" customHeight="true" outlineLevel="0" collapsed="false"/>
    <row r="1886" customFormat="false" ht="12.75" hidden="false" customHeight="true" outlineLevel="0" collapsed="false"/>
    <row r="1887" customFormat="false" ht="12.75" hidden="false" customHeight="true" outlineLevel="0" collapsed="false"/>
    <row r="1888" customFormat="false" ht="12.75" hidden="false" customHeight="true" outlineLevel="0" collapsed="false"/>
    <row r="1889" customFormat="false" ht="12.75" hidden="false" customHeight="true" outlineLevel="0" collapsed="false"/>
    <row r="1890" customFormat="false" ht="12.75" hidden="false" customHeight="true" outlineLevel="0" collapsed="false"/>
    <row r="1891" customFormat="false" ht="12.75" hidden="false" customHeight="true" outlineLevel="0" collapsed="false"/>
    <row r="1892" customFormat="false" ht="12.75" hidden="false" customHeight="true" outlineLevel="0" collapsed="false"/>
    <row r="1893" customFormat="false" ht="12.75" hidden="false" customHeight="true" outlineLevel="0" collapsed="false"/>
    <row r="1894" customFormat="false" ht="12.75" hidden="false" customHeight="true" outlineLevel="0" collapsed="false"/>
    <row r="1895" customFormat="false" ht="12.75" hidden="false" customHeight="true" outlineLevel="0" collapsed="false"/>
    <row r="1896" customFormat="false" ht="12.75" hidden="false" customHeight="true" outlineLevel="0" collapsed="false"/>
    <row r="1897" customFormat="false" ht="12.75" hidden="false" customHeight="true" outlineLevel="0" collapsed="false"/>
    <row r="1898" customFormat="false" ht="12.75" hidden="false" customHeight="true" outlineLevel="0" collapsed="false"/>
    <row r="1899" customFormat="false" ht="12.75" hidden="false" customHeight="true" outlineLevel="0" collapsed="false"/>
    <row r="1900" customFormat="false" ht="12.75" hidden="false" customHeight="true" outlineLevel="0" collapsed="false"/>
    <row r="1901" customFormat="false" ht="12.75" hidden="false" customHeight="true" outlineLevel="0" collapsed="false"/>
    <row r="1902" customFormat="false" ht="12.75" hidden="false" customHeight="true" outlineLevel="0" collapsed="false"/>
    <row r="1903" customFormat="false" ht="12.75" hidden="false" customHeight="true" outlineLevel="0" collapsed="false"/>
    <row r="1904" customFormat="false" ht="12.75" hidden="false" customHeight="true" outlineLevel="0" collapsed="false"/>
    <row r="1905" customFormat="false" ht="12.75" hidden="false" customHeight="true" outlineLevel="0" collapsed="false"/>
    <row r="1906" customFormat="false" ht="12.75" hidden="false" customHeight="true" outlineLevel="0" collapsed="false"/>
    <row r="1907" customFormat="false" ht="12.75" hidden="false" customHeight="true" outlineLevel="0" collapsed="false"/>
    <row r="1908" customFormat="false" ht="12.75" hidden="false" customHeight="true" outlineLevel="0" collapsed="false"/>
    <row r="1909" customFormat="false" ht="12.75" hidden="false" customHeight="true" outlineLevel="0" collapsed="false"/>
    <row r="1910" customFormat="false" ht="12.75" hidden="false" customHeight="true" outlineLevel="0" collapsed="false"/>
    <row r="1911" customFormat="false" ht="12.75" hidden="false" customHeight="true" outlineLevel="0" collapsed="false"/>
    <row r="1912" customFormat="false" ht="12.75" hidden="false" customHeight="true" outlineLevel="0" collapsed="false"/>
    <row r="1913" customFormat="false" ht="12.75" hidden="false" customHeight="true" outlineLevel="0" collapsed="false"/>
    <row r="1914" customFormat="false" ht="12.75" hidden="false" customHeight="true" outlineLevel="0" collapsed="false"/>
    <row r="1915" customFormat="false" ht="12.75" hidden="false" customHeight="true" outlineLevel="0" collapsed="false"/>
    <row r="1916" customFormat="false" ht="12.75" hidden="false" customHeight="true" outlineLevel="0" collapsed="false"/>
    <row r="1917" customFormat="false" ht="12.75" hidden="false" customHeight="true" outlineLevel="0" collapsed="false"/>
    <row r="1918" customFormat="false" ht="12.75" hidden="false" customHeight="true" outlineLevel="0" collapsed="false"/>
    <row r="1919" customFormat="false" ht="12.75" hidden="false" customHeight="true" outlineLevel="0" collapsed="false"/>
    <row r="1920" customFormat="false" ht="12.75" hidden="false" customHeight="true" outlineLevel="0" collapsed="false"/>
    <row r="1921" customFormat="false" ht="12.75" hidden="false" customHeight="true" outlineLevel="0" collapsed="false"/>
    <row r="1922" customFormat="false" ht="12.75" hidden="false" customHeight="true" outlineLevel="0" collapsed="false"/>
    <row r="1923" customFormat="false" ht="12.75" hidden="false" customHeight="true" outlineLevel="0" collapsed="false"/>
    <row r="1924" customFormat="false" ht="12.75" hidden="false" customHeight="true" outlineLevel="0" collapsed="false"/>
    <row r="1925" customFormat="false" ht="12.75" hidden="false" customHeight="true" outlineLevel="0" collapsed="false"/>
    <row r="1926" customFormat="false" ht="12.75" hidden="false" customHeight="true" outlineLevel="0" collapsed="false"/>
    <row r="1927" customFormat="false" ht="12.75" hidden="false" customHeight="true" outlineLevel="0" collapsed="false"/>
    <row r="1928" customFormat="false" ht="12.75" hidden="false" customHeight="true" outlineLevel="0" collapsed="false"/>
    <row r="1929" customFormat="false" ht="12.75" hidden="false" customHeight="true" outlineLevel="0" collapsed="false"/>
    <row r="1930" customFormat="false" ht="12.75" hidden="false" customHeight="true" outlineLevel="0" collapsed="false"/>
    <row r="1931" customFormat="false" ht="12.75" hidden="false" customHeight="true" outlineLevel="0" collapsed="false"/>
    <row r="1932" customFormat="false" ht="12.75" hidden="false" customHeight="true" outlineLevel="0" collapsed="false"/>
    <row r="1933" customFormat="false" ht="12.75" hidden="false" customHeight="true" outlineLevel="0" collapsed="false"/>
    <row r="1934" customFormat="false" ht="12.75" hidden="false" customHeight="true" outlineLevel="0" collapsed="false"/>
    <row r="1935" customFormat="false" ht="12.75" hidden="false" customHeight="true" outlineLevel="0" collapsed="false"/>
    <row r="1936" customFormat="false" ht="12.75" hidden="false" customHeight="true" outlineLevel="0" collapsed="false"/>
    <row r="1937" customFormat="false" ht="12.75" hidden="false" customHeight="true" outlineLevel="0" collapsed="false"/>
    <row r="1938" customFormat="false" ht="12.75" hidden="false" customHeight="true" outlineLevel="0" collapsed="false"/>
    <row r="1939" customFormat="false" ht="12.75" hidden="false" customHeight="true" outlineLevel="0" collapsed="false"/>
    <row r="1940" customFormat="false" ht="12.75" hidden="false" customHeight="true" outlineLevel="0" collapsed="false"/>
    <row r="1941" customFormat="false" ht="12.75" hidden="false" customHeight="true" outlineLevel="0" collapsed="false"/>
    <row r="1942" customFormat="false" ht="12.75" hidden="false" customHeight="true" outlineLevel="0" collapsed="false"/>
    <row r="1943" customFormat="false" ht="12.75" hidden="false" customHeight="true" outlineLevel="0" collapsed="false"/>
    <row r="1944" customFormat="false" ht="12.75" hidden="false" customHeight="true" outlineLevel="0" collapsed="false"/>
    <row r="1945" customFormat="false" ht="12.75" hidden="false" customHeight="true" outlineLevel="0" collapsed="false"/>
    <row r="1946" customFormat="false" ht="12.75" hidden="false" customHeight="true" outlineLevel="0" collapsed="false"/>
    <row r="1947" customFormat="false" ht="12.75" hidden="false" customHeight="true" outlineLevel="0" collapsed="false"/>
    <row r="1948" customFormat="false" ht="12.75" hidden="false" customHeight="true" outlineLevel="0" collapsed="false"/>
    <row r="1949" customFormat="false" ht="12.75" hidden="false" customHeight="true" outlineLevel="0" collapsed="false"/>
    <row r="1950" customFormat="false" ht="12.75" hidden="false" customHeight="true" outlineLevel="0" collapsed="false"/>
    <row r="1951" customFormat="false" ht="12.75" hidden="false" customHeight="true" outlineLevel="0" collapsed="false"/>
    <row r="1952" customFormat="false" ht="12.75" hidden="false" customHeight="true" outlineLevel="0" collapsed="false"/>
    <row r="1953" customFormat="false" ht="12.75" hidden="false" customHeight="true" outlineLevel="0" collapsed="false"/>
    <row r="1954" customFormat="false" ht="12.75" hidden="false" customHeight="true" outlineLevel="0" collapsed="false"/>
    <row r="1955" customFormat="false" ht="12.75" hidden="false" customHeight="true" outlineLevel="0" collapsed="false"/>
    <row r="1956" customFormat="false" ht="12.75" hidden="false" customHeight="true" outlineLevel="0" collapsed="false"/>
    <row r="1957" customFormat="false" ht="12.75" hidden="false" customHeight="true" outlineLevel="0" collapsed="false"/>
    <row r="1958" customFormat="false" ht="12.75" hidden="false" customHeight="true" outlineLevel="0" collapsed="false"/>
    <row r="1959" customFormat="false" ht="12.75" hidden="false" customHeight="true" outlineLevel="0" collapsed="false"/>
    <row r="1960" customFormat="false" ht="12.75" hidden="false" customHeight="true" outlineLevel="0" collapsed="false"/>
    <row r="1961" customFormat="false" ht="12.75" hidden="false" customHeight="true" outlineLevel="0" collapsed="false"/>
    <row r="1962" customFormat="false" ht="12.75" hidden="false" customHeight="true" outlineLevel="0" collapsed="false"/>
    <row r="1963" customFormat="false" ht="12.75" hidden="false" customHeight="true" outlineLevel="0" collapsed="false"/>
    <row r="1964" customFormat="false" ht="12.75" hidden="false" customHeight="true" outlineLevel="0" collapsed="false"/>
    <row r="1965" customFormat="false" ht="12.75" hidden="false" customHeight="true" outlineLevel="0" collapsed="false"/>
    <row r="1966" customFormat="false" ht="12.75" hidden="false" customHeight="true" outlineLevel="0" collapsed="false"/>
    <row r="1967" customFormat="false" ht="12.75" hidden="false" customHeight="true" outlineLevel="0" collapsed="false"/>
    <row r="1968" customFormat="false" ht="12.75" hidden="false" customHeight="true" outlineLevel="0" collapsed="false"/>
    <row r="1969" customFormat="false" ht="12.75" hidden="false" customHeight="true" outlineLevel="0" collapsed="false"/>
    <row r="1970" customFormat="false" ht="12.75" hidden="false" customHeight="true" outlineLevel="0" collapsed="false"/>
    <row r="1971" customFormat="false" ht="12.75" hidden="false" customHeight="true" outlineLevel="0" collapsed="false"/>
    <row r="1972" customFormat="false" ht="12.75" hidden="false" customHeight="true" outlineLevel="0" collapsed="false"/>
    <row r="1973" customFormat="false" ht="12.75" hidden="false" customHeight="true" outlineLevel="0" collapsed="false"/>
    <row r="1974" customFormat="false" ht="12.75" hidden="false" customHeight="true" outlineLevel="0" collapsed="false"/>
    <row r="1975" customFormat="false" ht="12.75" hidden="false" customHeight="true" outlineLevel="0" collapsed="false"/>
    <row r="1976" customFormat="false" ht="12.75" hidden="false" customHeight="true" outlineLevel="0" collapsed="false"/>
    <row r="1977" customFormat="false" ht="12.75" hidden="false" customHeight="true" outlineLevel="0" collapsed="false"/>
    <row r="1978" customFormat="false" ht="12.75" hidden="false" customHeight="true" outlineLevel="0" collapsed="false"/>
    <row r="1979" customFormat="false" ht="12.75" hidden="false" customHeight="true" outlineLevel="0" collapsed="false"/>
    <row r="1980" customFormat="false" ht="12.75" hidden="false" customHeight="true" outlineLevel="0" collapsed="false"/>
    <row r="1981" customFormat="false" ht="12.75" hidden="false" customHeight="true" outlineLevel="0" collapsed="false"/>
    <row r="1982" customFormat="false" ht="12.75" hidden="false" customHeight="true" outlineLevel="0" collapsed="false"/>
    <row r="1983" customFormat="false" ht="12.75" hidden="false" customHeight="true" outlineLevel="0" collapsed="false"/>
    <row r="1984" customFormat="false" ht="12.75" hidden="false" customHeight="true" outlineLevel="0" collapsed="false"/>
    <row r="1985" customFormat="false" ht="12.75" hidden="false" customHeight="true" outlineLevel="0" collapsed="false"/>
    <row r="1986" customFormat="false" ht="12.75" hidden="false" customHeight="true" outlineLevel="0" collapsed="false"/>
    <row r="1987" customFormat="false" ht="12.75" hidden="false" customHeight="true" outlineLevel="0" collapsed="false"/>
    <row r="1988" customFormat="false" ht="12.75" hidden="false" customHeight="true" outlineLevel="0" collapsed="false"/>
    <row r="1989" customFormat="false" ht="12.75" hidden="false" customHeight="true" outlineLevel="0" collapsed="false"/>
    <row r="1990" customFormat="false" ht="12.75" hidden="false" customHeight="true" outlineLevel="0" collapsed="false"/>
    <row r="1991" customFormat="false" ht="12.75" hidden="false" customHeight="true" outlineLevel="0" collapsed="false"/>
    <row r="1992" customFormat="false" ht="12.75" hidden="false" customHeight="true" outlineLevel="0" collapsed="false"/>
    <row r="1993" customFormat="false" ht="12.75" hidden="false" customHeight="true" outlineLevel="0" collapsed="false"/>
    <row r="1994" customFormat="false" ht="12.75" hidden="false" customHeight="true" outlineLevel="0" collapsed="false"/>
    <row r="1995" customFormat="false" ht="12.75" hidden="false" customHeight="true" outlineLevel="0" collapsed="false"/>
    <row r="1996" customFormat="false" ht="12.75" hidden="false" customHeight="true" outlineLevel="0" collapsed="false"/>
    <row r="1997" customFormat="false" ht="12.75" hidden="false" customHeight="true" outlineLevel="0" collapsed="false"/>
    <row r="1998" customFormat="false" ht="12.75" hidden="false" customHeight="true" outlineLevel="0" collapsed="false"/>
    <row r="1999" customFormat="false" ht="12.75" hidden="false" customHeight="true" outlineLevel="0" collapsed="false"/>
    <row r="2000" customFormat="false" ht="12.75" hidden="false" customHeight="true" outlineLevel="0" collapsed="false"/>
    <row r="2001" customFormat="false" ht="12.75" hidden="false" customHeight="true" outlineLevel="0" collapsed="false"/>
    <row r="2002" customFormat="false" ht="12.75" hidden="false" customHeight="true" outlineLevel="0" collapsed="false"/>
    <row r="2003" customFormat="false" ht="12.75" hidden="false" customHeight="true" outlineLevel="0" collapsed="false"/>
    <row r="2004" customFormat="false" ht="12.75" hidden="false" customHeight="true" outlineLevel="0" collapsed="false"/>
    <row r="2005" customFormat="false" ht="12.75" hidden="false" customHeight="true" outlineLevel="0" collapsed="false"/>
    <row r="2006" customFormat="false" ht="12.75" hidden="false" customHeight="true" outlineLevel="0" collapsed="false"/>
    <row r="2007" customFormat="false" ht="12.75" hidden="false" customHeight="true" outlineLevel="0" collapsed="false"/>
    <row r="2008" customFormat="false" ht="12.75" hidden="false" customHeight="true" outlineLevel="0" collapsed="false"/>
    <row r="2009" customFormat="false" ht="12.75" hidden="false" customHeight="true" outlineLevel="0" collapsed="false"/>
    <row r="2010" customFormat="false" ht="12.75" hidden="false" customHeight="true" outlineLevel="0" collapsed="false"/>
    <row r="2011" customFormat="false" ht="12.75" hidden="false" customHeight="true" outlineLevel="0" collapsed="false"/>
    <row r="2012" customFormat="false" ht="12.75" hidden="false" customHeight="true" outlineLevel="0" collapsed="false"/>
    <row r="2013" customFormat="false" ht="12.75" hidden="false" customHeight="true" outlineLevel="0" collapsed="false"/>
    <row r="2014" customFormat="false" ht="12.75" hidden="false" customHeight="true" outlineLevel="0" collapsed="false"/>
    <row r="2015" customFormat="false" ht="12.75" hidden="false" customHeight="true" outlineLevel="0" collapsed="false"/>
    <row r="2016" customFormat="false" ht="12.75" hidden="false" customHeight="true" outlineLevel="0" collapsed="false"/>
    <row r="2017" customFormat="false" ht="12.75" hidden="false" customHeight="true" outlineLevel="0" collapsed="false"/>
    <row r="2018" customFormat="false" ht="12.75" hidden="false" customHeight="true" outlineLevel="0" collapsed="false"/>
    <row r="2019" customFormat="false" ht="12.75" hidden="false" customHeight="true" outlineLevel="0" collapsed="false"/>
    <row r="2020" customFormat="false" ht="12.75" hidden="false" customHeight="true" outlineLevel="0" collapsed="false"/>
    <row r="2021" customFormat="false" ht="12.75" hidden="false" customHeight="true" outlineLevel="0" collapsed="false"/>
    <row r="2022" customFormat="false" ht="12.75" hidden="false" customHeight="true" outlineLevel="0" collapsed="false"/>
    <row r="2023" customFormat="false" ht="12.75" hidden="false" customHeight="true" outlineLevel="0" collapsed="false"/>
    <row r="2024" customFormat="false" ht="12.75" hidden="false" customHeight="true" outlineLevel="0" collapsed="false"/>
    <row r="2025" customFormat="false" ht="12.75" hidden="false" customHeight="true" outlineLevel="0" collapsed="false"/>
    <row r="2026" customFormat="false" ht="12.75" hidden="false" customHeight="true" outlineLevel="0" collapsed="false"/>
    <row r="2027" customFormat="false" ht="12.75" hidden="false" customHeight="true" outlineLevel="0" collapsed="false"/>
    <row r="2028" customFormat="false" ht="12.75" hidden="false" customHeight="true" outlineLevel="0" collapsed="false"/>
    <row r="2029" customFormat="false" ht="12.75" hidden="false" customHeight="true" outlineLevel="0" collapsed="false"/>
    <row r="2030" customFormat="false" ht="12.75" hidden="false" customHeight="true" outlineLevel="0" collapsed="false"/>
    <row r="2031" customFormat="false" ht="12.75" hidden="false" customHeight="true" outlineLevel="0" collapsed="false"/>
    <row r="2032" customFormat="false" ht="12.75" hidden="false" customHeight="true" outlineLevel="0" collapsed="false"/>
    <row r="2033" customFormat="false" ht="12.75" hidden="false" customHeight="true" outlineLevel="0" collapsed="false"/>
    <row r="2034" customFormat="false" ht="12.75" hidden="false" customHeight="true" outlineLevel="0" collapsed="false"/>
    <row r="2035" customFormat="false" ht="12.75" hidden="false" customHeight="true" outlineLevel="0" collapsed="false"/>
    <row r="2036" customFormat="false" ht="12.75" hidden="false" customHeight="true" outlineLevel="0" collapsed="false"/>
    <row r="2037" customFormat="false" ht="12.75" hidden="false" customHeight="true" outlineLevel="0" collapsed="false"/>
    <row r="2038" customFormat="false" ht="12.75" hidden="false" customHeight="true" outlineLevel="0" collapsed="false"/>
    <row r="2039" customFormat="false" ht="12.75" hidden="false" customHeight="true" outlineLevel="0" collapsed="false"/>
    <row r="2040" customFormat="false" ht="12.75" hidden="false" customHeight="true" outlineLevel="0" collapsed="false"/>
    <row r="2041" customFormat="false" ht="12.75" hidden="false" customHeight="true" outlineLevel="0" collapsed="false"/>
    <row r="2042" customFormat="false" ht="12.75" hidden="false" customHeight="true" outlineLevel="0" collapsed="false"/>
    <row r="2043" customFormat="false" ht="12.75" hidden="false" customHeight="true" outlineLevel="0" collapsed="false"/>
    <row r="2044" customFormat="false" ht="12.75" hidden="false" customHeight="true" outlineLevel="0" collapsed="false"/>
    <row r="2045" customFormat="false" ht="12.75" hidden="false" customHeight="true" outlineLevel="0" collapsed="false"/>
    <row r="2046" customFormat="false" ht="12.75" hidden="false" customHeight="true" outlineLevel="0" collapsed="false"/>
    <row r="2047" customFormat="false" ht="12.75" hidden="false" customHeight="true" outlineLevel="0" collapsed="false"/>
    <row r="2048" customFormat="false" ht="12.75" hidden="false" customHeight="true" outlineLevel="0" collapsed="false"/>
    <row r="2049" customFormat="false" ht="12.75" hidden="false" customHeight="true" outlineLevel="0" collapsed="false"/>
    <row r="2050" customFormat="false" ht="12.75" hidden="false" customHeight="true" outlineLevel="0" collapsed="false"/>
    <row r="2051" customFormat="false" ht="12.75" hidden="false" customHeight="true" outlineLevel="0" collapsed="false"/>
    <row r="2052" customFormat="false" ht="12.75" hidden="false" customHeight="true" outlineLevel="0" collapsed="false"/>
    <row r="2053" customFormat="false" ht="12.75" hidden="false" customHeight="true" outlineLevel="0" collapsed="false"/>
    <row r="2054" customFormat="false" ht="12.75" hidden="false" customHeight="true" outlineLevel="0" collapsed="false"/>
    <row r="2055" customFormat="false" ht="12.75" hidden="false" customHeight="true" outlineLevel="0" collapsed="false"/>
    <row r="2056" customFormat="false" ht="12.75" hidden="false" customHeight="true" outlineLevel="0" collapsed="false"/>
    <row r="2057" customFormat="false" ht="12.75" hidden="false" customHeight="true" outlineLevel="0" collapsed="false"/>
    <row r="2058" customFormat="false" ht="12.75" hidden="false" customHeight="true" outlineLevel="0" collapsed="false"/>
    <row r="2059" customFormat="false" ht="12.75" hidden="false" customHeight="true" outlineLevel="0" collapsed="false"/>
    <row r="2060" customFormat="false" ht="12.75" hidden="false" customHeight="true" outlineLevel="0" collapsed="false"/>
    <row r="2061" customFormat="false" ht="12.75" hidden="false" customHeight="true" outlineLevel="0" collapsed="false"/>
    <row r="2062" customFormat="false" ht="12.75" hidden="false" customHeight="true" outlineLevel="0" collapsed="false"/>
    <row r="2063" customFormat="false" ht="12.75" hidden="false" customHeight="true" outlineLevel="0" collapsed="false"/>
    <row r="2064" customFormat="false" ht="12.75" hidden="false" customHeight="true" outlineLevel="0" collapsed="false"/>
    <row r="2065" customFormat="false" ht="12.75" hidden="false" customHeight="true" outlineLevel="0" collapsed="false"/>
    <row r="2066" customFormat="false" ht="12.75" hidden="false" customHeight="true" outlineLevel="0" collapsed="false"/>
    <row r="2067" customFormat="false" ht="12.75" hidden="false" customHeight="true" outlineLevel="0" collapsed="false"/>
    <row r="2068" customFormat="false" ht="12.75" hidden="false" customHeight="true" outlineLevel="0" collapsed="false"/>
    <row r="2069" customFormat="false" ht="12.75" hidden="false" customHeight="true" outlineLevel="0" collapsed="false"/>
    <row r="2070" customFormat="false" ht="12.75" hidden="false" customHeight="true" outlineLevel="0" collapsed="false"/>
    <row r="2071" customFormat="false" ht="12.75" hidden="false" customHeight="true" outlineLevel="0" collapsed="false"/>
    <row r="2072" customFormat="false" ht="12.75" hidden="false" customHeight="true" outlineLevel="0" collapsed="false"/>
    <row r="2073" customFormat="false" ht="12.75" hidden="false" customHeight="true" outlineLevel="0" collapsed="false"/>
    <row r="2074" customFormat="false" ht="12.75" hidden="false" customHeight="true" outlineLevel="0" collapsed="false"/>
    <row r="2075" customFormat="false" ht="12.75" hidden="false" customHeight="true" outlineLevel="0" collapsed="false"/>
    <row r="2076" customFormat="false" ht="12.75" hidden="false" customHeight="true" outlineLevel="0" collapsed="false"/>
    <row r="2077" customFormat="false" ht="12.75" hidden="false" customHeight="true" outlineLevel="0" collapsed="false"/>
    <row r="2078" customFormat="false" ht="12.75" hidden="false" customHeight="true" outlineLevel="0" collapsed="false"/>
    <row r="2079" customFormat="false" ht="12.75" hidden="false" customHeight="true" outlineLevel="0" collapsed="false"/>
    <row r="2080" customFormat="false" ht="12.75" hidden="false" customHeight="true" outlineLevel="0" collapsed="false"/>
    <row r="2081" customFormat="false" ht="12.75" hidden="false" customHeight="true" outlineLevel="0" collapsed="false"/>
    <row r="2082" customFormat="false" ht="12.75" hidden="false" customHeight="true" outlineLevel="0" collapsed="false"/>
    <row r="2083" customFormat="false" ht="12.75" hidden="false" customHeight="true" outlineLevel="0" collapsed="false"/>
    <row r="2084" customFormat="false" ht="12.75" hidden="false" customHeight="true" outlineLevel="0" collapsed="false"/>
    <row r="2085" customFormat="false" ht="12.75" hidden="false" customHeight="true" outlineLevel="0" collapsed="false"/>
    <row r="2086" customFormat="false" ht="12.75" hidden="false" customHeight="true" outlineLevel="0" collapsed="false"/>
    <row r="2087" customFormat="false" ht="12.75" hidden="false" customHeight="true" outlineLevel="0" collapsed="false"/>
    <row r="2088" customFormat="false" ht="12.75" hidden="false" customHeight="true" outlineLevel="0" collapsed="false"/>
    <row r="2089" customFormat="false" ht="12.75" hidden="false" customHeight="true" outlineLevel="0" collapsed="false"/>
    <row r="2090" customFormat="false" ht="12.75" hidden="false" customHeight="true" outlineLevel="0" collapsed="false"/>
    <row r="2091" customFormat="false" ht="12.75" hidden="false" customHeight="true" outlineLevel="0" collapsed="false"/>
    <row r="2092" customFormat="false" ht="12.75" hidden="false" customHeight="true" outlineLevel="0" collapsed="false"/>
    <row r="2093" customFormat="false" ht="12.75" hidden="false" customHeight="true" outlineLevel="0" collapsed="false"/>
    <row r="2094" customFormat="false" ht="12.75" hidden="false" customHeight="true" outlineLevel="0" collapsed="false"/>
    <row r="2095" customFormat="false" ht="12.75" hidden="false" customHeight="true" outlineLevel="0" collapsed="false"/>
    <row r="2096" customFormat="false" ht="12.75" hidden="false" customHeight="true" outlineLevel="0" collapsed="false"/>
    <row r="2097" customFormat="false" ht="12.75" hidden="false" customHeight="true" outlineLevel="0" collapsed="false"/>
    <row r="2098" customFormat="false" ht="12.75" hidden="false" customHeight="true" outlineLevel="0" collapsed="false"/>
    <row r="2099" customFormat="false" ht="12.75" hidden="false" customHeight="true" outlineLevel="0" collapsed="false"/>
    <row r="2100" customFormat="false" ht="12.75" hidden="false" customHeight="true" outlineLevel="0" collapsed="false"/>
    <row r="2101" customFormat="false" ht="12.75" hidden="false" customHeight="true" outlineLevel="0" collapsed="false"/>
    <row r="2102" customFormat="false" ht="12.75" hidden="false" customHeight="true" outlineLevel="0" collapsed="false"/>
    <row r="2103" customFormat="false" ht="12.75" hidden="false" customHeight="true" outlineLevel="0" collapsed="false"/>
    <row r="2104" customFormat="false" ht="12.75" hidden="false" customHeight="true" outlineLevel="0" collapsed="false"/>
    <row r="2105" customFormat="false" ht="12.75" hidden="false" customHeight="true" outlineLevel="0" collapsed="false"/>
    <row r="2106" customFormat="false" ht="12.75" hidden="false" customHeight="true" outlineLevel="0" collapsed="false"/>
    <row r="2107" customFormat="false" ht="12.75" hidden="false" customHeight="true" outlineLevel="0" collapsed="false"/>
    <row r="2108" customFormat="false" ht="12.75" hidden="false" customHeight="true" outlineLevel="0" collapsed="false"/>
    <row r="2109" customFormat="false" ht="12.75" hidden="false" customHeight="true" outlineLevel="0" collapsed="false"/>
    <row r="2110" customFormat="false" ht="12.75" hidden="false" customHeight="true" outlineLevel="0" collapsed="false"/>
    <row r="2111" customFormat="false" ht="12.75" hidden="false" customHeight="true" outlineLevel="0" collapsed="false"/>
    <row r="2112" customFormat="false" ht="12.75" hidden="false" customHeight="true" outlineLevel="0" collapsed="false"/>
    <row r="2113" customFormat="false" ht="12.75" hidden="false" customHeight="true" outlineLevel="0" collapsed="false"/>
    <row r="2114" customFormat="false" ht="12.75" hidden="false" customHeight="true" outlineLevel="0" collapsed="false"/>
    <row r="2115" customFormat="false" ht="12.75" hidden="false" customHeight="true" outlineLevel="0" collapsed="false"/>
    <row r="2116" customFormat="false" ht="12.75" hidden="false" customHeight="true" outlineLevel="0" collapsed="false"/>
    <row r="2117" customFormat="false" ht="12.75" hidden="false" customHeight="true" outlineLevel="0" collapsed="false"/>
    <row r="2118" customFormat="false" ht="12.75" hidden="false" customHeight="true" outlineLevel="0" collapsed="false"/>
    <row r="2119" customFormat="false" ht="12.75" hidden="false" customHeight="true" outlineLevel="0" collapsed="false"/>
    <row r="2120" customFormat="false" ht="12.75" hidden="false" customHeight="true" outlineLevel="0" collapsed="false"/>
    <row r="2121" customFormat="false" ht="12.75" hidden="false" customHeight="true" outlineLevel="0" collapsed="false"/>
    <row r="2122" customFormat="false" ht="12.75" hidden="false" customHeight="true" outlineLevel="0" collapsed="false"/>
    <row r="2123" customFormat="false" ht="12.75" hidden="false" customHeight="true" outlineLevel="0" collapsed="false"/>
    <row r="2124" customFormat="false" ht="12.75" hidden="false" customHeight="true" outlineLevel="0" collapsed="false"/>
    <row r="2125" customFormat="false" ht="12.75" hidden="false" customHeight="true" outlineLevel="0" collapsed="false"/>
    <row r="2126" customFormat="false" ht="12.75" hidden="false" customHeight="true" outlineLevel="0" collapsed="false"/>
    <row r="2127" customFormat="false" ht="12.75" hidden="false" customHeight="true" outlineLevel="0" collapsed="false"/>
    <row r="2128" customFormat="false" ht="12.75" hidden="false" customHeight="true" outlineLevel="0" collapsed="false"/>
    <row r="2129" customFormat="false" ht="12.75" hidden="false" customHeight="true" outlineLevel="0" collapsed="false"/>
    <row r="2130" customFormat="false" ht="12.75" hidden="false" customHeight="true" outlineLevel="0" collapsed="false"/>
    <row r="2131" customFormat="false" ht="12.75" hidden="false" customHeight="true" outlineLevel="0" collapsed="false"/>
    <row r="2132" customFormat="false" ht="12.75" hidden="false" customHeight="true" outlineLevel="0" collapsed="false"/>
    <row r="2133" customFormat="false" ht="12.75" hidden="false" customHeight="true" outlineLevel="0" collapsed="false"/>
    <row r="2134" customFormat="false" ht="12.75" hidden="false" customHeight="true" outlineLevel="0" collapsed="false"/>
    <row r="2135" customFormat="false" ht="12.75" hidden="false" customHeight="true" outlineLevel="0" collapsed="false"/>
    <row r="2136" customFormat="false" ht="12.75" hidden="false" customHeight="true" outlineLevel="0" collapsed="false"/>
    <row r="2137" customFormat="false" ht="12.75" hidden="false" customHeight="true" outlineLevel="0" collapsed="false"/>
    <row r="2138" customFormat="false" ht="12.75" hidden="false" customHeight="true" outlineLevel="0" collapsed="false"/>
    <row r="2139" customFormat="false" ht="12.75" hidden="false" customHeight="true" outlineLevel="0" collapsed="false"/>
    <row r="2140" customFormat="false" ht="12.75" hidden="false" customHeight="true" outlineLevel="0" collapsed="false"/>
    <row r="2141" customFormat="false" ht="12.75" hidden="false" customHeight="true" outlineLevel="0" collapsed="false"/>
    <row r="2142" customFormat="false" ht="12.75" hidden="false" customHeight="true" outlineLevel="0" collapsed="false"/>
    <row r="2143" customFormat="false" ht="12.75" hidden="false" customHeight="true" outlineLevel="0" collapsed="false"/>
    <row r="2144" customFormat="false" ht="12.75" hidden="false" customHeight="true" outlineLevel="0" collapsed="false"/>
    <row r="2145" customFormat="false" ht="12.75" hidden="false" customHeight="true" outlineLevel="0" collapsed="false"/>
    <row r="2146" customFormat="false" ht="12.75" hidden="false" customHeight="true" outlineLevel="0" collapsed="false"/>
    <row r="2147" customFormat="false" ht="12.75" hidden="false" customHeight="true" outlineLevel="0" collapsed="false"/>
    <row r="2148" customFormat="false" ht="12.75" hidden="false" customHeight="true" outlineLevel="0" collapsed="false"/>
    <row r="2149" customFormat="false" ht="12.75" hidden="false" customHeight="true" outlineLevel="0" collapsed="false"/>
    <row r="2150" customFormat="false" ht="12.75" hidden="false" customHeight="true" outlineLevel="0" collapsed="false"/>
    <row r="2151" customFormat="false" ht="12.75" hidden="false" customHeight="true" outlineLevel="0" collapsed="false"/>
    <row r="2152" customFormat="false" ht="12.75" hidden="false" customHeight="true" outlineLevel="0" collapsed="false"/>
    <row r="2153" customFormat="false" ht="12.75" hidden="false" customHeight="true" outlineLevel="0" collapsed="false"/>
    <row r="2154" customFormat="false" ht="12.75" hidden="false" customHeight="true" outlineLevel="0" collapsed="false"/>
    <row r="2155" customFormat="false" ht="12.75" hidden="false" customHeight="true" outlineLevel="0" collapsed="false"/>
    <row r="2156" customFormat="false" ht="12.75" hidden="false" customHeight="true" outlineLevel="0" collapsed="false"/>
    <row r="2157" customFormat="false" ht="12.75" hidden="false" customHeight="true" outlineLevel="0" collapsed="false"/>
    <row r="2158" customFormat="false" ht="12.75" hidden="false" customHeight="true" outlineLevel="0" collapsed="false"/>
    <row r="2159" customFormat="false" ht="12.75" hidden="false" customHeight="true" outlineLevel="0" collapsed="false"/>
    <row r="2160" customFormat="false" ht="12.75" hidden="false" customHeight="true" outlineLevel="0" collapsed="false"/>
    <row r="2161" customFormat="false" ht="12.75" hidden="false" customHeight="true" outlineLevel="0" collapsed="false"/>
    <row r="2162" customFormat="false" ht="12.75" hidden="false" customHeight="true" outlineLevel="0" collapsed="false"/>
    <row r="2163" customFormat="false" ht="12.75" hidden="false" customHeight="true" outlineLevel="0" collapsed="false"/>
    <row r="2164" customFormat="false" ht="12.75" hidden="false" customHeight="true" outlineLevel="0" collapsed="false"/>
    <row r="2165" customFormat="false" ht="12.75" hidden="false" customHeight="true" outlineLevel="0" collapsed="false"/>
    <row r="2166" customFormat="false" ht="12.75" hidden="false" customHeight="true" outlineLevel="0" collapsed="false"/>
    <row r="2167" customFormat="false" ht="12.75" hidden="false" customHeight="true" outlineLevel="0" collapsed="false"/>
    <row r="2168" customFormat="false" ht="12.75" hidden="false" customHeight="true" outlineLevel="0" collapsed="false"/>
    <row r="2169" customFormat="false" ht="12.75" hidden="false" customHeight="true" outlineLevel="0" collapsed="false"/>
    <row r="2170" customFormat="false" ht="12.75" hidden="false" customHeight="true" outlineLevel="0" collapsed="false"/>
    <row r="2171" customFormat="false" ht="12.75" hidden="false" customHeight="true" outlineLevel="0" collapsed="false"/>
    <row r="2172" customFormat="false" ht="12.75" hidden="false" customHeight="true" outlineLevel="0" collapsed="false"/>
    <row r="2173" customFormat="false" ht="12.75" hidden="false" customHeight="true" outlineLevel="0" collapsed="false"/>
    <row r="2174" customFormat="false" ht="12.75" hidden="false" customHeight="true" outlineLevel="0" collapsed="false"/>
    <row r="2175" customFormat="false" ht="12.75" hidden="false" customHeight="true" outlineLevel="0" collapsed="false"/>
    <row r="2176" customFormat="false" ht="12.75" hidden="false" customHeight="true" outlineLevel="0" collapsed="false"/>
    <row r="2177" customFormat="false" ht="12.75" hidden="false" customHeight="true" outlineLevel="0" collapsed="false"/>
    <row r="2178" customFormat="false" ht="12.75" hidden="false" customHeight="true" outlineLevel="0" collapsed="false"/>
    <row r="2179" customFormat="false" ht="12.75" hidden="false" customHeight="true" outlineLevel="0" collapsed="false"/>
    <row r="2180" customFormat="false" ht="12.75" hidden="false" customHeight="true" outlineLevel="0" collapsed="false"/>
    <row r="2181" customFormat="false" ht="12.75" hidden="false" customHeight="true" outlineLevel="0" collapsed="false"/>
    <row r="2182" customFormat="false" ht="12.75" hidden="false" customHeight="true" outlineLevel="0" collapsed="false"/>
    <row r="2183" customFormat="false" ht="12.75" hidden="false" customHeight="true" outlineLevel="0" collapsed="false"/>
    <row r="2184" customFormat="false" ht="12.75" hidden="false" customHeight="true" outlineLevel="0" collapsed="false"/>
    <row r="2185" customFormat="false" ht="12.75" hidden="false" customHeight="true" outlineLevel="0" collapsed="false"/>
    <row r="2186" customFormat="false" ht="12.75" hidden="false" customHeight="true" outlineLevel="0" collapsed="false"/>
    <row r="2187" customFormat="false" ht="12.75" hidden="false" customHeight="true" outlineLevel="0" collapsed="false"/>
    <row r="2188" customFormat="false" ht="12.75" hidden="false" customHeight="true" outlineLevel="0" collapsed="false"/>
    <row r="2189" customFormat="false" ht="12.75" hidden="false" customHeight="true" outlineLevel="0" collapsed="false"/>
    <row r="2190" customFormat="false" ht="12.75" hidden="false" customHeight="true" outlineLevel="0" collapsed="false"/>
    <row r="2191" customFormat="false" ht="12.75" hidden="false" customHeight="true" outlineLevel="0" collapsed="false"/>
    <row r="2192" customFormat="false" ht="12.75" hidden="false" customHeight="true" outlineLevel="0" collapsed="false"/>
    <row r="2193" customFormat="false" ht="12.75" hidden="false" customHeight="true" outlineLevel="0" collapsed="false"/>
    <row r="2194" customFormat="false" ht="12.75" hidden="false" customHeight="true" outlineLevel="0" collapsed="false"/>
    <row r="2195" customFormat="false" ht="12.75" hidden="false" customHeight="true" outlineLevel="0" collapsed="false"/>
    <row r="2196" customFormat="false" ht="12.75" hidden="false" customHeight="true" outlineLevel="0" collapsed="false"/>
    <row r="2197" customFormat="false" ht="12.75" hidden="false" customHeight="true" outlineLevel="0" collapsed="false"/>
    <row r="2198" customFormat="false" ht="12.75" hidden="false" customHeight="true" outlineLevel="0" collapsed="false"/>
    <row r="2199" customFormat="false" ht="12.75" hidden="false" customHeight="true" outlineLevel="0" collapsed="false"/>
    <row r="2200" customFormat="false" ht="12.75" hidden="false" customHeight="true" outlineLevel="0" collapsed="false"/>
    <row r="2201" customFormat="false" ht="12.75" hidden="false" customHeight="true" outlineLevel="0" collapsed="false"/>
    <row r="2202" customFormat="false" ht="12.75" hidden="false" customHeight="true" outlineLevel="0" collapsed="false"/>
    <row r="2203" customFormat="false" ht="12.75" hidden="false" customHeight="true" outlineLevel="0" collapsed="false"/>
    <row r="2204" customFormat="false" ht="12.75" hidden="false" customHeight="true" outlineLevel="0" collapsed="false"/>
    <row r="2205" customFormat="false" ht="12.75" hidden="false" customHeight="true" outlineLevel="0" collapsed="false"/>
    <row r="2206" customFormat="false" ht="12.75" hidden="false" customHeight="true" outlineLevel="0" collapsed="false"/>
    <row r="2207" customFormat="false" ht="12.75" hidden="false" customHeight="true" outlineLevel="0" collapsed="false"/>
    <row r="2208" customFormat="false" ht="12.75" hidden="false" customHeight="true" outlineLevel="0" collapsed="false"/>
    <row r="2209" customFormat="false" ht="12.75" hidden="false" customHeight="true" outlineLevel="0" collapsed="false"/>
    <row r="2210" customFormat="false" ht="12.75" hidden="false" customHeight="true" outlineLevel="0" collapsed="false"/>
    <row r="2211" customFormat="false" ht="12.75" hidden="false" customHeight="true" outlineLevel="0" collapsed="false"/>
    <row r="2212" customFormat="false" ht="12.75" hidden="false" customHeight="true" outlineLevel="0" collapsed="false"/>
    <row r="2213" customFormat="false" ht="12.75" hidden="false" customHeight="true" outlineLevel="0" collapsed="false"/>
    <row r="2214" customFormat="false" ht="12.75" hidden="false" customHeight="true" outlineLevel="0" collapsed="false"/>
    <row r="2215" customFormat="false" ht="12.75" hidden="false" customHeight="true" outlineLevel="0" collapsed="false"/>
    <row r="2216" customFormat="false" ht="12.75" hidden="false" customHeight="true" outlineLevel="0" collapsed="false"/>
    <row r="2217" customFormat="false" ht="12.75" hidden="false" customHeight="true" outlineLevel="0" collapsed="false"/>
    <row r="2218" customFormat="false" ht="12.75" hidden="false" customHeight="true" outlineLevel="0" collapsed="false"/>
    <row r="2219" customFormat="false" ht="12.75" hidden="false" customHeight="true" outlineLevel="0" collapsed="false"/>
    <row r="2220" customFormat="false" ht="12.75" hidden="false" customHeight="true" outlineLevel="0" collapsed="false"/>
    <row r="2221" customFormat="false" ht="12.75" hidden="false" customHeight="true" outlineLevel="0" collapsed="false"/>
    <row r="2222" customFormat="false" ht="12.75" hidden="false" customHeight="true" outlineLevel="0" collapsed="false"/>
    <row r="2223" customFormat="false" ht="12.75" hidden="false" customHeight="true" outlineLevel="0" collapsed="false"/>
    <row r="2224" customFormat="false" ht="12.75" hidden="false" customHeight="true" outlineLevel="0" collapsed="false"/>
    <row r="2225" customFormat="false" ht="12.75" hidden="false" customHeight="true" outlineLevel="0" collapsed="false"/>
    <row r="2226" customFormat="false" ht="12.75" hidden="false" customHeight="true" outlineLevel="0" collapsed="false"/>
    <row r="2227" customFormat="false" ht="12.75" hidden="false" customHeight="true" outlineLevel="0" collapsed="false"/>
    <row r="2228" customFormat="false" ht="12.75" hidden="false" customHeight="true" outlineLevel="0" collapsed="false"/>
    <row r="2229" customFormat="false" ht="12.75" hidden="false" customHeight="true" outlineLevel="0" collapsed="false"/>
    <row r="2230" customFormat="false" ht="12.75" hidden="false" customHeight="true" outlineLevel="0" collapsed="false"/>
    <row r="2231" customFormat="false" ht="12.75" hidden="false" customHeight="true" outlineLevel="0" collapsed="false"/>
    <row r="2232" customFormat="false" ht="12.75" hidden="false" customHeight="true" outlineLevel="0" collapsed="false"/>
    <row r="2233" customFormat="false" ht="12.75" hidden="false" customHeight="true" outlineLevel="0" collapsed="false"/>
    <row r="2234" customFormat="false" ht="12.75" hidden="false" customHeight="true" outlineLevel="0" collapsed="false"/>
    <row r="2235" customFormat="false" ht="12.75" hidden="false" customHeight="true" outlineLevel="0" collapsed="false"/>
    <row r="2236" customFormat="false" ht="12.75" hidden="false" customHeight="true" outlineLevel="0" collapsed="false"/>
    <row r="2237" customFormat="false" ht="12.75" hidden="false" customHeight="true" outlineLevel="0" collapsed="false"/>
    <row r="2238" customFormat="false" ht="12.75" hidden="false" customHeight="true" outlineLevel="0" collapsed="false"/>
    <row r="2239" customFormat="false" ht="12.75" hidden="false" customHeight="true" outlineLevel="0" collapsed="false"/>
    <row r="2240" customFormat="false" ht="12.75" hidden="false" customHeight="true" outlineLevel="0" collapsed="false"/>
    <row r="2241" customFormat="false" ht="12.75" hidden="false" customHeight="true" outlineLevel="0" collapsed="false"/>
    <row r="2242" customFormat="false" ht="12.75" hidden="false" customHeight="true" outlineLevel="0" collapsed="false"/>
    <row r="2243" customFormat="false" ht="12.75" hidden="false" customHeight="true" outlineLevel="0" collapsed="false"/>
    <row r="2244" customFormat="false" ht="12.75" hidden="false" customHeight="true" outlineLevel="0" collapsed="false"/>
    <row r="2245" customFormat="false" ht="12.75" hidden="false" customHeight="true" outlineLevel="0" collapsed="false"/>
    <row r="2246" customFormat="false" ht="12.75" hidden="false" customHeight="true" outlineLevel="0" collapsed="false"/>
    <row r="2247" customFormat="false" ht="12.75" hidden="false" customHeight="true" outlineLevel="0" collapsed="false"/>
    <row r="2248" customFormat="false" ht="12.75" hidden="false" customHeight="true" outlineLevel="0" collapsed="false"/>
    <row r="2249" customFormat="false" ht="12.75" hidden="false" customHeight="true" outlineLevel="0" collapsed="false"/>
    <row r="2250" customFormat="false" ht="12.75" hidden="false" customHeight="true" outlineLevel="0" collapsed="false"/>
    <row r="2251" customFormat="false" ht="12.75" hidden="false" customHeight="true" outlineLevel="0" collapsed="false"/>
    <row r="2252" customFormat="false" ht="12.75" hidden="false" customHeight="true" outlineLevel="0" collapsed="false"/>
    <row r="2253" customFormat="false" ht="12.75" hidden="false" customHeight="true" outlineLevel="0" collapsed="false"/>
    <row r="2254" customFormat="false" ht="12.75" hidden="false" customHeight="true" outlineLevel="0" collapsed="false"/>
    <row r="2255" customFormat="false" ht="12.75" hidden="false" customHeight="true" outlineLevel="0" collapsed="false"/>
    <row r="2256" customFormat="false" ht="12.75" hidden="false" customHeight="true" outlineLevel="0" collapsed="false"/>
    <row r="2257" customFormat="false" ht="12.75" hidden="false" customHeight="true" outlineLevel="0" collapsed="false"/>
    <row r="2258" customFormat="false" ht="12.75" hidden="false" customHeight="true" outlineLevel="0" collapsed="false"/>
    <row r="2259" customFormat="false" ht="12.75" hidden="false" customHeight="true" outlineLevel="0" collapsed="false"/>
    <row r="2260" customFormat="false" ht="12.75" hidden="false" customHeight="true" outlineLevel="0" collapsed="false"/>
    <row r="2261" customFormat="false" ht="12.75" hidden="false" customHeight="true" outlineLevel="0" collapsed="false"/>
    <row r="2262" customFormat="false" ht="12.75" hidden="false" customHeight="true" outlineLevel="0" collapsed="false"/>
    <row r="2263" customFormat="false" ht="12.75" hidden="false" customHeight="true" outlineLevel="0" collapsed="false"/>
    <row r="2264" customFormat="false" ht="12.75" hidden="false" customHeight="true" outlineLevel="0" collapsed="false"/>
    <row r="2265" customFormat="false" ht="12.75" hidden="false" customHeight="true" outlineLevel="0" collapsed="false"/>
    <row r="2266" customFormat="false" ht="12.75" hidden="false" customHeight="true" outlineLevel="0" collapsed="false"/>
    <row r="2267" customFormat="false" ht="12.75" hidden="false" customHeight="true" outlineLevel="0" collapsed="false"/>
    <row r="2268" customFormat="false" ht="12.75" hidden="false" customHeight="true" outlineLevel="0" collapsed="false"/>
    <row r="2269" customFormat="false" ht="12.75" hidden="false" customHeight="true" outlineLevel="0" collapsed="false"/>
    <row r="2270" customFormat="false" ht="12.75" hidden="false" customHeight="true" outlineLevel="0" collapsed="false"/>
    <row r="2271" customFormat="false" ht="12.75" hidden="false" customHeight="true" outlineLevel="0" collapsed="false"/>
    <row r="2272" customFormat="false" ht="12.75" hidden="false" customHeight="true" outlineLevel="0" collapsed="false"/>
    <row r="2273" customFormat="false" ht="12.75" hidden="false" customHeight="true" outlineLevel="0" collapsed="false"/>
    <row r="2274" customFormat="false" ht="12.75" hidden="false" customHeight="true" outlineLevel="0" collapsed="false"/>
    <row r="2275" customFormat="false" ht="12.75" hidden="false" customHeight="true" outlineLevel="0" collapsed="false"/>
    <row r="2276" customFormat="false" ht="12.75" hidden="false" customHeight="true" outlineLevel="0" collapsed="false"/>
    <row r="2277" customFormat="false" ht="12.75" hidden="false" customHeight="true" outlineLevel="0" collapsed="false"/>
    <row r="2278" customFormat="false" ht="12.75" hidden="false" customHeight="true" outlineLevel="0" collapsed="false"/>
    <row r="2279" customFormat="false" ht="12.75" hidden="false" customHeight="true" outlineLevel="0" collapsed="false"/>
    <row r="2280" customFormat="false" ht="12.75" hidden="false" customHeight="true" outlineLevel="0" collapsed="false"/>
    <row r="2281" customFormat="false" ht="12.75" hidden="false" customHeight="true" outlineLevel="0" collapsed="false"/>
    <row r="2282" customFormat="false" ht="12.75" hidden="false" customHeight="true" outlineLevel="0" collapsed="false"/>
    <row r="2283" customFormat="false" ht="12.75" hidden="false" customHeight="true" outlineLevel="0" collapsed="false"/>
    <row r="2284" customFormat="false" ht="12.75" hidden="false" customHeight="true" outlineLevel="0" collapsed="false"/>
    <row r="2285" customFormat="false" ht="12.75" hidden="false" customHeight="true" outlineLevel="0" collapsed="false"/>
    <row r="2286" customFormat="false" ht="12.75" hidden="false" customHeight="true" outlineLevel="0" collapsed="false"/>
    <row r="2287" customFormat="false" ht="12.75" hidden="false" customHeight="true" outlineLevel="0" collapsed="false"/>
    <row r="2288" customFormat="false" ht="12.75" hidden="false" customHeight="true" outlineLevel="0" collapsed="false"/>
    <row r="2289" customFormat="false" ht="12.75" hidden="false" customHeight="true" outlineLevel="0" collapsed="false"/>
    <row r="2290" customFormat="false" ht="12.75" hidden="false" customHeight="true" outlineLevel="0" collapsed="false"/>
    <row r="2291" customFormat="false" ht="12.75" hidden="false" customHeight="true" outlineLevel="0" collapsed="false"/>
    <row r="2292" customFormat="false" ht="12.75" hidden="false" customHeight="true" outlineLevel="0" collapsed="false"/>
    <row r="2293" customFormat="false" ht="12.75" hidden="false" customHeight="true" outlineLevel="0" collapsed="false"/>
    <row r="2294" customFormat="false" ht="12.75" hidden="false" customHeight="true" outlineLevel="0" collapsed="false"/>
    <row r="2295" customFormat="false" ht="12.75" hidden="false" customHeight="true" outlineLevel="0" collapsed="false"/>
    <row r="2296" customFormat="false" ht="12.75" hidden="false" customHeight="true" outlineLevel="0" collapsed="false"/>
    <row r="2297" customFormat="false" ht="12.75" hidden="false" customHeight="true" outlineLevel="0" collapsed="false"/>
    <row r="2298" customFormat="false" ht="12.75" hidden="false" customHeight="true" outlineLevel="0" collapsed="false"/>
    <row r="2299" customFormat="false" ht="12.75" hidden="false" customHeight="true" outlineLevel="0" collapsed="false"/>
    <row r="2300" customFormat="false" ht="12.75" hidden="false" customHeight="true" outlineLevel="0" collapsed="false"/>
    <row r="2301" customFormat="false" ht="12.75" hidden="false" customHeight="true" outlineLevel="0" collapsed="false"/>
    <row r="2302" customFormat="false" ht="12.75" hidden="false" customHeight="true" outlineLevel="0" collapsed="false"/>
    <row r="2303" customFormat="false" ht="12.75" hidden="false" customHeight="true" outlineLevel="0" collapsed="false"/>
    <row r="2304" customFormat="false" ht="12.75" hidden="false" customHeight="true" outlineLevel="0" collapsed="false"/>
    <row r="2305" customFormat="false" ht="12.75" hidden="false" customHeight="true" outlineLevel="0" collapsed="false"/>
    <row r="2306" customFormat="false" ht="12.75" hidden="false" customHeight="true" outlineLevel="0" collapsed="false"/>
    <row r="2307" customFormat="false" ht="12.75" hidden="false" customHeight="true" outlineLevel="0" collapsed="false"/>
    <row r="2308" customFormat="false" ht="12.75" hidden="false" customHeight="true" outlineLevel="0" collapsed="false"/>
    <row r="2309" customFormat="false" ht="12.75" hidden="false" customHeight="true" outlineLevel="0" collapsed="false"/>
    <row r="2310" customFormat="false" ht="12.75" hidden="false" customHeight="true" outlineLevel="0" collapsed="false"/>
    <row r="2311" customFormat="false" ht="12.75" hidden="false" customHeight="true" outlineLevel="0" collapsed="false"/>
    <row r="2312" customFormat="false" ht="12.75" hidden="false" customHeight="true" outlineLevel="0" collapsed="false"/>
    <row r="2313" customFormat="false" ht="12.75" hidden="false" customHeight="true" outlineLevel="0" collapsed="false"/>
    <row r="2314" customFormat="false" ht="12.75" hidden="false" customHeight="true" outlineLevel="0" collapsed="false"/>
    <row r="2315" customFormat="false" ht="12.75" hidden="false" customHeight="true" outlineLevel="0" collapsed="false"/>
    <row r="2316" customFormat="false" ht="12.75" hidden="false" customHeight="true" outlineLevel="0" collapsed="false"/>
    <row r="2317" customFormat="false" ht="12.75" hidden="false" customHeight="true" outlineLevel="0" collapsed="false"/>
    <row r="2318" customFormat="false" ht="12.75" hidden="false" customHeight="true" outlineLevel="0" collapsed="false"/>
    <row r="2319" customFormat="false" ht="12.75" hidden="false" customHeight="true" outlineLevel="0" collapsed="false"/>
    <row r="2320" customFormat="false" ht="12.75" hidden="false" customHeight="true" outlineLevel="0" collapsed="false"/>
    <row r="2321" customFormat="false" ht="12.75" hidden="false" customHeight="true" outlineLevel="0" collapsed="false"/>
    <row r="2322" customFormat="false" ht="12.75" hidden="false" customHeight="true" outlineLevel="0" collapsed="false"/>
    <row r="2323" customFormat="false" ht="12.75" hidden="false" customHeight="true" outlineLevel="0" collapsed="false"/>
    <row r="2324" customFormat="false" ht="12.75" hidden="false" customHeight="true" outlineLevel="0" collapsed="false"/>
    <row r="2325" customFormat="false" ht="12.75" hidden="false" customHeight="true" outlineLevel="0" collapsed="false"/>
    <row r="2326" customFormat="false" ht="12.75" hidden="false" customHeight="true" outlineLevel="0" collapsed="false"/>
    <row r="2327" customFormat="false" ht="12.75" hidden="false" customHeight="true" outlineLevel="0" collapsed="false"/>
    <row r="2328" customFormat="false" ht="12.75" hidden="false" customHeight="true" outlineLevel="0" collapsed="false"/>
    <row r="2329" customFormat="false" ht="12.75" hidden="false" customHeight="true" outlineLevel="0" collapsed="false"/>
    <row r="2330" customFormat="false" ht="12.75" hidden="false" customHeight="true" outlineLevel="0" collapsed="false"/>
    <row r="2331" customFormat="false" ht="12.75" hidden="false" customHeight="true" outlineLevel="0" collapsed="false"/>
    <row r="2332" customFormat="false" ht="12.75" hidden="false" customHeight="true" outlineLevel="0" collapsed="false"/>
    <row r="2333" customFormat="false" ht="12.75" hidden="false" customHeight="true" outlineLevel="0" collapsed="false"/>
    <row r="2334" customFormat="false" ht="12.75" hidden="false" customHeight="true" outlineLevel="0" collapsed="false"/>
    <row r="2335" customFormat="false" ht="12.75" hidden="false" customHeight="true" outlineLevel="0" collapsed="false"/>
    <row r="2336" customFormat="false" ht="12.75" hidden="false" customHeight="true" outlineLevel="0" collapsed="false"/>
    <row r="2337" customFormat="false" ht="12.75" hidden="false" customHeight="true" outlineLevel="0" collapsed="false"/>
    <row r="2338" customFormat="false" ht="12.75" hidden="false" customHeight="true" outlineLevel="0" collapsed="false"/>
    <row r="2339" customFormat="false" ht="12.75" hidden="false" customHeight="true" outlineLevel="0" collapsed="false"/>
    <row r="2340" customFormat="false" ht="12.75" hidden="false" customHeight="true" outlineLevel="0" collapsed="false"/>
    <row r="2341" customFormat="false" ht="12.75" hidden="false" customHeight="true" outlineLevel="0" collapsed="false"/>
    <row r="2342" customFormat="false" ht="12.75" hidden="false" customHeight="true" outlineLevel="0" collapsed="false"/>
    <row r="2343" customFormat="false" ht="12.75" hidden="false" customHeight="true" outlineLevel="0" collapsed="false"/>
    <row r="2344" customFormat="false" ht="12.75" hidden="false" customHeight="true" outlineLevel="0" collapsed="false"/>
    <row r="2345" customFormat="false" ht="12.75" hidden="false" customHeight="true" outlineLevel="0" collapsed="false"/>
    <row r="2346" customFormat="false" ht="12.75" hidden="false" customHeight="true" outlineLevel="0" collapsed="false"/>
    <row r="2347" customFormat="false" ht="12.75" hidden="false" customHeight="true" outlineLevel="0" collapsed="false"/>
    <row r="2348" customFormat="false" ht="12.75" hidden="false" customHeight="true" outlineLevel="0" collapsed="false"/>
    <row r="2349" customFormat="false" ht="12.75" hidden="false" customHeight="true" outlineLevel="0" collapsed="false"/>
    <row r="2350" customFormat="false" ht="12.75" hidden="false" customHeight="true" outlineLevel="0" collapsed="false"/>
    <row r="2351" customFormat="false" ht="12.75" hidden="false" customHeight="true" outlineLevel="0" collapsed="false"/>
    <row r="2352" customFormat="false" ht="12.75" hidden="false" customHeight="true" outlineLevel="0" collapsed="false"/>
    <row r="2353" customFormat="false" ht="12.75" hidden="false" customHeight="true" outlineLevel="0" collapsed="false"/>
    <row r="2354" customFormat="false" ht="12.75" hidden="false" customHeight="true" outlineLevel="0" collapsed="false"/>
    <row r="2355" customFormat="false" ht="12.75" hidden="false" customHeight="true" outlineLevel="0" collapsed="false"/>
    <row r="2356" customFormat="false" ht="12.75" hidden="false" customHeight="true" outlineLevel="0" collapsed="false"/>
    <row r="2357" customFormat="false" ht="12.75" hidden="false" customHeight="true" outlineLevel="0" collapsed="false"/>
    <row r="2358" customFormat="false" ht="12.75" hidden="false" customHeight="true" outlineLevel="0" collapsed="false"/>
    <row r="2359" customFormat="false" ht="12.75" hidden="false" customHeight="true" outlineLevel="0" collapsed="false"/>
    <row r="2360" customFormat="false" ht="12.75" hidden="false" customHeight="true" outlineLevel="0" collapsed="false"/>
    <row r="2361" customFormat="false" ht="12.75" hidden="false" customHeight="true" outlineLevel="0" collapsed="false"/>
    <row r="2362" customFormat="false" ht="12.75" hidden="false" customHeight="true" outlineLevel="0" collapsed="false"/>
    <row r="2363" customFormat="false" ht="12.75" hidden="false" customHeight="true" outlineLevel="0" collapsed="false"/>
    <row r="2364" customFormat="false" ht="12.75" hidden="false" customHeight="true" outlineLevel="0" collapsed="false"/>
    <row r="2365" customFormat="false" ht="12.75" hidden="false" customHeight="true" outlineLevel="0" collapsed="false"/>
    <row r="2366" customFormat="false" ht="12.75" hidden="false" customHeight="true" outlineLevel="0" collapsed="false"/>
    <row r="2367" customFormat="false" ht="12.75" hidden="false" customHeight="true" outlineLevel="0" collapsed="false"/>
    <row r="2368" customFormat="false" ht="12.75" hidden="false" customHeight="true" outlineLevel="0" collapsed="false"/>
    <row r="2369" customFormat="false" ht="12.75" hidden="false" customHeight="true" outlineLevel="0" collapsed="false"/>
    <row r="2370" customFormat="false" ht="12.75" hidden="false" customHeight="true" outlineLevel="0" collapsed="false"/>
    <row r="2371" customFormat="false" ht="12.75" hidden="false" customHeight="true" outlineLevel="0" collapsed="false"/>
    <row r="2372" customFormat="false" ht="12.75" hidden="false" customHeight="true" outlineLevel="0" collapsed="false"/>
    <row r="2373" customFormat="false" ht="12.75" hidden="false" customHeight="true" outlineLevel="0" collapsed="false"/>
    <row r="2374" customFormat="false" ht="12.75" hidden="false" customHeight="true" outlineLevel="0" collapsed="false"/>
    <row r="2375" customFormat="false" ht="12.75" hidden="false" customHeight="true" outlineLevel="0" collapsed="false"/>
    <row r="2376" customFormat="false" ht="12.75" hidden="false" customHeight="true" outlineLevel="0" collapsed="false"/>
    <row r="2377" customFormat="false" ht="12.75" hidden="false" customHeight="true" outlineLevel="0" collapsed="false"/>
    <row r="2378" customFormat="false" ht="12.75" hidden="false" customHeight="true" outlineLevel="0" collapsed="false"/>
    <row r="2379" customFormat="false" ht="12.75" hidden="false" customHeight="true" outlineLevel="0" collapsed="false"/>
    <row r="2380" customFormat="false" ht="12.75" hidden="false" customHeight="true" outlineLevel="0" collapsed="false"/>
    <row r="2381" customFormat="false" ht="12.75" hidden="false" customHeight="true" outlineLevel="0" collapsed="false"/>
    <row r="2382" customFormat="false" ht="12.75" hidden="false" customHeight="true" outlineLevel="0" collapsed="false"/>
    <row r="2383" customFormat="false" ht="12.75" hidden="false" customHeight="true" outlineLevel="0" collapsed="false"/>
    <row r="2384" customFormat="false" ht="12.75" hidden="false" customHeight="true" outlineLevel="0" collapsed="false"/>
    <row r="2385" customFormat="false" ht="12.75" hidden="false" customHeight="true" outlineLevel="0" collapsed="false"/>
    <row r="2386" customFormat="false" ht="12.75" hidden="false" customHeight="true" outlineLevel="0" collapsed="false"/>
    <row r="2387" customFormat="false" ht="12.75" hidden="false" customHeight="true" outlineLevel="0" collapsed="false"/>
    <row r="2388" customFormat="false" ht="12.75" hidden="false" customHeight="true" outlineLevel="0" collapsed="false"/>
    <row r="2389" customFormat="false" ht="12.75" hidden="false" customHeight="true" outlineLevel="0" collapsed="false"/>
    <row r="2390" customFormat="false" ht="12.75" hidden="false" customHeight="true" outlineLevel="0" collapsed="false"/>
    <row r="2391" customFormat="false" ht="12.75" hidden="false" customHeight="true" outlineLevel="0" collapsed="false"/>
    <row r="2392" customFormat="false" ht="12.75" hidden="false" customHeight="true" outlineLevel="0" collapsed="false"/>
    <row r="2393" customFormat="false" ht="12.75" hidden="false" customHeight="true" outlineLevel="0" collapsed="false"/>
    <row r="2394" customFormat="false" ht="12.75" hidden="false" customHeight="true" outlineLevel="0" collapsed="false"/>
    <row r="2395" customFormat="false" ht="12.75" hidden="false" customHeight="true" outlineLevel="0" collapsed="false"/>
    <row r="2396" customFormat="false" ht="12.75" hidden="false" customHeight="true" outlineLevel="0" collapsed="false"/>
    <row r="2397" customFormat="false" ht="12.75" hidden="false" customHeight="true" outlineLevel="0" collapsed="false"/>
    <row r="2398" customFormat="false" ht="12.75" hidden="false" customHeight="true" outlineLevel="0" collapsed="false"/>
    <row r="2399" customFormat="false" ht="12.75" hidden="false" customHeight="true" outlineLevel="0" collapsed="false"/>
    <row r="2400" customFormat="false" ht="12.75" hidden="false" customHeight="true" outlineLevel="0" collapsed="false"/>
    <row r="2401" customFormat="false" ht="12.75" hidden="false" customHeight="true" outlineLevel="0" collapsed="false"/>
    <row r="2402" customFormat="false" ht="12.75" hidden="false" customHeight="true" outlineLevel="0" collapsed="false"/>
    <row r="2403" customFormat="false" ht="12.75" hidden="false" customHeight="true" outlineLevel="0" collapsed="false"/>
    <row r="2404" customFormat="false" ht="12.75" hidden="false" customHeight="true" outlineLevel="0" collapsed="false"/>
    <row r="2405" customFormat="false" ht="12.75" hidden="false" customHeight="true" outlineLevel="0" collapsed="false"/>
    <row r="2406" customFormat="false" ht="12.75" hidden="false" customHeight="true" outlineLevel="0" collapsed="false"/>
    <row r="2407" customFormat="false" ht="12.75" hidden="false" customHeight="true" outlineLevel="0" collapsed="false"/>
    <row r="2408" customFormat="false" ht="12.75" hidden="false" customHeight="true" outlineLevel="0" collapsed="false"/>
    <row r="2409" customFormat="false" ht="12.75" hidden="false" customHeight="true" outlineLevel="0" collapsed="false"/>
    <row r="2410" customFormat="false" ht="12.75" hidden="false" customHeight="true" outlineLevel="0" collapsed="false"/>
    <row r="2411" customFormat="false" ht="12.75" hidden="false" customHeight="true" outlineLevel="0" collapsed="false"/>
    <row r="2412" customFormat="false" ht="12.75" hidden="false" customHeight="true" outlineLevel="0" collapsed="false"/>
    <row r="2413" customFormat="false" ht="12.75" hidden="false" customHeight="true" outlineLevel="0" collapsed="false"/>
    <row r="2414" customFormat="false" ht="12.75" hidden="false" customHeight="true" outlineLevel="0" collapsed="false"/>
    <row r="2415" customFormat="false" ht="12.75" hidden="false" customHeight="true" outlineLevel="0" collapsed="false"/>
    <row r="2416" customFormat="false" ht="12.75" hidden="false" customHeight="true" outlineLevel="0" collapsed="false"/>
    <row r="2417" customFormat="false" ht="12.75" hidden="false" customHeight="true" outlineLevel="0" collapsed="false"/>
    <row r="2418" customFormat="false" ht="12.75" hidden="false" customHeight="true" outlineLevel="0" collapsed="false"/>
    <row r="2419" customFormat="false" ht="12.75" hidden="false" customHeight="true" outlineLevel="0" collapsed="false"/>
    <row r="2420" customFormat="false" ht="12.75" hidden="false" customHeight="true" outlineLevel="0" collapsed="false"/>
    <row r="2421" customFormat="false" ht="12.75" hidden="false" customHeight="true" outlineLevel="0" collapsed="false"/>
    <row r="2422" customFormat="false" ht="12.75" hidden="false" customHeight="true" outlineLevel="0" collapsed="false"/>
    <row r="2423" customFormat="false" ht="12.75" hidden="false" customHeight="true" outlineLevel="0" collapsed="false"/>
    <row r="2424" customFormat="false" ht="12.75" hidden="false" customHeight="true" outlineLevel="0" collapsed="false"/>
    <row r="2425" customFormat="false" ht="12.75" hidden="false" customHeight="true" outlineLevel="0" collapsed="false"/>
    <row r="2426" customFormat="false" ht="12.75" hidden="false" customHeight="true" outlineLevel="0" collapsed="false"/>
    <row r="2427" customFormat="false" ht="12.75" hidden="false" customHeight="true" outlineLevel="0" collapsed="false"/>
    <row r="2428" customFormat="false" ht="12.75" hidden="false" customHeight="true" outlineLevel="0" collapsed="false"/>
    <row r="2429" customFormat="false" ht="12.75" hidden="false" customHeight="true" outlineLevel="0" collapsed="false"/>
    <row r="2430" customFormat="false" ht="12.75" hidden="false" customHeight="true" outlineLevel="0" collapsed="false"/>
    <row r="2431" customFormat="false" ht="12.75" hidden="false" customHeight="true" outlineLevel="0" collapsed="false"/>
    <row r="2432" customFormat="false" ht="12.75" hidden="false" customHeight="true" outlineLevel="0" collapsed="false"/>
    <row r="2433" customFormat="false" ht="12.75" hidden="false" customHeight="true" outlineLevel="0" collapsed="false"/>
    <row r="2434" customFormat="false" ht="12.75" hidden="false" customHeight="true" outlineLevel="0" collapsed="false"/>
    <row r="2435" customFormat="false" ht="12.75" hidden="false" customHeight="true" outlineLevel="0" collapsed="false"/>
    <row r="2436" customFormat="false" ht="12.75" hidden="false" customHeight="true" outlineLevel="0" collapsed="false"/>
    <row r="2437" customFormat="false" ht="12.75" hidden="false" customHeight="true" outlineLevel="0" collapsed="false"/>
    <row r="2438" customFormat="false" ht="12.75" hidden="false" customHeight="true" outlineLevel="0" collapsed="false"/>
    <row r="2439" customFormat="false" ht="12.75" hidden="false" customHeight="true" outlineLevel="0" collapsed="false"/>
    <row r="2440" customFormat="false" ht="12.75" hidden="false" customHeight="true" outlineLevel="0" collapsed="false"/>
    <row r="2441" customFormat="false" ht="12.75" hidden="false" customHeight="true" outlineLevel="0" collapsed="false"/>
    <row r="2442" customFormat="false" ht="12.75" hidden="false" customHeight="true" outlineLevel="0" collapsed="false"/>
    <row r="2443" customFormat="false" ht="12.75" hidden="false" customHeight="true" outlineLevel="0" collapsed="false"/>
    <row r="2444" customFormat="false" ht="12.75" hidden="false" customHeight="true" outlineLevel="0" collapsed="false"/>
    <row r="2445" customFormat="false" ht="12.75" hidden="false" customHeight="true" outlineLevel="0" collapsed="false"/>
    <row r="2446" customFormat="false" ht="12.75" hidden="false" customHeight="true" outlineLevel="0" collapsed="false"/>
    <row r="2447" customFormat="false" ht="12.75" hidden="false" customHeight="true" outlineLevel="0" collapsed="false"/>
    <row r="2448" customFormat="false" ht="12.75" hidden="false" customHeight="true" outlineLevel="0" collapsed="false"/>
    <row r="2449" customFormat="false" ht="12.75" hidden="false" customHeight="true" outlineLevel="0" collapsed="false"/>
    <row r="2450" customFormat="false" ht="12.75" hidden="false" customHeight="true" outlineLevel="0" collapsed="false"/>
    <row r="2451" customFormat="false" ht="12.75" hidden="false" customHeight="true" outlineLevel="0" collapsed="false"/>
    <row r="2452" customFormat="false" ht="12.75" hidden="false" customHeight="true" outlineLevel="0" collapsed="false"/>
    <row r="2453" customFormat="false" ht="12.75" hidden="false" customHeight="true" outlineLevel="0" collapsed="false"/>
    <row r="2454" customFormat="false" ht="12.75" hidden="false" customHeight="true" outlineLevel="0" collapsed="false"/>
    <row r="2455" customFormat="false" ht="12.75" hidden="false" customHeight="true" outlineLevel="0" collapsed="false"/>
    <row r="2456" customFormat="false" ht="12.75" hidden="false" customHeight="true" outlineLevel="0" collapsed="false"/>
    <row r="2457" customFormat="false" ht="12.75" hidden="false" customHeight="true" outlineLevel="0" collapsed="false"/>
    <row r="2458" customFormat="false" ht="12.75" hidden="false" customHeight="true" outlineLevel="0" collapsed="false"/>
    <row r="2459" customFormat="false" ht="12.75" hidden="false" customHeight="true" outlineLevel="0" collapsed="false"/>
    <row r="2460" customFormat="false" ht="12.75" hidden="false" customHeight="true" outlineLevel="0" collapsed="false"/>
    <row r="2461" customFormat="false" ht="12.75" hidden="false" customHeight="true" outlineLevel="0" collapsed="false"/>
    <row r="2462" customFormat="false" ht="12.75" hidden="false" customHeight="true" outlineLevel="0" collapsed="false"/>
    <row r="2463" customFormat="false" ht="12.75" hidden="false" customHeight="true" outlineLevel="0" collapsed="false"/>
    <row r="2464" customFormat="false" ht="12.75" hidden="false" customHeight="true" outlineLevel="0" collapsed="false"/>
    <row r="2465" customFormat="false" ht="12.75" hidden="false" customHeight="true" outlineLevel="0" collapsed="false"/>
    <row r="2466" customFormat="false" ht="12.75" hidden="false" customHeight="true" outlineLevel="0" collapsed="false"/>
    <row r="2467" customFormat="false" ht="12.75" hidden="false" customHeight="true" outlineLevel="0" collapsed="false"/>
    <row r="2468" customFormat="false" ht="12.75" hidden="false" customHeight="true" outlineLevel="0" collapsed="false"/>
    <row r="2469" customFormat="false" ht="12.75" hidden="false" customHeight="true" outlineLevel="0" collapsed="false"/>
    <row r="2470" customFormat="false" ht="12.75" hidden="false" customHeight="true" outlineLevel="0" collapsed="false"/>
    <row r="2471" customFormat="false" ht="12.75" hidden="false" customHeight="true" outlineLevel="0" collapsed="false"/>
    <row r="2472" customFormat="false" ht="12.75" hidden="false" customHeight="true" outlineLevel="0" collapsed="false"/>
    <row r="2473" customFormat="false" ht="12.75" hidden="false" customHeight="true" outlineLevel="0" collapsed="false"/>
    <row r="2474" customFormat="false" ht="12.75" hidden="false" customHeight="true" outlineLevel="0" collapsed="false"/>
    <row r="2475" customFormat="false" ht="12.75" hidden="false" customHeight="true" outlineLevel="0" collapsed="false"/>
    <row r="2476" customFormat="false" ht="12.75" hidden="false" customHeight="true" outlineLevel="0" collapsed="false"/>
    <row r="2477" customFormat="false" ht="12.75" hidden="false" customHeight="true" outlineLevel="0" collapsed="false"/>
    <row r="2478" customFormat="false" ht="12.75" hidden="false" customHeight="true" outlineLevel="0" collapsed="false"/>
    <row r="2479" customFormat="false" ht="12.75" hidden="false" customHeight="true" outlineLevel="0" collapsed="false"/>
    <row r="2480" customFormat="false" ht="12.75" hidden="false" customHeight="true" outlineLevel="0" collapsed="false"/>
    <row r="2481" customFormat="false" ht="12.75" hidden="false" customHeight="true" outlineLevel="0" collapsed="false"/>
    <row r="2482" customFormat="false" ht="12.75" hidden="false" customHeight="true" outlineLevel="0" collapsed="false"/>
    <row r="2483" customFormat="false" ht="12.75" hidden="false" customHeight="true" outlineLevel="0" collapsed="false"/>
    <row r="2484" customFormat="false" ht="12.75" hidden="false" customHeight="true" outlineLevel="0" collapsed="false"/>
    <row r="2485" customFormat="false" ht="12.75" hidden="false" customHeight="true" outlineLevel="0" collapsed="false"/>
    <row r="2486" customFormat="false" ht="12.75" hidden="false" customHeight="true" outlineLevel="0" collapsed="false"/>
    <row r="2487" customFormat="false" ht="12.75" hidden="false" customHeight="true" outlineLevel="0" collapsed="false"/>
    <row r="2488" customFormat="false" ht="12.75" hidden="false" customHeight="true" outlineLevel="0" collapsed="false"/>
    <row r="2489" customFormat="false" ht="12.75" hidden="false" customHeight="true" outlineLevel="0" collapsed="false"/>
    <row r="2490" customFormat="false" ht="12.75" hidden="false" customHeight="true" outlineLevel="0" collapsed="false"/>
    <row r="2491" customFormat="false" ht="12.75" hidden="false" customHeight="true" outlineLevel="0" collapsed="false"/>
    <row r="2492" customFormat="false" ht="12.75" hidden="false" customHeight="true" outlineLevel="0" collapsed="false"/>
    <row r="2493" customFormat="false" ht="12.75" hidden="false" customHeight="true" outlineLevel="0" collapsed="false"/>
    <row r="2494" customFormat="false" ht="12.75" hidden="false" customHeight="true" outlineLevel="0" collapsed="false"/>
    <row r="2495" customFormat="false" ht="12.75" hidden="false" customHeight="true" outlineLevel="0" collapsed="false"/>
    <row r="2496" customFormat="false" ht="12.75" hidden="false" customHeight="true" outlineLevel="0" collapsed="false"/>
    <row r="2497" customFormat="false" ht="12.75" hidden="false" customHeight="true" outlineLevel="0" collapsed="false"/>
    <row r="2498" customFormat="false" ht="12.75" hidden="false" customHeight="true" outlineLevel="0" collapsed="false"/>
    <row r="2499" customFormat="false" ht="12.75" hidden="false" customHeight="true" outlineLevel="0" collapsed="false"/>
    <row r="2500" customFormat="false" ht="12.75" hidden="false" customHeight="true" outlineLevel="0" collapsed="false"/>
    <row r="2501" customFormat="false" ht="12.75" hidden="false" customHeight="true" outlineLevel="0" collapsed="false"/>
    <row r="2502" customFormat="false" ht="12.75" hidden="false" customHeight="true" outlineLevel="0" collapsed="false"/>
    <row r="2503" customFormat="false" ht="12.75" hidden="false" customHeight="true" outlineLevel="0" collapsed="false"/>
    <row r="2504" customFormat="false" ht="12.75" hidden="false" customHeight="true" outlineLevel="0" collapsed="false"/>
    <row r="2505" customFormat="false" ht="12.75" hidden="false" customHeight="true" outlineLevel="0" collapsed="false"/>
    <row r="2506" customFormat="false" ht="12.75" hidden="false" customHeight="true" outlineLevel="0" collapsed="false"/>
    <row r="2507" customFormat="false" ht="12.75" hidden="false" customHeight="true" outlineLevel="0" collapsed="false"/>
    <row r="2508" customFormat="false" ht="12.75" hidden="false" customHeight="true" outlineLevel="0" collapsed="false"/>
    <row r="2509" customFormat="false" ht="12.75" hidden="false" customHeight="true" outlineLevel="0" collapsed="false"/>
    <row r="2510" customFormat="false" ht="12.75" hidden="false" customHeight="true" outlineLevel="0" collapsed="false"/>
    <row r="2511" customFormat="false" ht="12.75" hidden="false" customHeight="true" outlineLevel="0" collapsed="false"/>
    <row r="2512" customFormat="false" ht="12.75" hidden="false" customHeight="true" outlineLevel="0" collapsed="false"/>
    <row r="2513" customFormat="false" ht="12.75" hidden="false" customHeight="true" outlineLevel="0" collapsed="false"/>
    <row r="2514" customFormat="false" ht="12.75" hidden="false" customHeight="true" outlineLevel="0" collapsed="false"/>
    <row r="2515" customFormat="false" ht="12.75" hidden="false" customHeight="true" outlineLevel="0" collapsed="false"/>
    <row r="2516" customFormat="false" ht="12.75" hidden="false" customHeight="true" outlineLevel="0" collapsed="false"/>
    <row r="2517" customFormat="false" ht="12.75" hidden="false" customHeight="true" outlineLevel="0" collapsed="false"/>
    <row r="2518" customFormat="false" ht="12.75" hidden="false" customHeight="true" outlineLevel="0" collapsed="false"/>
    <row r="2519" customFormat="false" ht="12.75" hidden="false" customHeight="true" outlineLevel="0" collapsed="false"/>
    <row r="2520" customFormat="false" ht="12.75" hidden="false" customHeight="true" outlineLevel="0" collapsed="false"/>
    <row r="2521" customFormat="false" ht="12.75" hidden="false" customHeight="true" outlineLevel="0" collapsed="false"/>
    <row r="2522" customFormat="false" ht="12.75" hidden="false" customHeight="true" outlineLevel="0" collapsed="false"/>
    <row r="2523" customFormat="false" ht="12.75" hidden="false" customHeight="true" outlineLevel="0" collapsed="false"/>
    <row r="2524" customFormat="false" ht="12.75" hidden="false" customHeight="true" outlineLevel="0" collapsed="false"/>
    <row r="2525" customFormat="false" ht="12.75" hidden="false" customHeight="true" outlineLevel="0" collapsed="false"/>
    <row r="2526" customFormat="false" ht="12.75" hidden="false" customHeight="true" outlineLevel="0" collapsed="false"/>
    <row r="2527" customFormat="false" ht="12.75" hidden="false" customHeight="true" outlineLevel="0" collapsed="false"/>
    <row r="2528" customFormat="false" ht="12.75" hidden="false" customHeight="true" outlineLevel="0" collapsed="false"/>
    <row r="2529" customFormat="false" ht="12.75" hidden="false" customHeight="true" outlineLevel="0" collapsed="false"/>
    <row r="2530" customFormat="false" ht="12.75" hidden="false" customHeight="true" outlineLevel="0" collapsed="false"/>
    <row r="2531" customFormat="false" ht="12.75" hidden="false" customHeight="true" outlineLevel="0" collapsed="false"/>
    <row r="2532" customFormat="false" ht="12.75" hidden="false" customHeight="true" outlineLevel="0" collapsed="false"/>
    <row r="2533" customFormat="false" ht="12.75" hidden="false" customHeight="true" outlineLevel="0" collapsed="false"/>
    <row r="2534" customFormat="false" ht="12.75" hidden="false" customHeight="true" outlineLevel="0" collapsed="false"/>
    <row r="2535" customFormat="false" ht="12.75" hidden="false" customHeight="true" outlineLevel="0" collapsed="false"/>
    <row r="2536" customFormat="false" ht="12.75" hidden="false" customHeight="true" outlineLevel="0" collapsed="false"/>
    <row r="2537" customFormat="false" ht="12.75" hidden="false" customHeight="true" outlineLevel="0" collapsed="false"/>
    <row r="2538" customFormat="false" ht="12.75" hidden="false" customHeight="true" outlineLevel="0" collapsed="false"/>
    <row r="2539" customFormat="false" ht="12.75" hidden="false" customHeight="true" outlineLevel="0" collapsed="false"/>
    <row r="2540" customFormat="false" ht="12.75" hidden="false" customHeight="true" outlineLevel="0" collapsed="false"/>
    <row r="2541" customFormat="false" ht="12.75" hidden="false" customHeight="true" outlineLevel="0" collapsed="false"/>
    <row r="2542" customFormat="false" ht="12.75" hidden="false" customHeight="true" outlineLevel="0" collapsed="false"/>
    <row r="2543" customFormat="false" ht="12.75" hidden="false" customHeight="true" outlineLevel="0" collapsed="false"/>
    <row r="2544" customFormat="false" ht="12.75" hidden="false" customHeight="true" outlineLevel="0" collapsed="false"/>
    <row r="2545" customFormat="false" ht="12.75" hidden="false" customHeight="true" outlineLevel="0" collapsed="false"/>
    <row r="2546" customFormat="false" ht="12.75" hidden="false" customHeight="true" outlineLevel="0" collapsed="false"/>
    <row r="2547" customFormat="false" ht="12.75" hidden="false" customHeight="true" outlineLevel="0" collapsed="false"/>
    <row r="2548" customFormat="false" ht="12.75" hidden="false" customHeight="true" outlineLevel="0" collapsed="false"/>
    <row r="2549" customFormat="false" ht="12.75" hidden="false" customHeight="true" outlineLevel="0" collapsed="false"/>
    <row r="2550" customFormat="false" ht="12.75" hidden="false" customHeight="true" outlineLevel="0" collapsed="false"/>
    <row r="2551" customFormat="false" ht="12.75" hidden="false" customHeight="true" outlineLevel="0" collapsed="false"/>
    <row r="2552" customFormat="false" ht="12.75" hidden="false" customHeight="true" outlineLevel="0" collapsed="false"/>
    <row r="2553" customFormat="false" ht="12.75" hidden="false" customHeight="true" outlineLevel="0" collapsed="false"/>
    <row r="2554" customFormat="false" ht="12.75" hidden="false" customHeight="true" outlineLevel="0" collapsed="false"/>
    <row r="2555" customFormat="false" ht="12.75" hidden="false" customHeight="true" outlineLevel="0" collapsed="false"/>
    <row r="2556" customFormat="false" ht="12.75" hidden="false" customHeight="true" outlineLevel="0" collapsed="false"/>
    <row r="2557" customFormat="false" ht="12.75" hidden="false" customHeight="true" outlineLevel="0" collapsed="false"/>
    <row r="2558" customFormat="false" ht="12.75" hidden="false" customHeight="true" outlineLevel="0" collapsed="false"/>
    <row r="2559" customFormat="false" ht="12.75" hidden="false" customHeight="true" outlineLevel="0" collapsed="false"/>
    <row r="2560" customFormat="false" ht="12.75" hidden="false" customHeight="true" outlineLevel="0" collapsed="false"/>
    <row r="2561" customFormat="false" ht="12.75" hidden="false" customHeight="true" outlineLevel="0" collapsed="false"/>
    <row r="2562" customFormat="false" ht="12.75" hidden="false" customHeight="true" outlineLevel="0" collapsed="false"/>
    <row r="2563" customFormat="false" ht="12.75" hidden="false" customHeight="true" outlineLevel="0" collapsed="false"/>
    <row r="2564" customFormat="false" ht="12.75" hidden="false" customHeight="true" outlineLevel="0" collapsed="false"/>
    <row r="2565" customFormat="false" ht="12.75" hidden="false" customHeight="true" outlineLevel="0" collapsed="false"/>
    <row r="2566" customFormat="false" ht="12.75" hidden="false" customHeight="true" outlineLevel="0" collapsed="false"/>
    <row r="2567" customFormat="false" ht="12.75" hidden="false" customHeight="true" outlineLevel="0" collapsed="false"/>
    <row r="2568" customFormat="false" ht="12.75" hidden="false" customHeight="true" outlineLevel="0" collapsed="false"/>
    <row r="2569" customFormat="false" ht="12.75" hidden="false" customHeight="true" outlineLevel="0" collapsed="false"/>
    <row r="2570" customFormat="false" ht="12.75" hidden="false" customHeight="true" outlineLevel="0" collapsed="false"/>
    <row r="2571" customFormat="false" ht="12.75" hidden="false" customHeight="true" outlineLevel="0" collapsed="false"/>
    <row r="2572" customFormat="false" ht="12.75" hidden="false" customHeight="true" outlineLevel="0" collapsed="false"/>
    <row r="2573" customFormat="false" ht="12.75" hidden="false" customHeight="true" outlineLevel="0" collapsed="false"/>
    <row r="2574" customFormat="false" ht="12.75" hidden="false" customHeight="true" outlineLevel="0" collapsed="false"/>
    <row r="2575" customFormat="false" ht="12.75" hidden="false" customHeight="true" outlineLevel="0" collapsed="false"/>
    <row r="2576" customFormat="false" ht="12.75" hidden="false" customHeight="true" outlineLevel="0" collapsed="false"/>
    <row r="2577" customFormat="false" ht="12.75" hidden="false" customHeight="true" outlineLevel="0" collapsed="false"/>
    <row r="2578" customFormat="false" ht="12.75" hidden="false" customHeight="true" outlineLevel="0" collapsed="false"/>
    <row r="2579" customFormat="false" ht="12.75" hidden="false" customHeight="true" outlineLevel="0" collapsed="false"/>
    <row r="2580" customFormat="false" ht="12.75" hidden="false" customHeight="true" outlineLevel="0" collapsed="false"/>
    <row r="2581" customFormat="false" ht="12.75" hidden="false" customHeight="true" outlineLevel="0" collapsed="false"/>
    <row r="2582" customFormat="false" ht="12.75" hidden="false" customHeight="true" outlineLevel="0" collapsed="false"/>
    <row r="2583" customFormat="false" ht="12.75" hidden="false" customHeight="true" outlineLevel="0" collapsed="false"/>
    <row r="2584" customFormat="false" ht="12.75" hidden="false" customHeight="true" outlineLevel="0" collapsed="false"/>
    <row r="2585" customFormat="false" ht="12.75" hidden="false" customHeight="true" outlineLevel="0" collapsed="false"/>
    <row r="2586" customFormat="false" ht="12.75" hidden="false" customHeight="true" outlineLevel="0" collapsed="false"/>
    <row r="2587" customFormat="false" ht="12.75" hidden="false" customHeight="true" outlineLevel="0" collapsed="false"/>
    <row r="2588" customFormat="false" ht="12.75" hidden="false" customHeight="true" outlineLevel="0" collapsed="false"/>
    <row r="2589" customFormat="false" ht="12.75" hidden="false" customHeight="true" outlineLevel="0" collapsed="false"/>
    <row r="2590" customFormat="false" ht="12.75" hidden="false" customHeight="true" outlineLevel="0" collapsed="false"/>
    <row r="2591" customFormat="false" ht="12.75" hidden="false" customHeight="true" outlineLevel="0" collapsed="false"/>
    <row r="2592" customFormat="false" ht="12.75" hidden="false" customHeight="true" outlineLevel="0" collapsed="false"/>
    <row r="2593" customFormat="false" ht="12.75" hidden="false" customHeight="true" outlineLevel="0" collapsed="false"/>
    <row r="2594" customFormat="false" ht="12.75" hidden="false" customHeight="true" outlineLevel="0" collapsed="false"/>
    <row r="2595" customFormat="false" ht="12.75" hidden="false" customHeight="true" outlineLevel="0" collapsed="false"/>
    <row r="2596" customFormat="false" ht="12.75" hidden="false" customHeight="true" outlineLevel="0" collapsed="false"/>
    <row r="2597" customFormat="false" ht="12.75" hidden="false" customHeight="true" outlineLevel="0" collapsed="false"/>
    <row r="2598" customFormat="false" ht="12.75" hidden="false" customHeight="true" outlineLevel="0" collapsed="false"/>
    <row r="2599" customFormat="false" ht="12.75" hidden="false" customHeight="true" outlineLevel="0" collapsed="false"/>
    <row r="2600" customFormat="false" ht="12.75" hidden="false" customHeight="true" outlineLevel="0" collapsed="false"/>
    <row r="2601" customFormat="false" ht="12.75" hidden="false" customHeight="true" outlineLevel="0" collapsed="false"/>
    <row r="2602" customFormat="false" ht="12.75" hidden="false" customHeight="true" outlineLevel="0" collapsed="false"/>
    <row r="2603" customFormat="false" ht="12.75" hidden="false" customHeight="true" outlineLevel="0" collapsed="false"/>
    <row r="2604" customFormat="false" ht="12.75" hidden="false" customHeight="true" outlineLevel="0" collapsed="false"/>
    <row r="2605" customFormat="false" ht="12.75" hidden="false" customHeight="true" outlineLevel="0" collapsed="false"/>
    <row r="2606" customFormat="false" ht="12.75" hidden="false" customHeight="true" outlineLevel="0" collapsed="false"/>
    <row r="2607" customFormat="false" ht="12.75" hidden="false" customHeight="true" outlineLevel="0" collapsed="false"/>
    <row r="2608" customFormat="false" ht="12.75" hidden="false" customHeight="true" outlineLevel="0" collapsed="false"/>
    <row r="2609" customFormat="false" ht="12.75" hidden="false" customHeight="true" outlineLevel="0" collapsed="false"/>
    <row r="2610" customFormat="false" ht="12.75" hidden="false" customHeight="true" outlineLevel="0" collapsed="false"/>
    <row r="2611" customFormat="false" ht="12.75" hidden="false" customHeight="true" outlineLevel="0" collapsed="false"/>
    <row r="2612" customFormat="false" ht="12.75" hidden="false" customHeight="true" outlineLevel="0" collapsed="false"/>
    <row r="2613" customFormat="false" ht="12.75" hidden="false" customHeight="true" outlineLevel="0" collapsed="false"/>
    <row r="2614" customFormat="false" ht="12.75" hidden="false" customHeight="true" outlineLevel="0" collapsed="false"/>
    <row r="2615" customFormat="false" ht="12.75" hidden="false" customHeight="true" outlineLevel="0" collapsed="false"/>
    <row r="2616" customFormat="false" ht="12.75" hidden="false" customHeight="true" outlineLevel="0" collapsed="false"/>
    <row r="2617" customFormat="false" ht="12.75" hidden="false" customHeight="true" outlineLevel="0" collapsed="false"/>
    <row r="2618" customFormat="false" ht="12.75" hidden="false" customHeight="true" outlineLevel="0" collapsed="false"/>
    <row r="2619" customFormat="false" ht="12.75" hidden="false" customHeight="true" outlineLevel="0" collapsed="false"/>
    <row r="2620" customFormat="false" ht="12.75" hidden="false" customHeight="true" outlineLevel="0" collapsed="false"/>
    <row r="2621" customFormat="false" ht="12.75" hidden="false" customHeight="true" outlineLevel="0" collapsed="false"/>
    <row r="2622" customFormat="false" ht="12.75" hidden="false" customHeight="true" outlineLevel="0" collapsed="false"/>
    <row r="2623" customFormat="false" ht="12.75" hidden="false" customHeight="true" outlineLevel="0" collapsed="false"/>
    <row r="2624" customFormat="false" ht="12.75" hidden="false" customHeight="true" outlineLevel="0" collapsed="false"/>
    <row r="2625" customFormat="false" ht="12.75" hidden="false" customHeight="true" outlineLevel="0" collapsed="false"/>
    <row r="2626" customFormat="false" ht="12.75" hidden="false" customHeight="true" outlineLevel="0" collapsed="false"/>
    <row r="2627" customFormat="false" ht="12.75" hidden="false" customHeight="true" outlineLevel="0" collapsed="false"/>
    <row r="2628" customFormat="false" ht="12.75" hidden="false" customHeight="true" outlineLevel="0" collapsed="false"/>
    <row r="2629" customFormat="false" ht="12.75" hidden="false" customHeight="true" outlineLevel="0" collapsed="false"/>
    <row r="2630" customFormat="false" ht="12.75" hidden="false" customHeight="true" outlineLevel="0" collapsed="false"/>
    <row r="2631" customFormat="false" ht="12.75" hidden="false" customHeight="true" outlineLevel="0" collapsed="false"/>
    <row r="2632" customFormat="false" ht="12.75" hidden="false" customHeight="true" outlineLevel="0" collapsed="false"/>
    <row r="2633" customFormat="false" ht="12.75" hidden="false" customHeight="true" outlineLevel="0" collapsed="false"/>
    <row r="2634" customFormat="false" ht="12.75" hidden="false" customHeight="true" outlineLevel="0" collapsed="false"/>
    <row r="2635" customFormat="false" ht="12.75" hidden="false" customHeight="true" outlineLevel="0" collapsed="false"/>
    <row r="2636" customFormat="false" ht="12.75" hidden="false" customHeight="true" outlineLevel="0" collapsed="false"/>
    <row r="2637" customFormat="false" ht="12.75" hidden="false" customHeight="true" outlineLevel="0" collapsed="false"/>
    <row r="2638" customFormat="false" ht="12.75" hidden="false" customHeight="true" outlineLevel="0" collapsed="false"/>
    <row r="2639" customFormat="false" ht="12.75" hidden="false" customHeight="true" outlineLevel="0" collapsed="false"/>
    <row r="2640" customFormat="false" ht="12.75" hidden="false" customHeight="true" outlineLevel="0" collapsed="false"/>
    <row r="2641" customFormat="false" ht="12.75" hidden="false" customHeight="true" outlineLevel="0" collapsed="false"/>
    <row r="2642" customFormat="false" ht="12.75" hidden="false" customHeight="true" outlineLevel="0" collapsed="false"/>
    <row r="2643" customFormat="false" ht="12.75" hidden="false" customHeight="true" outlineLevel="0" collapsed="false"/>
    <row r="2644" customFormat="false" ht="12.75" hidden="false" customHeight="true" outlineLevel="0" collapsed="false"/>
    <row r="2645" customFormat="false" ht="12.75" hidden="false" customHeight="true" outlineLevel="0" collapsed="false"/>
    <row r="2646" customFormat="false" ht="12.75" hidden="false" customHeight="true" outlineLevel="0" collapsed="false"/>
    <row r="2647" customFormat="false" ht="12.75" hidden="false" customHeight="true" outlineLevel="0" collapsed="false"/>
    <row r="2648" customFormat="false" ht="12.75" hidden="false" customHeight="true" outlineLevel="0" collapsed="false"/>
    <row r="2649" customFormat="false" ht="12.75" hidden="false" customHeight="true" outlineLevel="0" collapsed="false"/>
    <row r="2650" customFormat="false" ht="12.75" hidden="false" customHeight="true" outlineLevel="0" collapsed="false"/>
    <row r="2651" customFormat="false" ht="12.75" hidden="false" customHeight="true" outlineLevel="0" collapsed="false"/>
    <row r="2652" customFormat="false" ht="12.75" hidden="false" customHeight="true" outlineLevel="0" collapsed="false"/>
    <row r="2653" customFormat="false" ht="12.75" hidden="false" customHeight="true" outlineLevel="0" collapsed="false"/>
    <row r="2654" customFormat="false" ht="12.75" hidden="false" customHeight="true" outlineLevel="0" collapsed="false"/>
    <row r="2655" customFormat="false" ht="12.75" hidden="false" customHeight="true" outlineLevel="0" collapsed="false"/>
    <row r="2656" customFormat="false" ht="12.75" hidden="false" customHeight="true" outlineLevel="0" collapsed="false"/>
    <row r="2657" customFormat="false" ht="12.75" hidden="false" customHeight="true" outlineLevel="0" collapsed="false"/>
    <row r="2658" customFormat="false" ht="12.75" hidden="false" customHeight="true" outlineLevel="0" collapsed="false"/>
    <row r="2659" customFormat="false" ht="12.75" hidden="false" customHeight="true" outlineLevel="0" collapsed="false"/>
    <row r="2660" customFormat="false" ht="12.75" hidden="false" customHeight="true" outlineLevel="0" collapsed="false"/>
    <row r="2661" customFormat="false" ht="12.75" hidden="false" customHeight="true" outlineLevel="0" collapsed="false"/>
    <row r="2662" customFormat="false" ht="12.75" hidden="false" customHeight="true" outlineLevel="0" collapsed="false"/>
    <row r="2663" customFormat="false" ht="12.75" hidden="false" customHeight="true" outlineLevel="0" collapsed="false"/>
    <row r="2664" customFormat="false" ht="12.75" hidden="false" customHeight="true" outlineLevel="0" collapsed="false"/>
    <row r="2665" customFormat="false" ht="12.75" hidden="false" customHeight="true" outlineLevel="0" collapsed="false"/>
    <row r="2666" customFormat="false" ht="12.75" hidden="false" customHeight="true" outlineLevel="0" collapsed="false"/>
    <row r="2667" customFormat="false" ht="12.75" hidden="false" customHeight="true" outlineLevel="0" collapsed="false"/>
    <row r="2668" customFormat="false" ht="12.75" hidden="false" customHeight="true" outlineLevel="0" collapsed="false"/>
    <row r="2669" customFormat="false" ht="12.75" hidden="false" customHeight="true" outlineLevel="0" collapsed="false"/>
    <row r="2670" customFormat="false" ht="12.75" hidden="false" customHeight="true" outlineLevel="0" collapsed="false"/>
    <row r="2671" customFormat="false" ht="12.75" hidden="false" customHeight="true" outlineLevel="0" collapsed="false"/>
    <row r="2672" customFormat="false" ht="12.75" hidden="false" customHeight="true" outlineLevel="0" collapsed="false"/>
    <row r="2673" customFormat="false" ht="12.75" hidden="false" customHeight="true" outlineLevel="0" collapsed="false"/>
    <row r="2674" customFormat="false" ht="12.75" hidden="false" customHeight="true" outlineLevel="0" collapsed="false"/>
    <row r="2675" customFormat="false" ht="12.75" hidden="false" customHeight="true" outlineLevel="0" collapsed="false"/>
    <row r="2676" customFormat="false" ht="12.75" hidden="false" customHeight="true" outlineLevel="0" collapsed="false"/>
    <row r="2677" customFormat="false" ht="12.75" hidden="false" customHeight="true" outlineLevel="0" collapsed="false"/>
    <row r="2678" customFormat="false" ht="12.75" hidden="false" customHeight="true" outlineLevel="0" collapsed="false"/>
    <row r="2679" customFormat="false" ht="12.75" hidden="false" customHeight="true" outlineLevel="0" collapsed="false"/>
    <row r="2680" customFormat="false" ht="12.75" hidden="false" customHeight="true" outlineLevel="0" collapsed="false"/>
    <row r="2681" customFormat="false" ht="12.75" hidden="false" customHeight="true" outlineLevel="0" collapsed="false"/>
    <row r="2682" customFormat="false" ht="12.75" hidden="false" customHeight="true" outlineLevel="0" collapsed="false"/>
    <row r="2683" customFormat="false" ht="12.75" hidden="false" customHeight="true" outlineLevel="0" collapsed="false"/>
    <row r="2684" customFormat="false" ht="12.75" hidden="false" customHeight="true" outlineLevel="0" collapsed="false"/>
    <row r="2685" customFormat="false" ht="12.75" hidden="false" customHeight="true" outlineLevel="0" collapsed="false"/>
    <row r="2686" customFormat="false" ht="12.75" hidden="false" customHeight="true" outlineLevel="0" collapsed="false"/>
    <row r="2687" customFormat="false" ht="12.75" hidden="false" customHeight="true" outlineLevel="0" collapsed="false"/>
    <row r="2688" customFormat="false" ht="12.75" hidden="false" customHeight="true" outlineLevel="0" collapsed="false"/>
    <row r="2689" customFormat="false" ht="12.75" hidden="false" customHeight="true" outlineLevel="0" collapsed="false"/>
    <row r="2690" customFormat="false" ht="12.75" hidden="false" customHeight="true" outlineLevel="0" collapsed="false"/>
    <row r="2691" customFormat="false" ht="12.75" hidden="false" customHeight="true" outlineLevel="0" collapsed="false"/>
    <row r="2692" customFormat="false" ht="12.75" hidden="false" customHeight="true" outlineLevel="0" collapsed="false"/>
    <row r="2693" customFormat="false" ht="12.75" hidden="false" customHeight="true" outlineLevel="0" collapsed="false"/>
    <row r="2694" customFormat="false" ht="12.75" hidden="false" customHeight="true" outlineLevel="0" collapsed="false"/>
    <row r="2695" customFormat="false" ht="12.75" hidden="false" customHeight="true" outlineLevel="0" collapsed="false"/>
    <row r="2696" customFormat="false" ht="12.75" hidden="false" customHeight="true" outlineLevel="0" collapsed="false"/>
    <row r="2697" customFormat="false" ht="12.75" hidden="false" customHeight="true" outlineLevel="0" collapsed="false"/>
    <row r="2698" customFormat="false" ht="12.75" hidden="false" customHeight="true" outlineLevel="0" collapsed="false"/>
    <row r="2699" customFormat="false" ht="12.75" hidden="false" customHeight="true" outlineLevel="0" collapsed="false"/>
    <row r="2700" customFormat="false" ht="12.75" hidden="false" customHeight="true" outlineLevel="0" collapsed="false"/>
    <row r="2701" customFormat="false" ht="12.75" hidden="false" customHeight="true" outlineLevel="0" collapsed="false"/>
    <row r="2702" customFormat="false" ht="12.75" hidden="false" customHeight="true" outlineLevel="0" collapsed="false"/>
    <row r="2703" customFormat="false" ht="12.75" hidden="false" customHeight="true" outlineLevel="0" collapsed="false"/>
    <row r="2704" customFormat="false" ht="12.75" hidden="false" customHeight="true" outlineLevel="0" collapsed="false"/>
    <row r="2705" customFormat="false" ht="12.75" hidden="false" customHeight="true" outlineLevel="0" collapsed="false"/>
    <row r="2706" customFormat="false" ht="12.75" hidden="false" customHeight="true" outlineLevel="0" collapsed="false"/>
    <row r="2707" customFormat="false" ht="12.75" hidden="false" customHeight="true" outlineLevel="0" collapsed="false"/>
    <row r="2708" customFormat="false" ht="12.75" hidden="false" customHeight="true" outlineLevel="0" collapsed="false"/>
    <row r="2709" customFormat="false" ht="12.75" hidden="false" customHeight="true" outlineLevel="0" collapsed="false"/>
    <row r="2710" customFormat="false" ht="12.75" hidden="false" customHeight="true" outlineLevel="0" collapsed="false"/>
    <row r="2711" customFormat="false" ht="12.75" hidden="false" customHeight="true" outlineLevel="0" collapsed="false"/>
    <row r="2712" customFormat="false" ht="12.75" hidden="false" customHeight="true" outlineLevel="0" collapsed="false"/>
    <row r="2713" customFormat="false" ht="12.75" hidden="false" customHeight="true" outlineLevel="0" collapsed="false"/>
    <row r="2714" customFormat="false" ht="12.75" hidden="false" customHeight="true" outlineLevel="0" collapsed="false"/>
    <row r="2715" customFormat="false" ht="12.75" hidden="false" customHeight="true" outlineLevel="0" collapsed="false"/>
    <row r="2716" customFormat="false" ht="12.75" hidden="false" customHeight="true" outlineLevel="0" collapsed="false"/>
    <row r="2717" customFormat="false" ht="12.75" hidden="false" customHeight="true" outlineLevel="0" collapsed="false"/>
    <row r="2718" customFormat="false" ht="12.75" hidden="false" customHeight="true" outlineLevel="0" collapsed="false"/>
    <row r="2719" customFormat="false" ht="12.75" hidden="false" customHeight="true" outlineLevel="0" collapsed="false"/>
    <row r="2720" customFormat="false" ht="12.75" hidden="false" customHeight="true" outlineLevel="0" collapsed="false"/>
    <row r="2721" customFormat="false" ht="12.75" hidden="false" customHeight="true" outlineLevel="0" collapsed="false"/>
    <row r="2722" customFormat="false" ht="12.75" hidden="false" customHeight="true" outlineLevel="0" collapsed="false"/>
    <row r="2723" customFormat="false" ht="12.75" hidden="false" customHeight="true" outlineLevel="0" collapsed="false"/>
    <row r="2724" customFormat="false" ht="12.75" hidden="false" customHeight="true" outlineLevel="0" collapsed="false"/>
    <row r="2725" customFormat="false" ht="12.75" hidden="false" customHeight="true" outlineLevel="0" collapsed="false"/>
    <row r="2726" customFormat="false" ht="12.75" hidden="false" customHeight="true" outlineLevel="0" collapsed="false"/>
    <row r="2727" customFormat="false" ht="12.75" hidden="false" customHeight="true" outlineLevel="0" collapsed="false"/>
    <row r="2728" customFormat="false" ht="12.75" hidden="false" customHeight="true" outlineLevel="0" collapsed="false"/>
    <row r="2729" customFormat="false" ht="12.75" hidden="false" customHeight="true" outlineLevel="0" collapsed="false"/>
    <row r="2730" customFormat="false" ht="12.75" hidden="false" customHeight="true" outlineLevel="0" collapsed="false"/>
    <row r="2731" customFormat="false" ht="12.75" hidden="false" customHeight="true" outlineLevel="0" collapsed="false"/>
    <row r="2732" customFormat="false" ht="12.75" hidden="false" customHeight="true" outlineLevel="0" collapsed="false"/>
    <row r="2733" customFormat="false" ht="12.75" hidden="false" customHeight="true" outlineLevel="0" collapsed="false"/>
    <row r="2734" customFormat="false" ht="12.75" hidden="false" customHeight="true" outlineLevel="0" collapsed="false"/>
    <row r="2735" customFormat="false" ht="12.75" hidden="false" customHeight="true" outlineLevel="0" collapsed="false"/>
    <row r="2736" customFormat="false" ht="12.75" hidden="false" customHeight="true" outlineLevel="0" collapsed="false"/>
    <row r="2737" customFormat="false" ht="12.75" hidden="false" customHeight="true" outlineLevel="0" collapsed="false"/>
    <row r="2738" customFormat="false" ht="12.75" hidden="false" customHeight="true" outlineLevel="0" collapsed="false"/>
    <row r="2739" customFormat="false" ht="12.75" hidden="false" customHeight="true" outlineLevel="0" collapsed="false"/>
    <row r="2740" customFormat="false" ht="12.75" hidden="false" customHeight="true" outlineLevel="0" collapsed="false"/>
    <row r="2741" customFormat="false" ht="12.75" hidden="false" customHeight="true" outlineLevel="0" collapsed="false"/>
    <row r="2742" customFormat="false" ht="12.75" hidden="false" customHeight="true" outlineLevel="0" collapsed="false"/>
    <row r="2743" customFormat="false" ht="12.75" hidden="false" customHeight="true" outlineLevel="0" collapsed="false"/>
    <row r="2744" customFormat="false" ht="12.75" hidden="false" customHeight="true" outlineLevel="0" collapsed="false"/>
    <row r="2745" customFormat="false" ht="12.75" hidden="false" customHeight="true" outlineLevel="0" collapsed="false"/>
    <row r="2746" customFormat="false" ht="12.75" hidden="false" customHeight="true" outlineLevel="0" collapsed="false"/>
    <row r="2747" customFormat="false" ht="12.75" hidden="false" customHeight="true" outlineLevel="0" collapsed="false"/>
    <row r="2748" customFormat="false" ht="12.75" hidden="false" customHeight="true" outlineLevel="0" collapsed="false"/>
    <row r="2749" customFormat="false" ht="12.75" hidden="false" customHeight="true" outlineLevel="0" collapsed="false"/>
    <row r="2750" customFormat="false" ht="12.75" hidden="false" customHeight="true" outlineLevel="0" collapsed="false"/>
    <row r="2751" customFormat="false" ht="12.75" hidden="false" customHeight="true" outlineLevel="0" collapsed="false"/>
    <row r="2752" customFormat="false" ht="12.75" hidden="false" customHeight="true" outlineLevel="0" collapsed="false"/>
    <row r="2753" customFormat="false" ht="12.75" hidden="false" customHeight="true" outlineLevel="0" collapsed="false"/>
    <row r="2754" customFormat="false" ht="12.75" hidden="false" customHeight="true" outlineLevel="0" collapsed="false"/>
    <row r="2755" customFormat="false" ht="12.75" hidden="false" customHeight="true" outlineLevel="0" collapsed="false"/>
    <row r="2756" customFormat="false" ht="12.75" hidden="false" customHeight="true" outlineLevel="0" collapsed="false"/>
    <row r="2757" customFormat="false" ht="12.75" hidden="false" customHeight="true" outlineLevel="0" collapsed="false"/>
    <row r="2758" customFormat="false" ht="12.75" hidden="false" customHeight="true" outlineLevel="0" collapsed="false"/>
    <row r="2759" customFormat="false" ht="12.75" hidden="false" customHeight="true" outlineLevel="0" collapsed="false"/>
    <row r="2760" customFormat="false" ht="12.75" hidden="false" customHeight="true" outlineLevel="0" collapsed="false"/>
    <row r="2761" customFormat="false" ht="12.75" hidden="false" customHeight="true" outlineLevel="0" collapsed="false"/>
    <row r="2762" customFormat="false" ht="12.75" hidden="false" customHeight="true" outlineLevel="0" collapsed="false"/>
    <row r="2763" customFormat="false" ht="12.75" hidden="false" customHeight="true" outlineLevel="0" collapsed="false"/>
    <row r="2764" customFormat="false" ht="12.75" hidden="false" customHeight="true" outlineLevel="0" collapsed="false"/>
    <row r="2765" customFormat="false" ht="12.75" hidden="false" customHeight="true" outlineLevel="0" collapsed="false"/>
    <row r="2766" customFormat="false" ht="12.75" hidden="false" customHeight="true" outlineLevel="0" collapsed="false"/>
    <row r="2767" customFormat="false" ht="12.75" hidden="false" customHeight="true" outlineLevel="0" collapsed="false"/>
    <row r="2768" customFormat="false" ht="12.75" hidden="false" customHeight="true" outlineLevel="0" collapsed="false"/>
    <row r="2769" customFormat="false" ht="12.75" hidden="false" customHeight="true" outlineLevel="0" collapsed="false"/>
    <row r="2770" customFormat="false" ht="12.75" hidden="false" customHeight="true" outlineLevel="0" collapsed="false"/>
    <row r="2771" customFormat="false" ht="12.75" hidden="false" customHeight="true" outlineLevel="0" collapsed="false"/>
    <row r="2772" customFormat="false" ht="12.75" hidden="false" customHeight="true" outlineLevel="0" collapsed="false"/>
    <row r="2773" customFormat="false" ht="12.75" hidden="false" customHeight="true" outlineLevel="0" collapsed="false"/>
    <row r="2774" customFormat="false" ht="12.75" hidden="false" customHeight="true" outlineLevel="0" collapsed="false"/>
    <row r="2775" customFormat="false" ht="12.75" hidden="false" customHeight="true" outlineLevel="0" collapsed="false"/>
    <row r="2776" customFormat="false" ht="12.75" hidden="false" customHeight="true" outlineLevel="0" collapsed="false"/>
    <row r="2777" customFormat="false" ht="12.75" hidden="false" customHeight="true" outlineLevel="0" collapsed="false"/>
    <row r="2778" customFormat="false" ht="12.75" hidden="false" customHeight="true" outlineLevel="0" collapsed="false"/>
    <row r="2779" customFormat="false" ht="12.75" hidden="false" customHeight="true" outlineLevel="0" collapsed="false"/>
    <row r="2780" customFormat="false" ht="12.75" hidden="false" customHeight="true" outlineLevel="0" collapsed="false"/>
    <row r="2781" customFormat="false" ht="12.75" hidden="false" customHeight="true" outlineLevel="0" collapsed="false"/>
    <row r="2782" customFormat="false" ht="12.75" hidden="false" customHeight="true" outlineLevel="0" collapsed="false"/>
    <row r="2783" customFormat="false" ht="12.75" hidden="false" customHeight="true" outlineLevel="0" collapsed="false"/>
    <row r="2784" customFormat="false" ht="12.75" hidden="false" customHeight="true" outlineLevel="0" collapsed="false"/>
    <row r="2785" customFormat="false" ht="12.75" hidden="false" customHeight="true" outlineLevel="0" collapsed="false"/>
    <row r="2786" customFormat="false" ht="12.75" hidden="false" customHeight="true" outlineLevel="0" collapsed="false"/>
    <row r="2787" customFormat="false" ht="12.75" hidden="false" customHeight="true" outlineLevel="0" collapsed="false"/>
    <row r="2788" customFormat="false" ht="12.75" hidden="false" customHeight="true" outlineLevel="0" collapsed="false"/>
    <row r="2789" customFormat="false" ht="12.75" hidden="false" customHeight="true" outlineLevel="0" collapsed="false"/>
    <row r="2790" customFormat="false" ht="12.75" hidden="false" customHeight="true" outlineLevel="0" collapsed="false"/>
    <row r="2791" customFormat="false" ht="12.75" hidden="false" customHeight="true" outlineLevel="0" collapsed="false"/>
    <row r="2792" customFormat="false" ht="12.75" hidden="false" customHeight="true" outlineLevel="0" collapsed="false"/>
    <row r="2793" customFormat="false" ht="12.75" hidden="false" customHeight="true" outlineLevel="0" collapsed="false"/>
    <row r="2794" customFormat="false" ht="12.75" hidden="false" customHeight="true" outlineLevel="0" collapsed="false"/>
    <row r="2795" customFormat="false" ht="12.75" hidden="false" customHeight="true" outlineLevel="0" collapsed="false"/>
    <row r="2796" customFormat="false" ht="12.75" hidden="false" customHeight="true" outlineLevel="0" collapsed="false"/>
    <row r="2797" customFormat="false" ht="12.75" hidden="false" customHeight="true" outlineLevel="0" collapsed="false"/>
    <row r="2798" customFormat="false" ht="12.75" hidden="false" customHeight="true" outlineLevel="0" collapsed="false"/>
    <row r="2799" customFormat="false" ht="12.75" hidden="false" customHeight="true" outlineLevel="0" collapsed="false"/>
    <row r="2800" customFormat="false" ht="12.75" hidden="false" customHeight="true" outlineLevel="0" collapsed="false"/>
    <row r="2801" customFormat="false" ht="12.75" hidden="false" customHeight="true" outlineLevel="0" collapsed="false"/>
    <row r="2802" customFormat="false" ht="12.75" hidden="false" customHeight="true" outlineLevel="0" collapsed="false"/>
    <row r="2803" customFormat="false" ht="12.75" hidden="false" customHeight="true" outlineLevel="0" collapsed="false"/>
    <row r="2804" customFormat="false" ht="12.75" hidden="false" customHeight="true" outlineLevel="0" collapsed="false"/>
    <row r="2805" customFormat="false" ht="12.75" hidden="false" customHeight="true" outlineLevel="0" collapsed="false"/>
    <row r="2806" customFormat="false" ht="12.75" hidden="false" customHeight="true" outlineLevel="0" collapsed="false"/>
    <row r="2807" customFormat="false" ht="12.75" hidden="false" customHeight="true" outlineLevel="0" collapsed="false"/>
    <row r="2808" customFormat="false" ht="12.75" hidden="false" customHeight="true" outlineLevel="0" collapsed="false"/>
    <row r="2809" customFormat="false" ht="12.75" hidden="false" customHeight="true" outlineLevel="0" collapsed="false"/>
    <row r="2810" customFormat="false" ht="12.75" hidden="false" customHeight="true" outlineLevel="0" collapsed="false"/>
    <row r="2811" customFormat="false" ht="12.75" hidden="false" customHeight="true" outlineLevel="0" collapsed="false"/>
    <row r="2812" customFormat="false" ht="12.75" hidden="false" customHeight="true" outlineLevel="0" collapsed="false"/>
    <row r="2813" customFormat="false" ht="12.75" hidden="false" customHeight="true" outlineLevel="0" collapsed="false"/>
    <row r="2814" customFormat="false" ht="12.75" hidden="false" customHeight="true" outlineLevel="0" collapsed="false"/>
    <row r="2815" customFormat="false" ht="12.75" hidden="false" customHeight="true" outlineLevel="0" collapsed="false"/>
    <row r="2816" customFormat="false" ht="12.75" hidden="false" customHeight="true" outlineLevel="0" collapsed="false"/>
    <row r="2817" customFormat="false" ht="12.75" hidden="false" customHeight="true" outlineLevel="0" collapsed="false"/>
    <row r="2818" customFormat="false" ht="12.75" hidden="false" customHeight="true" outlineLevel="0" collapsed="false"/>
    <row r="2819" customFormat="false" ht="12.75" hidden="false" customHeight="true" outlineLevel="0" collapsed="false"/>
    <row r="2820" customFormat="false" ht="12.75" hidden="false" customHeight="true" outlineLevel="0" collapsed="false"/>
    <row r="2821" customFormat="false" ht="12.75" hidden="false" customHeight="true" outlineLevel="0" collapsed="false"/>
    <row r="2822" customFormat="false" ht="12.75" hidden="false" customHeight="true" outlineLevel="0" collapsed="false"/>
    <row r="2823" customFormat="false" ht="12.75" hidden="false" customHeight="true" outlineLevel="0" collapsed="false"/>
    <row r="2824" customFormat="false" ht="12.75" hidden="false" customHeight="true" outlineLevel="0" collapsed="false"/>
    <row r="2825" customFormat="false" ht="12.75" hidden="false" customHeight="true" outlineLevel="0" collapsed="false"/>
    <row r="2826" customFormat="false" ht="12.75" hidden="false" customHeight="true" outlineLevel="0" collapsed="false"/>
    <row r="2827" customFormat="false" ht="12.75" hidden="false" customHeight="true" outlineLevel="0" collapsed="false"/>
    <row r="2828" customFormat="false" ht="12.75" hidden="false" customHeight="true" outlineLevel="0" collapsed="false"/>
    <row r="2829" customFormat="false" ht="12.75" hidden="false" customHeight="true" outlineLevel="0" collapsed="false"/>
    <row r="2830" customFormat="false" ht="12.75" hidden="false" customHeight="true" outlineLevel="0" collapsed="false"/>
    <row r="2831" customFormat="false" ht="12.75" hidden="false" customHeight="true" outlineLevel="0" collapsed="false"/>
    <row r="2832" customFormat="false" ht="12.75" hidden="false" customHeight="true" outlineLevel="0" collapsed="false"/>
    <row r="2833" customFormat="false" ht="12.75" hidden="false" customHeight="true" outlineLevel="0" collapsed="false"/>
    <row r="2834" customFormat="false" ht="12.75" hidden="false" customHeight="true" outlineLevel="0" collapsed="false"/>
    <row r="2835" customFormat="false" ht="12.75" hidden="false" customHeight="true" outlineLevel="0" collapsed="false"/>
    <row r="2836" customFormat="false" ht="12.75" hidden="false" customHeight="true" outlineLevel="0" collapsed="false"/>
    <row r="2837" customFormat="false" ht="12.75" hidden="false" customHeight="true" outlineLevel="0" collapsed="false"/>
    <row r="2838" customFormat="false" ht="12.75" hidden="false" customHeight="true" outlineLevel="0" collapsed="false"/>
    <row r="2839" customFormat="false" ht="12.75" hidden="false" customHeight="true" outlineLevel="0" collapsed="false"/>
    <row r="2840" customFormat="false" ht="12.75" hidden="false" customHeight="true" outlineLevel="0" collapsed="false"/>
    <row r="2841" customFormat="false" ht="12.75" hidden="false" customHeight="true" outlineLevel="0" collapsed="false"/>
    <row r="2842" customFormat="false" ht="12.75" hidden="false" customHeight="true" outlineLevel="0" collapsed="false"/>
    <row r="2843" customFormat="false" ht="12.75" hidden="false" customHeight="true" outlineLevel="0" collapsed="false"/>
    <row r="2844" customFormat="false" ht="12.75" hidden="false" customHeight="true" outlineLevel="0" collapsed="false"/>
    <row r="2845" customFormat="false" ht="12.75" hidden="false" customHeight="true" outlineLevel="0" collapsed="false"/>
    <row r="2846" customFormat="false" ht="12.75" hidden="false" customHeight="true" outlineLevel="0" collapsed="false"/>
    <row r="2847" customFormat="false" ht="12.75" hidden="false" customHeight="true" outlineLevel="0" collapsed="false"/>
    <row r="2848" customFormat="false" ht="12.75" hidden="false" customHeight="true" outlineLevel="0" collapsed="false"/>
    <row r="2849" customFormat="false" ht="12.75" hidden="false" customHeight="true" outlineLevel="0" collapsed="false"/>
    <row r="2850" customFormat="false" ht="12.75" hidden="false" customHeight="true" outlineLevel="0" collapsed="false"/>
    <row r="2851" customFormat="false" ht="12.75" hidden="false" customHeight="true" outlineLevel="0" collapsed="false"/>
    <row r="2852" customFormat="false" ht="12.75" hidden="false" customHeight="true" outlineLevel="0" collapsed="false"/>
    <row r="2853" customFormat="false" ht="12.75" hidden="false" customHeight="true" outlineLevel="0" collapsed="false"/>
    <row r="2854" customFormat="false" ht="12.75" hidden="false" customHeight="true" outlineLevel="0" collapsed="false"/>
    <row r="2855" customFormat="false" ht="12.75" hidden="false" customHeight="true" outlineLevel="0" collapsed="false"/>
    <row r="2856" customFormat="false" ht="12.75" hidden="false" customHeight="true" outlineLevel="0" collapsed="false"/>
    <row r="2857" customFormat="false" ht="12.75" hidden="false" customHeight="true" outlineLevel="0" collapsed="false"/>
    <row r="2858" customFormat="false" ht="12.75" hidden="false" customHeight="true" outlineLevel="0" collapsed="false"/>
    <row r="2859" customFormat="false" ht="12.75" hidden="false" customHeight="true" outlineLevel="0" collapsed="false"/>
    <row r="2860" customFormat="false" ht="12.75" hidden="false" customHeight="true" outlineLevel="0" collapsed="false"/>
    <row r="2861" customFormat="false" ht="12.75" hidden="false" customHeight="true" outlineLevel="0" collapsed="false"/>
    <row r="2862" customFormat="false" ht="12.75" hidden="false" customHeight="true" outlineLevel="0" collapsed="false"/>
    <row r="2863" customFormat="false" ht="12.75" hidden="false" customHeight="true" outlineLevel="0" collapsed="false"/>
    <row r="2864" customFormat="false" ht="12.75" hidden="false" customHeight="true" outlineLevel="0" collapsed="false"/>
    <row r="2865" customFormat="false" ht="12.75" hidden="false" customHeight="true" outlineLevel="0" collapsed="false"/>
    <row r="2866" customFormat="false" ht="12.75" hidden="false" customHeight="true" outlineLevel="0" collapsed="false"/>
    <row r="2867" customFormat="false" ht="12.75" hidden="false" customHeight="true" outlineLevel="0" collapsed="false"/>
    <row r="2868" customFormat="false" ht="12.75" hidden="false" customHeight="true" outlineLevel="0" collapsed="false"/>
    <row r="2869" customFormat="false" ht="12.75" hidden="false" customHeight="true" outlineLevel="0" collapsed="false"/>
    <row r="2870" customFormat="false" ht="12.75" hidden="false" customHeight="true" outlineLevel="0" collapsed="false"/>
    <row r="2871" customFormat="false" ht="12.75" hidden="false" customHeight="true" outlineLevel="0" collapsed="false"/>
    <row r="2872" customFormat="false" ht="12.75" hidden="false" customHeight="true" outlineLevel="0" collapsed="false"/>
    <row r="2873" customFormat="false" ht="12.75" hidden="false" customHeight="true" outlineLevel="0" collapsed="false"/>
    <row r="2874" customFormat="false" ht="12.75" hidden="false" customHeight="true" outlineLevel="0" collapsed="false"/>
    <row r="2875" customFormat="false" ht="12.75" hidden="false" customHeight="true" outlineLevel="0" collapsed="false"/>
    <row r="2876" customFormat="false" ht="12.75" hidden="false" customHeight="true" outlineLevel="0" collapsed="false"/>
    <row r="2877" customFormat="false" ht="12.75" hidden="false" customHeight="true" outlineLevel="0" collapsed="false"/>
    <row r="2878" customFormat="false" ht="12.75" hidden="false" customHeight="true" outlineLevel="0" collapsed="false"/>
    <row r="2879" customFormat="false" ht="12.75" hidden="false" customHeight="true" outlineLevel="0" collapsed="false"/>
    <row r="2880" customFormat="false" ht="12.75" hidden="false" customHeight="true" outlineLevel="0" collapsed="false"/>
    <row r="2881" customFormat="false" ht="12.75" hidden="false" customHeight="true" outlineLevel="0" collapsed="false"/>
    <row r="2882" customFormat="false" ht="12.75" hidden="false" customHeight="true" outlineLevel="0" collapsed="false"/>
    <row r="2883" customFormat="false" ht="12.75" hidden="false" customHeight="true" outlineLevel="0" collapsed="false"/>
    <row r="2884" customFormat="false" ht="12.75" hidden="false" customHeight="true" outlineLevel="0" collapsed="false"/>
    <row r="2885" customFormat="false" ht="12.75" hidden="false" customHeight="true" outlineLevel="0" collapsed="false"/>
    <row r="2886" customFormat="false" ht="12.75" hidden="false" customHeight="true" outlineLevel="0" collapsed="false"/>
    <row r="2887" customFormat="false" ht="12.75" hidden="false" customHeight="true" outlineLevel="0" collapsed="false"/>
    <row r="2888" customFormat="false" ht="12.75" hidden="false" customHeight="true" outlineLevel="0" collapsed="false"/>
    <row r="2889" customFormat="false" ht="12.75" hidden="false" customHeight="true" outlineLevel="0" collapsed="false"/>
    <row r="2890" customFormat="false" ht="12.75" hidden="false" customHeight="true" outlineLevel="0" collapsed="false"/>
    <row r="2891" customFormat="false" ht="12.75" hidden="false" customHeight="true" outlineLevel="0" collapsed="false"/>
    <row r="2892" customFormat="false" ht="12.75" hidden="false" customHeight="true" outlineLevel="0" collapsed="false"/>
    <row r="2893" customFormat="false" ht="12.75" hidden="false" customHeight="true" outlineLevel="0" collapsed="false"/>
    <row r="2894" customFormat="false" ht="12.75" hidden="false" customHeight="true" outlineLevel="0" collapsed="false"/>
    <row r="2895" customFormat="false" ht="12.75" hidden="false" customHeight="true" outlineLevel="0" collapsed="false"/>
    <row r="2896" customFormat="false" ht="12.75" hidden="false" customHeight="true" outlineLevel="0" collapsed="false"/>
    <row r="2897" customFormat="false" ht="12.75" hidden="false" customHeight="true" outlineLevel="0" collapsed="false"/>
    <row r="2898" customFormat="false" ht="12.75" hidden="false" customHeight="true" outlineLevel="0" collapsed="false"/>
    <row r="2899" customFormat="false" ht="12.75" hidden="false" customHeight="true" outlineLevel="0" collapsed="false"/>
    <row r="2900" customFormat="false" ht="12.75" hidden="false" customHeight="true" outlineLevel="0" collapsed="false"/>
    <row r="2901" customFormat="false" ht="12.75" hidden="false" customHeight="true" outlineLevel="0" collapsed="false"/>
    <row r="2902" customFormat="false" ht="12.75" hidden="false" customHeight="true" outlineLevel="0" collapsed="false"/>
    <row r="2903" customFormat="false" ht="12.75" hidden="false" customHeight="true" outlineLevel="0" collapsed="false"/>
    <row r="2904" customFormat="false" ht="12.75" hidden="false" customHeight="true" outlineLevel="0" collapsed="false"/>
    <row r="2905" customFormat="false" ht="12.75" hidden="false" customHeight="true" outlineLevel="0" collapsed="false"/>
    <row r="2906" customFormat="false" ht="12.75" hidden="false" customHeight="true" outlineLevel="0" collapsed="false"/>
    <row r="2907" customFormat="false" ht="12.75" hidden="false" customHeight="true" outlineLevel="0" collapsed="false"/>
    <row r="2908" customFormat="false" ht="12.75" hidden="false" customHeight="true" outlineLevel="0" collapsed="false"/>
    <row r="2909" customFormat="false" ht="12.75" hidden="false" customHeight="true" outlineLevel="0" collapsed="false"/>
    <row r="2910" customFormat="false" ht="12.75" hidden="false" customHeight="true" outlineLevel="0" collapsed="false"/>
    <row r="2911" customFormat="false" ht="12.75" hidden="false" customHeight="true" outlineLevel="0" collapsed="false"/>
    <row r="2912" customFormat="false" ht="12.75" hidden="false" customHeight="true" outlineLevel="0" collapsed="false"/>
    <row r="2913" customFormat="false" ht="12.75" hidden="false" customHeight="true" outlineLevel="0" collapsed="false"/>
    <row r="2914" customFormat="false" ht="12.75" hidden="false" customHeight="true" outlineLevel="0" collapsed="false"/>
    <row r="2915" customFormat="false" ht="12.75" hidden="false" customHeight="true" outlineLevel="0" collapsed="false"/>
    <row r="2916" customFormat="false" ht="12.75" hidden="false" customHeight="true" outlineLevel="0" collapsed="false"/>
    <row r="2917" customFormat="false" ht="12.75" hidden="false" customHeight="true" outlineLevel="0" collapsed="false"/>
    <row r="2918" customFormat="false" ht="12.75" hidden="false" customHeight="true" outlineLevel="0" collapsed="false"/>
    <row r="2919" customFormat="false" ht="12.75" hidden="false" customHeight="true" outlineLevel="0" collapsed="false"/>
    <row r="2920" customFormat="false" ht="12.75" hidden="false" customHeight="true" outlineLevel="0" collapsed="false"/>
    <row r="2921" customFormat="false" ht="12.75" hidden="false" customHeight="true" outlineLevel="0" collapsed="false"/>
    <row r="2922" customFormat="false" ht="12.75" hidden="false" customHeight="true" outlineLevel="0" collapsed="false"/>
    <row r="2923" customFormat="false" ht="12.75" hidden="false" customHeight="true" outlineLevel="0" collapsed="false"/>
    <row r="2924" customFormat="false" ht="12.75" hidden="false" customHeight="true" outlineLevel="0" collapsed="false"/>
    <row r="2925" customFormat="false" ht="12.75" hidden="false" customHeight="true" outlineLevel="0" collapsed="false"/>
    <row r="2926" customFormat="false" ht="12.75" hidden="false" customHeight="true" outlineLevel="0" collapsed="false"/>
    <row r="2927" customFormat="false" ht="12.75" hidden="false" customHeight="true" outlineLevel="0" collapsed="false"/>
    <row r="2928" customFormat="false" ht="12.75" hidden="false" customHeight="true" outlineLevel="0" collapsed="false"/>
    <row r="2929" customFormat="false" ht="12.75" hidden="false" customHeight="true" outlineLevel="0" collapsed="false"/>
    <row r="2930" customFormat="false" ht="12.75" hidden="false" customHeight="true" outlineLevel="0" collapsed="false"/>
    <row r="2931" customFormat="false" ht="12.75" hidden="false" customHeight="true" outlineLevel="0" collapsed="false"/>
    <row r="2932" customFormat="false" ht="12.75" hidden="false" customHeight="true" outlineLevel="0" collapsed="false"/>
    <row r="2933" customFormat="false" ht="12.75" hidden="false" customHeight="true" outlineLevel="0" collapsed="false"/>
    <row r="2934" customFormat="false" ht="12.75" hidden="false" customHeight="true" outlineLevel="0" collapsed="false"/>
    <row r="2935" customFormat="false" ht="12.75" hidden="false" customHeight="true" outlineLevel="0" collapsed="false"/>
    <row r="2936" customFormat="false" ht="12.75" hidden="false" customHeight="true" outlineLevel="0" collapsed="false"/>
    <row r="2937" customFormat="false" ht="12.75" hidden="false" customHeight="true" outlineLevel="0" collapsed="false"/>
    <row r="2938" customFormat="false" ht="12.75" hidden="false" customHeight="true" outlineLevel="0" collapsed="false"/>
    <row r="2939" customFormat="false" ht="12.75" hidden="false" customHeight="true" outlineLevel="0" collapsed="false"/>
    <row r="2940" customFormat="false" ht="12.75" hidden="false" customHeight="true" outlineLevel="0" collapsed="false"/>
    <row r="2941" customFormat="false" ht="12.75" hidden="false" customHeight="true" outlineLevel="0" collapsed="false"/>
    <row r="2942" customFormat="false" ht="12.75" hidden="false" customHeight="true" outlineLevel="0" collapsed="false"/>
    <row r="2943" customFormat="false" ht="12.75" hidden="false" customHeight="true" outlineLevel="0" collapsed="false"/>
    <row r="2944" customFormat="false" ht="12.75" hidden="false" customHeight="true" outlineLevel="0" collapsed="false"/>
    <row r="2945" customFormat="false" ht="12.75" hidden="false" customHeight="true" outlineLevel="0" collapsed="false"/>
    <row r="2946" customFormat="false" ht="12.75" hidden="false" customHeight="true" outlineLevel="0" collapsed="false"/>
    <row r="2947" customFormat="false" ht="12.75" hidden="false" customHeight="true" outlineLevel="0" collapsed="false"/>
    <row r="2948" customFormat="false" ht="12.75" hidden="false" customHeight="true" outlineLevel="0" collapsed="false"/>
    <row r="2949" customFormat="false" ht="12.75" hidden="false" customHeight="true" outlineLevel="0" collapsed="false"/>
    <row r="2950" customFormat="false" ht="12.75" hidden="false" customHeight="true" outlineLevel="0" collapsed="false"/>
    <row r="2951" customFormat="false" ht="12.75" hidden="false" customHeight="true" outlineLevel="0" collapsed="false"/>
    <row r="2952" customFormat="false" ht="12.75" hidden="false" customHeight="true" outlineLevel="0" collapsed="false"/>
    <row r="2953" customFormat="false" ht="12.75" hidden="false" customHeight="true" outlineLevel="0" collapsed="false"/>
    <row r="2954" customFormat="false" ht="12.75" hidden="false" customHeight="true" outlineLevel="0" collapsed="false"/>
    <row r="2955" customFormat="false" ht="12.75" hidden="false" customHeight="true" outlineLevel="0" collapsed="false"/>
    <row r="2956" customFormat="false" ht="12.75" hidden="false" customHeight="true" outlineLevel="0" collapsed="false"/>
    <row r="2957" customFormat="false" ht="12.75" hidden="false" customHeight="true" outlineLevel="0" collapsed="false"/>
    <row r="2958" customFormat="false" ht="12.75" hidden="false" customHeight="true" outlineLevel="0" collapsed="false"/>
    <row r="2959" customFormat="false" ht="12.75" hidden="false" customHeight="true" outlineLevel="0" collapsed="false"/>
    <row r="2960" customFormat="false" ht="12.75" hidden="false" customHeight="true" outlineLevel="0" collapsed="false"/>
    <row r="2961" customFormat="false" ht="12.75" hidden="false" customHeight="true" outlineLevel="0" collapsed="false"/>
    <row r="2962" customFormat="false" ht="12.75" hidden="false" customHeight="true" outlineLevel="0" collapsed="false"/>
    <row r="2963" customFormat="false" ht="12.75" hidden="false" customHeight="true" outlineLevel="0" collapsed="false"/>
    <row r="2964" customFormat="false" ht="12.75" hidden="false" customHeight="true" outlineLevel="0" collapsed="false"/>
    <row r="2965" customFormat="false" ht="12.75" hidden="false" customHeight="true" outlineLevel="0" collapsed="false"/>
    <row r="2966" customFormat="false" ht="12.75" hidden="false" customHeight="true" outlineLevel="0" collapsed="false"/>
    <row r="2967" customFormat="false" ht="12.75" hidden="false" customHeight="true" outlineLevel="0" collapsed="false"/>
    <row r="2968" customFormat="false" ht="12.75" hidden="false" customHeight="true" outlineLevel="0" collapsed="false"/>
    <row r="2969" customFormat="false" ht="12.75" hidden="false" customHeight="true" outlineLevel="0" collapsed="false"/>
    <row r="2970" customFormat="false" ht="12.75" hidden="false" customHeight="true" outlineLevel="0" collapsed="false"/>
    <row r="2971" customFormat="false" ht="12.75" hidden="false" customHeight="true" outlineLevel="0" collapsed="false"/>
    <row r="2972" customFormat="false" ht="12.75" hidden="false" customHeight="true" outlineLevel="0" collapsed="false"/>
    <row r="2973" customFormat="false" ht="12.75" hidden="false" customHeight="true" outlineLevel="0" collapsed="false"/>
    <row r="2974" customFormat="false" ht="12.75" hidden="false" customHeight="true" outlineLevel="0" collapsed="false"/>
    <row r="2975" customFormat="false" ht="12.75" hidden="false" customHeight="true" outlineLevel="0" collapsed="false"/>
    <row r="2976" customFormat="false" ht="12.75" hidden="false" customHeight="true" outlineLevel="0" collapsed="false"/>
    <row r="2977" customFormat="false" ht="12.75" hidden="false" customHeight="true" outlineLevel="0" collapsed="false"/>
    <row r="2978" customFormat="false" ht="12.75" hidden="false" customHeight="true" outlineLevel="0" collapsed="false"/>
    <row r="2979" customFormat="false" ht="12.75" hidden="false" customHeight="true" outlineLevel="0" collapsed="false"/>
    <row r="2980" customFormat="false" ht="12.75" hidden="false" customHeight="true" outlineLevel="0" collapsed="false"/>
    <row r="2981" customFormat="false" ht="12.75" hidden="false" customHeight="true" outlineLevel="0" collapsed="false"/>
    <row r="2982" customFormat="false" ht="12.75" hidden="false" customHeight="true" outlineLevel="0" collapsed="false"/>
    <row r="2983" customFormat="false" ht="12.75" hidden="false" customHeight="true" outlineLevel="0" collapsed="false"/>
    <row r="2984" customFormat="false" ht="12.75" hidden="false" customHeight="true" outlineLevel="0" collapsed="false"/>
    <row r="2985" customFormat="false" ht="12.75" hidden="false" customHeight="true" outlineLevel="0" collapsed="false"/>
    <row r="2986" customFormat="false" ht="12.75" hidden="false" customHeight="true" outlineLevel="0" collapsed="false"/>
    <row r="2987" customFormat="false" ht="12.75" hidden="false" customHeight="true" outlineLevel="0" collapsed="false"/>
    <row r="2988" customFormat="false" ht="12.75" hidden="false" customHeight="true" outlineLevel="0" collapsed="false"/>
    <row r="2989" customFormat="false" ht="12.75" hidden="false" customHeight="true" outlineLevel="0" collapsed="false"/>
    <row r="2990" customFormat="false" ht="12.75" hidden="false" customHeight="true" outlineLevel="0" collapsed="false"/>
    <row r="2991" customFormat="false" ht="12.75" hidden="false" customHeight="true" outlineLevel="0" collapsed="false"/>
    <row r="2992" customFormat="false" ht="12.75" hidden="false" customHeight="true" outlineLevel="0" collapsed="false"/>
    <row r="2993" customFormat="false" ht="12.75" hidden="false" customHeight="true" outlineLevel="0" collapsed="false"/>
    <row r="2994" customFormat="false" ht="12.75" hidden="false" customHeight="true" outlineLevel="0" collapsed="false"/>
    <row r="2995" customFormat="false" ht="12.75" hidden="false" customHeight="true" outlineLevel="0" collapsed="false"/>
    <row r="2996" customFormat="false" ht="12.75" hidden="false" customHeight="true" outlineLevel="0" collapsed="false"/>
    <row r="2997" customFormat="false" ht="12.75" hidden="false" customHeight="true" outlineLevel="0" collapsed="false"/>
    <row r="2998" customFormat="false" ht="12.75" hidden="false" customHeight="true" outlineLevel="0" collapsed="false"/>
    <row r="2999" customFormat="false" ht="12.75" hidden="false" customHeight="true" outlineLevel="0" collapsed="false"/>
    <row r="3000" customFormat="false" ht="12.75" hidden="false" customHeight="true" outlineLevel="0" collapsed="false"/>
    <row r="3001" customFormat="false" ht="12.75" hidden="false" customHeight="true" outlineLevel="0" collapsed="false"/>
    <row r="3002" customFormat="false" ht="12.75" hidden="false" customHeight="true" outlineLevel="0" collapsed="false"/>
    <row r="3003" customFormat="false" ht="12.75" hidden="false" customHeight="true" outlineLevel="0" collapsed="false"/>
    <row r="3004" customFormat="false" ht="12.75" hidden="false" customHeight="true" outlineLevel="0" collapsed="false"/>
    <row r="3005" customFormat="false" ht="12.75" hidden="false" customHeight="true" outlineLevel="0" collapsed="false"/>
    <row r="3006" customFormat="false" ht="12.75" hidden="false" customHeight="true" outlineLevel="0" collapsed="false"/>
    <row r="3007" customFormat="false" ht="12.75" hidden="false" customHeight="true" outlineLevel="0" collapsed="false"/>
    <row r="3008" customFormat="false" ht="12.75" hidden="false" customHeight="true" outlineLevel="0" collapsed="false"/>
    <row r="3009" customFormat="false" ht="12.75" hidden="false" customHeight="true" outlineLevel="0" collapsed="false"/>
    <row r="3010" customFormat="false" ht="12.75" hidden="false" customHeight="true" outlineLevel="0" collapsed="false"/>
    <row r="3011" customFormat="false" ht="12.75" hidden="false" customHeight="true" outlineLevel="0" collapsed="false"/>
    <row r="3012" customFormat="false" ht="12.75" hidden="false" customHeight="true" outlineLevel="0" collapsed="false"/>
    <row r="3013" customFormat="false" ht="12.75" hidden="false" customHeight="true" outlineLevel="0" collapsed="false"/>
    <row r="3014" customFormat="false" ht="12.75" hidden="false" customHeight="true" outlineLevel="0" collapsed="false"/>
    <row r="3015" customFormat="false" ht="12.75" hidden="false" customHeight="true" outlineLevel="0" collapsed="false"/>
    <row r="3016" customFormat="false" ht="12.75" hidden="false" customHeight="true" outlineLevel="0" collapsed="false"/>
    <row r="3017" customFormat="false" ht="12.75" hidden="false" customHeight="true" outlineLevel="0" collapsed="false"/>
    <row r="3018" customFormat="false" ht="12.75" hidden="false" customHeight="true" outlineLevel="0" collapsed="false"/>
    <row r="3019" customFormat="false" ht="12.75" hidden="false" customHeight="true" outlineLevel="0" collapsed="false"/>
    <row r="3020" customFormat="false" ht="12.75" hidden="false" customHeight="true" outlineLevel="0" collapsed="false"/>
    <row r="3021" customFormat="false" ht="12.75" hidden="false" customHeight="true" outlineLevel="0" collapsed="false"/>
    <row r="3022" customFormat="false" ht="12.75" hidden="false" customHeight="true" outlineLevel="0" collapsed="false"/>
    <row r="3023" customFormat="false" ht="12.75" hidden="false" customHeight="true" outlineLevel="0" collapsed="false"/>
    <row r="3024" customFormat="false" ht="12.75" hidden="false" customHeight="true" outlineLevel="0" collapsed="false"/>
    <row r="3025" customFormat="false" ht="12.75" hidden="false" customHeight="true" outlineLevel="0" collapsed="false"/>
    <row r="3026" customFormat="false" ht="12.75" hidden="false" customHeight="true" outlineLevel="0" collapsed="false"/>
    <row r="3027" customFormat="false" ht="12.75" hidden="false" customHeight="true" outlineLevel="0" collapsed="false"/>
    <row r="3028" customFormat="false" ht="12.75" hidden="false" customHeight="true" outlineLevel="0" collapsed="false"/>
    <row r="3029" customFormat="false" ht="12.75" hidden="false" customHeight="true" outlineLevel="0" collapsed="false"/>
    <row r="3030" customFormat="false" ht="12.75" hidden="false" customHeight="true" outlineLevel="0" collapsed="false"/>
    <row r="3031" customFormat="false" ht="12.75" hidden="false" customHeight="true" outlineLevel="0" collapsed="false"/>
    <row r="3032" customFormat="false" ht="12.75" hidden="false" customHeight="true" outlineLevel="0" collapsed="false"/>
    <row r="3033" customFormat="false" ht="12.75" hidden="false" customHeight="true" outlineLevel="0" collapsed="false"/>
    <row r="3034" customFormat="false" ht="12.75" hidden="false" customHeight="true" outlineLevel="0" collapsed="false"/>
    <row r="3035" customFormat="false" ht="12.75" hidden="false" customHeight="true" outlineLevel="0" collapsed="false"/>
    <row r="3036" customFormat="false" ht="12.75" hidden="false" customHeight="true" outlineLevel="0" collapsed="false"/>
    <row r="3037" customFormat="false" ht="12.75" hidden="false" customHeight="true" outlineLevel="0" collapsed="false"/>
    <row r="3038" customFormat="false" ht="12.75" hidden="false" customHeight="true" outlineLevel="0" collapsed="false"/>
    <row r="3039" customFormat="false" ht="12.75" hidden="false" customHeight="true" outlineLevel="0" collapsed="false"/>
    <row r="3040" customFormat="false" ht="12.75" hidden="false" customHeight="true" outlineLevel="0" collapsed="false"/>
    <row r="3041" customFormat="false" ht="12.75" hidden="false" customHeight="true" outlineLevel="0" collapsed="false"/>
    <row r="3042" customFormat="false" ht="12.75" hidden="false" customHeight="true" outlineLevel="0" collapsed="false"/>
    <row r="3043" customFormat="false" ht="12.75" hidden="false" customHeight="true" outlineLevel="0" collapsed="false"/>
    <row r="3044" customFormat="false" ht="12.75" hidden="false" customHeight="true" outlineLevel="0" collapsed="false"/>
    <row r="3045" customFormat="false" ht="12.75" hidden="false" customHeight="true" outlineLevel="0" collapsed="false"/>
    <row r="3046" customFormat="false" ht="12.75" hidden="false" customHeight="true" outlineLevel="0" collapsed="false"/>
    <row r="3047" customFormat="false" ht="12.75" hidden="false" customHeight="true" outlineLevel="0" collapsed="false"/>
    <row r="3048" customFormat="false" ht="12.75" hidden="false" customHeight="true" outlineLevel="0" collapsed="false"/>
    <row r="3049" customFormat="false" ht="12.75" hidden="false" customHeight="true" outlineLevel="0" collapsed="false"/>
    <row r="3050" customFormat="false" ht="12.75" hidden="false" customHeight="true" outlineLevel="0" collapsed="false"/>
    <row r="3051" customFormat="false" ht="12.75" hidden="false" customHeight="true" outlineLevel="0" collapsed="false"/>
    <row r="3052" customFormat="false" ht="12.75" hidden="false" customHeight="true" outlineLevel="0" collapsed="false"/>
    <row r="3053" customFormat="false" ht="12.75" hidden="false" customHeight="true" outlineLevel="0" collapsed="false"/>
    <row r="3054" customFormat="false" ht="12.75" hidden="false" customHeight="true" outlineLevel="0" collapsed="false"/>
    <row r="3055" customFormat="false" ht="12.75" hidden="false" customHeight="true" outlineLevel="0" collapsed="false"/>
    <row r="3056" customFormat="false" ht="12.75" hidden="false" customHeight="true" outlineLevel="0" collapsed="false"/>
    <row r="3057" customFormat="false" ht="12.75" hidden="false" customHeight="true" outlineLevel="0" collapsed="false"/>
    <row r="3058" customFormat="false" ht="12.75" hidden="false" customHeight="true" outlineLevel="0" collapsed="false"/>
    <row r="3059" customFormat="false" ht="12.75" hidden="false" customHeight="true" outlineLevel="0" collapsed="false"/>
    <row r="3060" customFormat="false" ht="12.75" hidden="false" customHeight="true" outlineLevel="0" collapsed="false"/>
    <row r="3061" customFormat="false" ht="12.75" hidden="false" customHeight="true" outlineLevel="0" collapsed="false"/>
    <row r="3062" customFormat="false" ht="12.75" hidden="false" customHeight="true" outlineLevel="0" collapsed="false"/>
    <row r="3063" customFormat="false" ht="12.75" hidden="false" customHeight="true" outlineLevel="0" collapsed="false"/>
    <row r="3064" customFormat="false" ht="12.75" hidden="false" customHeight="true" outlineLevel="0" collapsed="false"/>
    <row r="3065" customFormat="false" ht="12.75" hidden="false" customHeight="true" outlineLevel="0" collapsed="false"/>
    <row r="3066" customFormat="false" ht="12.75" hidden="false" customHeight="true" outlineLevel="0" collapsed="false"/>
    <row r="3067" customFormat="false" ht="12.75" hidden="false" customHeight="true" outlineLevel="0" collapsed="false"/>
    <row r="3068" customFormat="false" ht="12.75" hidden="false" customHeight="true" outlineLevel="0" collapsed="false"/>
    <row r="3069" customFormat="false" ht="12.75" hidden="false" customHeight="true" outlineLevel="0" collapsed="false"/>
    <row r="3070" customFormat="false" ht="12.75" hidden="false" customHeight="true" outlineLevel="0" collapsed="false"/>
    <row r="3071" customFormat="false" ht="12.75" hidden="false" customHeight="true" outlineLevel="0" collapsed="false"/>
    <row r="3072" customFormat="false" ht="12.75" hidden="false" customHeight="true" outlineLevel="0" collapsed="false"/>
    <row r="3073" customFormat="false" ht="12.75" hidden="false" customHeight="true" outlineLevel="0" collapsed="false"/>
    <row r="3074" customFormat="false" ht="12.75" hidden="false" customHeight="true" outlineLevel="0" collapsed="false"/>
    <row r="3075" customFormat="false" ht="12.75" hidden="false" customHeight="true" outlineLevel="0" collapsed="false"/>
    <row r="3076" customFormat="false" ht="12.75" hidden="false" customHeight="true" outlineLevel="0" collapsed="false"/>
    <row r="3077" customFormat="false" ht="12.75" hidden="false" customHeight="true" outlineLevel="0" collapsed="false"/>
    <row r="3078" customFormat="false" ht="12.75" hidden="false" customHeight="true" outlineLevel="0" collapsed="false"/>
    <row r="3079" customFormat="false" ht="12.75" hidden="false" customHeight="true" outlineLevel="0" collapsed="false"/>
    <row r="3080" customFormat="false" ht="12.75" hidden="false" customHeight="true" outlineLevel="0" collapsed="false"/>
    <row r="3081" customFormat="false" ht="12.75" hidden="false" customHeight="true" outlineLevel="0" collapsed="false"/>
    <row r="3082" customFormat="false" ht="12.75" hidden="false" customHeight="true" outlineLevel="0" collapsed="false"/>
    <row r="3083" customFormat="false" ht="12.75" hidden="false" customHeight="true" outlineLevel="0" collapsed="false"/>
    <row r="3084" customFormat="false" ht="12.75" hidden="false" customHeight="true" outlineLevel="0" collapsed="false"/>
    <row r="3085" customFormat="false" ht="12.75" hidden="false" customHeight="true" outlineLevel="0" collapsed="false"/>
    <row r="3086" customFormat="false" ht="12.75" hidden="false" customHeight="true" outlineLevel="0" collapsed="false"/>
    <row r="3087" customFormat="false" ht="12.75" hidden="false" customHeight="true" outlineLevel="0" collapsed="false"/>
    <row r="3088" customFormat="false" ht="12.75" hidden="false" customHeight="true" outlineLevel="0" collapsed="false"/>
    <row r="3089" customFormat="false" ht="12.75" hidden="false" customHeight="true" outlineLevel="0" collapsed="false"/>
    <row r="3090" customFormat="false" ht="12.75" hidden="false" customHeight="true" outlineLevel="0" collapsed="false"/>
    <row r="3091" customFormat="false" ht="12.75" hidden="false" customHeight="true" outlineLevel="0" collapsed="false"/>
    <row r="3092" customFormat="false" ht="12.75" hidden="false" customHeight="true" outlineLevel="0" collapsed="false"/>
    <row r="3093" customFormat="false" ht="12.75" hidden="false" customHeight="true" outlineLevel="0" collapsed="false"/>
    <row r="3094" customFormat="false" ht="12.75" hidden="false" customHeight="true" outlineLevel="0" collapsed="false"/>
    <row r="3095" customFormat="false" ht="12.75" hidden="false" customHeight="true" outlineLevel="0" collapsed="false"/>
    <row r="3096" customFormat="false" ht="12.75" hidden="false" customHeight="true" outlineLevel="0" collapsed="false"/>
    <row r="3097" customFormat="false" ht="12.75" hidden="false" customHeight="true" outlineLevel="0" collapsed="false"/>
    <row r="3098" customFormat="false" ht="12.75" hidden="false" customHeight="true" outlineLevel="0" collapsed="false"/>
    <row r="3099" customFormat="false" ht="12.75" hidden="false" customHeight="true" outlineLevel="0" collapsed="false"/>
    <row r="3100" customFormat="false" ht="12.75" hidden="false" customHeight="true" outlineLevel="0" collapsed="false"/>
    <row r="3101" customFormat="false" ht="12.75" hidden="false" customHeight="true" outlineLevel="0" collapsed="false"/>
    <row r="3102" customFormat="false" ht="12.75" hidden="false" customHeight="true" outlineLevel="0" collapsed="false"/>
    <row r="3103" customFormat="false" ht="12.75" hidden="false" customHeight="true" outlineLevel="0" collapsed="false"/>
    <row r="3104" customFormat="false" ht="12.75" hidden="false" customHeight="true" outlineLevel="0" collapsed="false"/>
    <row r="3105" customFormat="false" ht="12.75" hidden="false" customHeight="true" outlineLevel="0" collapsed="false"/>
    <row r="3106" customFormat="false" ht="12.75" hidden="false" customHeight="true" outlineLevel="0" collapsed="false"/>
    <row r="3107" customFormat="false" ht="12.75" hidden="false" customHeight="true" outlineLevel="0" collapsed="false"/>
    <row r="3108" customFormat="false" ht="12.75" hidden="false" customHeight="true" outlineLevel="0" collapsed="false"/>
    <row r="3109" customFormat="false" ht="12.75" hidden="false" customHeight="true" outlineLevel="0" collapsed="false"/>
    <row r="3110" customFormat="false" ht="12.75" hidden="false" customHeight="true" outlineLevel="0" collapsed="false"/>
    <row r="3111" customFormat="false" ht="12.75" hidden="false" customHeight="true" outlineLevel="0" collapsed="false"/>
    <row r="3112" customFormat="false" ht="12.75" hidden="false" customHeight="true" outlineLevel="0" collapsed="false"/>
    <row r="3113" customFormat="false" ht="12.75" hidden="false" customHeight="true" outlineLevel="0" collapsed="false"/>
    <row r="3114" customFormat="false" ht="12.75" hidden="false" customHeight="true" outlineLevel="0" collapsed="false"/>
    <row r="3115" customFormat="false" ht="12.75" hidden="false" customHeight="true" outlineLevel="0" collapsed="false"/>
    <row r="3116" customFormat="false" ht="12.75" hidden="false" customHeight="true" outlineLevel="0" collapsed="false"/>
    <row r="3117" customFormat="false" ht="12.75" hidden="false" customHeight="true" outlineLevel="0" collapsed="false"/>
    <row r="3118" customFormat="false" ht="12.75" hidden="false" customHeight="true" outlineLevel="0" collapsed="false"/>
    <row r="3119" customFormat="false" ht="12.75" hidden="false" customHeight="true" outlineLevel="0" collapsed="false"/>
    <row r="3120" customFormat="false" ht="12.75" hidden="false" customHeight="true" outlineLevel="0" collapsed="false"/>
    <row r="3121" customFormat="false" ht="12.75" hidden="false" customHeight="true" outlineLevel="0" collapsed="false"/>
    <row r="3122" customFormat="false" ht="12.75" hidden="false" customHeight="true" outlineLevel="0" collapsed="false"/>
    <row r="3123" customFormat="false" ht="12.75" hidden="false" customHeight="true" outlineLevel="0" collapsed="false"/>
    <row r="3124" customFormat="false" ht="12.75" hidden="false" customHeight="true" outlineLevel="0" collapsed="false"/>
    <row r="3125" customFormat="false" ht="12.75" hidden="false" customHeight="true" outlineLevel="0" collapsed="false"/>
    <row r="3126" customFormat="false" ht="12.75" hidden="false" customHeight="true" outlineLevel="0" collapsed="false"/>
    <row r="3127" customFormat="false" ht="12.75" hidden="false" customHeight="true" outlineLevel="0" collapsed="false"/>
    <row r="3128" customFormat="false" ht="12.75" hidden="false" customHeight="true" outlineLevel="0" collapsed="false"/>
    <row r="3129" customFormat="false" ht="12.75" hidden="false" customHeight="true" outlineLevel="0" collapsed="false"/>
    <row r="3130" customFormat="false" ht="12.75" hidden="false" customHeight="true" outlineLevel="0" collapsed="false"/>
    <row r="3131" customFormat="false" ht="12.75" hidden="false" customHeight="true" outlineLevel="0" collapsed="false"/>
    <row r="3132" customFormat="false" ht="12.75" hidden="false" customHeight="true" outlineLevel="0" collapsed="false"/>
    <row r="3133" customFormat="false" ht="12.75" hidden="false" customHeight="true" outlineLevel="0" collapsed="false"/>
    <row r="3134" customFormat="false" ht="12.75" hidden="false" customHeight="true" outlineLevel="0" collapsed="false"/>
    <row r="3135" customFormat="false" ht="12.75" hidden="false" customHeight="true" outlineLevel="0" collapsed="false"/>
    <row r="3136" customFormat="false" ht="12.75" hidden="false" customHeight="true" outlineLevel="0" collapsed="false"/>
    <row r="3137" customFormat="false" ht="12.75" hidden="false" customHeight="true" outlineLevel="0" collapsed="false"/>
    <row r="3138" customFormat="false" ht="12.75" hidden="false" customHeight="true" outlineLevel="0" collapsed="false"/>
    <row r="3139" customFormat="false" ht="12.75" hidden="false" customHeight="true" outlineLevel="0" collapsed="false"/>
    <row r="3140" customFormat="false" ht="12.75" hidden="false" customHeight="true" outlineLevel="0" collapsed="false"/>
    <row r="3141" customFormat="false" ht="12.75" hidden="false" customHeight="true" outlineLevel="0" collapsed="false"/>
    <row r="3142" customFormat="false" ht="12.75" hidden="false" customHeight="true" outlineLevel="0" collapsed="false"/>
    <row r="3143" customFormat="false" ht="12.75" hidden="false" customHeight="true" outlineLevel="0" collapsed="false"/>
    <row r="3144" customFormat="false" ht="12.75" hidden="false" customHeight="true" outlineLevel="0" collapsed="false"/>
    <row r="3145" customFormat="false" ht="12.75" hidden="false" customHeight="true" outlineLevel="0" collapsed="false"/>
    <row r="3146" customFormat="false" ht="12.75" hidden="false" customHeight="true" outlineLevel="0" collapsed="false"/>
    <row r="3147" customFormat="false" ht="12.75" hidden="false" customHeight="true" outlineLevel="0" collapsed="false"/>
    <row r="3148" customFormat="false" ht="12.75" hidden="false" customHeight="true" outlineLevel="0" collapsed="false"/>
    <row r="3149" customFormat="false" ht="12.75" hidden="false" customHeight="true" outlineLevel="0" collapsed="false"/>
    <row r="3150" customFormat="false" ht="12.75" hidden="false" customHeight="true" outlineLevel="0" collapsed="false"/>
    <row r="3151" customFormat="false" ht="12.75" hidden="false" customHeight="true" outlineLevel="0" collapsed="false"/>
    <row r="3152" customFormat="false" ht="12.75" hidden="false" customHeight="true" outlineLevel="0" collapsed="false"/>
    <row r="3153" customFormat="false" ht="12.75" hidden="false" customHeight="true" outlineLevel="0" collapsed="false"/>
    <row r="3154" customFormat="false" ht="12.75" hidden="false" customHeight="true" outlineLevel="0" collapsed="false"/>
    <row r="3155" customFormat="false" ht="12.75" hidden="false" customHeight="true" outlineLevel="0" collapsed="false"/>
    <row r="3156" customFormat="false" ht="12.75" hidden="false" customHeight="true" outlineLevel="0" collapsed="false"/>
    <row r="3157" customFormat="false" ht="12.75" hidden="false" customHeight="true" outlineLevel="0" collapsed="false"/>
    <row r="3158" customFormat="false" ht="12.75" hidden="false" customHeight="true" outlineLevel="0" collapsed="false"/>
    <row r="3159" customFormat="false" ht="12.75" hidden="false" customHeight="true" outlineLevel="0" collapsed="false"/>
    <row r="3160" customFormat="false" ht="12.75" hidden="false" customHeight="true" outlineLevel="0" collapsed="false"/>
    <row r="3161" customFormat="false" ht="12.75" hidden="false" customHeight="true" outlineLevel="0" collapsed="false"/>
    <row r="3162" customFormat="false" ht="12.75" hidden="false" customHeight="true" outlineLevel="0" collapsed="false"/>
    <row r="3163" customFormat="false" ht="12.75" hidden="false" customHeight="true" outlineLevel="0" collapsed="false"/>
    <row r="3164" customFormat="false" ht="12.75" hidden="false" customHeight="true" outlineLevel="0" collapsed="false"/>
    <row r="3165" customFormat="false" ht="12.75" hidden="false" customHeight="true" outlineLevel="0" collapsed="false"/>
    <row r="3166" customFormat="false" ht="12.75" hidden="false" customHeight="true" outlineLevel="0" collapsed="false"/>
    <row r="3167" customFormat="false" ht="12.75" hidden="false" customHeight="true" outlineLevel="0" collapsed="false"/>
    <row r="3168" customFormat="false" ht="12.75" hidden="false" customHeight="true" outlineLevel="0" collapsed="false"/>
    <row r="3169" customFormat="false" ht="12.75" hidden="false" customHeight="true" outlineLevel="0" collapsed="false"/>
    <row r="3170" customFormat="false" ht="12.75" hidden="false" customHeight="true" outlineLevel="0" collapsed="false"/>
    <row r="3171" customFormat="false" ht="12.75" hidden="false" customHeight="true" outlineLevel="0" collapsed="false"/>
    <row r="3172" customFormat="false" ht="12.75" hidden="false" customHeight="true" outlineLevel="0" collapsed="false"/>
    <row r="3173" customFormat="false" ht="12.75" hidden="false" customHeight="true" outlineLevel="0" collapsed="false"/>
    <row r="3174" customFormat="false" ht="12.75" hidden="false" customHeight="true" outlineLevel="0" collapsed="false"/>
    <row r="3175" customFormat="false" ht="12.75" hidden="false" customHeight="true" outlineLevel="0" collapsed="false"/>
    <row r="3176" customFormat="false" ht="12.75" hidden="false" customHeight="true" outlineLevel="0" collapsed="false"/>
    <row r="3177" customFormat="false" ht="12.75" hidden="false" customHeight="true" outlineLevel="0" collapsed="false"/>
    <row r="3178" customFormat="false" ht="12.75" hidden="false" customHeight="true" outlineLevel="0" collapsed="false"/>
    <row r="3179" customFormat="false" ht="12.75" hidden="false" customHeight="true" outlineLevel="0" collapsed="false"/>
    <row r="3180" customFormat="false" ht="12.75" hidden="false" customHeight="true" outlineLevel="0" collapsed="false"/>
    <row r="3181" customFormat="false" ht="12.75" hidden="false" customHeight="true" outlineLevel="0" collapsed="false"/>
    <row r="3182" customFormat="false" ht="12.75" hidden="false" customHeight="true" outlineLevel="0" collapsed="false"/>
    <row r="3183" customFormat="false" ht="12.75" hidden="false" customHeight="true" outlineLevel="0" collapsed="false"/>
    <row r="3184" customFormat="false" ht="12.75" hidden="false" customHeight="true" outlineLevel="0" collapsed="false"/>
    <row r="3185" customFormat="false" ht="12.75" hidden="false" customHeight="true" outlineLevel="0" collapsed="false"/>
    <row r="3186" customFormat="false" ht="12.75" hidden="false" customHeight="true" outlineLevel="0" collapsed="false"/>
    <row r="3187" customFormat="false" ht="12.75" hidden="false" customHeight="true" outlineLevel="0" collapsed="false"/>
    <row r="3188" customFormat="false" ht="12.75" hidden="false" customHeight="true" outlineLevel="0" collapsed="false"/>
    <row r="3189" customFormat="false" ht="12.75" hidden="false" customHeight="true" outlineLevel="0" collapsed="false"/>
    <row r="3190" customFormat="false" ht="12.75" hidden="false" customHeight="true" outlineLevel="0" collapsed="false"/>
    <row r="3191" customFormat="false" ht="12.75" hidden="false" customHeight="true" outlineLevel="0" collapsed="false"/>
    <row r="3192" customFormat="false" ht="12.75" hidden="false" customHeight="true" outlineLevel="0" collapsed="false"/>
    <row r="3193" customFormat="false" ht="12.75" hidden="false" customHeight="true" outlineLevel="0" collapsed="false"/>
    <row r="3194" customFormat="false" ht="12.75" hidden="false" customHeight="true" outlineLevel="0" collapsed="false"/>
    <row r="3195" customFormat="false" ht="12.75" hidden="false" customHeight="true" outlineLevel="0" collapsed="false"/>
    <row r="3196" customFormat="false" ht="12.75" hidden="false" customHeight="true" outlineLevel="0" collapsed="false"/>
    <row r="3197" customFormat="false" ht="12.75" hidden="false" customHeight="true" outlineLevel="0" collapsed="false"/>
    <row r="3198" customFormat="false" ht="12.75" hidden="false" customHeight="true" outlineLevel="0" collapsed="false"/>
    <row r="3199" customFormat="false" ht="12.75" hidden="false" customHeight="true" outlineLevel="0" collapsed="false"/>
    <row r="3200" customFormat="false" ht="12.75" hidden="false" customHeight="true" outlineLevel="0" collapsed="false"/>
    <row r="3201" customFormat="false" ht="12.75" hidden="false" customHeight="true" outlineLevel="0" collapsed="false"/>
    <row r="3202" customFormat="false" ht="12.75" hidden="false" customHeight="true" outlineLevel="0" collapsed="false"/>
    <row r="3203" customFormat="false" ht="12.75" hidden="false" customHeight="true" outlineLevel="0" collapsed="false"/>
    <row r="3204" customFormat="false" ht="12.75" hidden="false" customHeight="true" outlineLevel="0" collapsed="false"/>
    <row r="3205" customFormat="false" ht="12.75" hidden="false" customHeight="true" outlineLevel="0" collapsed="false"/>
    <row r="3206" customFormat="false" ht="12.75" hidden="false" customHeight="true" outlineLevel="0" collapsed="false"/>
    <row r="3207" customFormat="false" ht="12.75" hidden="false" customHeight="true" outlineLevel="0" collapsed="false"/>
    <row r="3208" customFormat="false" ht="12.75" hidden="false" customHeight="true" outlineLevel="0" collapsed="false"/>
    <row r="3209" customFormat="false" ht="12.75" hidden="false" customHeight="true" outlineLevel="0" collapsed="false"/>
    <row r="3210" customFormat="false" ht="12.75" hidden="false" customHeight="true" outlineLevel="0" collapsed="false"/>
    <row r="3211" customFormat="false" ht="12.75" hidden="false" customHeight="true" outlineLevel="0" collapsed="false"/>
    <row r="3212" customFormat="false" ht="12.75" hidden="false" customHeight="true" outlineLevel="0" collapsed="false"/>
    <row r="3213" customFormat="false" ht="12.75" hidden="false" customHeight="true" outlineLevel="0" collapsed="false"/>
    <row r="3214" customFormat="false" ht="12.75" hidden="false" customHeight="true" outlineLevel="0" collapsed="false"/>
    <row r="3215" customFormat="false" ht="12.75" hidden="false" customHeight="true" outlineLevel="0" collapsed="false"/>
    <row r="3216" customFormat="false" ht="12.75" hidden="false" customHeight="true" outlineLevel="0" collapsed="false"/>
    <row r="3217" customFormat="false" ht="12.75" hidden="false" customHeight="true" outlineLevel="0" collapsed="false"/>
    <row r="3218" customFormat="false" ht="12.75" hidden="false" customHeight="true" outlineLevel="0" collapsed="false"/>
    <row r="3219" customFormat="false" ht="12.75" hidden="false" customHeight="true" outlineLevel="0" collapsed="false"/>
    <row r="3220" customFormat="false" ht="12.75" hidden="false" customHeight="true" outlineLevel="0" collapsed="false"/>
    <row r="3221" customFormat="false" ht="12.75" hidden="false" customHeight="true" outlineLevel="0" collapsed="false"/>
    <row r="3222" customFormat="false" ht="12.75" hidden="false" customHeight="true" outlineLevel="0" collapsed="false"/>
    <row r="3223" customFormat="false" ht="12.75" hidden="false" customHeight="true" outlineLevel="0" collapsed="false"/>
    <row r="3224" customFormat="false" ht="12.75" hidden="false" customHeight="true" outlineLevel="0" collapsed="false"/>
    <row r="3225" customFormat="false" ht="12.75" hidden="false" customHeight="true" outlineLevel="0" collapsed="false"/>
    <row r="3226" customFormat="false" ht="12.75" hidden="false" customHeight="true" outlineLevel="0" collapsed="false"/>
    <row r="3227" customFormat="false" ht="12.75" hidden="false" customHeight="true" outlineLevel="0" collapsed="false"/>
    <row r="3228" customFormat="false" ht="12.75" hidden="false" customHeight="true" outlineLevel="0" collapsed="false"/>
    <row r="3229" customFormat="false" ht="12.75" hidden="false" customHeight="true" outlineLevel="0" collapsed="false"/>
    <row r="3230" customFormat="false" ht="12.75" hidden="false" customHeight="true" outlineLevel="0" collapsed="false"/>
    <row r="3231" customFormat="false" ht="12.75" hidden="false" customHeight="true" outlineLevel="0" collapsed="false"/>
    <row r="3232" customFormat="false" ht="12.75" hidden="false" customHeight="true" outlineLevel="0" collapsed="false"/>
    <row r="3233" customFormat="false" ht="12.75" hidden="false" customHeight="true" outlineLevel="0" collapsed="false"/>
    <row r="3234" customFormat="false" ht="12.75" hidden="false" customHeight="true" outlineLevel="0" collapsed="false"/>
    <row r="3235" customFormat="false" ht="12.75" hidden="false" customHeight="true" outlineLevel="0" collapsed="false"/>
    <row r="3236" customFormat="false" ht="12.75" hidden="false" customHeight="true" outlineLevel="0" collapsed="false"/>
    <row r="3237" customFormat="false" ht="12.75" hidden="false" customHeight="true" outlineLevel="0" collapsed="false"/>
    <row r="3238" customFormat="false" ht="12.75" hidden="false" customHeight="true" outlineLevel="0" collapsed="false"/>
    <row r="3239" customFormat="false" ht="12.75" hidden="false" customHeight="true" outlineLevel="0" collapsed="false"/>
    <row r="3240" customFormat="false" ht="12.75" hidden="false" customHeight="true" outlineLevel="0" collapsed="false"/>
    <row r="3241" customFormat="false" ht="12.75" hidden="false" customHeight="true" outlineLevel="0" collapsed="false"/>
    <row r="3242" customFormat="false" ht="12.75" hidden="false" customHeight="true" outlineLevel="0" collapsed="false"/>
    <row r="3243" customFormat="false" ht="12.75" hidden="false" customHeight="true" outlineLevel="0" collapsed="false"/>
    <row r="3244" customFormat="false" ht="12.75" hidden="false" customHeight="true" outlineLevel="0" collapsed="false"/>
    <row r="3245" customFormat="false" ht="12.75" hidden="false" customHeight="true" outlineLevel="0" collapsed="false"/>
    <row r="3246" customFormat="false" ht="12.75" hidden="false" customHeight="true" outlineLevel="0" collapsed="false"/>
    <row r="3247" customFormat="false" ht="12.75" hidden="false" customHeight="true" outlineLevel="0" collapsed="false"/>
    <row r="3248" customFormat="false" ht="12.75" hidden="false" customHeight="true" outlineLevel="0" collapsed="false"/>
    <row r="3249" customFormat="false" ht="12.75" hidden="false" customHeight="true" outlineLevel="0" collapsed="false"/>
    <row r="3250" customFormat="false" ht="12.75" hidden="false" customHeight="true" outlineLevel="0" collapsed="false"/>
    <row r="3251" customFormat="false" ht="12.75" hidden="false" customHeight="true" outlineLevel="0" collapsed="false"/>
    <row r="3252" customFormat="false" ht="12.75" hidden="false" customHeight="true" outlineLevel="0" collapsed="false"/>
    <row r="3253" customFormat="false" ht="12.75" hidden="false" customHeight="true" outlineLevel="0" collapsed="false"/>
    <row r="3254" customFormat="false" ht="12.75" hidden="false" customHeight="true" outlineLevel="0" collapsed="false"/>
    <row r="3255" customFormat="false" ht="12.75" hidden="false" customHeight="true" outlineLevel="0" collapsed="false"/>
    <row r="3256" customFormat="false" ht="12.75" hidden="false" customHeight="true" outlineLevel="0" collapsed="false"/>
    <row r="3257" customFormat="false" ht="12.75" hidden="false" customHeight="true" outlineLevel="0" collapsed="false"/>
    <row r="3258" customFormat="false" ht="12.75" hidden="false" customHeight="true" outlineLevel="0" collapsed="false"/>
    <row r="3259" customFormat="false" ht="12.75" hidden="false" customHeight="true" outlineLevel="0" collapsed="false"/>
    <row r="3260" customFormat="false" ht="12.75" hidden="false" customHeight="true" outlineLevel="0" collapsed="false"/>
    <row r="3261" customFormat="false" ht="12.75" hidden="false" customHeight="true" outlineLevel="0" collapsed="false"/>
    <row r="3262" customFormat="false" ht="12.75" hidden="false" customHeight="true" outlineLevel="0" collapsed="false"/>
    <row r="3263" customFormat="false" ht="12.75" hidden="false" customHeight="true" outlineLevel="0" collapsed="false"/>
    <row r="3264" customFormat="false" ht="12.75" hidden="false" customHeight="true" outlineLevel="0" collapsed="false"/>
    <row r="3265" customFormat="false" ht="12.75" hidden="false" customHeight="true" outlineLevel="0" collapsed="false"/>
    <row r="3266" customFormat="false" ht="12.75" hidden="false" customHeight="true" outlineLevel="0" collapsed="false"/>
    <row r="3267" customFormat="false" ht="12.75" hidden="false" customHeight="true" outlineLevel="0" collapsed="false"/>
    <row r="3268" customFormat="false" ht="12.75" hidden="false" customHeight="true" outlineLevel="0" collapsed="false"/>
    <row r="3269" customFormat="false" ht="12.75" hidden="false" customHeight="true" outlineLevel="0" collapsed="false"/>
    <row r="3270" customFormat="false" ht="12.75" hidden="false" customHeight="true" outlineLevel="0" collapsed="false"/>
    <row r="3271" customFormat="false" ht="12.75" hidden="false" customHeight="true" outlineLevel="0" collapsed="false"/>
    <row r="3272" customFormat="false" ht="12.75" hidden="false" customHeight="true" outlineLevel="0" collapsed="false"/>
    <row r="3273" customFormat="false" ht="12.75" hidden="false" customHeight="true" outlineLevel="0" collapsed="false"/>
    <row r="3274" customFormat="false" ht="12.75" hidden="false" customHeight="true" outlineLevel="0" collapsed="false"/>
    <row r="3275" customFormat="false" ht="12.75" hidden="false" customHeight="true" outlineLevel="0" collapsed="false"/>
    <row r="3276" customFormat="false" ht="12.75" hidden="false" customHeight="true" outlineLevel="0" collapsed="false"/>
    <row r="3277" customFormat="false" ht="12.75" hidden="false" customHeight="true" outlineLevel="0" collapsed="false"/>
    <row r="3278" customFormat="false" ht="12.75" hidden="false" customHeight="true" outlineLevel="0" collapsed="false"/>
    <row r="3279" customFormat="false" ht="12.75" hidden="false" customHeight="true" outlineLevel="0" collapsed="false"/>
    <row r="3280" customFormat="false" ht="12.75" hidden="false" customHeight="true" outlineLevel="0" collapsed="false"/>
    <row r="3281" customFormat="false" ht="12.75" hidden="false" customHeight="true" outlineLevel="0" collapsed="false"/>
    <row r="3282" customFormat="false" ht="12.75" hidden="false" customHeight="true" outlineLevel="0" collapsed="false"/>
    <row r="3283" customFormat="false" ht="12.75" hidden="false" customHeight="true" outlineLevel="0" collapsed="false"/>
    <row r="3284" customFormat="false" ht="12.75" hidden="false" customHeight="true" outlineLevel="0" collapsed="false"/>
    <row r="3285" customFormat="false" ht="12.75" hidden="false" customHeight="true" outlineLevel="0" collapsed="false"/>
    <row r="3286" customFormat="false" ht="12.75" hidden="false" customHeight="true" outlineLevel="0" collapsed="false"/>
    <row r="3287" customFormat="false" ht="12.75" hidden="false" customHeight="true" outlineLevel="0" collapsed="false"/>
    <row r="3288" customFormat="false" ht="12.75" hidden="false" customHeight="true" outlineLevel="0" collapsed="false"/>
    <row r="3289" customFormat="false" ht="12.75" hidden="false" customHeight="true" outlineLevel="0" collapsed="false"/>
    <row r="3290" customFormat="false" ht="12.75" hidden="false" customHeight="true" outlineLevel="0" collapsed="false"/>
    <row r="3291" customFormat="false" ht="12.75" hidden="false" customHeight="true" outlineLevel="0" collapsed="false"/>
    <row r="3292" customFormat="false" ht="12.75" hidden="false" customHeight="true" outlineLevel="0" collapsed="false"/>
    <row r="3293" customFormat="false" ht="12.75" hidden="false" customHeight="true" outlineLevel="0" collapsed="false"/>
    <row r="3294" customFormat="false" ht="12.75" hidden="false" customHeight="true" outlineLevel="0" collapsed="false"/>
    <row r="3295" customFormat="false" ht="12.75" hidden="false" customHeight="true" outlineLevel="0" collapsed="false"/>
    <row r="3296" customFormat="false" ht="12.75" hidden="false" customHeight="true" outlineLevel="0" collapsed="false"/>
    <row r="3297" customFormat="false" ht="12.75" hidden="false" customHeight="true" outlineLevel="0" collapsed="false"/>
    <row r="3298" customFormat="false" ht="12.75" hidden="false" customHeight="true" outlineLevel="0" collapsed="false"/>
    <row r="3299" customFormat="false" ht="12.75" hidden="false" customHeight="true" outlineLevel="0" collapsed="false"/>
    <row r="3300" customFormat="false" ht="12.75" hidden="false" customHeight="true" outlineLevel="0" collapsed="false"/>
    <row r="3301" customFormat="false" ht="12.75" hidden="false" customHeight="true" outlineLevel="0" collapsed="false"/>
    <row r="3302" customFormat="false" ht="12.75" hidden="false" customHeight="true" outlineLevel="0" collapsed="false"/>
    <row r="3303" customFormat="false" ht="12.75" hidden="false" customHeight="true" outlineLevel="0" collapsed="false"/>
    <row r="3304" customFormat="false" ht="12.75" hidden="false" customHeight="true" outlineLevel="0" collapsed="false"/>
    <row r="3305" customFormat="false" ht="12.75" hidden="false" customHeight="true" outlineLevel="0" collapsed="false"/>
    <row r="3306" customFormat="false" ht="12.75" hidden="false" customHeight="true" outlineLevel="0" collapsed="false"/>
    <row r="3307" customFormat="false" ht="12.75" hidden="false" customHeight="true" outlineLevel="0" collapsed="false"/>
    <row r="3308" customFormat="false" ht="12.75" hidden="false" customHeight="true" outlineLevel="0" collapsed="false"/>
    <row r="3309" customFormat="false" ht="12.75" hidden="false" customHeight="true" outlineLevel="0" collapsed="false"/>
    <row r="3310" customFormat="false" ht="12.75" hidden="false" customHeight="true" outlineLevel="0" collapsed="false"/>
    <row r="3311" customFormat="false" ht="12.75" hidden="false" customHeight="true" outlineLevel="0" collapsed="false"/>
    <row r="3312" customFormat="false" ht="12.75" hidden="false" customHeight="true" outlineLevel="0" collapsed="false"/>
    <row r="3313" customFormat="false" ht="12.75" hidden="false" customHeight="true" outlineLevel="0" collapsed="false"/>
    <row r="3314" customFormat="false" ht="12.75" hidden="false" customHeight="true" outlineLevel="0" collapsed="false"/>
    <row r="3315" customFormat="false" ht="12.75" hidden="false" customHeight="true" outlineLevel="0" collapsed="false"/>
    <row r="3316" customFormat="false" ht="12.75" hidden="false" customHeight="true" outlineLevel="0" collapsed="false"/>
    <row r="3317" customFormat="false" ht="12.75" hidden="false" customHeight="true" outlineLevel="0" collapsed="false"/>
    <row r="3318" customFormat="false" ht="12.75" hidden="false" customHeight="true" outlineLevel="0" collapsed="false"/>
    <row r="3319" customFormat="false" ht="12.75" hidden="false" customHeight="true" outlineLevel="0" collapsed="false"/>
    <row r="3320" customFormat="false" ht="12.75" hidden="false" customHeight="true" outlineLevel="0" collapsed="false"/>
    <row r="3321" customFormat="false" ht="12.75" hidden="false" customHeight="true" outlineLevel="0" collapsed="false"/>
    <row r="3322" customFormat="false" ht="12.75" hidden="false" customHeight="true" outlineLevel="0" collapsed="false"/>
    <row r="3323" customFormat="false" ht="12.75" hidden="false" customHeight="true" outlineLevel="0" collapsed="false"/>
    <row r="3324" customFormat="false" ht="12.75" hidden="false" customHeight="true" outlineLevel="0" collapsed="false"/>
    <row r="3325" customFormat="false" ht="12.75" hidden="false" customHeight="true" outlineLevel="0" collapsed="false"/>
    <row r="3326" customFormat="false" ht="12.75" hidden="false" customHeight="true" outlineLevel="0" collapsed="false"/>
    <row r="3327" customFormat="false" ht="12.75" hidden="false" customHeight="true" outlineLevel="0" collapsed="false"/>
    <row r="3328" customFormat="false" ht="12.75" hidden="false" customHeight="true" outlineLevel="0" collapsed="false"/>
    <row r="3329" customFormat="false" ht="12.75" hidden="false" customHeight="true" outlineLevel="0" collapsed="false"/>
    <row r="3330" customFormat="false" ht="12.75" hidden="false" customHeight="true" outlineLevel="0" collapsed="false"/>
    <row r="3331" customFormat="false" ht="12.75" hidden="false" customHeight="true" outlineLevel="0" collapsed="false"/>
    <row r="3332" customFormat="false" ht="12.75" hidden="false" customHeight="true" outlineLevel="0" collapsed="false"/>
    <row r="3333" customFormat="false" ht="12.75" hidden="false" customHeight="true" outlineLevel="0" collapsed="false"/>
    <row r="3334" customFormat="false" ht="12.75" hidden="false" customHeight="true" outlineLevel="0" collapsed="false"/>
    <row r="3335" customFormat="false" ht="12.75" hidden="false" customHeight="true" outlineLevel="0" collapsed="false"/>
    <row r="3336" customFormat="false" ht="12.75" hidden="false" customHeight="true" outlineLevel="0" collapsed="false"/>
    <row r="3337" customFormat="false" ht="12.75" hidden="false" customHeight="true" outlineLevel="0" collapsed="false"/>
    <row r="3338" customFormat="false" ht="12.75" hidden="false" customHeight="true" outlineLevel="0" collapsed="false"/>
    <row r="3339" customFormat="false" ht="12.75" hidden="false" customHeight="true" outlineLevel="0" collapsed="false"/>
    <row r="3340" customFormat="false" ht="12.75" hidden="false" customHeight="true" outlineLevel="0" collapsed="false"/>
    <row r="3341" customFormat="false" ht="12.75" hidden="false" customHeight="true" outlineLevel="0" collapsed="false"/>
    <row r="3342" customFormat="false" ht="12.75" hidden="false" customHeight="true" outlineLevel="0" collapsed="false"/>
    <row r="3343" customFormat="false" ht="12.75" hidden="false" customHeight="true" outlineLevel="0" collapsed="false"/>
    <row r="3344" customFormat="false" ht="12.75" hidden="false" customHeight="true" outlineLevel="0" collapsed="false"/>
    <row r="3345" customFormat="false" ht="12.75" hidden="false" customHeight="true" outlineLevel="0" collapsed="false"/>
    <row r="3346" customFormat="false" ht="12.75" hidden="false" customHeight="true" outlineLevel="0" collapsed="false"/>
    <row r="3347" customFormat="false" ht="12.75" hidden="false" customHeight="true" outlineLevel="0" collapsed="false"/>
    <row r="3348" customFormat="false" ht="12.75" hidden="false" customHeight="true" outlineLevel="0" collapsed="false"/>
    <row r="3349" customFormat="false" ht="12.75" hidden="false" customHeight="true" outlineLevel="0" collapsed="false"/>
    <row r="3350" customFormat="false" ht="12.75" hidden="false" customHeight="true" outlineLevel="0" collapsed="false"/>
    <row r="3351" customFormat="false" ht="12.75" hidden="false" customHeight="true" outlineLevel="0" collapsed="false"/>
    <row r="3352" customFormat="false" ht="12.75" hidden="false" customHeight="true" outlineLevel="0" collapsed="false"/>
    <row r="3353" customFormat="false" ht="12.75" hidden="false" customHeight="true" outlineLevel="0" collapsed="false"/>
    <row r="3354" customFormat="false" ht="12.75" hidden="false" customHeight="true" outlineLevel="0" collapsed="false"/>
    <row r="3355" customFormat="false" ht="12.75" hidden="false" customHeight="true" outlineLevel="0" collapsed="false"/>
    <row r="3356" customFormat="false" ht="12.75" hidden="false" customHeight="true" outlineLevel="0" collapsed="false"/>
    <row r="3357" customFormat="false" ht="12.75" hidden="false" customHeight="true" outlineLevel="0" collapsed="false"/>
    <row r="3358" customFormat="false" ht="12.75" hidden="false" customHeight="true" outlineLevel="0" collapsed="false"/>
    <row r="3359" customFormat="false" ht="12.75" hidden="false" customHeight="true" outlineLevel="0" collapsed="false"/>
    <row r="3360" customFormat="false" ht="12.75" hidden="false" customHeight="true" outlineLevel="0" collapsed="false"/>
    <row r="3361" customFormat="false" ht="12.75" hidden="false" customHeight="true" outlineLevel="0" collapsed="false"/>
    <row r="3362" customFormat="false" ht="12.75" hidden="false" customHeight="true" outlineLevel="0" collapsed="false"/>
    <row r="3363" customFormat="false" ht="12.75" hidden="false" customHeight="true" outlineLevel="0" collapsed="false"/>
    <row r="3364" customFormat="false" ht="12.75" hidden="false" customHeight="true" outlineLevel="0" collapsed="false"/>
    <row r="3365" customFormat="false" ht="12.75" hidden="false" customHeight="true" outlineLevel="0" collapsed="false"/>
    <row r="3366" customFormat="false" ht="12.75" hidden="false" customHeight="true" outlineLevel="0" collapsed="false"/>
    <row r="3367" customFormat="false" ht="12.75" hidden="false" customHeight="true" outlineLevel="0" collapsed="false"/>
    <row r="3368" customFormat="false" ht="12.75" hidden="false" customHeight="true" outlineLevel="0" collapsed="false"/>
    <row r="3369" customFormat="false" ht="12.75" hidden="false" customHeight="true" outlineLevel="0" collapsed="false"/>
    <row r="3370" customFormat="false" ht="12.75" hidden="false" customHeight="true" outlineLevel="0" collapsed="false"/>
    <row r="3371" customFormat="false" ht="12.75" hidden="false" customHeight="true" outlineLevel="0" collapsed="false"/>
    <row r="3372" customFormat="false" ht="12.75" hidden="false" customHeight="true" outlineLevel="0" collapsed="false"/>
    <row r="3373" customFormat="false" ht="12.75" hidden="false" customHeight="true" outlineLevel="0" collapsed="false"/>
    <row r="3374" customFormat="false" ht="12.75" hidden="false" customHeight="true" outlineLevel="0" collapsed="false"/>
    <row r="3375" customFormat="false" ht="12.75" hidden="false" customHeight="true" outlineLevel="0" collapsed="false"/>
    <row r="3376" customFormat="false" ht="12.75" hidden="false" customHeight="true" outlineLevel="0" collapsed="false"/>
    <row r="3377" customFormat="false" ht="12.75" hidden="false" customHeight="true" outlineLevel="0" collapsed="false"/>
    <row r="3378" customFormat="false" ht="12.75" hidden="false" customHeight="true" outlineLevel="0" collapsed="false"/>
    <row r="3379" customFormat="false" ht="12.75" hidden="false" customHeight="true" outlineLevel="0" collapsed="false"/>
    <row r="3380" customFormat="false" ht="12.75" hidden="false" customHeight="true" outlineLevel="0" collapsed="false"/>
    <row r="3381" customFormat="false" ht="12.75" hidden="false" customHeight="true" outlineLevel="0" collapsed="false"/>
    <row r="3382" customFormat="false" ht="12.75" hidden="false" customHeight="true" outlineLevel="0" collapsed="false"/>
    <row r="3383" customFormat="false" ht="12.75" hidden="false" customHeight="true" outlineLevel="0" collapsed="false"/>
    <row r="3384" customFormat="false" ht="12.75" hidden="false" customHeight="true" outlineLevel="0" collapsed="false"/>
    <row r="3385" customFormat="false" ht="12.75" hidden="false" customHeight="true" outlineLevel="0" collapsed="false"/>
    <row r="3386" customFormat="false" ht="12.75" hidden="false" customHeight="true" outlineLevel="0" collapsed="false"/>
    <row r="3387" customFormat="false" ht="12.75" hidden="false" customHeight="true" outlineLevel="0" collapsed="false"/>
    <row r="3388" customFormat="false" ht="12.75" hidden="false" customHeight="true" outlineLevel="0" collapsed="false"/>
    <row r="3389" customFormat="false" ht="12.75" hidden="false" customHeight="true" outlineLevel="0" collapsed="false"/>
    <row r="3390" customFormat="false" ht="12.75" hidden="false" customHeight="true" outlineLevel="0" collapsed="false"/>
    <row r="3391" customFormat="false" ht="12.75" hidden="false" customHeight="true" outlineLevel="0" collapsed="false"/>
    <row r="3392" customFormat="false" ht="12.75" hidden="false" customHeight="true" outlineLevel="0" collapsed="false"/>
    <row r="3393" customFormat="false" ht="12.75" hidden="false" customHeight="true" outlineLevel="0" collapsed="false"/>
    <row r="3394" customFormat="false" ht="12.75" hidden="false" customHeight="true" outlineLevel="0" collapsed="false"/>
    <row r="3395" customFormat="false" ht="12.75" hidden="false" customHeight="true" outlineLevel="0" collapsed="false"/>
    <row r="3396" customFormat="false" ht="12.75" hidden="false" customHeight="true" outlineLevel="0" collapsed="false"/>
    <row r="3397" customFormat="false" ht="12.75" hidden="false" customHeight="true" outlineLevel="0" collapsed="false"/>
    <row r="3398" customFormat="false" ht="12.75" hidden="false" customHeight="true" outlineLevel="0" collapsed="false"/>
    <row r="3399" customFormat="false" ht="12.75" hidden="false" customHeight="true" outlineLevel="0" collapsed="false"/>
    <row r="3400" customFormat="false" ht="12.75" hidden="false" customHeight="true" outlineLevel="0" collapsed="false"/>
    <row r="3401" customFormat="false" ht="12.75" hidden="false" customHeight="true" outlineLevel="0" collapsed="false"/>
    <row r="3402" customFormat="false" ht="12.75" hidden="false" customHeight="true" outlineLevel="0" collapsed="false"/>
    <row r="3403" customFormat="false" ht="12.75" hidden="false" customHeight="true" outlineLevel="0" collapsed="false"/>
    <row r="3404" customFormat="false" ht="12.75" hidden="false" customHeight="true" outlineLevel="0" collapsed="false"/>
    <row r="3405" customFormat="false" ht="12.75" hidden="false" customHeight="true" outlineLevel="0" collapsed="false"/>
    <row r="3406" customFormat="false" ht="12.75" hidden="false" customHeight="true" outlineLevel="0" collapsed="false"/>
    <row r="3407" customFormat="false" ht="12.75" hidden="false" customHeight="true" outlineLevel="0" collapsed="false"/>
    <row r="3408" customFormat="false" ht="12.75" hidden="false" customHeight="true" outlineLevel="0" collapsed="false"/>
    <row r="3409" customFormat="false" ht="12.75" hidden="false" customHeight="true" outlineLevel="0" collapsed="false"/>
    <row r="3410" customFormat="false" ht="12.75" hidden="false" customHeight="true" outlineLevel="0" collapsed="false"/>
    <row r="3411" customFormat="false" ht="12.75" hidden="false" customHeight="true" outlineLevel="0" collapsed="false"/>
    <row r="3412" customFormat="false" ht="12.75" hidden="false" customHeight="true" outlineLevel="0" collapsed="false"/>
    <row r="3413" customFormat="false" ht="12.75" hidden="false" customHeight="true" outlineLevel="0" collapsed="false"/>
    <row r="3414" customFormat="false" ht="12.75" hidden="false" customHeight="true" outlineLevel="0" collapsed="false"/>
    <row r="3415" customFormat="false" ht="12.75" hidden="false" customHeight="true" outlineLevel="0" collapsed="false"/>
    <row r="3416" customFormat="false" ht="12.75" hidden="false" customHeight="true" outlineLevel="0" collapsed="false"/>
    <row r="3417" customFormat="false" ht="12.75" hidden="false" customHeight="true" outlineLevel="0" collapsed="false"/>
    <row r="3418" customFormat="false" ht="12.75" hidden="false" customHeight="true" outlineLevel="0" collapsed="false"/>
    <row r="3419" customFormat="false" ht="12.75" hidden="false" customHeight="true" outlineLevel="0" collapsed="false"/>
    <row r="3420" customFormat="false" ht="12.75" hidden="false" customHeight="true" outlineLevel="0" collapsed="false"/>
    <row r="3421" customFormat="false" ht="12.75" hidden="false" customHeight="true" outlineLevel="0" collapsed="false"/>
    <row r="3422" customFormat="false" ht="12.75" hidden="false" customHeight="true" outlineLevel="0" collapsed="false"/>
    <row r="3423" customFormat="false" ht="12.75" hidden="false" customHeight="true" outlineLevel="0" collapsed="false"/>
    <row r="3424" customFormat="false" ht="12.75" hidden="false" customHeight="true" outlineLevel="0" collapsed="false"/>
    <row r="3425" customFormat="false" ht="12.75" hidden="false" customHeight="true" outlineLevel="0" collapsed="false"/>
    <row r="3426" customFormat="false" ht="12.75" hidden="false" customHeight="true" outlineLevel="0" collapsed="false"/>
    <row r="3427" customFormat="false" ht="12.75" hidden="false" customHeight="true" outlineLevel="0" collapsed="false"/>
    <row r="3428" customFormat="false" ht="12.75" hidden="false" customHeight="true" outlineLevel="0" collapsed="false"/>
    <row r="3429" customFormat="false" ht="12.75" hidden="false" customHeight="true" outlineLevel="0" collapsed="false"/>
    <row r="3430" customFormat="false" ht="12.75" hidden="false" customHeight="true" outlineLevel="0" collapsed="false"/>
    <row r="3431" customFormat="false" ht="12.75" hidden="false" customHeight="true" outlineLevel="0" collapsed="false"/>
    <row r="3432" customFormat="false" ht="12.75" hidden="false" customHeight="true" outlineLevel="0" collapsed="false"/>
    <row r="3433" customFormat="false" ht="12.75" hidden="false" customHeight="true" outlineLevel="0" collapsed="false"/>
    <row r="3434" customFormat="false" ht="12.75" hidden="false" customHeight="true" outlineLevel="0" collapsed="false"/>
    <row r="3435" customFormat="false" ht="12.75" hidden="false" customHeight="true" outlineLevel="0" collapsed="false"/>
    <row r="3436" customFormat="false" ht="12.75" hidden="false" customHeight="true" outlineLevel="0" collapsed="false"/>
    <row r="3437" customFormat="false" ht="12.75" hidden="false" customHeight="true" outlineLevel="0" collapsed="false"/>
    <row r="3438" customFormat="false" ht="12.75" hidden="false" customHeight="true" outlineLevel="0" collapsed="false"/>
    <row r="3439" customFormat="false" ht="12.75" hidden="false" customHeight="true" outlineLevel="0" collapsed="false"/>
    <row r="3440" customFormat="false" ht="12.75" hidden="false" customHeight="true" outlineLevel="0" collapsed="false"/>
    <row r="3441" customFormat="false" ht="12.75" hidden="false" customHeight="true" outlineLevel="0" collapsed="false"/>
    <row r="3442" customFormat="false" ht="12.75" hidden="false" customHeight="true" outlineLevel="0" collapsed="false"/>
    <row r="3443" customFormat="false" ht="12.75" hidden="false" customHeight="true" outlineLevel="0" collapsed="false"/>
    <row r="3444" customFormat="false" ht="12.75" hidden="false" customHeight="true" outlineLevel="0" collapsed="false"/>
    <row r="3445" customFormat="false" ht="12.75" hidden="false" customHeight="true" outlineLevel="0" collapsed="false"/>
    <row r="3446" customFormat="false" ht="12.75" hidden="false" customHeight="true" outlineLevel="0" collapsed="false"/>
    <row r="3447" customFormat="false" ht="12.75" hidden="false" customHeight="true" outlineLevel="0" collapsed="false"/>
    <row r="3448" customFormat="false" ht="12.75" hidden="false" customHeight="true" outlineLevel="0" collapsed="false"/>
    <row r="3449" customFormat="false" ht="12.75" hidden="false" customHeight="true" outlineLevel="0" collapsed="false"/>
    <row r="3450" customFormat="false" ht="12.75" hidden="false" customHeight="true" outlineLevel="0" collapsed="false"/>
    <row r="3451" customFormat="false" ht="12.75" hidden="false" customHeight="true" outlineLevel="0" collapsed="false"/>
    <row r="3452" customFormat="false" ht="12.75" hidden="false" customHeight="true" outlineLevel="0" collapsed="false"/>
    <row r="3453" customFormat="false" ht="12.75" hidden="false" customHeight="true" outlineLevel="0" collapsed="false"/>
    <row r="3454" customFormat="false" ht="12.75" hidden="false" customHeight="true" outlineLevel="0" collapsed="false"/>
    <row r="3455" customFormat="false" ht="12.75" hidden="false" customHeight="true" outlineLevel="0" collapsed="false"/>
    <row r="3456" customFormat="false" ht="12.75" hidden="false" customHeight="true" outlineLevel="0" collapsed="false"/>
    <row r="3457" customFormat="false" ht="12.75" hidden="false" customHeight="true" outlineLevel="0" collapsed="false"/>
    <row r="3458" customFormat="false" ht="12.75" hidden="false" customHeight="true" outlineLevel="0" collapsed="false"/>
    <row r="3459" customFormat="false" ht="12.75" hidden="false" customHeight="true" outlineLevel="0" collapsed="false"/>
    <row r="3460" customFormat="false" ht="12.75" hidden="false" customHeight="true" outlineLevel="0" collapsed="false"/>
    <row r="3461" customFormat="false" ht="12.75" hidden="false" customHeight="true" outlineLevel="0" collapsed="false"/>
    <row r="3462" customFormat="false" ht="12.75" hidden="false" customHeight="true" outlineLevel="0" collapsed="false"/>
    <row r="3463" customFormat="false" ht="12.75" hidden="false" customHeight="true" outlineLevel="0" collapsed="false"/>
    <row r="3464" customFormat="false" ht="12.75" hidden="false" customHeight="true" outlineLevel="0" collapsed="false"/>
    <row r="3465" customFormat="false" ht="12.75" hidden="false" customHeight="true" outlineLevel="0" collapsed="false"/>
    <row r="3466" customFormat="false" ht="12.75" hidden="false" customHeight="true" outlineLevel="0" collapsed="false"/>
    <row r="3467" customFormat="false" ht="12.75" hidden="false" customHeight="true" outlineLevel="0" collapsed="false"/>
    <row r="3468" customFormat="false" ht="12.75" hidden="false" customHeight="true" outlineLevel="0" collapsed="false"/>
    <row r="3469" customFormat="false" ht="12.75" hidden="false" customHeight="true" outlineLevel="0" collapsed="false"/>
    <row r="3470" customFormat="false" ht="12.75" hidden="false" customHeight="true" outlineLevel="0" collapsed="false"/>
    <row r="3471" customFormat="false" ht="12.75" hidden="false" customHeight="true" outlineLevel="0" collapsed="false"/>
    <row r="3472" customFormat="false" ht="12.75" hidden="false" customHeight="true" outlineLevel="0" collapsed="false"/>
    <row r="3473" customFormat="false" ht="12.75" hidden="false" customHeight="true" outlineLevel="0" collapsed="false"/>
    <row r="3474" customFormat="false" ht="12.75" hidden="false" customHeight="true" outlineLevel="0" collapsed="false"/>
    <row r="3475" customFormat="false" ht="12.75" hidden="false" customHeight="true" outlineLevel="0" collapsed="false"/>
    <row r="3476" customFormat="false" ht="12.75" hidden="false" customHeight="true" outlineLevel="0" collapsed="false"/>
    <row r="3477" customFormat="false" ht="12.75" hidden="false" customHeight="true" outlineLevel="0" collapsed="false"/>
    <row r="3478" customFormat="false" ht="12.75" hidden="false" customHeight="true" outlineLevel="0" collapsed="false"/>
    <row r="3479" customFormat="false" ht="12.75" hidden="false" customHeight="true" outlineLevel="0" collapsed="false"/>
    <row r="3480" customFormat="false" ht="12.75" hidden="false" customHeight="true" outlineLevel="0" collapsed="false"/>
    <row r="3481" customFormat="false" ht="12.75" hidden="false" customHeight="true" outlineLevel="0" collapsed="false"/>
    <row r="3482" customFormat="false" ht="12.75" hidden="false" customHeight="true" outlineLevel="0" collapsed="false"/>
    <row r="3483" customFormat="false" ht="12.75" hidden="false" customHeight="true" outlineLevel="0" collapsed="false"/>
    <row r="3484" customFormat="false" ht="12.75" hidden="false" customHeight="true" outlineLevel="0" collapsed="false"/>
    <row r="3485" customFormat="false" ht="12.75" hidden="false" customHeight="true" outlineLevel="0" collapsed="false"/>
    <row r="3486" customFormat="false" ht="12.75" hidden="false" customHeight="true" outlineLevel="0" collapsed="false"/>
    <row r="3487" customFormat="false" ht="12.75" hidden="false" customHeight="true" outlineLevel="0" collapsed="false"/>
    <row r="3488" customFormat="false" ht="12.75" hidden="false" customHeight="true" outlineLevel="0" collapsed="false"/>
    <row r="3489" customFormat="false" ht="12.75" hidden="false" customHeight="true" outlineLevel="0" collapsed="false"/>
    <row r="3490" customFormat="false" ht="12.75" hidden="false" customHeight="true" outlineLevel="0" collapsed="false"/>
    <row r="3491" customFormat="false" ht="12.75" hidden="false" customHeight="true" outlineLevel="0" collapsed="false"/>
    <row r="3492" customFormat="false" ht="12.75" hidden="false" customHeight="true" outlineLevel="0" collapsed="false"/>
    <row r="3493" customFormat="false" ht="12.75" hidden="false" customHeight="true" outlineLevel="0" collapsed="false"/>
    <row r="3494" customFormat="false" ht="12.75" hidden="false" customHeight="true" outlineLevel="0" collapsed="false"/>
    <row r="3495" customFormat="false" ht="12.75" hidden="false" customHeight="true" outlineLevel="0" collapsed="false"/>
    <row r="3496" customFormat="false" ht="12.75" hidden="false" customHeight="true" outlineLevel="0" collapsed="false"/>
    <row r="3497" customFormat="false" ht="12.75" hidden="false" customHeight="true" outlineLevel="0" collapsed="false"/>
    <row r="3498" customFormat="false" ht="12.75" hidden="false" customHeight="true" outlineLevel="0" collapsed="false"/>
    <row r="3499" customFormat="false" ht="12.75" hidden="false" customHeight="true" outlineLevel="0" collapsed="false"/>
    <row r="3500" customFormat="false" ht="12.75" hidden="false" customHeight="true" outlineLevel="0" collapsed="false"/>
    <row r="3501" customFormat="false" ht="12.75" hidden="false" customHeight="true" outlineLevel="0" collapsed="false"/>
    <row r="3502" customFormat="false" ht="12.75" hidden="false" customHeight="true" outlineLevel="0" collapsed="false"/>
    <row r="3503" customFormat="false" ht="12.75" hidden="false" customHeight="true" outlineLevel="0" collapsed="false"/>
    <row r="3504" customFormat="false" ht="12.75" hidden="false" customHeight="true" outlineLevel="0" collapsed="false"/>
    <row r="3505" customFormat="false" ht="12.75" hidden="false" customHeight="true" outlineLevel="0" collapsed="false"/>
    <row r="3506" customFormat="false" ht="12.75" hidden="false" customHeight="true" outlineLevel="0" collapsed="false"/>
    <row r="3507" customFormat="false" ht="12.75" hidden="false" customHeight="true" outlineLevel="0" collapsed="false"/>
    <row r="3508" customFormat="false" ht="12.75" hidden="false" customHeight="true" outlineLevel="0" collapsed="false"/>
    <row r="3509" customFormat="false" ht="12.75" hidden="false" customHeight="true" outlineLevel="0" collapsed="false"/>
    <row r="3510" customFormat="false" ht="12.75" hidden="false" customHeight="true" outlineLevel="0" collapsed="false"/>
    <row r="3511" customFormat="false" ht="12.75" hidden="false" customHeight="true" outlineLevel="0" collapsed="false"/>
    <row r="3512" customFormat="false" ht="12.75" hidden="false" customHeight="true" outlineLevel="0" collapsed="false"/>
    <row r="3513" customFormat="false" ht="12.75" hidden="false" customHeight="true" outlineLevel="0" collapsed="false"/>
    <row r="3514" customFormat="false" ht="12.75" hidden="false" customHeight="true" outlineLevel="0" collapsed="false"/>
    <row r="3515" customFormat="false" ht="12.75" hidden="false" customHeight="true" outlineLevel="0" collapsed="false"/>
    <row r="3516" customFormat="false" ht="12.75" hidden="false" customHeight="true" outlineLevel="0" collapsed="false"/>
    <row r="3517" customFormat="false" ht="12.75" hidden="false" customHeight="true" outlineLevel="0" collapsed="false"/>
    <row r="3518" customFormat="false" ht="12.75" hidden="false" customHeight="true" outlineLevel="0" collapsed="false"/>
    <row r="3519" customFormat="false" ht="12.75" hidden="false" customHeight="true" outlineLevel="0" collapsed="false"/>
    <row r="3520" customFormat="false" ht="12.75" hidden="false" customHeight="true" outlineLevel="0" collapsed="false"/>
    <row r="3521" customFormat="false" ht="12.75" hidden="false" customHeight="true" outlineLevel="0" collapsed="false"/>
    <row r="3522" customFormat="false" ht="12.75" hidden="false" customHeight="true" outlineLevel="0" collapsed="false"/>
    <row r="3523" customFormat="false" ht="12.75" hidden="false" customHeight="true" outlineLevel="0" collapsed="false"/>
    <row r="3524" customFormat="false" ht="12.75" hidden="false" customHeight="true" outlineLevel="0" collapsed="false"/>
    <row r="3525" customFormat="false" ht="12.75" hidden="false" customHeight="true" outlineLevel="0" collapsed="false"/>
    <row r="3526" customFormat="false" ht="12.75" hidden="false" customHeight="true" outlineLevel="0" collapsed="false"/>
    <row r="3527" customFormat="false" ht="12.75" hidden="false" customHeight="true" outlineLevel="0" collapsed="false"/>
    <row r="3528" customFormat="false" ht="12.75" hidden="false" customHeight="true" outlineLevel="0" collapsed="false"/>
    <row r="3529" customFormat="false" ht="12.75" hidden="false" customHeight="true" outlineLevel="0" collapsed="false"/>
    <row r="3530" customFormat="false" ht="12.75" hidden="false" customHeight="true" outlineLevel="0" collapsed="false"/>
    <row r="3531" customFormat="false" ht="12.75" hidden="false" customHeight="true" outlineLevel="0" collapsed="false"/>
    <row r="3532" customFormat="false" ht="12.75" hidden="false" customHeight="true" outlineLevel="0" collapsed="false"/>
    <row r="3533" customFormat="false" ht="12.75" hidden="false" customHeight="true" outlineLevel="0" collapsed="false"/>
    <row r="3534" customFormat="false" ht="12.75" hidden="false" customHeight="true" outlineLevel="0" collapsed="false"/>
    <row r="3535" customFormat="false" ht="12.75" hidden="false" customHeight="true" outlineLevel="0" collapsed="false"/>
    <row r="3536" customFormat="false" ht="12.75" hidden="false" customHeight="true" outlineLevel="0" collapsed="false"/>
    <row r="3537" customFormat="false" ht="12.75" hidden="false" customHeight="true" outlineLevel="0" collapsed="false"/>
    <row r="3538" customFormat="false" ht="12.75" hidden="false" customHeight="true" outlineLevel="0" collapsed="false"/>
    <row r="3539" customFormat="false" ht="12.75" hidden="false" customHeight="true" outlineLevel="0" collapsed="false"/>
    <row r="3540" customFormat="false" ht="12.75" hidden="false" customHeight="true" outlineLevel="0" collapsed="false"/>
    <row r="3541" customFormat="false" ht="12.75" hidden="false" customHeight="true" outlineLevel="0" collapsed="false"/>
    <row r="3542" customFormat="false" ht="12.75" hidden="false" customHeight="true" outlineLevel="0" collapsed="false"/>
    <row r="3543" customFormat="false" ht="12.75" hidden="false" customHeight="true" outlineLevel="0" collapsed="false"/>
    <row r="3544" customFormat="false" ht="12.75" hidden="false" customHeight="true" outlineLevel="0" collapsed="false"/>
    <row r="3545" customFormat="false" ht="12.75" hidden="false" customHeight="true" outlineLevel="0" collapsed="false"/>
    <row r="3546" customFormat="false" ht="12.75" hidden="false" customHeight="true" outlineLevel="0" collapsed="false"/>
    <row r="3547" customFormat="false" ht="12.75" hidden="false" customHeight="true" outlineLevel="0" collapsed="false"/>
    <row r="3548" customFormat="false" ht="12.75" hidden="false" customHeight="true" outlineLevel="0" collapsed="false"/>
    <row r="3549" customFormat="false" ht="12.75" hidden="false" customHeight="true" outlineLevel="0" collapsed="false"/>
    <row r="3550" customFormat="false" ht="12.75" hidden="false" customHeight="true" outlineLevel="0" collapsed="false"/>
    <row r="3551" customFormat="false" ht="12.75" hidden="false" customHeight="true" outlineLevel="0" collapsed="false"/>
    <row r="3552" customFormat="false" ht="12.75" hidden="false" customHeight="true" outlineLevel="0" collapsed="false"/>
    <row r="3553" customFormat="false" ht="12.75" hidden="false" customHeight="true" outlineLevel="0" collapsed="false"/>
    <row r="3554" customFormat="false" ht="12.75" hidden="false" customHeight="true" outlineLevel="0" collapsed="false"/>
    <row r="3555" customFormat="false" ht="12.75" hidden="false" customHeight="true" outlineLevel="0" collapsed="false"/>
    <row r="3556" customFormat="false" ht="12.75" hidden="false" customHeight="true" outlineLevel="0" collapsed="false"/>
    <row r="3557" customFormat="false" ht="12.75" hidden="false" customHeight="true" outlineLevel="0" collapsed="false"/>
    <row r="3558" customFormat="false" ht="12.75" hidden="false" customHeight="true" outlineLevel="0" collapsed="false"/>
    <row r="3559" customFormat="false" ht="12.75" hidden="false" customHeight="true" outlineLevel="0" collapsed="false"/>
    <row r="3560" customFormat="false" ht="12.75" hidden="false" customHeight="true" outlineLevel="0" collapsed="false"/>
    <row r="3561" customFormat="false" ht="12.75" hidden="false" customHeight="true" outlineLevel="0" collapsed="false"/>
    <row r="3562" customFormat="false" ht="12.75" hidden="false" customHeight="true" outlineLevel="0" collapsed="false"/>
    <row r="3563" customFormat="false" ht="12.75" hidden="false" customHeight="true" outlineLevel="0" collapsed="false"/>
    <row r="3564" customFormat="false" ht="12.75" hidden="false" customHeight="true" outlineLevel="0" collapsed="false"/>
    <row r="3565" customFormat="false" ht="12.75" hidden="false" customHeight="true" outlineLevel="0" collapsed="false"/>
    <row r="3566" customFormat="false" ht="12.75" hidden="false" customHeight="true" outlineLevel="0" collapsed="false"/>
    <row r="3567" customFormat="false" ht="12.75" hidden="false" customHeight="true" outlineLevel="0" collapsed="false"/>
    <row r="3568" customFormat="false" ht="12.75" hidden="false" customHeight="true" outlineLevel="0" collapsed="false"/>
    <row r="3569" customFormat="false" ht="12.75" hidden="false" customHeight="true" outlineLevel="0" collapsed="false"/>
    <row r="3570" customFormat="false" ht="12.75" hidden="false" customHeight="true" outlineLevel="0" collapsed="false"/>
    <row r="3571" customFormat="false" ht="12.75" hidden="false" customHeight="true" outlineLevel="0" collapsed="false"/>
    <row r="3572" customFormat="false" ht="12.75" hidden="false" customHeight="true" outlineLevel="0" collapsed="false"/>
    <row r="3573" customFormat="false" ht="12.75" hidden="false" customHeight="true" outlineLevel="0" collapsed="false"/>
    <row r="3574" customFormat="false" ht="12.75" hidden="false" customHeight="true" outlineLevel="0" collapsed="false"/>
    <row r="3575" customFormat="false" ht="12.75" hidden="false" customHeight="true" outlineLevel="0" collapsed="false"/>
    <row r="3576" customFormat="false" ht="12.75" hidden="false" customHeight="true" outlineLevel="0" collapsed="false"/>
    <row r="3577" customFormat="false" ht="12.75" hidden="false" customHeight="true" outlineLevel="0" collapsed="false"/>
    <row r="3578" customFormat="false" ht="12.75" hidden="false" customHeight="true" outlineLevel="0" collapsed="false"/>
    <row r="3579" customFormat="false" ht="12.75" hidden="false" customHeight="true" outlineLevel="0" collapsed="false"/>
    <row r="3580" customFormat="false" ht="12.75" hidden="false" customHeight="true" outlineLevel="0" collapsed="false"/>
    <row r="3581" customFormat="false" ht="12.75" hidden="false" customHeight="true" outlineLevel="0" collapsed="false"/>
    <row r="3582" customFormat="false" ht="12.75" hidden="false" customHeight="true" outlineLevel="0" collapsed="false"/>
    <row r="3583" customFormat="false" ht="12.75" hidden="false" customHeight="true" outlineLevel="0" collapsed="false"/>
    <row r="3584" customFormat="false" ht="12.75" hidden="false" customHeight="true" outlineLevel="0" collapsed="false"/>
    <row r="3585" customFormat="false" ht="12.75" hidden="false" customHeight="true" outlineLevel="0" collapsed="false"/>
    <row r="3586" customFormat="false" ht="12.75" hidden="false" customHeight="true" outlineLevel="0" collapsed="false"/>
    <row r="3587" customFormat="false" ht="12.75" hidden="false" customHeight="true" outlineLevel="0" collapsed="false"/>
    <row r="3588" customFormat="false" ht="12.75" hidden="false" customHeight="true" outlineLevel="0" collapsed="false"/>
    <row r="3589" customFormat="false" ht="12.75" hidden="false" customHeight="true" outlineLevel="0" collapsed="false"/>
    <row r="3590" customFormat="false" ht="12.75" hidden="false" customHeight="true" outlineLevel="0" collapsed="false"/>
    <row r="3591" customFormat="false" ht="12.75" hidden="false" customHeight="true" outlineLevel="0" collapsed="false"/>
    <row r="3592" customFormat="false" ht="12.75" hidden="false" customHeight="true" outlineLevel="0" collapsed="false"/>
    <row r="3593" customFormat="false" ht="12.75" hidden="false" customHeight="true" outlineLevel="0" collapsed="false"/>
    <row r="3594" customFormat="false" ht="12.75" hidden="false" customHeight="true" outlineLevel="0" collapsed="false"/>
    <row r="3595" customFormat="false" ht="12.75" hidden="false" customHeight="true" outlineLevel="0" collapsed="false"/>
    <row r="3596" customFormat="false" ht="12.75" hidden="false" customHeight="true" outlineLevel="0" collapsed="false"/>
    <row r="3597" customFormat="false" ht="12.75" hidden="false" customHeight="true" outlineLevel="0" collapsed="false"/>
    <row r="3598" customFormat="false" ht="12.75" hidden="false" customHeight="true" outlineLevel="0" collapsed="false"/>
    <row r="3599" customFormat="false" ht="12.75" hidden="false" customHeight="true" outlineLevel="0" collapsed="false"/>
    <row r="3600" customFormat="false" ht="12.75" hidden="false" customHeight="true" outlineLevel="0" collapsed="false"/>
    <row r="3601" customFormat="false" ht="12.75" hidden="false" customHeight="true" outlineLevel="0" collapsed="false"/>
    <row r="3602" customFormat="false" ht="12.75" hidden="false" customHeight="true" outlineLevel="0" collapsed="false"/>
    <row r="3603" customFormat="false" ht="12.75" hidden="false" customHeight="true" outlineLevel="0" collapsed="false"/>
    <row r="3604" customFormat="false" ht="12.75" hidden="false" customHeight="true" outlineLevel="0" collapsed="false"/>
    <row r="3605" customFormat="false" ht="12.75" hidden="false" customHeight="true" outlineLevel="0" collapsed="false"/>
    <row r="3606" customFormat="false" ht="12.75" hidden="false" customHeight="true" outlineLevel="0" collapsed="false"/>
    <row r="3607" customFormat="false" ht="12.75" hidden="false" customHeight="true" outlineLevel="0" collapsed="false"/>
    <row r="3608" customFormat="false" ht="12.75" hidden="false" customHeight="true" outlineLevel="0" collapsed="false"/>
    <row r="3609" customFormat="false" ht="12.75" hidden="false" customHeight="true" outlineLevel="0" collapsed="false"/>
    <row r="3610" customFormat="false" ht="12.75" hidden="false" customHeight="true" outlineLevel="0" collapsed="false"/>
    <row r="3611" customFormat="false" ht="12.75" hidden="false" customHeight="true" outlineLevel="0" collapsed="false"/>
    <row r="3612" customFormat="false" ht="12.75" hidden="false" customHeight="true" outlineLevel="0" collapsed="false"/>
    <row r="3613" customFormat="false" ht="12.75" hidden="false" customHeight="true" outlineLevel="0" collapsed="false"/>
    <row r="3614" customFormat="false" ht="12.75" hidden="false" customHeight="true" outlineLevel="0" collapsed="false"/>
    <row r="3615" customFormat="false" ht="12.75" hidden="false" customHeight="true" outlineLevel="0" collapsed="false"/>
    <row r="3616" customFormat="false" ht="12.75" hidden="false" customHeight="true" outlineLevel="0" collapsed="false"/>
    <row r="3617" customFormat="false" ht="12.75" hidden="false" customHeight="true" outlineLevel="0" collapsed="false"/>
    <row r="3618" customFormat="false" ht="12.75" hidden="false" customHeight="true" outlineLevel="0" collapsed="false"/>
    <row r="3619" customFormat="false" ht="12.75" hidden="false" customHeight="true" outlineLevel="0" collapsed="false"/>
    <row r="3620" customFormat="false" ht="12.75" hidden="false" customHeight="true" outlineLevel="0" collapsed="false"/>
    <row r="3621" customFormat="false" ht="12.75" hidden="false" customHeight="true" outlineLevel="0" collapsed="false"/>
    <row r="3622" customFormat="false" ht="12.75" hidden="false" customHeight="true" outlineLevel="0" collapsed="false"/>
    <row r="3623" customFormat="false" ht="12.75" hidden="false" customHeight="true" outlineLevel="0" collapsed="false"/>
    <row r="3624" customFormat="false" ht="12.75" hidden="false" customHeight="true" outlineLevel="0" collapsed="false"/>
    <row r="3625" customFormat="false" ht="12.75" hidden="false" customHeight="true" outlineLevel="0" collapsed="false"/>
    <row r="3626" customFormat="false" ht="12.75" hidden="false" customHeight="true" outlineLevel="0" collapsed="false"/>
    <row r="3627" customFormat="false" ht="12.75" hidden="false" customHeight="true" outlineLevel="0" collapsed="false"/>
    <row r="3628" customFormat="false" ht="12.75" hidden="false" customHeight="true" outlineLevel="0" collapsed="false"/>
    <row r="3629" customFormat="false" ht="12.75" hidden="false" customHeight="true" outlineLevel="0" collapsed="false"/>
    <row r="3630" customFormat="false" ht="12.75" hidden="false" customHeight="true" outlineLevel="0" collapsed="false"/>
    <row r="3631" customFormat="false" ht="12.75" hidden="false" customHeight="true" outlineLevel="0" collapsed="false"/>
    <row r="3632" customFormat="false" ht="12.75" hidden="false" customHeight="true" outlineLevel="0" collapsed="false"/>
    <row r="3633" customFormat="false" ht="12.75" hidden="false" customHeight="true" outlineLevel="0" collapsed="false"/>
    <row r="3634" customFormat="false" ht="12.75" hidden="false" customHeight="true" outlineLevel="0" collapsed="false"/>
    <row r="3635" customFormat="false" ht="12.75" hidden="false" customHeight="true" outlineLevel="0" collapsed="false"/>
    <row r="3636" customFormat="false" ht="12.75" hidden="false" customHeight="true" outlineLevel="0" collapsed="false"/>
    <row r="3637" customFormat="false" ht="12.75" hidden="false" customHeight="true" outlineLevel="0" collapsed="false"/>
    <row r="3638" customFormat="false" ht="12.75" hidden="false" customHeight="true" outlineLevel="0" collapsed="false"/>
    <row r="3639" customFormat="false" ht="12.75" hidden="false" customHeight="true" outlineLevel="0" collapsed="false"/>
    <row r="3640" customFormat="false" ht="12.75" hidden="false" customHeight="true" outlineLevel="0" collapsed="false"/>
    <row r="3641" customFormat="false" ht="12.75" hidden="false" customHeight="true" outlineLevel="0" collapsed="false"/>
    <row r="3642" customFormat="false" ht="12.75" hidden="false" customHeight="true" outlineLevel="0" collapsed="false"/>
    <row r="3643" customFormat="false" ht="12.75" hidden="false" customHeight="true" outlineLevel="0" collapsed="false"/>
    <row r="3644" customFormat="false" ht="12.75" hidden="false" customHeight="true" outlineLevel="0" collapsed="false"/>
    <row r="3645" customFormat="false" ht="12.75" hidden="false" customHeight="true" outlineLevel="0" collapsed="false"/>
    <row r="3646" customFormat="false" ht="12.75" hidden="false" customHeight="true" outlineLevel="0" collapsed="false"/>
    <row r="3647" customFormat="false" ht="12.75" hidden="false" customHeight="true" outlineLevel="0" collapsed="false"/>
    <row r="3648" customFormat="false" ht="12.75" hidden="false" customHeight="true" outlineLevel="0" collapsed="false"/>
    <row r="3649" customFormat="false" ht="12.75" hidden="false" customHeight="true" outlineLevel="0" collapsed="false"/>
    <row r="3650" customFormat="false" ht="12.75" hidden="false" customHeight="true" outlineLevel="0" collapsed="false"/>
    <row r="3651" customFormat="false" ht="12.75" hidden="false" customHeight="true" outlineLevel="0" collapsed="false"/>
    <row r="3652" customFormat="false" ht="12.75" hidden="false" customHeight="true" outlineLevel="0" collapsed="false"/>
    <row r="3653" customFormat="false" ht="12.75" hidden="false" customHeight="true" outlineLevel="0" collapsed="false"/>
    <row r="3654" customFormat="false" ht="12.75" hidden="false" customHeight="true" outlineLevel="0" collapsed="false"/>
    <row r="3655" customFormat="false" ht="12.75" hidden="false" customHeight="true" outlineLevel="0" collapsed="false"/>
    <row r="3656" customFormat="false" ht="12.75" hidden="false" customHeight="true" outlineLevel="0" collapsed="false"/>
    <row r="3657" customFormat="false" ht="12.75" hidden="false" customHeight="true" outlineLevel="0" collapsed="false"/>
    <row r="3658" customFormat="false" ht="12.75" hidden="false" customHeight="true" outlineLevel="0" collapsed="false"/>
    <row r="3659" customFormat="false" ht="12.75" hidden="false" customHeight="true" outlineLevel="0" collapsed="false"/>
    <row r="3660" customFormat="false" ht="12.75" hidden="false" customHeight="true" outlineLevel="0" collapsed="false"/>
    <row r="3661" customFormat="false" ht="12.75" hidden="false" customHeight="true" outlineLevel="0" collapsed="false"/>
    <row r="3662" customFormat="false" ht="12.75" hidden="false" customHeight="true" outlineLevel="0" collapsed="false"/>
    <row r="3663" customFormat="false" ht="12.75" hidden="false" customHeight="true" outlineLevel="0" collapsed="false"/>
    <row r="3664" customFormat="false" ht="12.75" hidden="false" customHeight="true" outlineLevel="0" collapsed="false"/>
    <row r="3665" customFormat="false" ht="12.75" hidden="false" customHeight="true" outlineLevel="0" collapsed="false"/>
    <row r="3666" customFormat="false" ht="12.75" hidden="false" customHeight="true" outlineLevel="0" collapsed="false"/>
    <row r="3667" customFormat="false" ht="12.75" hidden="false" customHeight="true" outlineLevel="0" collapsed="false"/>
    <row r="3668" customFormat="false" ht="12.75" hidden="false" customHeight="true" outlineLevel="0" collapsed="false"/>
    <row r="3669" customFormat="false" ht="12.75" hidden="false" customHeight="true" outlineLevel="0" collapsed="false"/>
    <row r="3670" customFormat="false" ht="12.75" hidden="false" customHeight="true" outlineLevel="0" collapsed="false"/>
    <row r="3671" customFormat="false" ht="12.75" hidden="false" customHeight="true" outlineLevel="0" collapsed="false"/>
    <row r="3672" customFormat="false" ht="12.75" hidden="false" customHeight="true" outlineLevel="0" collapsed="false"/>
    <row r="3673" customFormat="false" ht="12.75" hidden="false" customHeight="true" outlineLevel="0" collapsed="false"/>
    <row r="3674" customFormat="false" ht="12.75" hidden="false" customHeight="true" outlineLevel="0" collapsed="false"/>
    <row r="3675" customFormat="false" ht="12.75" hidden="false" customHeight="true" outlineLevel="0" collapsed="false"/>
    <row r="3676" customFormat="false" ht="12.75" hidden="false" customHeight="true" outlineLevel="0" collapsed="false"/>
    <row r="3677" customFormat="false" ht="12.75" hidden="false" customHeight="true" outlineLevel="0" collapsed="false"/>
    <row r="3678" customFormat="false" ht="12.75" hidden="false" customHeight="true" outlineLevel="0" collapsed="false"/>
    <row r="3679" customFormat="false" ht="12.75" hidden="false" customHeight="true" outlineLevel="0" collapsed="false"/>
    <row r="3680" customFormat="false" ht="12.75" hidden="false" customHeight="true" outlineLevel="0" collapsed="false"/>
    <row r="3681" customFormat="false" ht="12.75" hidden="false" customHeight="true" outlineLevel="0" collapsed="false"/>
    <row r="3682" customFormat="false" ht="12.75" hidden="false" customHeight="true" outlineLevel="0" collapsed="false"/>
    <row r="3683" customFormat="false" ht="12.75" hidden="false" customHeight="true" outlineLevel="0" collapsed="false"/>
    <row r="3684" customFormat="false" ht="12.75" hidden="false" customHeight="true" outlineLevel="0" collapsed="false"/>
    <row r="3685" customFormat="false" ht="12.75" hidden="false" customHeight="true" outlineLevel="0" collapsed="false"/>
    <row r="3686" customFormat="false" ht="12.75" hidden="false" customHeight="true" outlineLevel="0" collapsed="false"/>
    <row r="3687" customFormat="false" ht="12.75" hidden="false" customHeight="true" outlineLevel="0" collapsed="false"/>
    <row r="3688" customFormat="false" ht="12.75" hidden="false" customHeight="true" outlineLevel="0" collapsed="false"/>
    <row r="3689" customFormat="false" ht="12.75" hidden="false" customHeight="true" outlineLevel="0" collapsed="false"/>
    <row r="3690" customFormat="false" ht="12.75" hidden="false" customHeight="true" outlineLevel="0" collapsed="false"/>
    <row r="3691" customFormat="false" ht="12.75" hidden="false" customHeight="true" outlineLevel="0" collapsed="false"/>
    <row r="3692" customFormat="false" ht="12.75" hidden="false" customHeight="true" outlineLevel="0" collapsed="false"/>
    <row r="3693" customFormat="false" ht="12.75" hidden="false" customHeight="true" outlineLevel="0" collapsed="false"/>
    <row r="3694" customFormat="false" ht="12.75" hidden="false" customHeight="true" outlineLevel="0" collapsed="false"/>
    <row r="3695" customFormat="false" ht="12.75" hidden="false" customHeight="true" outlineLevel="0" collapsed="false"/>
    <row r="3696" customFormat="false" ht="12.75" hidden="false" customHeight="true" outlineLevel="0" collapsed="false"/>
    <row r="3697" customFormat="false" ht="12.75" hidden="false" customHeight="true" outlineLevel="0" collapsed="false"/>
    <row r="3698" customFormat="false" ht="12.75" hidden="false" customHeight="true" outlineLevel="0" collapsed="false"/>
    <row r="3699" customFormat="false" ht="12.75" hidden="false" customHeight="true" outlineLevel="0" collapsed="false"/>
    <row r="3700" customFormat="false" ht="12.75" hidden="false" customHeight="true" outlineLevel="0" collapsed="false"/>
    <row r="3701" customFormat="false" ht="12.75" hidden="false" customHeight="true" outlineLevel="0" collapsed="false"/>
    <row r="3702" customFormat="false" ht="12.75" hidden="false" customHeight="true" outlineLevel="0" collapsed="false"/>
    <row r="3703" customFormat="false" ht="12.75" hidden="false" customHeight="true" outlineLevel="0" collapsed="false"/>
    <row r="3704" customFormat="false" ht="12.75" hidden="false" customHeight="true" outlineLevel="0" collapsed="false"/>
    <row r="3705" customFormat="false" ht="12.75" hidden="false" customHeight="true" outlineLevel="0" collapsed="false"/>
    <row r="3706" customFormat="false" ht="12.75" hidden="false" customHeight="true" outlineLevel="0" collapsed="false"/>
    <row r="3707" customFormat="false" ht="12.75" hidden="false" customHeight="true" outlineLevel="0" collapsed="false"/>
    <row r="3708" customFormat="false" ht="12.75" hidden="false" customHeight="true" outlineLevel="0" collapsed="false"/>
    <row r="3709" customFormat="false" ht="12.75" hidden="false" customHeight="true" outlineLevel="0" collapsed="false"/>
    <row r="3710" customFormat="false" ht="12.75" hidden="false" customHeight="true" outlineLevel="0" collapsed="false"/>
    <row r="3711" customFormat="false" ht="12.75" hidden="false" customHeight="true" outlineLevel="0" collapsed="false"/>
    <row r="3712" customFormat="false" ht="12.75" hidden="false" customHeight="true" outlineLevel="0" collapsed="false"/>
    <row r="3713" customFormat="false" ht="12.75" hidden="false" customHeight="true" outlineLevel="0" collapsed="false"/>
    <row r="3714" customFormat="false" ht="12.75" hidden="false" customHeight="true" outlineLevel="0" collapsed="false"/>
    <row r="3715" customFormat="false" ht="12.75" hidden="false" customHeight="true" outlineLevel="0" collapsed="false"/>
    <row r="3716" customFormat="false" ht="12.75" hidden="false" customHeight="true" outlineLevel="0" collapsed="false"/>
    <row r="3717" customFormat="false" ht="12.75" hidden="false" customHeight="true" outlineLevel="0" collapsed="false"/>
    <row r="3718" customFormat="false" ht="12.75" hidden="false" customHeight="true" outlineLevel="0" collapsed="false"/>
    <row r="3719" customFormat="false" ht="12.75" hidden="false" customHeight="true" outlineLevel="0" collapsed="false"/>
    <row r="3720" customFormat="false" ht="12.75" hidden="false" customHeight="true" outlineLevel="0" collapsed="false"/>
    <row r="3721" customFormat="false" ht="12.75" hidden="false" customHeight="true" outlineLevel="0" collapsed="false"/>
    <row r="3722" customFormat="false" ht="12.75" hidden="false" customHeight="true" outlineLevel="0" collapsed="false"/>
    <row r="3723" customFormat="false" ht="12.75" hidden="false" customHeight="true" outlineLevel="0" collapsed="false"/>
    <row r="3724" customFormat="false" ht="12.75" hidden="false" customHeight="true" outlineLevel="0" collapsed="false"/>
    <row r="3725" customFormat="false" ht="12.75" hidden="false" customHeight="true" outlineLevel="0" collapsed="false"/>
    <row r="3726" customFormat="false" ht="12.75" hidden="false" customHeight="true" outlineLevel="0" collapsed="false"/>
    <row r="3727" customFormat="false" ht="12.75" hidden="false" customHeight="true" outlineLevel="0" collapsed="false"/>
    <row r="3728" customFormat="false" ht="12.75" hidden="false" customHeight="true" outlineLevel="0" collapsed="false"/>
    <row r="3729" customFormat="false" ht="12.75" hidden="false" customHeight="true" outlineLevel="0" collapsed="false"/>
    <row r="3730" customFormat="false" ht="12.75" hidden="false" customHeight="true" outlineLevel="0" collapsed="false"/>
    <row r="3731" customFormat="false" ht="12.75" hidden="false" customHeight="true" outlineLevel="0" collapsed="false"/>
    <row r="3732" customFormat="false" ht="12.75" hidden="false" customHeight="true" outlineLevel="0" collapsed="false"/>
    <row r="3733" customFormat="false" ht="12.75" hidden="false" customHeight="true" outlineLevel="0" collapsed="false"/>
    <row r="3734" customFormat="false" ht="12.75" hidden="false" customHeight="true" outlineLevel="0" collapsed="false"/>
    <row r="3735" customFormat="false" ht="12.75" hidden="false" customHeight="true" outlineLevel="0" collapsed="false"/>
    <row r="3736" customFormat="false" ht="12.75" hidden="false" customHeight="true" outlineLevel="0" collapsed="false"/>
    <row r="3737" customFormat="false" ht="12.75" hidden="false" customHeight="true" outlineLevel="0" collapsed="false"/>
    <row r="3738" customFormat="false" ht="12.75" hidden="false" customHeight="true" outlineLevel="0" collapsed="false"/>
    <row r="3739" customFormat="false" ht="12.75" hidden="false" customHeight="true" outlineLevel="0" collapsed="false"/>
    <row r="3740" customFormat="false" ht="12.75" hidden="false" customHeight="true" outlineLevel="0" collapsed="false"/>
    <row r="3741" customFormat="false" ht="12.75" hidden="false" customHeight="true" outlineLevel="0" collapsed="false"/>
    <row r="3742" customFormat="false" ht="12.75" hidden="false" customHeight="true" outlineLevel="0" collapsed="false"/>
    <row r="3743" customFormat="false" ht="12.75" hidden="false" customHeight="true" outlineLevel="0" collapsed="false"/>
    <row r="3744" customFormat="false" ht="12.75" hidden="false" customHeight="true" outlineLevel="0" collapsed="false"/>
    <row r="3745" customFormat="false" ht="12.75" hidden="false" customHeight="true" outlineLevel="0" collapsed="false"/>
    <row r="3746" customFormat="false" ht="12.75" hidden="false" customHeight="true" outlineLevel="0" collapsed="false"/>
    <row r="3747" customFormat="false" ht="12.75" hidden="false" customHeight="true" outlineLevel="0" collapsed="false"/>
    <row r="3748" customFormat="false" ht="12.75" hidden="false" customHeight="true" outlineLevel="0" collapsed="false"/>
    <row r="3749" customFormat="false" ht="12.75" hidden="false" customHeight="true" outlineLevel="0" collapsed="false"/>
    <row r="3750" customFormat="false" ht="12.75" hidden="false" customHeight="true" outlineLevel="0" collapsed="false"/>
    <row r="3751" customFormat="false" ht="12.75" hidden="false" customHeight="true" outlineLevel="0" collapsed="false"/>
    <row r="3752" customFormat="false" ht="12.75" hidden="false" customHeight="true" outlineLevel="0" collapsed="false"/>
    <row r="3753" customFormat="false" ht="12.75" hidden="false" customHeight="true" outlineLevel="0" collapsed="false"/>
    <row r="3754" customFormat="false" ht="12.75" hidden="false" customHeight="true" outlineLevel="0" collapsed="false"/>
    <row r="3755" customFormat="false" ht="12.75" hidden="false" customHeight="true" outlineLevel="0" collapsed="false"/>
    <row r="3756" customFormat="false" ht="12.75" hidden="false" customHeight="true" outlineLevel="0" collapsed="false"/>
    <row r="3757" customFormat="false" ht="12.75" hidden="false" customHeight="true" outlineLevel="0" collapsed="false"/>
    <row r="3758" customFormat="false" ht="12.75" hidden="false" customHeight="true" outlineLevel="0" collapsed="false"/>
    <row r="3759" customFormat="false" ht="12.75" hidden="false" customHeight="true" outlineLevel="0" collapsed="false"/>
    <row r="3760" customFormat="false" ht="12.75" hidden="false" customHeight="true" outlineLevel="0" collapsed="false"/>
    <row r="3761" customFormat="false" ht="12.75" hidden="false" customHeight="true" outlineLevel="0" collapsed="false"/>
    <row r="3762" customFormat="false" ht="12.75" hidden="false" customHeight="true" outlineLevel="0" collapsed="false"/>
    <row r="3763" customFormat="false" ht="12.75" hidden="false" customHeight="true" outlineLevel="0" collapsed="false"/>
    <row r="3764" customFormat="false" ht="12.75" hidden="false" customHeight="true" outlineLevel="0" collapsed="false"/>
    <row r="3765" customFormat="false" ht="12.75" hidden="false" customHeight="true" outlineLevel="0" collapsed="false"/>
    <row r="3766" customFormat="false" ht="12.75" hidden="false" customHeight="true" outlineLevel="0" collapsed="false"/>
    <row r="3767" customFormat="false" ht="12.75" hidden="false" customHeight="true" outlineLevel="0" collapsed="false"/>
    <row r="3768" customFormat="false" ht="12.75" hidden="false" customHeight="true" outlineLevel="0" collapsed="false"/>
    <row r="3769" customFormat="false" ht="12.75" hidden="false" customHeight="true" outlineLevel="0" collapsed="false"/>
    <row r="3770" customFormat="false" ht="12.75" hidden="false" customHeight="true" outlineLevel="0" collapsed="false"/>
    <row r="3771" customFormat="false" ht="12.75" hidden="false" customHeight="true" outlineLevel="0" collapsed="false"/>
    <row r="3772" customFormat="false" ht="12.75" hidden="false" customHeight="true" outlineLevel="0" collapsed="false"/>
    <row r="3773" customFormat="false" ht="12.75" hidden="false" customHeight="true" outlineLevel="0" collapsed="false"/>
    <row r="3774" customFormat="false" ht="12.75" hidden="false" customHeight="true" outlineLevel="0" collapsed="false"/>
    <row r="3775" customFormat="false" ht="12.75" hidden="false" customHeight="true" outlineLevel="0" collapsed="false"/>
    <row r="3776" customFormat="false" ht="12.75" hidden="false" customHeight="true" outlineLevel="0" collapsed="false"/>
    <row r="3777" customFormat="false" ht="12.75" hidden="false" customHeight="true" outlineLevel="0" collapsed="false"/>
    <row r="3778" customFormat="false" ht="12.75" hidden="false" customHeight="true" outlineLevel="0" collapsed="false"/>
    <row r="3779" customFormat="false" ht="12.75" hidden="false" customHeight="true" outlineLevel="0" collapsed="false"/>
    <row r="3780" customFormat="false" ht="12.75" hidden="false" customHeight="true" outlineLevel="0" collapsed="false"/>
    <row r="3781" customFormat="false" ht="12.75" hidden="false" customHeight="true" outlineLevel="0" collapsed="false"/>
    <row r="3782" customFormat="false" ht="12.75" hidden="false" customHeight="true" outlineLevel="0" collapsed="false"/>
    <row r="3783" customFormat="false" ht="12.75" hidden="false" customHeight="true" outlineLevel="0" collapsed="false"/>
    <row r="3784" customFormat="false" ht="12.75" hidden="false" customHeight="true" outlineLevel="0" collapsed="false"/>
    <row r="3785" customFormat="false" ht="12.75" hidden="false" customHeight="true" outlineLevel="0" collapsed="false"/>
    <row r="3786" customFormat="false" ht="12.75" hidden="false" customHeight="true" outlineLevel="0" collapsed="false"/>
    <row r="3787" customFormat="false" ht="12.75" hidden="false" customHeight="true" outlineLevel="0" collapsed="false"/>
    <row r="3788" customFormat="false" ht="12.75" hidden="false" customHeight="true" outlineLevel="0" collapsed="false"/>
    <row r="3789" customFormat="false" ht="12.75" hidden="false" customHeight="true" outlineLevel="0" collapsed="false"/>
    <row r="3790" customFormat="false" ht="12.75" hidden="false" customHeight="true" outlineLevel="0" collapsed="false"/>
    <row r="3791" customFormat="false" ht="12.75" hidden="false" customHeight="true" outlineLevel="0" collapsed="false"/>
    <row r="3792" customFormat="false" ht="12.75" hidden="false" customHeight="true" outlineLevel="0" collapsed="false"/>
    <row r="3793" customFormat="false" ht="12.75" hidden="false" customHeight="true" outlineLevel="0" collapsed="false"/>
    <row r="3794" customFormat="false" ht="12.75" hidden="false" customHeight="true" outlineLevel="0" collapsed="false"/>
    <row r="3795" customFormat="false" ht="12.75" hidden="false" customHeight="true" outlineLevel="0" collapsed="false"/>
    <row r="3796" customFormat="false" ht="12.75" hidden="false" customHeight="true" outlineLevel="0" collapsed="false"/>
    <row r="3797" customFormat="false" ht="12.75" hidden="false" customHeight="true" outlineLevel="0" collapsed="false"/>
    <row r="3798" customFormat="false" ht="12.75" hidden="false" customHeight="true" outlineLevel="0" collapsed="false"/>
    <row r="3799" customFormat="false" ht="12.75" hidden="false" customHeight="true" outlineLevel="0" collapsed="false"/>
    <row r="3800" customFormat="false" ht="12.75" hidden="false" customHeight="true" outlineLevel="0" collapsed="false"/>
    <row r="3801" customFormat="false" ht="12.75" hidden="false" customHeight="true" outlineLevel="0" collapsed="false"/>
    <row r="3802" customFormat="false" ht="12.75" hidden="false" customHeight="true" outlineLevel="0" collapsed="false"/>
    <row r="3803" customFormat="false" ht="12.75" hidden="false" customHeight="true" outlineLevel="0" collapsed="false"/>
    <row r="3804" customFormat="false" ht="12.75" hidden="false" customHeight="true" outlineLevel="0" collapsed="false"/>
    <row r="3805" customFormat="false" ht="12.75" hidden="false" customHeight="true" outlineLevel="0" collapsed="false"/>
    <row r="3806" customFormat="false" ht="12.75" hidden="false" customHeight="true" outlineLevel="0" collapsed="false"/>
    <row r="3807" customFormat="false" ht="12.75" hidden="false" customHeight="true" outlineLevel="0" collapsed="false"/>
    <row r="3808" customFormat="false" ht="12.75" hidden="false" customHeight="true" outlineLevel="0" collapsed="false"/>
    <row r="3809" customFormat="false" ht="12.75" hidden="false" customHeight="true" outlineLevel="0" collapsed="false"/>
    <row r="3810" customFormat="false" ht="12.75" hidden="false" customHeight="true" outlineLevel="0" collapsed="false"/>
    <row r="3811" customFormat="false" ht="12.75" hidden="false" customHeight="true" outlineLevel="0" collapsed="false"/>
    <row r="3812" customFormat="false" ht="12.75" hidden="false" customHeight="true" outlineLevel="0" collapsed="false"/>
    <row r="3813" customFormat="false" ht="12.75" hidden="false" customHeight="true" outlineLevel="0" collapsed="false"/>
    <row r="3814" customFormat="false" ht="12.75" hidden="false" customHeight="true" outlineLevel="0" collapsed="false"/>
    <row r="3815" customFormat="false" ht="12.75" hidden="false" customHeight="true" outlineLevel="0" collapsed="false"/>
    <row r="3816" customFormat="false" ht="12.75" hidden="false" customHeight="true" outlineLevel="0" collapsed="false"/>
    <row r="3817" customFormat="false" ht="12.75" hidden="false" customHeight="true" outlineLevel="0" collapsed="false"/>
    <row r="3818" customFormat="false" ht="12.75" hidden="false" customHeight="true" outlineLevel="0" collapsed="false"/>
    <row r="3819" customFormat="false" ht="12.75" hidden="false" customHeight="true" outlineLevel="0" collapsed="false"/>
    <row r="3820" customFormat="false" ht="12.75" hidden="false" customHeight="true" outlineLevel="0" collapsed="false"/>
    <row r="3821" customFormat="false" ht="12.75" hidden="false" customHeight="true" outlineLevel="0" collapsed="false"/>
    <row r="3822" customFormat="false" ht="12.75" hidden="false" customHeight="true" outlineLevel="0" collapsed="false"/>
    <row r="3823" customFormat="false" ht="12.75" hidden="false" customHeight="true" outlineLevel="0" collapsed="false"/>
    <row r="3824" customFormat="false" ht="12.75" hidden="false" customHeight="true" outlineLevel="0" collapsed="false"/>
    <row r="3825" customFormat="false" ht="12.75" hidden="false" customHeight="true" outlineLevel="0" collapsed="false"/>
    <row r="3826" customFormat="false" ht="12.75" hidden="false" customHeight="true" outlineLevel="0" collapsed="false"/>
    <row r="3827" customFormat="false" ht="12.75" hidden="false" customHeight="true" outlineLevel="0" collapsed="false"/>
    <row r="3828" customFormat="false" ht="12.75" hidden="false" customHeight="true" outlineLevel="0" collapsed="false"/>
    <row r="3829" customFormat="false" ht="12.75" hidden="false" customHeight="true" outlineLevel="0" collapsed="false"/>
    <row r="3830" customFormat="false" ht="12.75" hidden="false" customHeight="true" outlineLevel="0" collapsed="false"/>
    <row r="3831" customFormat="false" ht="12.75" hidden="false" customHeight="true" outlineLevel="0" collapsed="false"/>
    <row r="3832" customFormat="false" ht="12.75" hidden="false" customHeight="true" outlineLevel="0" collapsed="false"/>
    <row r="3833" customFormat="false" ht="12.75" hidden="false" customHeight="true" outlineLevel="0" collapsed="false"/>
    <row r="3834" customFormat="false" ht="12.75" hidden="false" customHeight="true" outlineLevel="0" collapsed="false"/>
    <row r="3835" customFormat="false" ht="12.75" hidden="false" customHeight="true" outlineLevel="0" collapsed="false"/>
    <row r="3836" customFormat="false" ht="12.75" hidden="false" customHeight="true" outlineLevel="0" collapsed="false"/>
    <row r="3837" customFormat="false" ht="12.75" hidden="false" customHeight="true" outlineLevel="0" collapsed="false"/>
    <row r="3838" customFormat="false" ht="12.75" hidden="false" customHeight="true" outlineLevel="0" collapsed="false"/>
    <row r="3839" customFormat="false" ht="12.75" hidden="false" customHeight="true" outlineLevel="0" collapsed="false"/>
    <row r="3840" customFormat="false" ht="12.75" hidden="false" customHeight="true" outlineLevel="0" collapsed="false"/>
    <row r="3841" customFormat="false" ht="12.75" hidden="false" customHeight="true" outlineLevel="0" collapsed="false"/>
    <row r="3842" customFormat="false" ht="12.75" hidden="false" customHeight="true" outlineLevel="0" collapsed="false"/>
    <row r="3843" customFormat="false" ht="12.75" hidden="false" customHeight="true" outlineLevel="0" collapsed="false"/>
    <row r="3844" customFormat="false" ht="12.75" hidden="false" customHeight="true" outlineLevel="0" collapsed="false"/>
    <row r="3845" customFormat="false" ht="12.75" hidden="false" customHeight="true" outlineLevel="0" collapsed="false"/>
    <row r="3846" customFormat="false" ht="12.75" hidden="false" customHeight="true" outlineLevel="0" collapsed="false"/>
    <row r="3847" customFormat="false" ht="12.75" hidden="false" customHeight="true" outlineLevel="0" collapsed="false"/>
    <row r="3848" customFormat="false" ht="12.75" hidden="false" customHeight="true" outlineLevel="0" collapsed="false"/>
    <row r="3849" customFormat="false" ht="12.75" hidden="false" customHeight="true" outlineLevel="0" collapsed="false"/>
    <row r="3850" customFormat="false" ht="12.75" hidden="false" customHeight="true" outlineLevel="0" collapsed="false"/>
    <row r="3851" customFormat="false" ht="12.75" hidden="false" customHeight="true" outlineLevel="0" collapsed="false"/>
    <row r="3852" customFormat="false" ht="12.75" hidden="false" customHeight="true" outlineLevel="0" collapsed="false"/>
    <row r="3853" customFormat="false" ht="12.75" hidden="false" customHeight="true" outlineLevel="0" collapsed="false"/>
    <row r="3854" customFormat="false" ht="12.75" hidden="false" customHeight="true" outlineLevel="0" collapsed="false"/>
    <row r="3855" customFormat="false" ht="12.75" hidden="false" customHeight="true" outlineLevel="0" collapsed="false"/>
    <row r="3856" customFormat="false" ht="12.75" hidden="false" customHeight="true" outlineLevel="0" collapsed="false"/>
    <row r="3857" customFormat="false" ht="12.75" hidden="false" customHeight="true" outlineLevel="0" collapsed="false"/>
    <row r="3858" customFormat="false" ht="12.75" hidden="false" customHeight="true" outlineLevel="0" collapsed="false"/>
    <row r="3859" customFormat="false" ht="12.75" hidden="false" customHeight="true" outlineLevel="0" collapsed="false"/>
    <row r="3860" customFormat="false" ht="12.75" hidden="false" customHeight="true" outlineLevel="0" collapsed="false"/>
    <row r="3861" customFormat="false" ht="12.75" hidden="false" customHeight="true" outlineLevel="0" collapsed="false"/>
    <row r="3862" customFormat="false" ht="12.75" hidden="false" customHeight="true" outlineLevel="0" collapsed="false"/>
    <row r="3863" customFormat="false" ht="12.75" hidden="false" customHeight="true" outlineLevel="0" collapsed="false"/>
    <row r="3864" customFormat="false" ht="12.75" hidden="false" customHeight="true" outlineLevel="0" collapsed="false"/>
    <row r="3865" customFormat="false" ht="12.75" hidden="false" customHeight="true" outlineLevel="0" collapsed="false"/>
    <row r="3866" customFormat="false" ht="12.75" hidden="false" customHeight="true" outlineLevel="0" collapsed="false"/>
    <row r="3867" customFormat="false" ht="12.75" hidden="false" customHeight="true" outlineLevel="0" collapsed="false"/>
    <row r="3868" customFormat="false" ht="12.75" hidden="false" customHeight="true" outlineLevel="0" collapsed="false"/>
    <row r="3869" customFormat="false" ht="12.75" hidden="false" customHeight="true" outlineLevel="0" collapsed="false"/>
    <row r="3870" customFormat="false" ht="12.75" hidden="false" customHeight="true" outlineLevel="0" collapsed="false"/>
    <row r="3871" customFormat="false" ht="12.75" hidden="false" customHeight="true" outlineLevel="0" collapsed="false"/>
    <row r="3872" customFormat="false" ht="12.75" hidden="false" customHeight="true" outlineLevel="0" collapsed="false"/>
    <row r="3873" customFormat="false" ht="12.75" hidden="false" customHeight="true" outlineLevel="0" collapsed="false"/>
    <row r="3874" customFormat="false" ht="12.75" hidden="false" customHeight="true" outlineLevel="0" collapsed="false"/>
    <row r="3875" customFormat="false" ht="12.75" hidden="false" customHeight="true" outlineLevel="0" collapsed="false"/>
    <row r="3876" customFormat="false" ht="12.75" hidden="false" customHeight="true" outlineLevel="0" collapsed="false"/>
    <row r="3877" customFormat="false" ht="12.75" hidden="false" customHeight="true" outlineLevel="0" collapsed="false"/>
    <row r="3878" customFormat="false" ht="12.75" hidden="false" customHeight="true" outlineLevel="0" collapsed="false"/>
    <row r="3879" customFormat="false" ht="12.75" hidden="false" customHeight="true" outlineLevel="0" collapsed="false"/>
    <row r="3880" customFormat="false" ht="12.75" hidden="false" customHeight="true" outlineLevel="0" collapsed="false"/>
    <row r="3881" customFormat="false" ht="12.75" hidden="false" customHeight="true" outlineLevel="0" collapsed="false"/>
    <row r="3882" customFormat="false" ht="12.75" hidden="false" customHeight="true" outlineLevel="0" collapsed="false"/>
    <row r="3883" customFormat="false" ht="12.75" hidden="false" customHeight="true" outlineLevel="0" collapsed="false"/>
    <row r="3884" customFormat="false" ht="12.75" hidden="false" customHeight="true" outlineLevel="0" collapsed="false"/>
    <row r="3885" customFormat="false" ht="12.75" hidden="false" customHeight="true" outlineLevel="0" collapsed="false"/>
    <row r="3886" customFormat="false" ht="12.75" hidden="false" customHeight="true" outlineLevel="0" collapsed="false"/>
    <row r="3887" customFormat="false" ht="12.75" hidden="false" customHeight="true" outlineLevel="0" collapsed="false"/>
    <row r="3888" customFormat="false" ht="12.75" hidden="false" customHeight="true" outlineLevel="0" collapsed="false"/>
    <row r="3889" customFormat="false" ht="12.75" hidden="false" customHeight="true" outlineLevel="0" collapsed="false"/>
    <row r="3890" customFormat="false" ht="12.75" hidden="false" customHeight="true" outlineLevel="0" collapsed="false"/>
    <row r="3891" customFormat="false" ht="12.75" hidden="false" customHeight="true" outlineLevel="0" collapsed="false"/>
    <row r="3892" customFormat="false" ht="12.75" hidden="false" customHeight="true" outlineLevel="0" collapsed="false"/>
    <row r="3893" customFormat="false" ht="12.75" hidden="false" customHeight="true" outlineLevel="0" collapsed="false"/>
    <row r="3894" customFormat="false" ht="12.75" hidden="false" customHeight="true" outlineLevel="0" collapsed="false"/>
    <row r="3895" customFormat="false" ht="12.75" hidden="false" customHeight="true" outlineLevel="0" collapsed="false"/>
    <row r="3896" customFormat="false" ht="12.75" hidden="false" customHeight="true" outlineLevel="0" collapsed="false"/>
    <row r="3897" customFormat="false" ht="12.75" hidden="false" customHeight="true" outlineLevel="0" collapsed="false"/>
    <row r="3898" customFormat="false" ht="12.75" hidden="false" customHeight="true" outlineLevel="0" collapsed="false"/>
    <row r="3899" customFormat="false" ht="12.75" hidden="false" customHeight="true" outlineLevel="0" collapsed="false"/>
    <row r="3900" customFormat="false" ht="12.75" hidden="false" customHeight="true" outlineLevel="0" collapsed="false"/>
    <row r="3901" customFormat="false" ht="12.75" hidden="false" customHeight="true" outlineLevel="0" collapsed="false"/>
    <row r="3902" customFormat="false" ht="12.75" hidden="false" customHeight="true" outlineLevel="0" collapsed="false"/>
    <row r="3903" customFormat="false" ht="12.75" hidden="false" customHeight="true" outlineLevel="0" collapsed="false"/>
    <row r="3904" customFormat="false" ht="12.75" hidden="false" customHeight="true" outlineLevel="0" collapsed="false"/>
    <row r="3905" customFormat="false" ht="12.75" hidden="false" customHeight="true" outlineLevel="0" collapsed="false"/>
    <row r="3906" customFormat="false" ht="12.75" hidden="false" customHeight="true" outlineLevel="0" collapsed="false"/>
    <row r="3907" customFormat="false" ht="12.75" hidden="false" customHeight="true" outlineLevel="0" collapsed="false"/>
    <row r="3908" customFormat="false" ht="12.75" hidden="false" customHeight="true" outlineLevel="0" collapsed="false"/>
    <row r="3909" customFormat="false" ht="12.75" hidden="false" customHeight="true" outlineLevel="0" collapsed="false"/>
    <row r="3910" customFormat="false" ht="12.75" hidden="false" customHeight="true" outlineLevel="0" collapsed="false"/>
    <row r="3911" customFormat="false" ht="12.75" hidden="false" customHeight="true" outlineLevel="0" collapsed="false"/>
    <row r="3912" customFormat="false" ht="12.75" hidden="false" customHeight="true" outlineLevel="0" collapsed="false"/>
    <row r="3913" customFormat="false" ht="12.75" hidden="false" customHeight="true" outlineLevel="0" collapsed="false"/>
    <row r="3914" customFormat="false" ht="12.75" hidden="false" customHeight="true" outlineLevel="0" collapsed="false"/>
    <row r="3915" customFormat="false" ht="12.75" hidden="false" customHeight="true" outlineLevel="0" collapsed="false"/>
    <row r="3916" customFormat="false" ht="12.75" hidden="false" customHeight="true" outlineLevel="0" collapsed="false"/>
    <row r="3917" customFormat="false" ht="12.75" hidden="false" customHeight="true" outlineLevel="0" collapsed="false"/>
    <row r="3918" customFormat="false" ht="12.75" hidden="false" customHeight="true" outlineLevel="0" collapsed="false"/>
    <row r="3919" customFormat="false" ht="12.75" hidden="false" customHeight="true" outlineLevel="0" collapsed="false"/>
    <row r="3920" customFormat="false" ht="12.75" hidden="false" customHeight="true" outlineLevel="0" collapsed="false"/>
    <row r="3921" customFormat="false" ht="12.75" hidden="false" customHeight="true" outlineLevel="0" collapsed="false"/>
    <row r="3922" customFormat="false" ht="12.75" hidden="false" customHeight="true" outlineLevel="0" collapsed="false"/>
    <row r="3923" customFormat="false" ht="12.75" hidden="false" customHeight="true" outlineLevel="0" collapsed="false"/>
    <row r="3924" customFormat="false" ht="12.75" hidden="false" customHeight="true" outlineLevel="0" collapsed="false"/>
    <row r="3925" customFormat="false" ht="12.75" hidden="false" customHeight="true" outlineLevel="0" collapsed="false"/>
    <row r="3926" customFormat="false" ht="12.75" hidden="false" customHeight="true" outlineLevel="0" collapsed="false"/>
    <row r="3927" customFormat="false" ht="12.75" hidden="false" customHeight="true" outlineLevel="0" collapsed="false"/>
    <row r="3928" customFormat="false" ht="12.75" hidden="false" customHeight="true" outlineLevel="0" collapsed="false"/>
    <row r="3929" customFormat="false" ht="12.75" hidden="false" customHeight="true" outlineLevel="0" collapsed="false"/>
    <row r="3930" customFormat="false" ht="12.75" hidden="false" customHeight="true" outlineLevel="0" collapsed="false"/>
    <row r="3931" customFormat="false" ht="12.75" hidden="false" customHeight="true" outlineLevel="0" collapsed="false"/>
    <row r="3932" customFormat="false" ht="12.75" hidden="false" customHeight="true" outlineLevel="0" collapsed="false"/>
    <row r="3933" customFormat="false" ht="12.75" hidden="false" customHeight="true" outlineLevel="0" collapsed="false"/>
    <row r="3934" customFormat="false" ht="12.75" hidden="false" customHeight="true" outlineLevel="0" collapsed="false"/>
    <row r="3935" customFormat="false" ht="12.75" hidden="false" customHeight="true" outlineLevel="0" collapsed="false"/>
    <row r="3936" customFormat="false" ht="12.75" hidden="false" customHeight="true" outlineLevel="0" collapsed="false"/>
    <row r="3937" customFormat="false" ht="12.75" hidden="false" customHeight="true" outlineLevel="0" collapsed="false"/>
    <row r="3938" customFormat="false" ht="12.75" hidden="false" customHeight="true" outlineLevel="0" collapsed="false"/>
    <row r="3939" customFormat="false" ht="12.75" hidden="false" customHeight="true" outlineLevel="0" collapsed="false"/>
    <row r="3940" customFormat="false" ht="12.75" hidden="false" customHeight="true" outlineLevel="0" collapsed="false"/>
    <row r="3941" customFormat="false" ht="12.75" hidden="false" customHeight="true" outlineLevel="0" collapsed="false"/>
    <row r="3942" customFormat="false" ht="12.75" hidden="false" customHeight="true" outlineLevel="0" collapsed="false"/>
    <row r="3943" customFormat="false" ht="12.75" hidden="false" customHeight="true" outlineLevel="0" collapsed="false"/>
    <row r="3944" customFormat="false" ht="12.75" hidden="false" customHeight="true" outlineLevel="0" collapsed="false"/>
    <row r="3945" customFormat="false" ht="12.75" hidden="false" customHeight="true" outlineLevel="0" collapsed="false"/>
    <row r="3946" customFormat="false" ht="12.75" hidden="false" customHeight="true" outlineLevel="0" collapsed="false"/>
    <row r="3947" customFormat="false" ht="12.75" hidden="false" customHeight="true" outlineLevel="0" collapsed="false"/>
    <row r="3948" customFormat="false" ht="12.75" hidden="false" customHeight="true" outlineLevel="0" collapsed="false"/>
    <row r="3949" customFormat="false" ht="12.75" hidden="false" customHeight="true" outlineLevel="0" collapsed="false"/>
    <row r="3950" customFormat="false" ht="12.75" hidden="false" customHeight="true" outlineLevel="0" collapsed="false"/>
    <row r="3951" customFormat="false" ht="12.75" hidden="false" customHeight="true" outlineLevel="0" collapsed="false"/>
    <row r="3952" customFormat="false" ht="12.75" hidden="false" customHeight="true" outlineLevel="0" collapsed="false"/>
    <row r="3953" customFormat="false" ht="12.75" hidden="false" customHeight="true" outlineLevel="0" collapsed="false"/>
    <row r="3954" customFormat="false" ht="12.75" hidden="false" customHeight="true" outlineLevel="0" collapsed="false"/>
    <row r="3955" customFormat="false" ht="12.75" hidden="false" customHeight="true" outlineLevel="0" collapsed="false"/>
    <row r="3956" customFormat="false" ht="12.75" hidden="false" customHeight="true" outlineLevel="0" collapsed="false"/>
    <row r="3957" customFormat="false" ht="12.75" hidden="false" customHeight="true" outlineLevel="0" collapsed="false"/>
    <row r="3958" customFormat="false" ht="12.75" hidden="false" customHeight="true" outlineLevel="0" collapsed="false"/>
    <row r="3959" customFormat="false" ht="12.75" hidden="false" customHeight="true" outlineLevel="0" collapsed="false"/>
    <row r="3960" customFormat="false" ht="12.75" hidden="false" customHeight="true" outlineLevel="0" collapsed="false"/>
    <row r="3961" customFormat="false" ht="12.75" hidden="false" customHeight="true" outlineLevel="0" collapsed="false"/>
    <row r="3962" customFormat="false" ht="12.75" hidden="false" customHeight="true" outlineLevel="0" collapsed="false"/>
    <row r="3963" customFormat="false" ht="12.75" hidden="false" customHeight="true" outlineLevel="0" collapsed="false"/>
    <row r="3964" customFormat="false" ht="12.75" hidden="false" customHeight="true" outlineLevel="0" collapsed="false"/>
    <row r="3965" customFormat="false" ht="12.75" hidden="false" customHeight="true" outlineLevel="0" collapsed="false"/>
    <row r="3966" customFormat="false" ht="12.75" hidden="false" customHeight="true" outlineLevel="0" collapsed="false"/>
    <row r="3967" customFormat="false" ht="12.75" hidden="false" customHeight="true" outlineLevel="0" collapsed="false"/>
    <row r="3968" customFormat="false" ht="12.75" hidden="false" customHeight="true" outlineLevel="0" collapsed="false"/>
    <row r="3969" customFormat="false" ht="12.75" hidden="false" customHeight="true" outlineLevel="0" collapsed="false"/>
    <row r="3970" customFormat="false" ht="12.75" hidden="false" customHeight="true" outlineLevel="0" collapsed="false"/>
    <row r="3971" customFormat="false" ht="12.75" hidden="false" customHeight="true" outlineLevel="0" collapsed="false"/>
    <row r="3972" customFormat="false" ht="12.75" hidden="false" customHeight="true" outlineLevel="0" collapsed="false"/>
    <row r="3973" customFormat="false" ht="12.75" hidden="false" customHeight="true" outlineLevel="0" collapsed="false"/>
    <row r="3974" customFormat="false" ht="12.75" hidden="false" customHeight="true" outlineLevel="0" collapsed="false"/>
    <row r="3975" customFormat="false" ht="12.75" hidden="false" customHeight="true" outlineLevel="0" collapsed="false"/>
    <row r="3976" customFormat="false" ht="12.75" hidden="false" customHeight="true" outlineLevel="0" collapsed="false"/>
    <row r="3977" customFormat="false" ht="12.75" hidden="false" customHeight="true" outlineLevel="0" collapsed="false"/>
    <row r="3978" customFormat="false" ht="12.75" hidden="false" customHeight="true" outlineLevel="0" collapsed="false"/>
    <row r="3979" customFormat="false" ht="12.75" hidden="false" customHeight="true" outlineLevel="0" collapsed="false"/>
    <row r="3980" customFormat="false" ht="12.75" hidden="false" customHeight="true" outlineLevel="0" collapsed="false"/>
    <row r="3981" customFormat="false" ht="12.75" hidden="false" customHeight="true" outlineLevel="0" collapsed="false"/>
    <row r="3982" customFormat="false" ht="12.75" hidden="false" customHeight="true" outlineLevel="0" collapsed="false"/>
    <row r="3983" customFormat="false" ht="12.75" hidden="false" customHeight="true" outlineLevel="0" collapsed="false"/>
    <row r="3984" customFormat="false" ht="12.75" hidden="false" customHeight="true" outlineLevel="0" collapsed="false"/>
    <row r="3985" customFormat="false" ht="12.75" hidden="false" customHeight="true" outlineLevel="0" collapsed="false"/>
    <row r="3986" customFormat="false" ht="12.75" hidden="false" customHeight="true" outlineLevel="0" collapsed="false"/>
    <row r="3987" customFormat="false" ht="12.75" hidden="false" customHeight="true" outlineLevel="0" collapsed="false"/>
    <row r="3988" customFormat="false" ht="12.75" hidden="false" customHeight="true" outlineLevel="0" collapsed="false"/>
    <row r="3989" customFormat="false" ht="12.75" hidden="false" customHeight="true" outlineLevel="0" collapsed="false"/>
    <row r="3990" customFormat="false" ht="12.75" hidden="false" customHeight="true" outlineLevel="0" collapsed="false"/>
    <row r="3991" customFormat="false" ht="12.75" hidden="false" customHeight="true" outlineLevel="0" collapsed="false"/>
    <row r="3992" customFormat="false" ht="12.75" hidden="false" customHeight="true" outlineLevel="0" collapsed="false"/>
    <row r="3993" customFormat="false" ht="12.75" hidden="false" customHeight="true" outlineLevel="0" collapsed="false"/>
    <row r="3994" customFormat="false" ht="12.75" hidden="false" customHeight="true" outlineLevel="0" collapsed="false"/>
    <row r="3995" customFormat="false" ht="12.75" hidden="false" customHeight="true" outlineLevel="0" collapsed="false"/>
    <row r="3996" customFormat="false" ht="12.75" hidden="false" customHeight="true" outlineLevel="0" collapsed="false"/>
    <row r="3997" customFormat="false" ht="12.75" hidden="false" customHeight="true" outlineLevel="0" collapsed="false"/>
    <row r="3998" customFormat="false" ht="12.75" hidden="false" customHeight="true" outlineLevel="0" collapsed="false"/>
    <row r="3999" customFormat="false" ht="12.75" hidden="false" customHeight="true" outlineLevel="0" collapsed="false"/>
    <row r="4000" customFormat="false" ht="12.75" hidden="false" customHeight="true" outlineLevel="0" collapsed="false"/>
    <row r="4001" customFormat="false" ht="12.75" hidden="false" customHeight="true" outlineLevel="0" collapsed="false"/>
    <row r="4002" customFormat="false" ht="12.75" hidden="false" customHeight="true" outlineLevel="0" collapsed="false"/>
    <row r="4003" customFormat="false" ht="12.75" hidden="false" customHeight="true" outlineLevel="0" collapsed="false"/>
    <row r="4004" customFormat="false" ht="12.75" hidden="false" customHeight="true" outlineLevel="0" collapsed="false"/>
    <row r="4005" customFormat="false" ht="12.75" hidden="false" customHeight="true" outlineLevel="0" collapsed="false"/>
    <row r="4006" customFormat="false" ht="12.75" hidden="false" customHeight="true" outlineLevel="0" collapsed="false"/>
    <row r="4007" customFormat="false" ht="12.75" hidden="false" customHeight="true" outlineLevel="0" collapsed="false"/>
    <row r="4008" customFormat="false" ht="12.75" hidden="false" customHeight="true" outlineLevel="0" collapsed="false"/>
    <row r="4009" customFormat="false" ht="12.75" hidden="false" customHeight="true" outlineLevel="0" collapsed="false"/>
    <row r="4010" customFormat="false" ht="12.75" hidden="false" customHeight="true" outlineLevel="0" collapsed="false"/>
    <row r="4011" customFormat="false" ht="12.75" hidden="false" customHeight="true" outlineLevel="0" collapsed="false"/>
    <row r="4012" customFormat="false" ht="12.75" hidden="false" customHeight="true" outlineLevel="0" collapsed="false"/>
    <row r="4013" customFormat="false" ht="12.75" hidden="false" customHeight="true" outlineLevel="0" collapsed="false"/>
    <row r="4014" customFormat="false" ht="12.75" hidden="false" customHeight="true" outlineLevel="0" collapsed="false"/>
    <row r="4015" customFormat="false" ht="12.75" hidden="false" customHeight="true" outlineLevel="0" collapsed="false"/>
    <row r="4016" customFormat="false" ht="12.75" hidden="false" customHeight="true" outlineLevel="0" collapsed="false"/>
    <row r="4017" customFormat="false" ht="12.75" hidden="false" customHeight="true" outlineLevel="0" collapsed="false"/>
    <row r="4018" customFormat="false" ht="12.75" hidden="false" customHeight="true" outlineLevel="0" collapsed="false"/>
    <row r="4019" customFormat="false" ht="12.75" hidden="false" customHeight="true" outlineLevel="0" collapsed="false"/>
    <row r="4020" customFormat="false" ht="12.75" hidden="false" customHeight="true" outlineLevel="0" collapsed="false"/>
    <row r="4021" customFormat="false" ht="12.75" hidden="false" customHeight="true" outlineLevel="0" collapsed="false"/>
    <row r="4022" customFormat="false" ht="12.75" hidden="false" customHeight="true" outlineLevel="0" collapsed="false"/>
    <row r="4023" customFormat="false" ht="12.75" hidden="false" customHeight="true" outlineLevel="0" collapsed="false"/>
    <row r="4024" customFormat="false" ht="12.75" hidden="false" customHeight="true" outlineLevel="0" collapsed="false"/>
    <row r="4025" customFormat="false" ht="12.75" hidden="false" customHeight="true" outlineLevel="0" collapsed="false"/>
    <row r="4026" customFormat="false" ht="12.75" hidden="false" customHeight="true" outlineLevel="0" collapsed="false"/>
    <row r="4027" customFormat="false" ht="12.75" hidden="false" customHeight="true" outlineLevel="0" collapsed="false"/>
    <row r="4028" customFormat="false" ht="12.75" hidden="false" customHeight="true" outlineLevel="0" collapsed="false"/>
    <row r="4029" customFormat="false" ht="12.75" hidden="false" customHeight="true" outlineLevel="0" collapsed="false"/>
    <row r="4030" customFormat="false" ht="12.75" hidden="false" customHeight="true" outlineLevel="0" collapsed="false"/>
    <row r="4031" customFormat="false" ht="12.75" hidden="false" customHeight="true" outlineLevel="0" collapsed="false"/>
    <row r="4032" customFormat="false" ht="12.75" hidden="false" customHeight="true" outlineLevel="0" collapsed="false"/>
    <row r="4033" customFormat="false" ht="12.75" hidden="false" customHeight="true" outlineLevel="0" collapsed="false"/>
    <row r="4034" customFormat="false" ht="12.75" hidden="false" customHeight="true" outlineLevel="0" collapsed="false"/>
    <row r="4035" customFormat="false" ht="12.75" hidden="false" customHeight="true" outlineLevel="0" collapsed="false"/>
    <row r="4036" customFormat="false" ht="12.75" hidden="false" customHeight="true" outlineLevel="0" collapsed="false"/>
    <row r="4037" customFormat="false" ht="12.75" hidden="false" customHeight="true" outlineLevel="0" collapsed="false"/>
    <row r="4038" customFormat="false" ht="12.75" hidden="false" customHeight="true" outlineLevel="0" collapsed="false"/>
    <row r="4039" customFormat="false" ht="12.75" hidden="false" customHeight="true" outlineLevel="0" collapsed="false"/>
    <row r="4040" customFormat="false" ht="12.75" hidden="false" customHeight="true" outlineLevel="0" collapsed="false"/>
    <row r="4041" customFormat="false" ht="12.75" hidden="false" customHeight="true" outlineLevel="0" collapsed="false"/>
    <row r="4042" customFormat="false" ht="12.75" hidden="false" customHeight="true" outlineLevel="0" collapsed="false"/>
    <row r="4043" customFormat="false" ht="12.75" hidden="false" customHeight="true" outlineLevel="0" collapsed="false"/>
    <row r="4044" customFormat="false" ht="12.75" hidden="false" customHeight="true" outlineLevel="0" collapsed="false"/>
    <row r="4045" customFormat="false" ht="12.75" hidden="false" customHeight="true" outlineLevel="0" collapsed="false"/>
    <row r="4046" customFormat="false" ht="12.75" hidden="false" customHeight="true" outlineLevel="0" collapsed="false"/>
    <row r="4047" customFormat="false" ht="12.75" hidden="false" customHeight="true" outlineLevel="0" collapsed="false"/>
    <row r="4048" customFormat="false" ht="12.75" hidden="false" customHeight="true" outlineLevel="0" collapsed="false"/>
    <row r="4049" customFormat="false" ht="12.75" hidden="false" customHeight="true" outlineLevel="0" collapsed="false"/>
    <row r="4050" customFormat="false" ht="12.75" hidden="false" customHeight="true" outlineLevel="0" collapsed="false"/>
    <row r="4051" customFormat="false" ht="12.75" hidden="false" customHeight="true" outlineLevel="0" collapsed="false"/>
    <row r="4052" customFormat="false" ht="12.75" hidden="false" customHeight="true" outlineLevel="0" collapsed="false"/>
    <row r="4053" customFormat="false" ht="12.75" hidden="false" customHeight="true" outlineLevel="0" collapsed="false"/>
    <row r="4054" customFormat="false" ht="12.75" hidden="false" customHeight="true" outlineLevel="0" collapsed="false"/>
    <row r="4055" customFormat="false" ht="12.75" hidden="false" customHeight="true" outlineLevel="0" collapsed="false"/>
    <row r="4056" customFormat="false" ht="12.75" hidden="false" customHeight="true" outlineLevel="0" collapsed="false"/>
    <row r="4057" customFormat="false" ht="12.75" hidden="false" customHeight="true" outlineLevel="0" collapsed="false"/>
    <row r="4058" customFormat="false" ht="12.75" hidden="false" customHeight="true" outlineLevel="0" collapsed="false"/>
    <row r="4059" customFormat="false" ht="12.75" hidden="false" customHeight="true" outlineLevel="0" collapsed="false"/>
    <row r="4060" customFormat="false" ht="12.75" hidden="false" customHeight="true" outlineLevel="0" collapsed="false"/>
    <row r="4061" customFormat="false" ht="12.75" hidden="false" customHeight="true" outlineLevel="0" collapsed="false"/>
    <row r="4062" customFormat="false" ht="12.75" hidden="false" customHeight="true" outlineLevel="0" collapsed="false"/>
    <row r="4063" customFormat="false" ht="12.75" hidden="false" customHeight="true" outlineLevel="0" collapsed="false"/>
    <row r="4064" customFormat="false" ht="12.75" hidden="false" customHeight="true" outlineLevel="0" collapsed="false"/>
    <row r="4065" customFormat="false" ht="12.75" hidden="false" customHeight="true" outlineLevel="0" collapsed="false"/>
    <row r="4066" customFormat="false" ht="12.75" hidden="false" customHeight="true" outlineLevel="0" collapsed="false"/>
    <row r="4067" customFormat="false" ht="12.75" hidden="false" customHeight="true" outlineLevel="0" collapsed="false"/>
    <row r="4068" customFormat="false" ht="12.75" hidden="false" customHeight="true" outlineLevel="0" collapsed="false"/>
    <row r="4069" customFormat="false" ht="12.75" hidden="false" customHeight="true" outlineLevel="0" collapsed="false"/>
    <row r="4070" customFormat="false" ht="12.75" hidden="false" customHeight="true" outlineLevel="0" collapsed="false"/>
    <row r="4071" customFormat="false" ht="12.75" hidden="false" customHeight="true" outlineLevel="0" collapsed="false"/>
    <row r="4072" customFormat="false" ht="12.75" hidden="false" customHeight="true" outlineLevel="0" collapsed="false"/>
    <row r="4073" customFormat="false" ht="12.75" hidden="false" customHeight="true" outlineLevel="0" collapsed="false"/>
    <row r="4074" customFormat="false" ht="12.75" hidden="false" customHeight="true" outlineLevel="0" collapsed="false"/>
    <row r="4075" customFormat="false" ht="12.75" hidden="false" customHeight="true" outlineLevel="0" collapsed="false"/>
    <row r="4076" customFormat="false" ht="12.75" hidden="false" customHeight="true" outlineLevel="0" collapsed="false"/>
    <row r="4077" customFormat="false" ht="12.75" hidden="false" customHeight="true" outlineLevel="0" collapsed="false"/>
    <row r="4078" customFormat="false" ht="12.75" hidden="false" customHeight="true" outlineLevel="0" collapsed="false"/>
    <row r="4079" customFormat="false" ht="12.75" hidden="false" customHeight="true" outlineLevel="0" collapsed="false"/>
    <row r="4080" customFormat="false" ht="12.75" hidden="false" customHeight="true" outlineLevel="0" collapsed="false"/>
    <row r="4081" customFormat="false" ht="12.75" hidden="false" customHeight="true" outlineLevel="0" collapsed="false"/>
    <row r="4082" customFormat="false" ht="12.75" hidden="false" customHeight="true" outlineLevel="0" collapsed="false"/>
    <row r="4083" customFormat="false" ht="12.75" hidden="false" customHeight="true" outlineLevel="0" collapsed="false"/>
    <row r="4084" customFormat="false" ht="12.75" hidden="false" customHeight="true" outlineLevel="0" collapsed="false"/>
    <row r="4085" customFormat="false" ht="12.75" hidden="false" customHeight="true" outlineLevel="0" collapsed="false"/>
    <row r="4086" customFormat="false" ht="12.75" hidden="false" customHeight="true" outlineLevel="0" collapsed="false"/>
    <row r="4087" customFormat="false" ht="12.75" hidden="false" customHeight="true" outlineLevel="0" collapsed="false"/>
    <row r="4088" customFormat="false" ht="12.75" hidden="false" customHeight="true" outlineLevel="0" collapsed="false"/>
    <row r="4089" customFormat="false" ht="12.75" hidden="false" customHeight="true" outlineLevel="0" collapsed="false"/>
    <row r="4090" customFormat="false" ht="12.75" hidden="false" customHeight="true" outlineLevel="0" collapsed="false"/>
    <row r="4091" customFormat="false" ht="12.75" hidden="false" customHeight="true" outlineLevel="0" collapsed="false"/>
    <row r="4092" customFormat="false" ht="12.75" hidden="false" customHeight="true" outlineLevel="0" collapsed="false"/>
    <row r="4093" customFormat="false" ht="12.75" hidden="false" customHeight="true" outlineLevel="0" collapsed="false"/>
    <row r="4094" customFormat="false" ht="12.75" hidden="false" customHeight="true" outlineLevel="0" collapsed="false"/>
    <row r="4095" customFormat="false" ht="12.75" hidden="false" customHeight="true" outlineLevel="0" collapsed="false"/>
    <row r="4096" customFormat="false" ht="12.75" hidden="false" customHeight="true" outlineLevel="0" collapsed="false"/>
    <row r="4097" customFormat="false" ht="12.75" hidden="false" customHeight="true" outlineLevel="0" collapsed="false"/>
    <row r="4098" customFormat="false" ht="12.75" hidden="false" customHeight="true" outlineLevel="0" collapsed="false"/>
    <row r="4099" customFormat="false" ht="12.75" hidden="false" customHeight="true" outlineLevel="0" collapsed="false"/>
    <row r="4100" customFormat="false" ht="12.75" hidden="false" customHeight="true" outlineLevel="0" collapsed="false"/>
    <row r="4101" customFormat="false" ht="12.75" hidden="false" customHeight="true" outlineLevel="0" collapsed="false"/>
    <row r="4102" customFormat="false" ht="12.75" hidden="false" customHeight="true" outlineLevel="0" collapsed="false"/>
    <row r="4103" customFormat="false" ht="12.75" hidden="false" customHeight="true" outlineLevel="0" collapsed="false"/>
    <row r="4104" customFormat="false" ht="12.75" hidden="false" customHeight="true" outlineLevel="0" collapsed="false"/>
    <row r="4105" customFormat="false" ht="12.75" hidden="false" customHeight="true" outlineLevel="0" collapsed="false"/>
    <row r="4106" customFormat="false" ht="12.75" hidden="false" customHeight="true" outlineLevel="0" collapsed="false"/>
    <row r="4107" customFormat="false" ht="12.75" hidden="false" customHeight="true" outlineLevel="0" collapsed="false"/>
    <row r="4108" customFormat="false" ht="12.75" hidden="false" customHeight="true" outlineLevel="0" collapsed="false"/>
    <row r="4109" customFormat="false" ht="12.75" hidden="false" customHeight="true" outlineLevel="0" collapsed="false"/>
    <row r="4110" customFormat="false" ht="12.75" hidden="false" customHeight="true" outlineLevel="0" collapsed="false"/>
    <row r="4111" customFormat="false" ht="12.75" hidden="false" customHeight="true" outlineLevel="0" collapsed="false"/>
    <row r="4112" customFormat="false" ht="12.75" hidden="false" customHeight="true" outlineLevel="0" collapsed="false"/>
    <row r="4113" customFormat="false" ht="12.75" hidden="false" customHeight="true" outlineLevel="0" collapsed="false"/>
    <row r="4114" customFormat="false" ht="12.75" hidden="false" customHeight="true" outlineLevel="0" collapsed="false"/>
    <row r="4115" customFormat="false" ht="12.75" hidden="false" customHeight="true" outlineLevel="0" collapsed="false"/>
    <row r="4116" customFormat="false" ht="12.75" hidden="false" customHeight="true" outlineLevel="0" collapsed="false"/>
    <row r="4117" customFormat="false" ht="12.75" hidden="false" customHeight="true" outlineLevel="0" collapsed="false"/>
    <row r="4118" customFormat="false" ht="12.75" hidden="false" customHeight="true" outlineLevel="0" collapsed="false"/>
    <row r="4119" customFormat="false" ht="12.75" hidden="false" customHeight="true" outlineLevel="0" collapsed="false"/>
    <row r="4120" customFormat="false" ht="12.75" hidden="false" customHeight="true" outlineLevel="0" collapsed="false"/>
    <row r="4121" customFormat="false" ht="12.75" hidden="false" customHeight="true" outlineLevel="0" collapsed="false"/>
    <row r="4122" customFormat="false" ht="12.75" hidden="false" customHeight="true" outlineLevel="0" collapsed="false"/>
    <row r="4123" customFormat="false" ht="12.75" hidden="false" customHeight="true" outlineLevel="0" collapsed="false"/>
    <row r="4124" customFormat="false" ht="12.75" hidden="false" customHeight="true" outlineLevel="0" collapsed="false"/>
    <row r="4125" customFormat="false" ht="12.75" hidden="false" customHeight="true" outlineLevel="0" collapsed="false"/>
    <row r="4126" customFormat="false" ht="12.75" hidden="false" customHeight="true" outlineLevel="0" collapsed="false"/>
    <row r="4127" customFormat="false" ht="12.75" hidden="false" customHeight="true" outlineLevel="0" collapsed="false"/>
    <row r="4128" customFormat="false" ht="12.75" hidden="false" customHeight="true" outlineLevel="0" collapsed="false"/>
    <row r="4129" customFormat="false" ht="12.75" hidden="false" customHeight="true" outlineLevel="0" collapsed="false"/>
    <row r="4130" customFormat="false" ht="12.75" hidden="false" customHeight="true" outlineLevel="0" collapsed="false"/>
    <row r="4131" customFormat="false" ht="12.75" hidden="false" customHeight="true" outlineLevel="0" collapsed="false"/>
    <row r="4132" customFormat="false" ht="12.75" hidden="false" customHeight="true" outlineLevel="0" collapsed="false"/>
    <row r="4133" customFormat="false" ht="12.75" hidden="false" customHeight="true" outlineLevel="0" collapsed="false"/>
    <row r="4134" customFormat="false" ht="12.75" hidden="false" customHeight="true" outlineLevel="0" collapsed="false"/>
    <row r="4135" customFormat="false" ht="12.75" hidden="false" customHeight="true" outlineLevel="0" collapsed="false"/>
    <row r="4136" customFormat="false" ht="12.75" hidden="false" customHeight="true" outlineLevel="0" collapsed="false"/>
    <row r="4137" customFormat="false" ht="12.75" hidden="false" customHeight="true" outlineLevel="0" collapsed="false"/>
    <row r="4138" customFormat="false" ht="12.75" hidden="false" customHeight="true" outlineLevel="0" collapsed="false"/>
    <row r="4139" customFormat="false" ht="12.75" hidden="false" customHeight="true" outlineLevel="0" collapsed="false"/>
    <row r="4140" customFormat="false" ht="12.75" hidden="false" customHeight="true" outlineLevel="0" collapsed="false"/>
    <row r="4141" customFormat="false" ht="12.75" hidden="false" customHeight="true" outlineLevel="0" collapsed="false"/>
    <row r="4142" customFormat="false" ht="12.75" hidden="false" customHeight="true" outlineLevel="0" collapsed="false"/>
    <row r="4143" customFormat="false" ht="12.75" hidden="false" customHeight="true" outlineLevel="0" collapsed="false"/>
    <row r="4144" customFormat="false" ht="12.75" hidden="false" customHeight="true" outlineLevel="0" collapsed="false"/>
    <row r="4145" customFormat="false" ht="12.75" hidden="false" customHeight="true" outlineLevel="0" collapsed="false"/>
    <row r="4146" customFormat="false" ht="12.75" hidden="false" customHeight="true" outlineLevel="0" collapsed="false"/>
    <row r="4147" customFormat="false" ht="12.75" hidden="false" customHeight="true" outlineLevel="0" collapsed="false"/>
    <row r="4148" customFormat="false" ht="12.75" hidden="false" customHeight="true" outlineLevel="0" collapsed="false"/>
    <row r="4149" customFormat="false" ht="12.75" hidden="false" customHeight="true" outlineLevel="0" collapsed="false"/>
    <row r="4150" customFormat="false" ht="12.75" hidden="false" customHeight="true" outlineLevel="0" collapsed="false"/>
    <row r="4151" customFormat="false" ht="12.75" hidden="false" customHeight="true" outlineLevel="0" collapsed="false"/>
    <row r="4152" customFormat="false" ht="12.75" hidden="false" customHeight="true" outlineLevel="0" collapsed="false"/>
    <row r="4153" customFormat="false" ht="12.75" hidden="false" customHeight="true" outlineLevel="0" collapsed="false"/>
    <row r="4154" customFormat="false" ht="12.75" hidden="false" customHeight="true" outlineLevel="0" collapsed="false"/>
    <row r="4155" customFormat="false" ht="12.75" hidden="false" customHeight="true" outlineLevel="0" collapsed="false"/>
    <row r="4156" customFormat="false" ht="12.75" hidden="false" customHeight="true" outlineLevel="0" collapsed="false"/>
    <row r="4157" customFormat="false" ht="12.75" hidden="false" customHeight="true" outlineLevel="0" collapsed="false"/>
    <row r="4158" customFormat="false" ht="12.75" hidden="false" customHeight="true" outlineLevel="0" collapsed="false"/>
    <row r="4159" customFormat="false" ht="12.75" hidden="false" customHeight="true" outlineLevel="0" collapsed="false"/>
    <row r="4160" customFormat="false" ht="12.75" hidden="false" customHeight="true" outlineLevel="0" collapsed="false"/>
    <row r="4161" customFormat="false" ht="12.75" hidden="false" customHeight="true" outlineLevel="0" collapsed="false"/>
    <row r="4162" customFormat="false" ht="12.75" hidden="false" customHeight="true" outlineLevel="0" collapsed="false"/>
    <row r="4163" customFormat="false" ht="12.75" hidden="false" customHeight="true" outlineLevel="0" collapsed="false"/>
    <row r="4164" customFormat="false" ht="12.75" hidden="false" customHeight="true" outlineLevel="0" collapsed="false"/>
    <row r="4165" customFormat="false" ht="12.75" hidden="false" customHeight="true" outlineLevel="0" collapsed="false"/>
    <row r="4166" customFormat="false" ht="12.75" hidden="false" customHeight="true" outlineLevel="0" collapsed="false"/>
    <row r="4167" customFormat="false" ht="12.75" hidden="false" customHeight="true" outlineLevel="0" collapsed="false"/>
    <row r="4168" customFormat="false" ht="12.75" hidden="false" customHeight="true" outlineLevel="0" collapsed="false"/>
    <row r="4169" customFormat="false" ht="12.75" hidden="false" customHeight="true" outlineLevel="0" collapsed="false"/>
    <row r="4170" customFormat="false" ht="12.75" hidden="false" customHeight="true" outlineLevel="0" collapsed="false"/>
    <row r="4171" customFormat="false" ht="12.75" hidden="false" customHeight="true" outlineLevel="0" collapsed="false"/>
    <row r="4172" customFormat="false" ht="12.75" hidden="false" customHeight="true" outlineLevel="0" collapsed="false"/>
    <row r="4173" customFormat="false" ht="12.75" hidden="false" customHeight="true" outlineLevel="0" collapsed="false"/>
    <row r="4174" customFormat="false" ht="12.75" hidden="false" customHeight="true" outlineLevel="0" collapsed="false"/>
    <row r="4175" customFormat="false" ht="12.75" hidden="false" customHeight="true" outlineLevel="0" collapsed="false"/>
    <row r="4176" customFormat="false" ht="12.75" hidden="false" customHeight="true" outlineLevel="0" collapsed="false"/>
    <row r="4177" customFormat="false" ht="12.75" hidden="false" customHeight="true" outlineLevel="0" collapsed="false"/>
    <row r="4178" customFormat="false" ht="12.75" hidden="false" customHeight="true" outlineLevel="0" collapsed="false"/>
    <row r="4179" customFormat="false" ht="12.75" hidden="false" customHeight="true" outlineLevel="0" collapsed="false"/>
    <row r="4180" customFormat="false" ht="12.75" hidden="false" customHeight="true" outlineLevel="0" collapsed="false"/>
    <row r="4181" customFormat="false" ht="12.75" hidden="false" customHeight="true" outlineLevel="0" collapsed="false"/>
    <row r="4182" customFormat="false" ht="12.75" hidden="false" customHeight="true" outlineLevel="0" collapsed="false"/>
    <row r="4183" customFormat="false" ht="12.75" hidden="false" customHeight="true" outlineLevel="0" collapsed="false"/>
    <row r="4184" customFormat="false" ht="12.75" hidden="false" customHeight="true" outlineLevel="0" collapsed="false"/>
    <row r="4185" customFormat="false" ht="12.75" hidden="false" customHeight="true" outlineLevel="0" collapsed="false"/>
    <row r="4186" customFormat="false" ht="12.75" hidden="false" customHeight="true" outlineLevel="0" collapsed="false"/>
    <row r="4187" customFormat="false" ht="12.75" hidden="false" customHeight="true" outlineLevel="0" collapsed="false"/>
    <row r="4188" customFormat="false" ht="12.75" hidden="false" customHeight="true" outlineLevel="0" collapsed="false"/>
    <row r="4189" customFormat="false" ht="12.75" hidden="false" customHeight="true" outlineLevel="0" collapsed="false"/>
    <row r="4190" customFormat="false" ht="12.75" hidden="false" customHeight="true" outlineLevel="0" collapsed="false"/>
    <row r="4191" customFormat="false" ht="12.75" hidden="false" customHeight="true" outlineLevel="0" collapsed="false"/>
    <row r="4192" customFormat="false" ht="12.75" hidden="false" customHeight="true" outlineLevel="0" collapsed="false"/>
    <row r="4193" customFormat="false" ht="12.75" hidden="false" customHeight="true" outlineLevel="0" collapsed="false"/>
    <row r="4194" customFormat="false" ht="12.75" hidden="false" customHeight="true" outlineLevel="0" collapsed="false"/>
    <row r="4195" customFormat="false" ht="12.75" hidden="false" customHeight="true" outlineLevel="0" collapsed="false"/>
    <row r="4196" customFormat="false" ht="12.75" hidden="false" customHeight="true" outlineLevel="0" collapsed="false"/>
    <row r="4197" customFormat="false" ht="12.75" hidden="false" customHeight="true" outlineLevel="0" collapsed="false"/>
    <row r="4198" customFormat="false" ht="12.75" hidden="false" customHeight="true" outlineLevel="0" collapsed="false"/>
    <row r="4199" customFormat="false" ht="12.75" hidden="false" customHeight="true" outlineLevel="0" collapsed="false"/>
    <row r="4200" customFormat="false" ht="12.75" hidden="false" customHeight="true" outlineLevel="0" collapsed="false"/>
    <row r="4201" customFormat="false" ht="12.75" hidden="false" customHeight="true" outlineLevel="0" collapsed="false"/>
    <row r="4202" customFormat="false" ht="12.75" hidden="false" customHeight="true" outlineLevel="0" collapsed="false"/>
    <row r="4203" customFormat="false" ht="12.75" hidden="false" customHeight="true" outlineLevel="0" collapsed="false"/>
    <row r="4204" customFormat="false" ht="12.75" hidden="false" customHeight="true" outlineLevel="0" collapsed="false"/>
    <row r="4205" customFormat="false" ht="12.75" hidden="false" customHeight="true" outlineLevel="0" collapsed="false"/>
    <row r="4206" customFormat="false" ht="12.75" hidden="false" customHeight="true" outlineLevel="0" collapsed="false"/>
    <row r="4207" customFormat="false" ht="12.75" hidden="false" customHeight="true" outlineLevel="0" collapsed="false"/>
    <row r="4208" customFormat="false" ht="12.75" hidden="false" customHeight="true" outlineLevel="0" collapsed="false"/>
    <row r="4209" customFormat="false" ht="12.75" hidden="false" customHeight="true" outlineLevel="0" collapsed="false"/>
    <row r="4210" customFormat="false" ht="12.75" hidden="false" customHeight="true" outlineLevel="0" collapsed="false"/>
    <row r="4211" customFormat="false" ht="12.75" hidden="false" customHeight="true" outlineLevel="0" collapsed="false"/>
    <row r="4212" customFormat="false" ht="12.75" hidden="false" customHeight="true" outlineLevel="0" collapsed="false"/>
    <row r="4213" customFormat="false" ht="12.75" hidden="false" customHeight="true" outlineLevel="0" collapsed="false"/>
    <row r="4214" customFormat="false" ht="12.75" hidden="false" customHeight="true" outlineLevel="0" collapsed="false"/>
    <row r="4215" customFormat="false" ht="12.75" hidden="false" customHeight="true" outlineLevel="0" collapsed="false"/>
    <row r="4216" customFormat="false" ht="12.75" hidden="false" customHeight="true" outlineLevel="0" collapsed="false"/>
    <row r="4217" customFormat="false" ht="12.75" hidden="false" customHeight="true" outlineLevel="0" collapsed="false"/>
    <row r="4218" customFormat="false" ht="12.75" hidden="false" customHeight="true" outlineLevel="0" collapsed="false"/>
    <row r="4219" customFormat="false" ht="12.75" hidden="false" customHeight="true" outlineLevel="0" collapsed="false"/>
    <row r="4220" customFormat="false" ht="12.75" hidden="false" customHeight="true" outlineLevel="0" collapsed="false"/>
    <row r="4221" customFormat="false" ht="12.75" hidden="false" customHeight="true" outlineLevel="0" collapsed="false"/>
    <row r="4222" customFormat="false" ht="12.75" hidden="false" customHeight="true" outlineLevel="0" collapsed="false"/>
    <row r="4223" customFormat="false" ht="12.75" hidden="false" customHeight="true" outlineLevel="0" collapsed="false"/>
    <row r="4224" customFormat="false" ht="12.75" hidden="false" customHeight="true" outlineLevel="0" collapsed="false"/>
    <row r="4225" customFormat="false" ht="12.75" hidden="false" customHeight="true" outlineLevel="0" collapsed="false"/>
    <row r="4226" customFormat="false" ht="12.75" hidden="false" customHeight="true" outlineLevel="0" collapsed="false"/>
    <row r="4227" customFormat="false" ht="12.75" hidden="false" customHeight="true" outlineLevel="0" collapsed="false"/>
    <row r="4228" customFormat="false" ht="12.75" hidden="false" customHeight="true" outlineLevel="0" collapsed="false"/>
    <row r="4229" customFormat="false" ht="12.75" hidden="false" customHeight="true" outlineLevel="0" collapsed="false"/>
    <row r="4230" customFormat="false" ht="12.75" hidden="false" customHeight="true" outlineLevel="0" collapsed="false"/>
    <row r="4231" customFormat="false" ht="12.75" hidden="false" customHeight="true" outlineLevel="0" collapsed="false"/>
    <row r="4232" customFormat="false" ht="12.75" hidden="false" customHeight="true" outlineLevel="0" collapsed="false"/>
    <row r="4233" customFormat="false" ht="12.75" hidden="false" customHeight="true" outlineLevel="0" collapsed="false"/>
    <row r="4234" customFormat="false" ht="12.75" hidden="false" customHeight="true" outlineLevel="0" collapsed="false"/>
    <row r="4235" customFormat="false" ht="12.75" hidden="false" customHeight="true" outlineLevel="0" collapsed="false"/>
    <row r="4236" customFormat="false" ht="12.75" hidden="false" customHeight="true" outlineLevel="0" collapsed="false"/>
    <row r="4237" customFormat="false" ht="12.75" hidden="false" customHeight="true" outlineLevel="0" collapsed="false"/>
    <row r="4238" customFormat="false" ht="12.75" hidden="false" customHeight="true" outlineLevel="0" collapsed="false"/>
    <row r="4239" customFormat="false" ht="12.75" hidden="false" customHeight="true" outlineLevel="0" collapsed="false"/>
    <row r="4240" customFormat="false" ht="12.75" hidden="false" customHeight="true" outlineLevel="0" collapsed="false"/>
    <row r="4241" customFormat="false" ht="12.75" hidden="false" customHeight="true" outlineLevel="0" collapsed="false"/>
    <row r="4242" customFormat="false" ht="12.75" hidden="false" customHeight="true" outlineLevel="0" collapsed="false"/>
    <row r="4243" customFormat="false" ht="12.75" hidden="false" customHeight="true" outlineLevel="0" collapsed="false"/>
    <row r="4244" customFormat="false" ht="12.75" hidden="false" customHeight="true" outlineLevel="0" collapsed="false"/>
    <row r="4245" customFormat="false" ht="12.75" hidden="false" customHeight="true" outlineLevel="0" collapsed="false"/>
    <row r="4246" customFormat="false" ht="12.75" hidden="false" customHeight="true" outlineLevel="0" collapsed="false"/>
    <row r="4247" customFormat="false" ht="12.75" hidden="false" customHeight="true" outlineLevel="0" collapsed="false"/>
    <row r="4248" customFormat="false" ht="12.75" hidden="false" customHeight="true" outlineLevel="0" collapsed="false"/>
    <row r="4249" customFormat="false" ht="12.75" hidden="false" customHeight="true" outlineLevel="0" collapsed="false"/>
    <row r="4250" customFormat="false" ht="12.75" hidden="false" customHeight="true" outlineLevel="0" collapsed="false"/>
    <row r="4251" customFormat="false" ht="12.75" hidden="false" customHeight="true" outlineLevel="0" collapsed="false"/>
    <row r="4252" customFormat="false" ht="12.75" hidden="false" customHeight="true" outlineLevel="0" collapsed="false"/>
    <row r="4253" customFormat="false" ht="12.75" hidden="false" customHeight="true" outlineLevel="0" collapsed="false"/>
    <row r="4254" customFormat="false" ht="12.75" hidden="false" customHeight="true" outlineLevel="0" collapsed="false"/>
    <row r="4255" customFormat="false" ht="12.75" hidden="false" customHeight="true" outlineLevel="0" collapsed="false"/>
    <row r="4256" customFormat="false" ht="12.75" hidden="false" customHeight="true" outlineLevel="0" collapsed="false"/>
    <row r="4257" customFormat="false" ht="12.75" hidden="false" customHeight="true" outlineLevel="0" collapsed="false"/>
    <row r="4258" customFormat="false" ht="12.75" hidden="false" customHeight="true" outlineLevel="0" collapsed="false"/>
    <row r="4259" customFormat="false" ht="12.75" hidden="false" customHeight="true" outlineLevel="0" collapsed="false"/>
    <row r="4260" customFormat="false" ht="12.75" hidden="false" customHeight="true" outlineLevel="0" collapsed="false"/>
    <row r="4261" customFormat="false" ht="12.75" hidden="false" customHeight="true" outlineLevel="0" collapsed="false"/>
    <row r="4262" customFormat="false" ht="12.75" hidden="false" customHeight="true" outlineLevel="0" collapsed="false"/>
    <row r="4263" customFormat="false" ht="12.75" hidden="false" customHeight="true" outlineLevel="0" collapsed="false"/>
    <row r="4264" customFormat="false" ht="12.75" hidden="false" customHeight="true" outlineLevel="0" collapsed="false"/>
    <row r="4265" customFormat="false" ht="12.75" hidden="false" customHeight="true" outlineLevel="0" collapsed="false"/>
    <row r="4266" customFormat="false" ht="12.75" hidden="false" customHeight="true" outlineLevel="0" collapsed="false"/>
    <row r="4267" customFormat="false" ht="12.75" hidden="false" customHeight="true" outlineLevel="0" collapsed="false"/>
    <row r="4268" customFormat="false" ht="12.75" hidden="false" customHeight="true" outlineLevel="0" collapsed="false"/>
    <row r="4269" customFormat="false" ht="12.75" hidden="false" customHeight="true" outlineLevel="0" collapsed="false"/>
    <row r="4270" customFormat="false" ht="12.75" hidden="false" customHeight="true" outlineLevel="0" collapsed="false"/>
    <row r="4271" customFormat="false" ht="12.75" hidden="false" customHeight="true" outlineLevel="0" collapsed="false"/>
    <row r="4272" customFormat="false" ht="12.75" hidden="false" customHeight="true" outlineLevel="0" collapsed="false"/>
    <row r="4273" customFormat="false" ht="12.75" hidden="false" customHeight="true" outlineLevel="0" collapsed="false"/>
    <row r="4274" customFormat="false" ht="12.75" hidden="false" customHeight="true" outlineLevel="0" collapsed="false"/>
    <row r="4275" customFormat="false" ht="12.75" hidden="false" customHeight="true" outlineLevel="0" collapsed="false"/>
    <row r="4276" customFormat="false" ht="12.75" hidden="false" customHeight="true" outlineLevel="0" collapsed="false"/>
    <row r="4277" customFormat="false" ht="12.75" hidden="false" customHeight="true" outlineLevel="0" collapsed="false"/>
    <row r="4278" customFormat="false" ht="12.75" hidden="false" customHeight="true" outlineLevel="0" collapsed="false"/>
    <row r="4279" customFormat="false" ht="12.75" hidden="false" customHeight="true" outlineLevel="0" collapsed="false"/>
    <row r="4280" customFormat="false" ht="12.75" hidden="false" customHeight="true" outlineLevel="0" collapsed="false"/>
    <row r="4281" customFormat="false" ht="12.75" hidden="false" customHeight="true" outlineLevel="0" collapsed="false"/>
    <row r="4282" customFormat="false" ht="12.75" hidden="false" customHeight="true" outlineLevel="0" collapsed="false"/>
    <row r="4283" customFormat="false" ht="12.75" hidden="false" customHeight="true" outlineLevel="0" collapsed="false"/>
    <row r="4284" customFormat="false" ht="12.75" hidden="false" customHeight="true" outlineLevel="0" collapsed="false"/>
    <row r="4285" customFormat="false" ht="12.75" hidden="false" customHeight="true" outlineLevel="0" collapsed="false"/>
    <row r="4286" customFormat="false" ht="12.75" hidden="false" customHeight="true" outlineLevel="0" collapsed="false"/>
    <row r="4287" customFormat="false" ht="12.75" hidden="false" customHeight="true" outlineLevel="0" collapsed="false"/>
    <row r="4288" customFormat="false" ht="12.75" hidden="false" customHeight="true" outlineLevel="0" collapsed="false"/>
    <row r="4289" customFormat="false" ht="12.75" hidden="false" customHeight="true" outlineLevel="0" collapsed="false"/>
    <row r="4290" customFormat="false" ht="12.75" hidden="false" customHeight="true" outlineLevel="0" collapsed="false"/>
    <row r="4291" customFormat="false" ht="12.75" hidden="false" customHeight="true" outlineLevel="0" collapsed="false"/>
    <row r="4292" customFormat="false" ht="12.75" hidden="false" customHeight="true" outlineLevel="0" collapsed="false"/>
    <row r="4293" customFormat="false" ht="12.75" hidden="false" customHeight="true" outlineLevel="0" collapsed="false"/>
    <row r="4294" customFormat="false" ht="12.75" hidden="false" customHeight="true" outlineLevel="0" collapsed="false"/>
    <row r="4295" customFormat="false" ht="12.75" hidden="false" customHeight="true" outlineLevel="0" collapsed="false"/>
    <row r="4296" customFormat="false" ht="12.75" hidden="false" customHeight="true" outlineLevel="0" collapsed="false"/>
    <row r="4297" customFormat="false" ht="12.75" hidden="false" customHeight="true" outlineLevel="0" collapsed="false"/>
    <row r="4298" customFormat="false" ht="12.75" hidden="false" customHeight="true" outlineLevel="0" collapsed="false"/>
    <row r="4299" customFormat="false" ht="12.75" hidden="false" customHeight="true" outlineLevel="0" collapsed="false"/>
    <row r="4300" customFormat="false" ht="12.75" hidden="false" customHeight="true" outlineLevel="0" collapsed="false"/>
    <row r="4310" customFormat="false" ht="12.75" hidden="false" customHeight="true" outlineLevel="0" collapsed="false"/>
    <row r="4311" customFormat="false" ht="12.75" hidden="false" customHeight="true" outlineLevel="0" collapsed="false"/>
    <row r="4312" customFormat="false" ht="12.75" hidden="false" customHeight="true" outlineLevel="0" collapsed="false"/>
    <row r="4313" customFormat="false" ht="12.75" hidden="false" customHeight="true" outlineLevel="0" collapsed="false"/>
    <row r="60971" customFormat="false" ht="12.75" hidden="false" customHeight="true" outlineLevel="0" collapsed="false"/>
    <row r="60987" customFormat="false" ht="12.75" hidden="false" customHeight="true" outlineLevel="0" collapsed="false"/>
    <row r="61003" customFormat="false" ht="12.75" hidden="false" customHeight="true" outlineLevel="0" collapsed="false"/>
    <row r="61019" customFormat="false" ht="12.75" hidden="false" customHeight="true" outlineLevel="0" collapsed="false"/>
    <row r="61032" customFormat="false" ht="12.75" hidden="false" customHeight="true" outlineLevel="0" collapsed="false"/>
    <row r="61033" customFormat="false" ht="12.75" hidden="false" customHeight="true" outlineLevel="0" collapsed="false"/>
    <row r="61035" customFormat="false" ht="12.75" hidden="false" customHeight="true" outlineLevel="0" collapsed="false"/>
    <row r="61046" customFormat="false" ht="12.75" hidden="false" customHeight="true" outlineLevel="0" collapsed="false"/>
    <row r="61047" customFormat="false" ht="12.75" hidden="false" customHeight="true" outlineLevel="0" collapsed="false"/>
    <row r="61048" customFormat="false" ht="12.75" hidden="false" customHeight="true" outlineLevel="0" collapsed="false"/>
    <row r="61049" customFormat="false" ht="12.75" hidden="false" customHeight="true" outlineLevel="0" collapsed="false"/>
    <row r="61051" customFormat="false" ht="12.75" hidden="false" customHeight="true" outlineLevel="0" collapsed="false"/>
    <row r="61062" customFormat="false" ht="12.75" hidden="false" customHeight="true" outlineLevel="0" collapsed="false"/>
    <row r="61063" customFormat="false" ht="12.75" hidden="false" customHeight="true" outlineLevel="0" collapsed="false"/>
    <row r="61064" customFormat="false" ht="12.75" hidden="false" customHeight="true" outlineLevel="0" collapsed="false"/>
    <row r="61065" customFormat="false" ht="12.75" hidden="false" customHeight="true" outlineLevel="0" collapsed="false"/>
    <row r="61067" customFormat="false" ht="12.75" hidden="false" customHeight="true" outlineLevel="0" collapsed="false"/>
    <row r="61078" customFormat="false" ht="12.75" hidden="false" customHeight="true" outlineLevel="0" collapsed="false"/>
    <row r="61079" customFormat="false" ht="12.75" hidden="false" customHeight="true" outlineLevel="0" collapsed="false"/>
    <row r="61080" customFormat="false" ht="12.75" hidden="false" customHeight="true" outlineLevel="0" collapsed="false"/>
    <row r="61081" customFormat="false" ht="12.75" hidden="false" customHeight="true" outlineLevel="0" collapsed="false"/>
    <row r="61083" customFormat="false" ht="12.75" hidden="false" customHeight="true" outlineLevel="0" collapsed="false"/>
    <row r="61094" customFormat="false" ht="12.75" hidden="false" customHeight="true" outlineLevel="0" collapsed="false"/>
    <row r="61095" customFormat="false" ht="12.75" hidden="false" customHeight="true" outlineLevel="0" collapsed="false"/>
    <row r="61096" customFormat="false" ht="12.75" hidden="false" customHeight="true" outlineLevel="0" collapsed="false"/>
    <row r="61097" customFormat="false" ht="12.75" hidden="false" customHeight="true" outlineLevel="0" collapsed="false"/>
    <row r="61099" customFormat="false" ht="12.75" hidden="false" customHeight="true" outlineLevel="0" collapsed="false"/>
    <row r="61110" customFormat="false" ht="12.75" hidden="false" customHeight="true" outlineLevel="0" collapsed="false"/>
    <row r="61111" customFormat="false" ht="12.75" hidden="false" customHeight="true" outlineLevel="0" collapsed="false"/>
    <row r="61112" customFormat="false" ht="12.75" hidden="false" customHeight="true" outlineLevel="0" collapsed="false"/>
    <row r="61113" customFormat="false" ht="12.75" hidden="false" customHeight="true" outlineLevel="0" collapsed="false"/>
    <row r="61115" customFormat="false" ht="12.75" hidden="false" customHeight="true" outlineLevel="0" collapsed="false"/>
    <row r="61126" customFormat="false" ht="12.75" hidden="false" customHeight="true" outlineLevel="0" collapsed="false"/>
    <row r="61127" customFormat="false" ht="12.75" hidden="false" customHeight="true" outlineLevel="0" collapsed="false"/>
    <row r="61128" customFormat="false" ht="12.75" hidden="false" customHeight="true" outlineLevel="0" collapsed="false"/>
    <row r="61129" customFormat="false" ht="12.75" hidden="false" customHeight="true" outlineLevel="0" collapsed="false"/>
    <row r="61131" customFormat="false" ht="12.75" hidden="false" customHeight="true" outlineLevel="0" collapsed="false"/>
    <row r="61142" customFormat="false" ht="12.75" hidden="false" customHeight="true" outlineLevel="0" collapsed="false"/>
    <row r="61143" customFormat="false" ht="12.75" hidden="false" customHeight="true" outlineLevel="0" collapsed="false"/>
    <row r="61144" customFormat="false" ht="12.75" hidden="false" customHeight="true" outlineLevel="0" collapsed="false"/>
    <row r="61145" customFormat="false" ht="12.75" hidden="false" customHeight="true" outlineLevel="0" collapsed="false"/>
    <row r="61147" customFormat="false" ht="12.75" hidden="false" customHeight="true" outlineLevel="0" collapsed="false"/>
    <row r="61158" customFormat="false" ht="12.75" hidden="false" customHeight="true" outlineLevel="0" collapsed="false"/>
    <row r="61159" customFormat="false" ht="12.75" hidden="false" customHeight="true" outlineLevel="0" collapsed="false"/>
    <row r="61160" customFormat="false" ht="12.75" hidden="false" customHeight="true" outlineLevel="0" collapsed="false"/>
    <row r="61161" customFormat="false" ht="12.75" hidden="false" customHeight="true" outlineLevel="0" collapsed="false"/>
    <row r="61163" customFormat="false" ht="12.75" hidden="false" customHeight="true" outlineLevel="0" collapsed="false"/>
    <row r="61171" customFormat="false" ht="12.75" hidden="false" customHeight="true" outlineLevel="0" collapsed="false"/>
    <row r="61174" customFormat="false" ht="12.75" hidden="false" customHeight="true" outlineLevel="0" collapsed="false"/>
    <row r="61175" customFormat="false" ht="12.75" hidden="false" customHeight="true" outlineLevel="0" collapsed="false"/>
    <row r="61176" customFormat="false" ht="12.75" hidden="false" customHeight="true" outlineLevel="0" collapsed="false"/>
    <row r="61177" customFormat="false" ht="12.75" hidden="false" customHeight="true" outlineLevel="0" collapsed="false"/>
    <row r="61179" customFormat="false" ht="12.75" hidden="false" customHeight="true" outlineLevel="0" collapsed="false"/>
    <row r="61187" customFormat="false" ht="12.75" hidden="false" customHeight="true" outlineLevel="0" collapsed="false"/>
    <row r="61190" customFormat="false" ht="12.75" hidden="false" customHeight="true" outlineLevel="0" collapsed="false"/>
    <row r="61191" customFormat="false" ht="12.75" hidden="false" customHeight="true" outlineLevel="0" collapsed="false"/>
    <row r="61192" customFormat="false" ht="12.75" hidden="false" customHeight="true" outlineLevel="0" collapsed="false"/>
    <row r="61193" customFormat="false" ht="12.75" hidden="false" customHeight="true" outlineLevel="0" collapsed="false"/>
    <row r="61195" customFormat="false" ht="12.75" hidden="false" customHeight="true" outlineLevel="0" collapsed="false"/>
    <row r="61203" customFormat="false" ht="12.75" hidden="false" customHeight="true" outlineLevel="0" collapsed="false"/>
    <row r="61204" customFormat="false" ht="12.75" hidden="false" customHeight="true" outlineLevel="0" collapsed="false"/>
    <row r="61206" customFormat="false" ht="12.75" hidden="false" customHeight="true" outlineLevel="0" collapsed="false"/>
    <row r="61207" customFormat="false" ht="12.75" hidden="false" customHeight="true" outlineLevel="0" collapsed="false"/>
    <row r="61208" customFormat="false" ht="12.75" hidden="false" customHeight="true" outlineLevel="0" collapsed="false"/>
    <row r="61209" customFormat="false" ht="12.75" hidden="false" customHeight="true" outlineLevel="0" collapsed="false"/>
    <row r="61211" customFormat="false" ht="12.75" hidden="false" customHeight="true" outlineLevel="0" collapsed="false"/>
    <row r="61219" customFormat="false" ht="12.75" hidden="false" customHeight="true" outlineLevel="0" collapsed="false"/>
    <row r="61220" customFormat="false" ht="12.75" hidden="false" customHeight="true" outlineLevel="0" collapsed="false"/>
    <row r="61221" customFormat="false" ht="12.75" hidden="false" customHeight="true" outlineLevel="0" collapsed="false"/>
    <row r="61222" customFormat="false" ht="12.75" hidden="false" customHeight="true" outlineLevel="0" collapsed="false"/>
    <row r="61223" customFormat="false" ht="12.75" hidden="false" customHeight="true" outlineLevel="0" collapsed="false"/>
    <row r="61224" customFormat="false" ht="12.75" hidden="false" customHeight="true" outlineLevel="0" collapsed="false"/>
    <row r="61225" customFormat="false" ht="12.75" hidden="false" customHeight="true" outlineLevel="0" collapsed="false"/>
    <row r="61227" customFormat="false" ht="12.75" hidden="false" customHeight="true" outlineLevel="0" collapsed="false"/>
    <row r="61235" customFormat="false" ht="12.75" hidden="false" customHeight="true" outlineLevel="0" collapsed="false"/>
    <row r="61236" customFormat="false" ht="12.75" hidden="false" customHeight="true" outlineLevel="0" collapsed="false"/>
    <row r="61237" customFormat="false" ht="12.75" hidden="false" customHeight="true" outlineLevel="0" collapsed="false"/>
    <row r="61238" customFormat="false" ht="12.75" hidden="false" customHeight="true" outlineLevel="0" collapsed="false"/>
    <row r="61239" customFormat="false" ht="12.75" hidden="false" customHeight="true" outlineLevel="0" collapsed="false"/>
    <row r="61240" customFormat="false" ht="12.75" hidden="false" customHeight="true" outlineLevel="0" collapsed="false"/>
    <row r="61241" customFormat="false" ht="12.75" hidden="false" customHeight="true" outlineLevel="0" collapsed="false"/>
    <row r="61243" customFormat="false" ht="12.75" hidden="false" customHeight="true" outlineLevel="0" collapsed="false"/>
    <row r="61249" customFormat="false" ht="12.75" hidden="false" customHeight="true" outlineLevel="0" collapsed="false"/>
    <row r="61250" customFormat="false" ht="12.75" hidden="false" customHeight="true" outlineLevel="0" collapsed="false"/>
    <row r="61251" customFormat="false" ht="12.75" hidden="false" customHeight="true" outlineLevel="0" collapsed="false"/>
    <row r="61252" customFormat="false" ht="12.75" hidden="false" customHeight="true" outlineLevel="0" collapsed="false"/>
    <row r="61253" customFormat="false" ht="12.75" hidden="false" customHeight="true" outlineLevel="0" collapsed="false"/>
    <row r="61254" customFormat="false" ht="12.75" hidden="false" customHeight="true" outlineLevel="0" collapsed="false"/>
    <row r="61255" customFormat="false" ht="12.75" hidden="false" customHeight="true" outlineLevel="0" collapsed="false"/>
    <row r="61256" customFormat="false" ht="12.75" hidden="false" customHeight="true" outlineLevel="0" collapsed="false"/>
    <row r="61257" customFormat="false" ht="12.75" hidden="false" customHeight="true" outlineLevel="0" collapsed="false"/>
    <row r="61258" customFormat="false" ht="12.75" hidden="false" customHeight="true" outlineLevel="0" collapsed="false"/>
    <row r="61259" customFormat="false" ht="12.75" hidden="false" customHeight="true" outlineLevel="0" collapsed="false"/>
    <row r="61260" customFormat="false" ht="12.75" hidden="false" customHeight="true" outlineLevel="0" collapsed="false"/>
    <row r="61265" customFormat="false" ht="12.75" hidden="false" customHeight="true" outlineLevel="0" collapsed="false"/>
    <row r="61266" customFormat="false" ht="12.75" hidden="false" customHeight="true" outlineLevel="0" collapsed="false"/>
    <row r="61267" customFormat="false" ht="12.75" hidden="false" customHeight="true" outlineLevel="0" collapsed="false"/>
    <row r="61268" customFormat="false" ht="12.75" hidden="false" customHeight="true" outlineLevel="0" collapsed="false"/>
    <row r="61269" customFormat="false" ht="12.75" hidden="false" customHeight="true" outlineLevel="0" collapsed="false"/>
    <row r="61270" customFormat="false" ht="12.75" hidden="false" customHeight="true" outlineLevel="0" collapsed="false"/>
    <row r="61271" customFormat="false" ht="12.75" hidden="false" customHeight="true" outlineLevel="0" collapsed="false"/>
    <row r="61272" customFormat="false" ht="12.75" hidden="false" customHeight="true" outlineLevel="0" collapsed="false"/>
    <row r="61273" customFormat="false" ht="12.75" hidden="false" customHeight="true" outlineLevel="0" collapsed="false"/>
    <row r="61274" customFormat="false" ht="12.75" hidden="false" customHeight="true" outlineLevel="0" collapsed="false"/>
    <row r="61275" customFormat="false" ht="12.75" hidden="false" customHeight="true" outlineLevel="0" collapsed="false"/>
    <row r="61276" customFormat="false" ht="12.75" hidden="false" customHeight="true" outlineLevel="0" collapsed="false"/>
    <row r="61281" customFormat="false" ht="12.75" hidden="false" customHeight="true" outlineLevel="0" collapsed="false"/>
    <row r="61282" customFormat="false" ht="12.75" hidden="false" customHeight="true" outlineLevel="0" collapsed="false"/>
    <row r="61283" customFormat="false" ht="12.75" hidden="false" customHeight="true" outlineLevel="0" collapsed="false"/>
    <row r="61284" customFormat="false" ht="12.75" hidden="false" customHeight="true" outlineLevel="0" collapsed="false"/>
    <row r="61285" customFormat="false" ht="12.75" hidden="false" customHeight="true" outlineLevel="0" collapsed="false"/>
    <row r="61286" customFormat="false" ht="12.75" hidden="false" customHeight="true" outlineLevel="0" collapsed="false"/>
    <row r="61287" customFormat="false" ht="12.75" hidden="false" customHeight="true" outlineLevel="0" collapsed="false"/>
    <row r="61288" customFormat="false" ht="12.75" hidden="false" customHeight="true" outlineLevel="0" collapsed="false"/>
    <row r="61289" customFormat="false" ht="12.75" hidden="false" customHeight="true" outlineLevel="0" collapsed="false"/>
    <row r="61290" customFormat="false" ht="12.75" hidden="false" customHeight="true" outlineLevel="0" collapsed="false"/>
    <row r="61291" customFormat="false" ht="12.75" hidden="false" customHeight="true" outlineLevel="0" collapsed="false"/>
    <row r="61292" customFormat="false" ht="12.75" hidden="false" customHeight="true" outlineLevel="0" collapsed="false"/>
    <row r="61297" customFormat="false" ht="12.75" hidden="false" customHeight="true" outlineLevel="0" collapsed="false"/>
    <row r="61298" customFormat="false" ht="12.75" hidden="false" customHeight="true" outlineLevel="0" collapsed="false"/>
    <row r="61299" customFormat="false" ht="12.75" hidden="false" customHeight="true" outlineLevel="0" collapsed="false"/>
    <row r="61300" customFormat="false" ht="12.75" hidden="false" customHeight="true" outlineLevel="0" collapsed="false"/>
    <row r="61301" customFormat="false" ht="12.75" hidden="false" customHeight="true" outlineLevel="0" collapsed="false"/>
    <row r="61302" customFormat="false" ht="12.75" hidden="false" customHeight="true" outlineLevel="0" collapsed="false"/>
    <row r="61303" customFormat="false" ht="12.75" hidden="false" customHeight="true" outlineLevel="0" collapsed="false"/>
    <row r="61304" customFormat="false" ht="12.75" hidden="false" customHeight="true" outlineLevel="0" collapsed="false"/>
    <row r="61305" customFormat="false" ht="12.75" hidden="false" customHeight="true" outlineLevel="0" collapsed="false"/>
    <row r="61306" customFormat="false" ht="12.75" hidden="false" customHeight="true" outlineLevel="0" collapsed="false"/>
    <row r="61307" customFormat="false" ht="12.75" hidden="false" customHeight="true" outlineLevel="0" collapsed="false"/>
    <row r="61308" customFormat="false" ht="12.75" hidden="false" customHeight="true" outlineLevel="0" collapsed="false"/>
    <row r="61312" customFormat="false" ht="12.75" hidden="false" customHeight="true" outlineLevel="0" collapsed="false"/>
    <row r="61313" customFormat="false" ht="12.75" hidden="false" customHeight="true" outlineLevel="0" collapsed="false"/>
    <row r="61314" customFormat="false" ht="12.75" hidden="false" customHeight="true" outlineLevel="0" collapsed="false"/>
    <row r="61315" customFormat="false" ht="12.75" hidden="false" customHeight="true" outlineLevel="0" collapsed="false"/>
    <row r="61316" customFormat="false" ht="12.75" hidden="false" customHeight="true" outlineLevel="0" collapsed="false"/>
    <row r="61317" customFormat="false" ht="12.75" hidden="false" customHeight="true" outlineLevel="0" collapsed="false"/>
    <row r="61318" customFormat="false" ht="12.75" hidden="false" customHeight="true" outlineLevel="0" collapsed="false"/>
    <row r="61319" customFormat="false" ht="12.75" hidden="false" customHeight="true" outlineLevel="0" collapsed="false"/>
    <row r="61320" customFormat="false" ht="12.75" hidden="false" customHeight="true" outlineLevel="0" collapsed="false"/>
    <row r="61321" customFormat="false" ht="12.75" hidden="false" customHeight="true" outlineLevel="0" collapsed="false"/>
    <row r="61322" customFormat="false" ht="12.75" hidden="false" customHeight="true" outlineLevel="0" collapsed="false"/>
    <row r="61323" customFormat="false" ht="12.75" hidden="false" customHeight="true" outlineLevel="0" collapsed="false"/>
    <row r="61324" customFormat="false" ht="12.75" hidden="false" customHeight="true" outlineLevel="0" collapsed="false"/>
    <row r="61328" customFormat="false" ht="12.75" hidden="false" customHeight="true" outlineLevel="0" collapsed="false"/>
    <row r="61329" customFormat="false" ht="12.75" hidden="false" customHeight="true" outlineLevel="0" collapsed="false"/>
    <row r="61330" customFormat="false" ht="12.75" hidden="false" customHeight="true" outlineLevel="0" collapsed="false"/>
    <row r="61331" customFormat="false" ht="12.75" hidden="false" customHeight="true" outlineLevel="0" collapsed="false"/>
    <row r="61332" customFormat="false" ht="12.75" hidden="false" customHeight="true" outlineLevel="0" collapsed="false"/>
    <row r="61333" customFormat="false" ht="12.75" hidden="false" customHeight="true" outlineLevel="0" collapsed="false"/>
    <row r="61334" customFormat="false" ht="12.75" hidden="false" customHeight="true" outlineLevel="0" collapsed="false"/>
    <row r="61335" customFormat="false" ht="12.75" hidden="false" customHeight="true" outlineLevel="0" collapsed="false"/>
    <row r="61336" customFormat="false" ht="12.75" hidden="false" customHeight="true" outlineLevel="0" collapsed="false"/>
    <row r="61337" customFormat="false" ht="12.75" hidden="false" customHeight="true" outlineLevel="0" collapsed="false"/>
    <row r="61338" customFormat="false" ht="12.75" hidden="false" customHeight="true" outlineLevel="0" collapsed="false"/>
    <row r="61339" customFormat="false" ht="12.75" hidden="false" customHeight="true" outlineLevel="0" collapsed="false"/>
    <row r="61340" customFormat="false" ht="12.75" hidden="false" customHeight="true" outlineLevel="0" collapsed="false"/>
    <row r="61344" customFormat="false" ht="12.75" hidden="false" customHeight="true" outlineLevel="0" collapsed="false"/>
    <row r="61345" customFormat="false" ht="12.75" hidden="false" customHeight="true" outlineLevel="0" collapsed="false"/>
    <row r="61346" customFormat="false" ht="12.75" hidden="false" customHeight="true" outlineLevel="0" collapsed="false"/>
    <row r="61347" customFormat="false" ht="12.75" hidden="false" customHeight="true" outlineLevel="0" collapsed="false"/>
    <row r="61348" customFormat="false" ht="12.75" hidden="false" customHeight="true" outlineLevel="0" collapsed="false"/>
    <row r="61349" customFormat="false" ht="12.75" hidden="false" customHeight="true" outlineLevel="0" collapsed="false"/>
    <row r="61350" customFormat="false" ht="12.75" hidden="false" customHeight="true" outlineLevel="0" collapsed="false"/>
    <row r="61351" customFormat="false" ht="12.75" hidden="false" customHeight="true" outlineLevel="0" collapsed="false"/>
    <row r="61352" customFormat="false" ht="12.75" hidden="false" customHeight="true" outlineLevel="0" collapsed="false"/>
    <row r="61353" customFormat="false" ht="12.75" hidden="false" customHeight="true" outlineLevel="0" collapsed="false"/>
    <row r="61354" customFormat="false" ht="12.75" hidden="false" customHeight="true" outlineLevel="0" collapsed="false"/>
    <row r="61355" customFormat="false" ht="12.75" hidden="false" customHeight="true" outlineLevel="0" collapsed="false"/>
    <row r="61356" customFormat="false" ht="12.75" hidden="false" customHeight="true" outlineLevel="0" collapsed="false"/>
    <row r="61360" customFormat="false" ht="12.75" hidden="false" customHeight="true" outlineLevel="0" collapsed="false"/>
    <row r="61361" customFormat="false" ht="12.75" hidden="false" customHeight="true" outlineLevel="0" collapsed="false"/>
    <row r="61362" customFormat="false" ht="12.75" hidden="false" customHeight="true" outlineLevel="0" collapsed="false"/>
    <row r="61363" customFormat="false" ht="12.75" hidden="false" customHeight="true" outlineLevel="0" collapsed="false"/>
    <row r="61364" customFormat="false" ht="12.75" hidden="false" customHeight="true" outlineLevel="0" collapsed="false"/>
    <row r="61365" customFormat="false" ht="12.75" hidden="false" customHeight="true" outlineLevel="0" collapsed="false"/>
    <row r="61366" customFormat="false" ht="12.75" hidden="false" customHeight="true" outlineLevel="0" collapsed="false"/>
    <row r="61367" customFormat="false" ht="12.75" hidden="false" customHeight="true" outlineLevel="0" collapsed="false"/>
    <row r="61368" customFormat="false" ht="12.75" hidden="false" customHeight="true" outlineLevel="0" collapsed="false"/>
    <row r="61369" customFormat="false" ht="12.75" hidden="false" customHeight="true" outlineLevel="0" collapsed="false"/>
    <row r="61370" customFormat="false" ht="12.75" hidden="false" customHeight="true" outlineLevel="0" collapsed="false"/>
    <row r="61371" customFormat="false" ht="12.75" hidden="false" customHeight="true" outlineLevel="0" collapsed="false"/>
    <row r="61372" customFormat="false" ht="12.75" hidden="false" customHeight="true" outlineLevel="0" collapsed="false"/>
    <row r="61376" customFormat="false" ht="12.75" hidden="false" customHeight="true" outlineLevel="0" collapsed="false"/>
    <row r="61377" customFormat="false" ht="12.75" hidden="false" customHeight="true" outlineLevel="0" collapsed="false"/>
    <row r="61378" customFormat="false" ht="12.75" hidden="false" customHeight="true" outlineLevel="0" collapsed="false"/>
    <row r="61379" customFormat="false" ht="12.75" hidden="false" customHeight="true" outlineLevel="0" collapsed="false"/>
    <row r="61380" customFormat="false" ht="12.75" hidden="false" customHeight="true" outlineLevel="0" collapsed="false"/>
    <row r="61381" customFormat="false" ht="12.75" hidden="false" customHeight="true" outlineLevel="0" collapsed="false"/>
    <row r="61382" customFormat="false" ht="12.75" hidden="false" customHeight="true" outlineLevel="0" collapsed="false"/>
    <row r="61383" customFormat="false" ht="12.75" hidden="false" customHeight="true" outlineLevel="0" collapsed="false"/>
    <row r="61384" customFormat="false" ht="12.75" hidden="false" customHeight="true" outlineLevel="0" collapsed="false"/>
    <row r="61385" customFormat="false" ht="12.75" hidden="false" customHeight="true" outlineLevel="0" collapsed="false"/>
    <row r="61386" customFormat="false" ht="12.75" hidden="false" customHeight="true" outlineLevel="0" collapsed="false"/>
    <row r="61387" customFormat="false" ht="12.75" hidden="false" customHeight="true" outlineLevel="0" collapsed="false"/>
    <row r="61388" customFormat="false" ht="12.75" hidden="false" customHeight="true" outlineLevel="0" collapsed="false"/>
    <row r="61392" customFormat="false" ht="12.75" hidden="false" customHeight="true" outlineLevel="0" collapsed="false"/>
    <row r="61393" customFormat="false" ht="12.75" hidden="false" customHeight="true" outlineLevel="0" collapsed="false"/>
    <row r="61394" customFormat="false" ht="12.75" hidden="false" customHeight="true" outlineLevel="0" collapsed="false"/>
    <row r="61395" customFormat="false" ht="12.75" hidden="false" customHeight="true" outlineLevel="0" collapsed="false"/>
    <row r="61396" customFormat="false" ht="12.75" hidden="false" customHeight="true" outlineLevel="0" collapsed="false"/>
    <row r="61397" customFormat="false" ht="12.75" hidden="false" customHeight="true" outlineLevel="0" collapsed="false"/>
    <row r="61398" customFormat="false" ht="12.75" hidden="false" customHeight="true" outlineLevel="0" collapsed="false"/>
    <row r="61399" customFormat="false" ht="12.75" hidden="false" customHeight="true" outlineLevel="0" collapsed="false"/>
    <row r="61400" customFormat="false" ht="12.75" hidden="false" customHeight="true" outlineLevel="0" collapsed="false"/>
    <row r="61401" customFormat="false" ht="12.75" hidden="false" customHeight="true" outlineLevel="0" collapsed="false"/>
    <row r="61402" customFormat="false" ht="12.75" hidden="false" customHeight="true" outlineLevel="0" collapsed="false"/>
    <row r="61403" customFormat="false" ht="12.75" hidden="false" customHeight="true" outlineLevel="0" collapsed="false"/>
    <row r="61404" customFormat="false" ht="12.75" hidden="false" customHeight="true" outlineLevel="0" collapsed="false"/>
    <row r="61408" customFormat="false" ht="12.75" hidden="false" customHeight="true" outlineLevel="0" collapsed="false"/>
    <row r="61409" customFormat="false" ht="12.75" hidden="false" customHeight="true" outlineLevel="0" collapsed="false"/>
    <row r="61410" customFormat="false" ht="12.75" hidden="false" customHeight="true" outlineLevel="0" collapsed="false"/>
    <row r="61411" customFormat="false" ht="12.75" hidden="false" customHeight="true" outlineLevel="0" collapsed="false"/>
    <row r="61412" customFormat="false" ht="12.75" hidden="false" customHeight="true" outlineLevel="0" collapsed="false"/>
    <row r="61413" customFormat="false" ht="12.75" hidden="false" customHeight="true" outlineLevel="0" collapsed="false"/>
    <row r="61414" customFormat="false" ht="12.75" hidden="false" customHeight="true" outlineLevel="0" collapsed="false"/>
    <row r="61415" customFormat="false" ht="12.75" hidden="false" customHeight="true" outlineLevel="0" collapsed="false"/>
    <row r="61416" customFormat="false" ht="12.75" hidden="false" customHeight="true" outlineLevel="0" collapsed="false"/>
    <row r="61417" customFormat="false" ht="12.75" hidden="false" customHeight="true" outlineLevel="0" collapsed="false"/>
    <row r="61418" customFormat="false" ht="12.75" hidden="false" customHeight="true" outlineLevel="0" collapsed="false"/>
    <row r="61419" customFormat="false" ht="12.75" hidden="false" customHeight="true" outlineLevel="0" collapsed="false"/>
    <row r="61420" customFormat="false" ht="12.75" hidden="false" customHeight="true" outlineLevel="0" collapsed="false"/>
    <row r="61424" customFormat="false" ht="12.75" hidden="false" customHeight="true" outlineLevel="0" collapsed="false"/>
    <row r="61425" customFormat="false" ht="12.75" hidden="false" customHeight="true" outlineLevel="0" collapsed="false"/>
    <row r="61426" customFormat="false" ht="12.75" hidden="false" customHeight="true" outlineLevel="0" collapsed="false"/>
    <row r="61427" customFormat="false" ht="12.75" hidden="false" customHeight="true" outlineLevel="0" collapsed="false"/>
    <row r="61428" customFormat="false" ht="12.75" hidden="false" customHeight="true" outlineLevel="0" collapsed="false"/>
    <row r="61429" customFormat="false" ht="12.75" hidden="false" customHeight="true" outlineLevel="0" collapsed="false"/>
    <row r="61430" customFormat="false" ht="12.75" hidden="false" customHeight="true" outlineLevel="0" collapsed="false"/>
    <row r="61431" customFormat="false" ht="12.75" hidden="false" customHeight="true" outlineLevel="0" collapsed="false"/>
    <row r="61432" customFormat="false" ht="12.75" hidden="false" customHeight="true" outlineLevel="0" collapsed="false"/>
    <row r="61433" customFormat="false" ht="12.75" hidden="false" customHeight="true" outlineLevel="0" collapsed="false"/>
    <row r="61434" customFormat="false" ht="12.75" hidden="false" customHeight="true" outlineLevel="0" collapsed="false"/>
    <row r="61435" customFormat="false" ht="12.75" hidden="false" customHeight="true" outlineLevel="0" collapsed="false"/>
    <row r="61436" customFormat="false" ht="12.75" hidden="false" customHeight="true" outlineLevel="0" collapsed="false"/>
    <row r="61437" customFormat="false" ht="12.75" hidden="false" customHeight="true" outlineLevel="0" collapsed="false"/>
    <row r="61440" customFormat="false" ht="12.75" hidden="false" customHeight="true" outlineLevel="0" collapsed="false"/>
    <row r="61441" customFormat="false" ht="12.75" hidden="false" customHeight="true" outlineLevel="0" collapsed="false"/>
    <row r="61442" customFormat="false" ht="12.75" hidden="false" customHeight="true" outlineLevel="0" collapsed="false"/>
    <row r="61443" customFormat="false" ht="12.75" hidden="false" customHeight="true" outlineLevel="0" collapsed="false"/>
    <row r="61444" customFormat="false" ht="12.75" hidden="false" customHeight="true" outlineLevel="0" collapsed="false"/>
    <row r="61445" customFormat="false" ht="12.75" hidden="false" customHeight="true" outlineLevel="0" collapsed="false"/>
    <row r="61446" customFormat="false" ht="12.75" hidden="false" customHeight="true" outlineLevel="0" collapsed="false"/>
    <row r="61447" customFormat="false" ht="12.75" hidden="false" customHeight="true" outlineLevel="0" collapsed="false"/>
    <row r="61448" customFormat="false" ht="12.75" hidden="false" customHeight="true" outlineLevel="0" collapsed="false"/>
    <row r="61449" customFormat="false" ht="12.75" hidden="false" customHeight="true" outlineLevel="0" collapsed="false"/>
    <row r="61450" customFormat="false" ht="12.75" hidden="false" customHeight="true" outlineLevel="0" collapsed="false"/>
    <row r="61451" customFormat="false" ht="12.75" hidden="false" customHeight="true" outlineLevel="0" collapsed="false"/>
    <row r="61452" customFormat="false" ht="12.75" hidden="false" customHeight="true" outlineLevel="0" collapsed="false"/>
    <row r="61453" customFormat="false" ht="12.75" hidden="false" customHeight="true" outlineLevel="0" collapsed="false"/>
    <row r="61456" customFormat="false" ht="12.75" hidden="false" customHeight="true" outlineLevel="0" collapsed="false"/>
    <row r="61457" customFormat="false" ht="12.75" hidden="false" customHeight="true" outlineLevel="0" collapsed="false"/>
    <row r="61458" customFormat="false" ht="12.75" hidden="false" customHeight="true" outlineLevel="0" collapsed="false"/>
    <row r="61459" customFormat="false" ht="12.75" hidden="false" customHeight="true" outlineLevel="0" collapsed="false"/>
    <row r="61460" customFormat="false" ht="12.75" hidden="false" customHeight="true" outlineLevel="0" collapsed="false"/>
    <row r="61461" customFormat="false" ht="12.75" hidden="false" customHeight="true" outlineLevel="0" collapsed="false"/>
    <row r="61462" customFormat="false" ht="12.75" hidden="false" customHeight="true" outlineLevel="0" collapsed="false"/>
    <row r="61463" customFormat="false" ht="12.75" hidden="false" customHeight="true" outlineLevel="0" collapsed="false"/>
    <row r="61464" customFormat="false" ht="12.75" hidden="false" customHeight="true" outlineLevel="0" collapsed="false"/>
    <row r="61465" customFormat="false" ht="12.75" hidden="false" customHeight="true" outlineLevel="0" collapsed="false"/>
    <row r="61466" customFormat="false" ht="12.75" hidden="false" customHeight="true" outlineLevel="0" collapsed="false"/>
    <row r="61467" customFormat="false" ht="12.75" hidden="false" customHeight="true" outlineLevel="0" collapsed="false"/>
    <row r="61468" customFormat="false" ht="12.75" hidden="false" customHeight="true" outlineLevel="0" collapsed="false"/>
    <row r="61469" customFormat="false" ht="12.75" hidden="false" customHeight="true" outlineLevel="0" collapsed="false"/>
    <row r="61470" customFormat="false" ht="12.75" hidden="false" customHeight="true" outlineLevel="0" collapsed="false"/>
    <row r="61472" customFormat="false" ht="12.75" hidden="false" customHeight="true" outlineLevel="0" collapsed="false"/>
    <row r="61473" customFormat="false" ht="12.75" hidden="false" customHeight="true" outlineLevel="0" collapsed="false"/>
    <row r="61474" customFormat="false" ht="12.75" hidden="false" customHeight="true" outlineLevel="0" collapsed="false"/>
    <row r="61475" customFormat="false" ht="12.75" hidden="false" customHeight="true" outlineLevel="0" collapsed="false"/>
    <row r="61476" customFormat="false" ht="12.75" hidden="false" customHeight="true" outlineLevel="0" collapsed="false"/>
    <row r="61477" customFormat="false" ht="12.75" hidden="false" customHeight="true" outlineLevel="0" collapsed="false"/>
    <row r="61478" customFormat="false" ht="12.75" hidden="false" customHeight="true" outlineLevel="0" collapsed="false"/>
    <row r="61479" customFormat="false" ht="12.75" hidden="false" customHeight="true" outlineLevel="0" collapsed="false"/>
    <row r="61480" customFormat="false" ht="12.75" hidden="false" customHeight="true" outlineLevel="0" collapsed="false"/>
    <row r="61481" customFormat="false" ht="12.75" hidden="false" customHeight="true" outlineLevel="0" collapsed="false"/>
    <row r="61482" customFormat="false" ht="12.75" hidden="false" customHeight="true" outlineLevel="0" collapsed="false"/>
    <row r="61483" customFormat="false" ht="12.75" hidden="false" customHeight="true" outlineLevel="0" collapsed="false"/>
    <row r="61484" customFormat="false" ht="12.75" hidden="false" customHeight="true" outlineLevel="0" collapsed="false"/>
    <row r="61485" customFormat="false" ht="12.75" hidden="false" customHeight="true" outlineLevel="0" collapsed="false"/>
    <row r="61486" customFormat="false" ht="12.75" hidden="false" customHeight="true" outlineLevel="0" collapsed="false"/>
    <row r="61487" customFormat="false" ht="12.75" hidden="false" customHeight="true" outlineLevel="0" collapsed="false"/>
    <row r="61488" customFormat="false" ht="12.75" hidden="false" customHeight="true" outlineLevel="0" collapsed="false"/>
    <row r="61489" customFormat="false" ht="12.75" hidden="false" customHeight="true" outlineLevel="0" collapsed="false"/>
    <row r="61490" customFormat="false" ht="12.75" hidden="false" customHeight="true" outlineLevel="0" collapsed="false"/>
    <row r="61491" customFormat="false" ht="12.75" hidden="false" customHeight="true" outlineLevel="0" collapsed="false"/>
    <row r="61492" customFormat="false" ht="12.75" hidden="false" customHeight="true" outlineLevel="0" collapsed="false"/>
    <row r="61493" customFormat="false" ht="12.75" hidden="false" customHeight="true" outlineLevel="0" collapsed="false"/>
    <row r="61494" customFormat="false" ht="12.75" hidden="false" customHeight="true" outlineLevel="0" collapsed="false"/>
    <row r="61495" customFormat="false" ht="12.75" hidden="false" customHeight="true" outlineLevel="0" collapsed="false"/>
    <row r="61496" customFormat="false" ht="12.75" hidden="false" customHeight="true" outlineLevel="0" collapsed="false"/>
    <row r="61497" customFormat="false" ht="12.75" hidden="false" customHeight="true" outlineLevel="0" collapsed="false"/>
    <row r="61498" customFormat="false" ht="12.75" hidden="false" customHeight="true" outlineLevel="0" collapsed="false"/>
    <row r="61499" customFormat="false" ht="12.75" hidden="false" customHeight="true" outlineLevel="0" collapsed="false"/>
    <row r="61500" customFormat="false" ht="12.75" hidden="false" customHeight="true" outlineLevel="0" collapsed="false"/>
    <row r="61501" customFormat="false" ht="12.75" hidden="false" customHeight="true" outlineLevel="0" collapsed="false"/>
    <row r="61502" customFormat="false" ht="12.75" hidden="false" customHeight="true" outlineLevel="0" collapsed="false"/>
    <row r="61503" customFormat="false" ht="12.75" hidden="false" customHeight="true" outlineLevel="0" collapsed="false"/>
    <row r="61504" customFormat="false" ht="12.75" hidden="false" customHeight="true" outlineLevel="0" collapsed="false"/>
    <row r="61505" customFormat="false" ht="12.75" hidden="false" customHeight="true" outlineLevel="0" collapsed="false"/>
    <row r="61506" customFormat="false" ht="12.75" hidden="false" customHeight="true" outlineLevel="0" collapsed="false"/>
    <row r="61507" customFormat="false" ht="12.75" hidden="false" customHeight="true" outlineLevel="0" collapsed="false"/>
    <row r="61508" customFormat="false" ht="12.75" hidden="false" customHeight="true" outlineLevel="0" collapsed="false"/>
    <row r="61509" customFormat="false" ht="12.75" hidden="false" customHeight="true" outlineLevel="0" collapsed="false"/>
    <row r="61510" customFormat="false" ht="12.75" hidden="false" customHeight="true" outlineLevel="0" collapsed="false"/>
    <row r="61511" customFormat="false" ht="12.75" hidden="false" customHeight="true" outlineLevel="0" collapsed="false"/>
    <row r="61512" customFormat="false" ht="12.75" hidden="false" customHeight="true" outlineLevel="0" collapsed="false"/>
    <row r="61513" customFormat="false" ht="12.75" hidden="false" customHeight="true" outlineLevel="0" collapsed="false"/>
    <row r="61514" customFormat="false" ht="12.75" hidden="false" customHeight="true" outlineLevel="0" collapsed="false"/>
    <row r="61515" customFormat="false" ht="12.75" hidden="false" customHeight="true" outlineLevel="0" collapsed="false"/>
    <row r="61516" customFormat="false" ht="12.75" hidden="false" customHeight="true" outlineLevel="0" collapsed="false"/>
    <row r="61517" customFormat="false" ht="12.75" hidden="false" customHeight="true" outlineLevel="0" collapsed="false"/>
    <row r="61518" customFormat="false" ht="12.75" hidden="false" customHeight="true" outlineLevel="0" collapsed="false"/>
    <row r="61519" customFormat="false" ht="12.75" hidden="false" customHeight="true" outlineLevel="0" collapsed="false"/>
    <row r="61520" customFormat="false" ht="12.75" hidden="false" customHeight="true" outlineLevel="0" collapsed="false"/>
    <row r="61521" customFormat="false" ht="12.75" hidden="false" customHeight="true" outlineLevel="0" collapsed="false"/>
    <row r="61522" customFormat="false" ht="12.75" hidden="false" customHeight="true" outlineLevel="0" collapsed="false"/>
    <row r="61523" customFormat="false" ht="12.75" hidden="false" customHeight="true" outlineLevel="0" collapsed="false"/>
    <row r="61524" customFormat="false" ht="12.75" hidden="false" customHeight="true" outlineLevel="0" collapsed="false"/>
    <row r="61525" customFormat="false" ht="12.75" hidden="false" customHeight="true" outlineLevel="0" collapsed="false"/>
    <row r="61526" customFormat="false" ht="12.75" hidden="false" customHeight="true" outlineLevel="0" collapsed="false"/>
    <row r="61527" customFormat="false" ht="12.75" hidden="false" customHeight="true" outlineLevel="0" collapsed="false"/>
    <row r="61528" customFormat="false" ht="12.75" hidden="false" customHeight="true" outlineLevel="0" collapsed="false"/>
    <row r="61529" customFormat="false" ht="12.75" hidden="false" customHeight="true" outlineLevel="0" collapsed="false"/>
    <row r="61530" customFormat="false" ht="12.75" hidden="false" customHeight="true" outlineLevel="0" collapsed="false"/>
    <row r="61531" customFormat="false" ht="12.75" hidden="false" customHeight="true" outlineLevel="0" collapsed="false"/>
    <row r="61532" customFormat="false" ht="12.75" hidden="false" customHeight="true" outlineLevel="0" collapsed="false"/>
    <row r="61533" customFormat="false" ht="12.75" hidden="false" customHeight="true" outlineLevel="0" collapsed="false"/>
    <row r="61534" customFormat="false" ht="12.75" hidden="false" customHeight="true" outlineLevel="0" collapsed="false"/>
    <row r="61535" customFormat="false" ht="12.75" hidden="false" customHeight="true" outlineLevel="0" collapsed="false"/>
    <row r="61536" customFormat="false" ht="12.75" hidden="false" customHeight="true" outlineLevel="0" collapsed="false"/>
    <row r="61537" customFormat="false" ht="12.75" hidden="false" customHeight="true" outlineLevel="0" collapsed="false"/>
    <row r="61538" customFormat="false" ht="12.75" hidden="false" customHeight="true" outlineLevel="0" collapsed="false"/>
    <row r="61539" customFormat="false" ht="12.75" hidden="false" customHeight="true" outlineLevel="0" collapsed="false"/>
    <row r="61540" customFormat="false" ht="12.75" hidden="false" customHeight="true" outlineLevel="0" collapsed="false"/>
    <row r="61541" customFormat="false" ht="12.75" hidden="false" customHeight="true" outlineLevel="0" collapsed="false"/>
    <row r="61542" customFormat="false" ht="12.75" hidden="false" customHeight="true" outlineLevel="0" collapsed="false"/>
    <row r="61543" customFormat="false" ht="12.75" hidden="false" customHeight="true" outlineLevel="0" collapsed="false"/>
    <row r="61544" customFormat="false" ht="12.75" hidden="false" customHeight="true" outlineLevel="0" collapsed="false"/>
    <row r="61545" customFormat="false" ht="12.75" hidden="false" customHeight="true" outlineLevel="0" collapsed="false"/>
    <row r="61546" customFormat="false" ht="12.75" hidden="false" customHeight="true" outlineLevel="0" collapsed="false"/>
    <row r="61547" customFormat="false" ht="12.75" hidden="false" customHeight="true" outlineLevel="0" collapsed="false"/>
    <row r="61548" customFormat="false" ht="12.75" hidden="false" customHeight="true" outlineLevel="0" collapsed="false"/>
    <row r="61549" customFormat="false" ht="12.75" hidden="false" customHeight="true" outlineLevel="0" collapsed="false"/>
    <row r="61550" customFormat="false" ht="12.75" hidden="false" customHeight="true" outlineLevel="0" collapsed="false"/>
    <row r="61551" customFormat="false" ht="12.75" hidden="false" customHeight="true" outlineLevel="0" collapsed="false"/>
    <row r="61552" customFormat="false" ht="12.75" hidden="false" customHeight="true" outlineLevel="0" collapsed="false"/>
    <row r="61553" customFormat="false" ht="12.75" hidden="false" customHeight="true" outlineLevel="0" collapsed="false"/>
    <row r="61554" customFormat="false" ht="12.75" hidden="false" customHeight="true" outlineLevel="0" collapsed="false"/>
    <row r="61555" customFormat="false" ht="12.75" hidden="false" customHeight="true" outlineLevel="0" collapsed="false"/>
    <row r="61556" customFormat="false" ht="12.75" hidden="false" customHeight="true" outlineLevel="0" collapsed="false"/>
    <row r="61557" customFormat="false" ht="12.75" hidden="false" customHeight="true" outlineLevel="0" collapsed="false"/>
    <row r="61558" customFormat="false" ht="12.75" hidden="false" customHeight="true" outlineLevel="0" collapsed="false"/>
    <row r="61559" customFormat="false" ht="12.75" hidden="false" customHeight="true" outlineLevel="0" collapsed="false"/>
    <row r="61560" customFormat="false" ht="12.75" hidden="false" customHeight="true" outlineLevel="0" collapsed="false"/>
    <row r="61561" customFormat="false" ht="12.75" hidden="false" customHeight="true" outlineLevel="0" collapsed="false"/>
    <row r="61562" customFormat="false" ht="12.75" hidden="false" customHeight="true" outlineLevel="0" collapsed="false"/>
    <row r="61563" customFormat="false" ht="12.75" hidden="false" customHeight="true" outlineLevel="0" collapsed="false"/>
    <row r="61564" customFormat="false" ht="12.75" hidden="false" customHeight="true" outlineLevel="0" collapsed="false"/>
    <row r="61565" customFormat="false" ht="12.75" hidden="false" customHeight="true" outlineLevel="0" collapsed="false"/>
    <row r="61566" customFormat="false" ht="12.75" hidden="false" customHeight="true" outlineLevel="0" collapsed="false"/>
    <row r="61567" customFormat="false" ht="12.75" hidden="false" customHeight="true" outlineLevel="0" collapsed="false"/>
    <row r="61568" customFormat="false" ht="12.75" hidden="false" customHeight="true" outlineLevel="0" collapsed="false"/>
    <row r="61569" customFormat="false" ht="12.75" hidden="false" customHeight="true" outlineLevel="0" collapsed="false"/>
    <row r="61570" customFormat="false" ht="12.75" hidden="false" customHeight="true" outlineLevel="0" collapsed="false"/>
    <row r="61571" customFormat="false" ht="12.75" hidden="false" customHeight="true" outlineLevel="0" collapsed="false"/>
    <row r="61572" customFormat="false" ht="12.75" hidden="false" customHeight="true" outlineLevel="0" collapsed="false"/>
    <row r="61573" customFormat="false" ht="12.75" hidden="false" customHeight="true" outlineLevel="0" collapsed="false"/>
    <row r="61574" customFormat="false" ht="12.75" hidden="false" customHeight="true" outlineLevel="0" collapsed="false"/>
    <row r="61575" customFormat="false" ht="12.75" hidden="false" customHeight="true" outlineLevel="0" collapsed="false"/>
    <row r="61576" customFormat="false" ht="12.75" hidden="false" customHeight="true" outlineLevel="0" collapsed="false"/>
    <row r="61577" customFormat="false" ht="12.75" hidden="false" customHeight="true" outlineLevel="0" collapsed="false"/>
    <row r="61578" customFormat="false" ht="12.75" hidden="false" customHeight="true" outlineLevel="0" collapsed="false"/>
    <row r="61579" customFormat="false" ht="12.75" hidden="false" customHeight="true" outlineLevel="0" collapsed="false"/>
    <row r="61580" customFormat="false" ht="12.75" hidden="false" customHeight="true" outlineLevel="0" collapsed="false"/>
    <row r="61581" customFormat="false" ht="12.75" hidden="false" customHeight="true" outlineLevel="0" collapsed="false"/>
    <row r="61582" customFormat="false" ht="12.75" hidden="false" customHeight="true" outlineLevel="0" collapsed="false"/>
    <row r="61583" customFormat="false" ht="12.75" hidden="false" customHeight="true" outlineLevel="0" collapsed="false"/>
    <row r="61584" customFormat="false" ht="12.75" hidden="false" customHeight="true" outlineLevel="0" collapsed="false"/>
    <row r="61585" customFormat="false" ht="12.75" hidden="false" customHeight="true" outlineLevel="0" collapsed="false"/>
    <row r="61586" customFormat="false" ht="12.75" hidden="false" customHeight="true" outlineLevel="0" collapsed="false"/>
    <row r="61587" customFormat="false" ht="12.75" hidden="false" customHeight="true" outlineLevel="0" collapsed="false"/>
    <row r="61588" customFormat="false" ht="12.75" hidden="false" customHeight="true" outlineLevel="0" collapsed="false"/>
    <row r="61589" customFormat="false" ht="12.75" hidden="false" customHeight="true" outlineLevel="0" collapsed="false"/>
    <row r="61590" customFormat="false" ht="12.75" hidden="false" customHeight="true" outlineLevel="0" collapsed="false"/>
    <row r="61591" customFormat="false" ht="12.75" hidden="false" customHeight="true" outlineLevel="0" collapsed="false"/>
    <row r="61592" customFormat="false" ht="12.75" hidden="false" customHeight="true" outlineLevel="0" collapsed="false"/>
    <row r="61593" customFormat="false" ht="12.75" hidden="false" customHeight="true" outlineLevel="0" collapsed="false"/>
    <row r="61594" customFormat="false" ht="12.75" hidden="false" customHeight="true" outlineLevel="0" collapsed="false"/>
    <row r="61595" customFormat="false" ht="12.75" hidden="false" customHeight="true" outlineLevel="0" collapsed="false"/>
    <row r="61596" customFormat="false" ht="12.75" hidden="false" customHeight="true" outlineLevel="0" collapsed="false"/>
    <row r="61597" customFormat="false" ht="12.75" hidden="false" customHeight="true" outlineLevel="0" collapsed="false"/>
    <row r="61598" customFormat="false" ht="12.75" hidden="false" customHeight="true" outlineLevel="0" collapsed="false"/>
    <row r="61599" customFormat="false" ht="12.75" hidden="false" customHeight="true" outlineLevel="0" collapsed="false"/>
    <row r="61600" customFormat="false" ht="12.75" hidden="false" customHeight="true" outlineLevel="0" collapsed="false"/>
    <row r="61601" customFormat="false" ht="12.75" hidden="false" customHeight="true" outlineLevel="0" collapsed="false"/>
    <row r="61602" customFormat="false" ht="12.75" hidden="false" customHeight="true" outlineLevel="0" collapsed="false"/>
    <row r="61603" customFormat="false" ht="12.75" hidden="false" customHeight="true" outlineLevel="0" collapsed="false"/>
    <row r="61604" customFormat="false" ht="12.75" hidden="false" customHeight="true" outlineLevel="0" collapsed="false"/>
    <row r="61605" customFormat="false" ht="12.75" hidden="false" customHeight="true" outlineLevel="0" collapsed="false"/>
    <row r="61606" customFormat="false" ht="12.75" hidden="false" customHeight="true" outlineLevel="0" collapsed="false"/>
    <row r="61607" customFormat="false" ht="12.75" hidden="false" customHeight="true" outlineLevel="0" collapsed="false"/>
    <row r="61608" customFormat="false" ht="12.75" hidden="false" customHeight="true" outlineLevel="0" collapsed="false"/>
    <row r="61609" customFormat="false" ht="12.75" hidden="false" customHeight="true" outlineLevel="0" collapsed="false"/>
    <row r="61610" customFormat="false" ht="12.75" hidden="false" customHeight="true" outlineLevel="0" collapsed="false"/>
    <row r="61611" customFormat="false" ht="12.75" hidden="false" customHeight="true" outlineLevel="0" collapsed="false"/>
    <row r="61612" customFormat="false" ht="12.75" hidden="false" customHeight="true" outlineLevel="0" collapsed="false"/>
    <row r="61613" customFormat="false" ht="12.75" hidden="false" customHeight="true" outlineLevel="0" collapsed="false"/>
    <row r="61614" customFormat="false" ht="12.75" hidden="false" customHeight="true" outlineLevel="0" collapsed="false"/>
    <row r="61615" customFormat="false" ht="12.75" hidden="false" customHeight="true" outlineLevel="0" collapsed="false"/>
    <row r="61616" customFormat="false" ht="12.75" hidden="false" customHeight="true" outlineLevel="0" collapsed="false"/>
    <row r="61617" customFormat="false" ht="12.75" hidden="false" customHeight="true" outlineLevel="0" collapsed="false"/>
    <row r="61618" customFormat="false" ht="12.75" hidden="false" customHeight="true" outlineLevel="0" collapsed="false"/>
    <row r="61619" customFormat="false" ht="12.75" hidden="false" customHeight="true" outlineLevel="0" collapsed="false"/>
    <row r="61620" customFormat="false" ht="12.75" hidden="false" customHeight="true" outlineLevel="0" collapsed="false"/>
    <row r="61621" customFormat="false" ht="12.75" hidden="false" customHeight="true" outlineLevel="0" collapsed="false"/>
    <row r="61622" customFormat="false" ht="12.75" hidden="false" customHeight="true" outlineLevel="0" collapsed="false"/>
    <row r="61623" customFormat="false" ht="12.75" hidden="false" customHeight="true" outlineLevel="0" collapsed="false"/>
    <row r="61624" customFormat="false" ht="12.75" hidden="false" customHeight="true" outlineLevel="0" collapsed="false"/>
    <row r="61625" customFormat="false" ht="12.75" hidden="false" customHeight="true" outlineLevel="0" collapsed="false"/>
    <row r="61626" customFormat="false" ht="12.75" hidden="false" customHeight="true" outlineLevel="0" collapsed="false"/>
    <row r="61627" customFormat="false" ht="12.75" hidden="false" customHeight="true" outlineLevel="0" collapsed="false"/>
    <row r="61628" customFormat="false" ht="12.75" hidden="false" customHeight="true" outlineLevel="0" collapsed="false"/>
    <row r="61629" customFormat="false" ht="12.75" hidden="false" customHeight="true" outlineLevel="0" collapsed="false"/>
    <row r="61630" customFormat="false" ht="12.75" hidden="false" customHeight="true" outlineLevel="0" collapsed="false"/>
    <row r="61631" customFormat="false" ht="12.75" hidden="false" customHeight="true" outlineLevel="0" collapsed="false"/>
    <row r="61632" customFormat="false" ht="12.75" hidden="false" customHeight="true" outlineLevel="0" collapsed="false"/>
    <row r="61633" customFormat="false" ht="12.75" hidden="false" customHeight="true" outlineLevel="0" collapsed="false"/>
    <row r="61634" customFormat="false" ht="12.75" hidden="false" customHeight="true" outlineLevel="0" collapsed="false"/>
    <row r="61635" customFormat="false" ht="12.75" hidden="false" customHeight="true" outlineLevel="0" collapsed="false"/>
    <row r="61636" customFormat="false" ht="12.75" hidden="false" customHeight="true" outlineLevel="0" collapsed="false"/>
    <row r="61637" customFormat="false" ht="12.75" hidden="false" customHeight="true" outlineLevel="0" collapsed="false"/>
    <row r="61638" customFormat="false" ht="12.75" hidden="false" customHeight="true" outlineLevel="0" collapsed="false"/>
    <row r="61639" customFormat="false" ht="12.75" hidden="false" customHeight="true" outlineLevel="0" collapsed="false"/>
    <row r="61640" customFormat="false" ht="12.75" hidden="false" customHeight="true" outlineLevel="0" collapsed="false"/>
    <row r="61641" customFormat="false" ht="12.75" hidden="false" customHeight="true" outlineLevel="0" collapsed="false"/>
    <row r="61642" customFormat="false" ht="12.75" hidden="false" customHeight="true" outlineLevel="0" collapsed="false"/>
    <row r="61643" customFormat="false" ht="12.75" hidden="false" customHeight="true" outlineLevel="0" collapsed="false"/>
    <row r="61644" customFormat="false" ht="12.75" hidden="false" customHeight="true" outlineLevel="0" collapsed="false"/>
    <row r="61645" customFormat="false" ht="12.75" hidden="false" customHeight="true" outlineLevel="0" collapsed="false"/>
    <row r="61646" customFormat="false" ht="12.75" hidden="false" customHeight="true" outlineLevel="0" collapsed="false"/>
    <row r="61647" customFormat="false" ht="12.75" hidden="false" customHeight="true" outlineLevel="0" collapsed="false"/>
    <row r="61648" customFormat="false" ht="12.75" hidden="false" customHeight="true" outlineLevel="0" collapsed="false"/>
    <row r="61649" customFormat="false" ht="12.75" hidden="false" customHeight="true" outlineLevel="0" collapsed="false"/>
    <row r="61650" customFormat="false" ht="12.75" hidden="false" customHeight="true" outlineLevel="0" collapsed="false"/>
    <row r="61651" customFormat="false" ht="12.75" hidden="false" customHeight="true" outlineLevel="0" collapsed="false"/>
    <row r="61652" customFormat="false" ht="12.75" hidden="false" customHeight="true" outlineLevel="0" collapsed="false"/>
    <row r="61653" customFormat="false" ht="12.75" hidden="false" customHeight="true" outlineLevel="0" collapsed="false"/>
    <row r="61654" customFormat="false" ht="12.75" hidden="false" customHeight="true" outlineLevel="0" collapsed="false"/>
    <row r="61655" customFormat="false" ht="12.75" hidden="false" customHeight="true" outlineLevel="0" collapsed="false"/>
    <row r="61656" customFormat="false" ht="12.75" hidden="false" customHeight="true" outlineLevel="0" collapsed="false"/>
    <row r="61657" customFormat="false" ht="12.75" hidden="false" customHeight="true" outlineLevel="0" collapsed="false"/>
    <row r="61658" customFormat="false" ht="12.75" hidden="false" customHeight="true" outlineLevel="0" collapsed="false"/>
    <row r="61659" customFormat="false" ht="12.75" hidden="false" customHeight="true" outlineLevel="0" collapsed="false"/>
    <row r="61660" customFormat="false" ht="12.75" hidden="false" customHeight="true" outlineLevel="0" collapsed="false"/>
    <row r="61661" customFormat="false" ht="12.75" hidden="false" customHeight="true" outlineLevel="0" collapsed="false"/>
    <row r="61662" customFormat="false" ht="12.75" hidden="false" customHeight="true" outlineLevel="0" collapsed="false"/>
    <row r="61663" customFormat="false" ht="12.75" hidden="false" customHeight="true" outlineLevel="0" collapsed="false"/>
    <row r="61664" customFormat="false" ht="12.75" hidden="false" customHeight="true" outlineLevel="0" collapsed="false"/>
    <row r="61665" customFormat="false" ht="12.75" hidden="false" customHeight="true" outlineLevel="0" collapsed="false"/>
    <row r="61666" customFormat="false" ht="12.75" hidden="false" customHeight="true" outlineLevel="0" collapsed="false"/>
    <row r="61667" customFormat="false" ht="12.75" hidden="false" customHeight="true" outlineLevel="0" collapsed="false"/>
    <row r="61668" customFormat="false" ht="12.75" hidden="false" customHeight="true" outlineLevel="0" collapsed="false"/>
    <row r="61669" customFormat="false" ht="12.75" hidden="false" customHeight="true" outlineLevel="0" collapsed="false"/>
    <row r="61670" customFormat="false" ht="12.75" hidden="false" customHeight="true" outlineLevel="0" collapsed="false"/>
    <row r="61671" customFormat="false" ht="12.75" hidden="false" customHeight="true" outlineLevel="0" collapsed="false"/>
    <row r="61672" customFormat="false" ht="12.75" hidden="false" customHeight="true" outlineLevel="0" collapsed="false"/>
    <row r="61673" customFormat="false" ht="12.75" hidden="false" customHeight="true" outlineLevel="0" collapsed="false"/>
    <row r="61674" customFormat="false" ht="12.75" hidden="false" customHeight="true" outlineLevel="0" collapsed="false"/>
    <row r="61675" customFormat="false" ht="12.75" hidden="false" customHeight="true" outlineLevel="0" collapsed="false"/>
    <row r="61676" customFormat="false" ht="12.75" hidden="false" customHeight="true" outlineLevel="0" collapsed="false"/>
    <row r="61677" customFormat="false" ht="12.75" hidden="false" customHeight="true" outlineLevel="0" collapsed="false"/>
    <row r="61678" customFormat="false" ht="12.75" hidden="false" customHeight="true" outlineLevel="0" collapsed="false"/>
    <row r="61679" customFormat="false" ht="12.75" hidden="false" customHeight="true" outlineLevel="0" collapsed="false"/>
    <row r="61680" customFormat="false" ht="12.75" hidden="false" customHeight="true" outlineLevel="0" collapsed="false"/>
    <row r="61681" customFormat="false" ht="12.75" hidden="false" customHeight="true" outlineLevel="0" collapsed="false"/>
    <row r="61682" customFormat="false" ht="12.75" hidden="false" customHeight="true" outlineLevel="0" collapsed="false"/>
    <row r="61683" customFormat="false" ht="12.75" hidden="false" customHeight="true" outlineLevel="0" collapsed="false"/>
    <row r="61684" customFormat="false" ht="12.75" hidden="false" customHeight="true" outlineLevel="0" collapsed="false"/>
    <row r="61685" customFormat="false" ht="12.75" hidden="false" customHeight="true" outlineLevel="0" collapsed="false"/>
    <row r="61686" customFormat="false" ht="12.75" hidden="false" customHeight="true" outlineLevel="0" collapsed="false"/>
    <row r="61687" customFormat="false" ht="12.75" hidden="false" customHeight="true" outlineLevel="0" collapsed="false"/>
    <row r="61688" customFormat="false" ht="12.75" hidden="false" customHeight="true" outlineLevel="0" collapsed="false"/>
    <row r="61689" customFormat="false" ht="12.75" hidden="false" customHeight="true" outlineLevel="0" collapsed="false"/>
    <row r="61690" customFormat="false" ht="12.75" hidden="false" customHeight="true" outlineLevel="0" collapsed="false"/>
    <row r="61691" customFormat="false" ht="12.75" hidden="false" customHeight="true" outlineLevel="0" collapsed="false"/>
    <row r="61692" customFormat="false" ht="12.75" hidden="false" customHeight="true" outlineLevel="0" collapsed="false"/>
    <row r="61693" customFormat="false" ht="12.75" hidden="false" customHeight="true" outlineLevel="0" collapsed="false"/>
    <row r="61694" customFormat="false" ht="12.75" hidden="false" customHeight="true" outlineLevel="0" collapsed="false"/>
    <row r="61695" customFormat="false" ht="12.75" hidden="false" customHeight="true" outlineLevel="0" collapsed="false"/>
    <row r="61696" customFormat="false" ht="12.75" hidden="false" customHeight="true" outlineLevel="0" collapsed="false"/>
    <row r="61697" customFormat="false" ht="12.75" hidden="false" customHeight="true" outlineLevel="0" collapsed="false"/>
    <row r="61698" customFormat="false" ht="12.75" hidden="false" customHeight="true" outlineLevel="0" collapsed="false"/>
    <row r="61699" customFormat="false" ht="12.75" hidden="false" customHeight="true" outlineLevel="0" collapsed="false"/>
    <row r="61700" customFormat="false" ht="12.75" hidden="false" customHeight="true" outlineLevel="0" collapsed="false"/>
    <row r="61701" customFormat="false" ht="12.75" hidden="false" customHeight="true" outlineLevel="0" collapsed="false"/>
    <row r="61702" customFormat="false" ht="12.75" hidden="false" customHeight="true" outlineLevel="0" collapsed="false"/>
    <row r="61703" customFormat="false" ht="12.75" hidden="false" customHeight="true" outlineLevel="0" collapsed="false"/>
    <row r="61704" customFormat="false" ht="12.75" hidden="false" customHeight="true" outlineLevel="0" collapsed="false"/>
    <row r="61705" customFormat="false" ht="12.75" hidden="false" customHeight="true" outlineLevel="0" collapsed="false"/>
    <row r="61706" customFormat="false" ht="12.75" hidden="false" customHeight="true" outlineLevel="0" collapsed="false"/>
    <row r="61707" customFormat="false" ht="12.75" hidden="false" customHeight="true" outlineLevel="0" collapsed="false"/>
    <row r="61708" customFormat="false" ht="12.75" hidden="false" customHeight="true" outlineLevel="0" collapsed="false"/>
    <row r="61709" customFormat="false" ht="12.75" hidden="false" customHeight="true" outlineLevel="0" collapsed="false"/>
    <row r="61710" customFormat="false" ht="12.75" hidden="false" customHeight="true" outlineLevel="0" collapsed="false"/>
    <row r="61711" customFormat="false" ht="12.75" hidden="false" customHeight="true" outlineLevel="0" collapsed="false"/>
    <row r="61712" customFormat="false" ht="12.75" hidden="false" customHeight="true" outlineLevel="0" collapsed="false"/>
    <row r="61713" customFormat="false" ht="12.75" hidden="false" customHeight="true" outlineLevel="0" collapsed="false"/>
    <row r="61714" customFormat="false" ht="12.75" hidden="false" customHeight="true" outlineLevel="0" collapsed="false"/>
    <row r="61715" customFormat="false" ht="12.75" hidden="false" customHeight="true" outlineLevel="0" collapsed="false"/>
    <row r="61716" customFormat="false" ht="12.75" hidden="false" customHeight="true" outlineLevel="0" collapsed="false"/>
    <row r="61717" customFormat="false" ht="12.75" hidden="false" customHeight="true" outlineLevel="0" collapsed="false"/>
    <row r="61718" customFormat="false" ht="12.75" hidden="false" customHeight="true" outlineLevel="0" collapsed="false"/>
    <row r="61719" customFormat="false" ht="12.75" hidden="false" customHeight="true" outlineLevel="0" collapsed="false"/>
    <row r="61720" customFormat="false" ht="12.75" hidden="false" customHeight="true" outlineLevel="0" collapsed="false"/>
    <row r="61721" customFormat="false" ht="12.75" hidden="false" customHeight="true" outlineLevel="0" collapsed="false"/>
    <row r="61722" customFormat="false" ht="12.75" hidden="false" customHeight="true" outlineLevel="0" collapsed="false"/>
    <row r="61723" customFormat="false" ht="12.75" hidden="false" customHeight="true" outlineLevel="0" collapsed="false"/>
    <row r="61724" customFormat="false" ht="12.75" hidden="false" customHeight="true" outlineLevel="0" collapsed="false"/>
    <row r="61725" customFormat="false" ht="12.75" hidden="false" customHeight="true" outlineLevel="0" collapsed="false"/>
    <row r="61726" customFormat="false" ht="12.75" hidden="false" customHeight="true" outlineLevel="0" collapsed="false"/>
    <row r="61727" customFormat="false" ht="12.75" hidden="false" customHeight="true" outlineLevel="0" collapsed="false"/>
    <row r="61728" customFormat="false" ht="12.75" hidden="false" customHeight="true" outlineLevel="0" collapsed="false"/>
    <row r="61729" customFormat="false" ht="12.75" hidden="false" customHeight="true" outlineLevel="0" collapsed="false"/>
    <row r="61730" customFormat="false" ht="12.75" hidden="false" customHeight="true" outlineLevel="0" collapsed="false"/>
    <row r="61731" customFormat="false" ht="12.75" hidden="false" customHeight="true" outlineLevel="0" collapsed="false"/>
    <row r="61732" customFormat="false" ht="12.75" hidden="false" customHeight="true" outlineLevel="0" collapsed="false"/>
    <row r="61733" customFormat="false" ht="12.75" hidden="false" customHeight="true" outlineLevel="0" collapsed="false"/>
    <row r="61734" customFormat="false" ht="12.75" hidden="false" customHeight="true" outlineLevel="0" collapsed="false"/>
    <row r="61735" customFormat="false" ht="12.75" hidden="false" customHeight="true" outlineLevel="0" collapsed="false"/>
    <row r="61736" customFormat="false" ht="12.75" hidden="false" customHeight="true" outlineLevel="0" collapsed="false"/>
    <row r="61737" customFormat="false" ht="12.75" hidden="false" customHeight="true" outlineLevel="0" collapsed="false"/>
    <row r="61738" customFormat="false" ht="12.75" hidden="false" customHeight="true" outlineLevel="0" collapsed="false"/>
    <row r="61739" customFormat="false" ht="12.75" hidden="false" customHeight="true" outlineLevel="0" collapsed="false"/>
    <row r="61740" customFormat="false" ht="12.75" hidden="false" customHeight="true" outlineLevel="0" collapsed="false"/>
    <row r="61741" customFormat="false" ht="12.75" hidden="false" customHeight="true" outlineLevel="0" collapsed="false"/>
    <row r="61742" customFormat="false" ht="12.75" hidden="false" customHeight="true" outlineLevel="0" collapsed="false"/>
    <row r="61743" customFormat="false" ht="12.75" hidden="false" customHeight="true" outlineLevel="0" collapsed="false"/>
    <row r="61744" customFormat="false" ht="12.75" hidden="false" customHeight="true" outlineLevel="0" collapsed="false"/>
    <row r="61745" customFormat="false" ht="12.75" hidden="false" customHeight="true" outlineLevel="0" collapsed="false"/>
    <row r="61746" customFormat="false" ht="12.75" hidden="false" customHeight="true" outlineLevel="0" collapsed="false"/>
    <row r="61747" customFormat="false" ht="12.75" hidden="false" customHeight="true" outlineLevel="0" collapsed="false"/>
    <row r="61748" customFormat="false" ht="12.75" hidden="false" customHeight="true" outlineLevel="0" collapsed="false"/>
    <row r="61749" customFormat="false" ht="12.75" hidden="false" customHeight="true" outlineLevel="0" collapsed="false"/>
    <row r="61750" customFormat="false" ht="12.75" hidden="false" customHeight="true" outlineLevel="0" collapsed="false"/>
    <row r="61751" customFormat="false" ht="12.75" hidden="false" customHeight="true" outlineLevel="0" collapsed="false"/>
    <row r="61752" customFormat="false" ht="12.75" hidden="false" customHeight="true" outlineLevel="0" collapsed="false"/>
    <row r="61753" customFormat="false" ht="12.75" hidden="false" customHeight="true" outlineLevel="0" collapsed="false"/>
    <row r="61754" customFormat="false" ht="12.75" hidden="false" customHeight="true" outlineLevel="0" collapsed="false"/>
    <row r="61755" customFormat="false" ht="12.75" hidden="false" customHeight="true" outlineLevel="0" collapsed="false"/>
    <row r="61756" customFormat="false" ht="12.75" hidden="false" customHeight="true" outlineLevel="0" collapsed="false"/>
    <row r="61757" customFormat="false" ht="12.75" hidden="false" customHeight="true" outlineLevel="0" collapsed="false"/>
    <row r="61758" customFormat="false" ht="12.75" hidden="false" customHeight="true" outlineLevel="0" collapsed="false"/>
    <row r="61759" customFormat="false" ht="12.75" hidden="false" customHeight="true" outlineLevel="0" collapsed="false"/>
    <row r="61760" customFormat="false" ht="12.75" hidden="false" customHeight="true" outlineLevel="0" collapsed="false"/>
    <row r="61761" customFormat="false" ht="12.75" hidden="false" customHeight="true" outlineLevel="0" collapsed="false"/>
    <row r="61762" customFormat="false" ht="12.75" hidden="false" customHeight="true" outlineLevel="0" collapsed="false"/>
    <row r="61763" customFormat="false" ht="12.75" hidden="false" customHeight="true" outlineLevel="0" collapsed="false"/>
    <row r="61764" customFormat="false" ht="12.75" hidden="false" customHeight="true" outlineLevel="0" collapsed="false"/>
    <row r="61765" customFormat="false" ht="12.75" hidden="false" customHeight="true" outlineLevel="0" collapsed="false"/>
    <row r="61766" customFormat="false" ht="12.75" hidden="false" customHeight="true" outlineLevel="0" collapsed="false"/>
    <row r="61767" customFormat="false" ht="12.75" hidden="false" customHeight="true" outlineLevel="0" collapsed="false"/>
    <row r="61768" customFormat="false" ht="12.75" hidden="false" customHeight="true" outlineLevel="0" collapsed="false"/>
    <row r="61769" customFormat="false" ht="12.75" hidden="false" customHeight="true" outlineLevel="0" collapsed="false"/>
    <row r="61770" customFormat="false" ht="12.75" hidden="false" customHeight="true" outlineLevel="0" collapsed="false"/>
    <row r="61771" customFormat="false" ht="12.75" hidden="false" customHeight="true" outlineLevel="0" collapsed="false"/>
    <row r="61772" customFormat="false" ht="12.75" hidden="false" customHeight="true" outlineLevel="0" collapsed="false"/>
    <row r="61773" customFormat="false" ht="12.75" hidden="false" customHeight="true" outlineLevel="0" collapsed="false"/>
    <row r="61774" customFormat="false" ht="12.75" hidden="false" customHeight="true" outlineLevel="0" collapsed="false"/>
    <row r="61775" customFormat="false" ht="12.75" hidden="false" customHeight="true" outlineLevel="0" collapsed="false"/>
    <row r="61776" customFormat="false" ht="12.75" hidden="false" customHeight="true" outlineLevel="0" collapsed="false"/>
    <row r="61777" customFormat="false" ht="12.75" hidden="false" customHeight="true" outlineLevel="0" collapsed="false"/>
    <row r="61778" customFormat="false" ht="12.75" hidden="false" customHeight="true" outlineLevel="0" collapsed="false"/>
    <row r="61779" customFormat="false" ht="12.75" hidden="false" customHeight="true" outlineLevel="0" collapsed="false"/>
    <row r="61780" customFormat="false" ht="12.75" hidden="false" customHeight="true" outlineLevel="0" collapsed="false"/>
    <row r="61781" customFormat="false" ht="12.75" hidden="false" customHeight="true" outlineLevel="0" collapsed="false"/>
    <row r="61782" customFormat="false" ht="12.75" hidden="false" customHeight="true" outlineLevel="0" collapsed="false"/>
    <row r="61783" customFormat="false" ht="12.75" hidden="false" customHeight="true" outlineLevel="0" collapsed="false"/>
    <row r="61784" customFormat="false" ht="12.75" hidden="false" customHeight="true" outlineLevel="0" collapsed="false"/>
    <row r="61785" customFormat="false" ht="12.75" hidden="false" customHeight="true" outlineLevel="0" collapsed="false"/>
    <row r="61786" customFormat="false" ht="12.75" hidden="false" customHeight="true" outlineLevel="0" collapsed="false"/>
    <row r="61787" customFormat="false" ht="12.75" hidden="false" customHeight="true" outlineLevel="0" collapsed="false"/>
    <row r="61788" customFormat="false" ht="12.75" hidden="false" customHeight="true" outlineLevel="0" collapsed="false"/>
    <row r="61789" customFormat="false" ht="12.75" hidden="false" customHeight="true" outlineLevel="0" collapsed="false"/>
    <row r="61790" customFormat="false" ht="12.75" hidden="false" customHeight="true" outlineLevel="0" collapsed="false"/>
    <row r="61791" customFormat="false" ht="12.75" hidden="false" customHeight="true" outlineLevel="0" collapsed="false"/>
    <row r="61792" customFormat="false" ht="12.75" hidden="false" customHeight="true" outlineLevel="0" collapsed="false"/>
    <row r="61793" customFormat="false" ht="12.75" hidden="false" customHeight="true" outlineLevel="0" collapsed="false"/>
    <row r="61794" customFormat="false" ht="12.75" hidden="false" customHeight="true" outlineLevel="0" collapsed="false"/>
    <row r="61795" customFormat="false" ht="12.75" hidden="false" customHeight="true" outlineLevel="0" collapsed="false"/>
    <row r="61796" customFormat="false" ht="12.75" hidden="false" customHeight="true" outlineLevel="0" collapsed="false"/>
    <row r="61797" customFormat="false" ht="12.75" hidden="false" customHeight="true" outlineLevel="0" collapsed="false"/>
    <row r="61798" customFormat="false" ht="12.75" hidden="false" customHeight="true" outlineLevel="0" collapsed="false"/>
    <row r="61799" customFormat="false" ht="12.75" hidden="false" customHeight="true" outlineLevel="0" collapsed="false"/>
    <row r="61800" customFormat="false" ht="12.75" hidden="false" customHeight="true" outlineLevel="0" collapsed="false"/>
    <row r="61801" customFormat="false" ht="12.75" hidden="false" customHeight="true" outlineLevel="0" collapsed="false"/>
    <row r="61802" customFormat="false" ht="12.75" hidden="false" customHeight="true" outlineLevel="0" collapsed="false"/>
    <row r="61803" customFormat="false" ht="12.75" hidden="false" customHeight="true" outlineLevel="0" collapsed="false"/>
    <row r="61804" customFormat="false" ht="12.75" hidden="false" customHeight="true" outlineLevel="0" collapsed="false"/>
    <row r="61805" customFormat="false" ht="12.75" hidden="false" customHeight="true" outlineLevel="0" collapsed="false"/>
    <row r="61806" customFormat="false" ht="12.75" hidden="false" customHeight="true" outlineLevel="0" collapsed="false"/>
    <row r="61807" customFormat="false" ht="12.75" hidden="false" customHeight="true" outlineLevel="0" collapsed="false"/>
    <row r="61808" customFormat="false" ht="12.75" hidden="false" customHeight="true" outlineLevel="0" collapsed="false"/>
    <row r="61809" customFormat="false" ht="12.75" hidden="false" customHeight="true" outlineLevel="0" collapsed="false"/>
    <row r="61810" customFormat="false" ht="12.75" hidden="false" customHeight="true" outlineLevel="0" collapsed="false"/>
    <row r="61811" customFormat="false" ht="12.75" hidden="false" customHeight="true" outlineLevel="0" collapsed="false"/>
    <row r="61812" customFormat="false" ht="12.75" hidden="false" customHeight="true" outlineLevel="0" collapsed="false"/>
    <row r="61813" customFormat="false" ht="12.75" hidden="false" customHeight="true" outlineLevel="0" collapsed="false"/>
    <row r="61814" customFormat="false" ht="12.75" hidden="false" customHeight="true" outlineLevel="0" collapsed="false"/>
    <row r="61815" customFormat="false" ht="12.75" hidden="false" customHeight="true" outlineLevel="0" collapsed="false"/>
    <row r="61816" customFormat="false" ht="12.75" hidden="false" customHeight="true" outlineLevel="0" collapsed="false"/>
    <row r="61817" customFormat="false" ht="12.75" hidden="false" customHeight="true" outlineLevel="0" collapsed="false"/>
    <row r="61818" customFormat="false" ht="12.75" hidden="false" customHeight="true" outlineLevel="0" collapsed="false"/>
    <row r="61819" customFormat="false" ht="12.75" hidden="false" customHeight="true" outlineLevel="0" collapsed="false"/>
    <row r="61820" customFormat="false" ht="12.75" hidden="false" customHeight="true" outlineLevel="0" collapsed="false"/>
    <row r="61821" customFormat="false" ht="12.75" hidden="false" customHeight="true" outlineLevel="0" collapsed="false"/>
    <row r="61822" customFormat="false" ht="12.75" hidden="false" customHeight="true" outlineLevel="0" collapsed="false"/>
    <row r="61823" customFormat="false" ht="12.75" hidden="false" customHeight="true" outlineLevel="0" collapsed="false"/>
    <row r="61824" customFormat="false" ht="12.75" hidden="false" customHeight="true" outlineLevel="0" collapsed="false"/>
    <row r="61825" customFormat="false" ht="12.75" hidden="false" customHeight="true" outlineLevel="0" collapsed="false"/>
    <row r="61826" customFormat="false" ht="12.75" hidden="false" customHeight="true" outlineLevel="0" collapsed="false"/>
    <row r="61827" customFormat="false" ht="12.75" hidden="false" customHeight="true" outlineLevel="0" collapsed="false"/>
    <row r="61828" customFormat="false" ht="12.75" hidden="false" customHeight="true" outlineLevel="0" collapsed="false"/>
    <row r="61829" customFormat="false" ht="12.75" hidden="false" customHeight="true" outlineLevel="0" collapsed="false"/>
    <row r="61830" customFormat="false" ht="12.75" hidden="false" customHeight="true" outlineLevel="0" collapsed="false"/>
    <row r="61831" customFormat="false" ht="12.75" hidden="false" customHeight="true" outlineLevel="0" collapsed="false"/>
    <row r="61832" customFormat="false" ht="12.75" hidden="false" customHeight="true" outlineLevel="0" collapsed="false"/>
    <row r="61833" customFormat="false" ht="12.75" hidden="false" customHeight="true" outlineLevel="0" collapsed="false"/>
    <row r="61834" customFormat="false" ht="12.75" hidden="false" customHeight="true" outlineLevel="0" collapsed="false"/>
    <row r="61835" customFormat="false" ht="12.75" hidden="false" customHeight="true" outlineLevel="0" collapsed="false"/>
    <row r="61836" customFormat="false" ht="12.75" hidden="false" customHeight="true" outlineLevel="0" collapsed="false"/>
    <row r="61837" customFormat="false" ht="12.75" hidden="false" customHeight="true" outlineLevel="0" collapsed="false"/>
    <row r="61838" customFormat="false" ht="12.75" hidden="false" customHeight="true" outlineLevel="0" collapsed="false"/>
    <row r="61839" customFormat="false" ht="12.75" hidden="false" customHeight="true" outlineLevel="0" collapsed="false"/>
    <row r="61840" customFormat="false" ht="12.75" hidden="false" customHeight="true" outlineLevel="0" collapsed="false"/>
    <row r="61841" customFormat="false" ht="12.75" hidden="false" customHeight="true" outlineLevel="0" collapsed="false"/>
    <row r="61842" customFormat="false" ht="12.75" hidden="false" customHeight="true" outlineLevel="0" collapsed="false"/>
    <row r="61843" customFormat="false" ht="12.75" hidden="false" customHeight="true" outlineLevel="0" collapsed="false"/>
    <row r="61844" customFormat="false" ht="12.75" hidden="false" customHeight="true" outlineLevel="0" collapsed="false"/>
    <row r="61845" customFormat="false" ht="12.75" hidden="false" customHeight="true" outlineLevel="0" collapsed="false"/>
    <row r="61846" customFormat="false" ht="12.75" hidden="false" customHeight="true" outlineLevel="0" collapsed="false"/>
    <row r="61847" customFormat="false" ht="12.75" hidden="false" customHeight="true" outlineLevel="0" collapsed="false"/>
    <row r="61848" customFormat="false" ht="12.75" hidden="false" customHeight="true" outlineLevel="0" collapsed="false"/>
    <row r="61849" customFormat="false" ht="12.75" hidden="false" customHeight="true" outlineLevel="0" collapsed="false"/>
    <row r="61850" customFormat="false" ht="12.75" hidden="false" customHeight="true" outlineLevel="0" collapsed="false"/>
    <row r="61851" customFormat="false" ht="12.75" hidden="false" customHeight="true" outlineLevel="0" collapsed="false"/>
    <row r="61852" customFormat="false" ht="12.75" hidden="false" customHeight="true" outlineLevel="0" collapsed="false"/>
    <row r="61853" customFormat="false" ht="12.75" hidden="false" customHeight="true" outlineLevel="0" collapsed="false"/>
    <row r="61854" customFormat="false" ht="12.75" hidden="false" customHeight="true" outlineLevel="0" collapsed="false"/>
    <row r="61855" customFormat="false" ht="12.75" hidden="false" customHeight="true" outlineLevel="0" collapsed="false"/>
    <row r="61856" customFormat="false" ht="12.75" hidden="false" customHeight="true" outlineLevel="0" collapsed="false"/>
    <row r="61857" customFormat="false" ht="12.75" hidden="false" customHeight="true" outlineLevel="0" collapsed="false"/>
    <row r="61858" customFormat="false" ht="12.75" hidden="false" customHeight="true" outlineLevel="0" collapsed="false"/>
    <row r="61859" customFormat="false" ht="12.75" hidden="false" customHeight="true" outlineLevel="0" collapsed="false"/>
    <row r="61860" customFormat="false" ht="12.75" hidden="false" customHeight="true" outlineLevel="0" collapsed="false"/>
    <row r="61861" customFormat="false" ht="12.75" hidden="false" customHeight="true" outlineLevel="0" collapsed="false"/>
    <row r="61862" customFormat="false" ht="12.75" hidden="false" customHeight="true" outlineLevel="0" collapsed="false"/>
    <row r="61863" customFormat="false" ht="12.75" hidden="false" customHeight="true" outlineLevel="0" collapsed="false"/>
    <row r="61864" customFormat="false" ht="12.75" hidden="false" customHeight="true" outlineLevel="0" collapsed="false"/>
    <row r="61865" customFormat="false" ht="12.75" hidden="false" customHeight="true" outlineLevel="0" collapsed="false"/>
    <row r="61866" customFormat="false" ht="12.75" hidden="false" customHeight="true" outlineLevel="0" collapsed="false"/>
    <row r="61867" customFormat="false" ht="12.75" hidden="false" customHeight="true" outlineLevel="0" collapsed="false"/>
    <row r="61868" customFormat="false" ht="12.75" hidden="false" customHeight="true" outlineLevel="0" collapsed="false"/>
    <row r="61869" customFormat="false" ht="12.75" hidden="false" customHeight="true" outlineLevel="0" collapsed="false"/>
    <row r="61870" customFormat="false" ht="12.75" hidden="false" customHeight="true" outlineLevel="0" collapsed="false"/>
    <row r="61871" customFormat="false" ht="12.75" hidden="false" customHeight="true" outlineLevel="0" collapsed="false"/>
    <row r="61872" customFormat="false" ht="12.75" hidden="false" customHeight="true" outlineLevel="0" collapsed="false"/>
    <row r="61873" customFormat="false" ht="12.75" hidden="false" customHeight="true" outlineLevel="0" collapsed="false"/>
    <row r="61874" customFormat="false" ht="12.75" hidden="false" customHeight="true" outlineLevel="0" collapsed="false"/>
    <row r="61875" customFormat="false" ht="12.75" hidden="false" customHeight="true" outlineLevel="0" collapsed="false"/>
    <row r="61876" customFormat="false" ht="12.75" hidden="false" customHeight="true" outlineLevel="0" collapsed="false"/>
    <row r="61877" customFormat="false" ht="12.75" hidden="false" customHeight="true" outlineLevel="0" collapsed="false"/>
    <row r="61878" customFormat="false" ht="12.75" hidden="false" customHeight="true" outlineLevel="0" collapsed="false"/>
    <row r="61879" customFormat="false" ht="12.75" hidden="false" customHeight="true" outlineLevel="0" collapsed="false"/>
    <row r="61880" customFormat="false" ht="12.75" hidden="false" customHeight="true" outlineLevel="0" collapsed="false"/>
    <row r="61881" customFormat="false" ht="12.75" hidden="false" customHeight="true" outlineLevel="0" collapsed="false"/>
    <row r="61882" customFormat="false" ht="12.75" hidden="false" customHeight="true" outlineLevel="0" collapsed="false"/>
    <row r="61883" customFormat="false" ht="12.75" hidden="false" customHeight="true" outlineLevel="0" collapsed="false"/>
    <row r="61884" customFormat="false" ht="12.75" hidden="false" customHeight="true" outlineLevel="0" collapsed="false"/>
    <row r="61885" customFormat="false" ht="12.75" hidden="false" customHeight="true" outlineLevel="0" collapsed="false"/>
    <row r="61886" customFormat="false" ht="12.75" hidden="false" customHeight="true" outlineLevel="0" collapsed="false"/>
    <row r="61887" customFormat="false" ht="12.75" hidden="false" customHeight="true" outlineLevel="0" collapsed="false"/>
    <row r="61888" customFormat="false" ht="12.75" hidden="false" customHeight="true" outlineLevel="0" collapsed="false"/>
    <row r="61889" customFormat="false" ht="12.75" hidden="false" customHeight="true" outlineLevel="0" collapsed="false"/>
    <row r="61890" customFormat="false" ht="12.75" hidden="false" customHeight="true" outlineLevel="0" collapsed="false"/>
    <row r="61891" customFormat="false" ht="12.75" hidden="false" customHeight="true" outlineLevel="0" collapsed="false"/>
    <row r="61892" customFormat="false" ht="12.75" hidden="false" customHeight="true" outlineLevel="0" collapsed="false"/>
    <row r="61893" customFormat="false" ht="12.75" hidden="false" customHeight="true" outlineLevel="0" collapsed="false"/>
    <row r="61894" customFormat="false" ht="12.75" hidden="false" customHeight="true" outlineLevel="0" collapsed="false"/>
    <row r="61895" customFormat="false" ht="12.75" hidden="false" customHeight="true" outlineLevel="0" collapsed="false"/>
    <row r="61896" customFormat="false" ht="12.75" hidden="false" customHeight="true" outlineLevel="0" collapsed="false"/>
    <row r="61897" customFormat="false" ht="12.75" hidden="false" customHeight="true" outlineLevel="0" collapsed="false"/>
    <row r="61898" customFormat="false" ht="12.75" hidden="false" customHeight="true" outlineLevel="0" collapsed="false"/>
    <row r="61899" customFormat="false" ht="12.75" hidden="false" customHeight="true" outlineLevel="0" collapsed="false"/>
    <row r="61900" customFormat="false" ht="12.75" hidden="false" customHeight="true" outlineLevel="0" collapsed="false"/>
    <row r="61901" customFormat="false" ht="12.75" hidden="false" customHeight="true" outlineLevel="0" collapsed="false"/>
    <row r="61902" customFormat="false" ht="12.75" hidden="false" customHeight="true" outlineLevel="0" collapsed="false"/>
    <row r="61903" customFormat="false" ht="12.75" hidden="false" customHeight="true" outlineLevel="0" collapsed="false"/>
    <row r="61904" customFormat="false" ht="12.75" hidden="false" customHeight="true" outlineLevel="0" collapsed="false"/>
    <row r="61905" customFormat="false" ht="12.75" hidden="false" customHeight="true" outlineLevel="0" collapsed="false"/>
    <row r="61906" customFormat="false" ht="12.75" hidden="false" customHeight="true" outlineLevel="0" collapsed="false"/>
    <row r="61907" customFormat="false" ht="12.75" hidden="false" customHeight="true" outlineLevel="0" collapsed="false"/>
    <row r="61908" customFormat="false" ht="12.75" hidden="false" customHeight="true" outlineLevel="0" collapsed="false"/>
    <row r="61909" customFormat="false" ht="12.75" hidden="false" customHeight="true" outlineLevel="0" collapsed="false"/>
    <row r="61910" customFormat="false" ht="12.75" hidden="false" customHeight="true" outlineLevel="0" collapsed="false"/>
    <row r="61911" customFormat="false" ht="12.75" hidden="false" customHeight="true" outlineLevel="0" collapsed="false"/>
    <row r="61912" customFormat="false" ht="12.75" hidden="false" customHeight="true" outlineLevel="0" collapsed="false"/>
    <row r="61913" customFormat="false" ht="12.75" hidden="false" customHeight="true" outlineLevel="0" collapsed="false"/>
    <row r="61914" customFormat="false" ht="12.75" hidden="false" customHeight="true" outlineLevel="0" collapsed="false"/>
    <row r="61915" customFormat="false" ht="12.75" hidden="false" customHeight="true" outlineLevel="0" collapsed="false"/>
    <row r="61916" customFormat="false" ht="12.75" hidden="false" customHeight="true" outlineLevel="0" collapsed="false"/>
    <row r="61917" customFormat="false" ht="12.75" hidden="false" customHeight="true" outlineLevel="0" collapsed="false"/>
    <row r="61918" customFormat="false" ht="12.75" hidden="false" customHeight="true" outlineLevel="0" collapsed="false"/>
    <row r="61919" customFormat="false" ht="12.75" hidden="false" customHeight="true" outlineLevel="0" collapsed="false"/>
    <row r="61920" customFormat="false" ht="12.75" hidden="false" customHeight="true" outlineLevel="0" collapsed="false"/>
    <row r="61921" customFormat="false" ht="12.75" hidden="false" customHeight="true" outlineLevel="0" collapsed="false"/>
    <row r="61922" customFormat="false" ht="12.75" hidden="false" customHeight="true" outlineLevel="0" collapsed="false"/>
    <row r="61923" customFormat="false" ht="12.75" hidden="false" customHeight="true" outlineLevel="0" collapsed="false"/>
    <row r="61924" customFormat="false" ht="12.75" hidden="false" customHeight="true" outlineLevel="0" collapsed="false"/>
    <row r="61925" customFormat="false" ht="12.75" hidden="false" customHeight="true" outlineLevel="0" collapsed="false"/>
    <row r="61926" customFormat="false" ht="12.75" hidden="false" customHeight="true" outlineLevel="0" collapsed="false"/>
    <row r="61927" customFormat="false" ht="12.75" hidden="false" customHeight="true" outlineLevel="0" collapsed="false"/>
    <row r="61928" customFormat="false" ht="12.75" hidden="false" customHeight="true" outlineLevel="0" collapsed="false"/>
    <row r="61929" customFormat="false" ht="12.75" hidden="false" customHeight="true" outlineLevel="0" collapsed="false"/>
    <row r="61930" customFormat="false" ht="12.75" hidden="false" customHeight="true" outlineLevel="0" collapsed="false"/>
    <row r="61931" customFormat="false" ht="12.75" hidden="false" customHeight="true" outlineLevel="0" collapsed="false"/>
    <row r="61932" customFormat="false" ht="12.75" hidden="false" customHeight="true" outlineLevel="0" collapsed="false"/>
    <row r="61933" customFormat="false" ht="12.75" hidden="false" customHeight="true" outlineLevel="0" collapsed="false"/>
    <row r="61934" customFormat="false" ht="12.75" hidden="false" customHeight="true" outlineLevel="0" collapsed="false"/>
    <row r="61935" customFormat="false" ht="12.75" hidden="false" customHeight="true" outlineLevel="0" collapsed="false"/>
    <row r="61936" customFormat="false" ht="12.75" hidden="false" customHeight="true" outlineLevel="0" collapsed="false"/>
    <row r="61937" customFormat="false" ht="12.75" hidden="false" customHeight="true" outlineLevel="0" collapsed="false"/>
    <row r="61938" customFormat="false" ht="12.75" hidden="false" customHeight="true" outlineLevel="0" collapsed="false"/>
    <row r="61939" customFormat="false" ht="12.75" hidden="false" customHeight="true" outlineLevel="0" collapsed="false"/>
    <row r="61940" customFormat="false" ht="12.75" hidden="false" customHeight="true" outlineLevel="0" collapsed="false"/>
    <row r="61941" customFormat="false" ht="12.75" hidden="false" customHeight="true" outlineLevel="0" collapsed="false"/>
    <row r="61942" customFormat="false" ht="12.75" hidden="false" customHeight="true" outlineLevel="0" collapsed="false"/>
    <row r="61943" customFormat="false" ht="12.75" hidden="false" customHeight="true" outlineLevel="0" collapsed="false"/>
    <row r="61944" customFormat="false" ht="12.75" hidden="false" customHeight="true" outlineLevel="0" collapsed="false"/>
    <row r="61945" customFormat="false" ht="12.75" hidden="false" customHeight="true" outlineLevel="0" collapsed="false"/>
    <row r="61946" customFormat="false" ht="12.75" hidden="false" customHeight="true" outlineLevel="0" collapsed="false"/>
    <row r="61947" customFormat="false" ht="12.75" hidden="false" customHeight="true" outlineLevel="0" collapsed="false"/>
    <row r="61948" customFormat="false" ht="12.75" hidden="false" customHeight="true" outlineLevel="0" collapsed="false"/>
    <row r="61949" customFormat="false" ht="12.75" hidden="false" customHeight="true" outlineLevel="0" collapsed="false"/>
    <row r="61950" customFormat="false" ht="12.75" hidden="false" customHeight="true" outlineLevel="0" collapsed="false"/>
    <row r="61951" customFormat="false" ht="12.75" hidden="false" customHeight="true" outlineLevel="0" collapsed="false"/>
    <row r="61952" customFormat="false" ht="12.75" hidden="false" customHeight="true" outlineLevel="0" collapsed="false"/>
    <row r="61953" customFormat="false" ht="12.75" hidden="false" customHeight="true" outlineLevel="0" collapsed="false"/>
    <row r="61954" customFormat="false" ht="12.75" hidden="false" customHeight="true" outlineLevel="0" collapsed="false"/>
    <row r="61955" customFormat="false" ht="12.75" hidden="false" customHeight="true" outlineLevel="0" collapsed="false"/>
    <row r="61956" customFormat="false" ht="12.75" hidden="false" customHeight="true" outlineLevel="0" collapsed="false"/>
    <row r="61957" customFormat="false" ht="12.75" hidden="false" customHeight="true" outlineLevel="0" collapsed="false"/>
    <row r="61958" customFormat="false" ht="12.75" hidden="false" customHeight="true" outlineLevel="0" collapsed="false"/>
    <row r="61959" customFormat="false" ht="12.75" hidden="false" customHeight="true" outlineLevel="0" collapsed="false"/>
    <row r="61960" customFormat="false" ht="12.75" hidden="false" customHeight="true" outlineLevel="0" collapsed="false"/>
    <row r="61961" customFormat="false" ht="12.75" hidden="false" customHeight="true" outlineLevel="0" collapsed="false"/>
    <row r="61962" customFormat="false" ht="12.75" hidden="false" customHeight="true" outlineLevel="0" collapsed="false"/>
    <row r="61963" customFormat="false" ht="12.75" hidden="false" customHeight="true" outlineLevel="0" collapsed="false"/>
    <row r="61964" customFormat="false" ht="12.75" hidden="false" customHeight="true" outlineLevel="0" collapsed="false"/>
    <row r="61965" customFormat="false" ht="12.75" hidden="false" customHeight="true" outlineLevel="0" collapsed="false"/>
    <row r="61966" customFormat="false" ht="12.75" hidden="false" customHeight="true" outlineLevel="0" collapsed="false"/>
    <row r="61967" customFormat="false" ht="12.75" hidden="false" customHeight="true" outlineLevel="0" collapsed="false"/>
    <row r="61968" customFormat="false" ht="12.75" hidden="false" customHeight="true" outlineLevel="0" collapsed="false"/>
    <row r="61969" customFormat="false" ht="12.75" hidden="false" customHeight="true" outlineLevel="0" collapsed="false"/>
    <row r="61970" customFormat="false" ht="12.75" hidden="false" customHeight="true" outlineLevel="0" collapsed="false"/>
    <row r="61971" customFormat="false" ht="12.75" hidden="false" customHeight="true" outlineLevel="0" collapsed="false"/>
    <row r="61972" customFormat="false" ht="12.75" hidden="false" customHeight="true" outlineLevel="0" collapsed="false"/>
    <row r="61973" customFormat="false" ht="12.75" hidden="false" customHeight="true" outlineLevel="0" collapsed="false"/>
    <row r="61974" customFormat="false" ht="12.75" hidden="false" customHeight="true" outlineLevel="0" collapsed="false"/>
    <row r="61975" customFormat="false" ht="12.75" hidden="false" customHeight="true" outlineLevel="0" collapsed="false"/>
    <row r="61976" customFormat="false" ht="12.75" hidden="false" customHeight="true" outlineLevel="0" collapsed="false"/>
    <row r="61977" customFormat="false" ht="12.75" hidden="false" customHeight="true" outlineLevel="0" collapsed="false"/>
    <row r="61978" customFormat="false" ht="12.75" hidden="false" customHeight="true" outlineLevel="0" collapsed="false"/>
    <row r="61979" customFormat="false" ht="12.75" hidden="false" customHeight="true" outlineLevel="0" collapsed="false"/>
    <row r="61980" customFormat="false" ht="12.75" hidden="false" customHeight="true" outlineLevel="0" collapsed="false"/>
    <row r="61981" customFormat="false" ht="12.75" hidden="false" customHeight="true" outlineLevel="0" collapsed="false"/>
    <row r="61982" customFormat="false" ht="12.75" hidden="false" customHeight="true" outlineLevel="0" collapsed="false"/>
    <row r="61983" customFormat="false" ht="12.75" hidden="false" customHeight="true" outlineLevel="0" collapsed="false"/>
    <row r="61984" customFormat="false" ht="12.75" hidden="false" customHeight="true" outlineLevel="0" collapsed="false"/>
    <row r="61985" customFormat="false" ht="12.75" hidden="false" customHeight="true" outlineLevel="0" collapsed="false"/>
    <row r="61986" customFormat="false" ht="12.75" hidden="false" customHeight="true" outlineLevel="0" collapsed="false"/>
    <row r="61987" customFormat="false" ht="12.75" hidden="false" customHeight="true" outlineLevel="0" collapsed="false"/>
    <row r="61988" customFormat="false" ht="12.75" hidden="false" customHeight="true" outlineLevel="0" collapsed="false"/>
    <row r="61989" customFormat="false" ht="12.75" hidden="false" customHeight="true" outlineLevel="0" collapsed="false"/>
    <row r="61990" customFormat="false" ht="12.75" hidden="false" customHeight="true" outlineLevel="0" collapsed="false"/>
    <row r="61991" customFormat="false" ht="12.75" hidden="false" customHeight="true" outlineLevel="0" collapsed="false"/>
    <row r="61992" customFormat="false" ht="12.75" hidden="false" customHeight="true" outlineLevel="0" collapsed="false"/>
    <row r="61993" customFormat="false" ht="12.75" hidden="false" customHeight="true" outlineLevel="0" collapsed="false"/>
    <row r="61994" customFormat="false" ht="12.75" hidden="false" customHeight="true" outlineLevel="0" collapsed="false"/>
    <row r="61995" customFormat="false" ht="12.75" hidden="false" customHeight="true" outlineLevel="0" collapsed="false"/>
    <row r="61996" customFormat="false" ht="12.75" hidden="false" customHeight="true" outlineLevel="0" collapsed="false"/>
    <row r="61997" customFormat="false" ht="12.75" hidden="false" customHeight="true" outlineLevel="0" collapsed="false"/>
    <row r="61998" customFormat="false" ht="12.75" hidden="false" customHeight="true" outlineLevel="0" collapsed="false"/>
    <row r="61999" customFormat="false" ht="12.75" hidden="false" customHeight="true" outlineLevel="0" collapsed="false"/>
    <row r="62000" customFormat="false" ht="12.75" hidden="false" customHeight="true" outlineLevel="0" collapsed="false"/>
    <row r="62001" customFormat="false" ht="12.75" hidden="false" customHeight="true" outlineLevel="0" collapsed="false"/>
    <row r="62002" customFormat="false" ht="12.75" hidden="false" customHeight="true" outlineLevel="0" collapsed="false"/>
    <row r="62003" customFormat="false" ht="12.75" hidden="false" customHeight="true" outlineLevel="0" collapsed="false"/>
    <row r="62004" customFormat="false" ht="12.75" hidden="false" customHeight="true" outlineLevel="0" collapsed="false"/>
    <row r="62005" customFormat="false" ht="12.75" hidden="false" customHeight="true" outlineLevel="0" collapsed="false"/>
    <row r="62006" customFormat="false" ht="12.75" hidden="false" customHeight="true" outlineLevel="0" collapsed="false"/>
    <row r="62007" customFormat="false" ht="12.75" hidden="false" customHeight="true" outlineLevel="0" collapsed="false"/>
    <row r="62008" customFormat="false" ht="12.75" hidden="false" customHeight="true" outlineLevel="0" collapsed="false"/>
    <row r="62009" customFormat="false" ht="12.75" hidden="false" customHeight="true" outlineLevel="0" collapsed="false"/>
    <row r="62010" customFormat="false" ht="12.75" hidden="false" customHeight="true" outlineLevel="0" collapsed="false"/>
    <row r="62011" customFormat="false" ht="12.75" hidden="false" customHeight="true" outlineLevel="0" collapsed="false"/>
    <row r="62012" customFormat="false" ht="12.75" hidden="false" customHeight="true" outlineLevel="0" collapsed="false"/>
    <row r="62013" customFormat="false" ht="12.75" hidden="false" customHeight="true" outlineLevel="0" collapsed="false"/>
    <row r="62014" customFormat="false" ht="12.75" hidden="false" customHeight="true" outlineLevel="0" collapsed="false"/>
    <row r="62015" customFormat="false" ht="12.75" hidden="false" customHeight="true" outlineLevel="0" collapsed="false"/>
    <row r="62016" customFormat="false" ht="12.75" hidden="false" customHeight="true" outlineLevel="0" collapsed="false"/>
    <row r="62017" customFormat="false" ht="12.75" hidden="false" customHeight="true" outlineLevel="0" collapsed="false"/>
    <row r="62018" customFormat="false" ht="12.75" hidden="false" customHeight="true" outlineLevel="0" collapsed="false"/>
    <row r="62019" customFormat="false" ht="12.75" hidden="false" customHeight="true" outlineLevel="0" collapsed="false"/>
    <row r="62020" customFormat="false" ht="12.75" hidden="false" customHeight="true" outlineLevel="0" collapsed="false"/>
    <row r="62021" customFormat="false" ht="12.75" hidden="false" customHeight="true" outlineLevel="0" collapsed="false"/>
    <row r="62022" customFormat="false" ht="12.75" hidden="false" customHeight="true" outlineLevel="0" collapsed="false"/>
    <row r="62023" customFormat="false" ht="12.75" hidden="false" customHeight="true" outlineLevel="0" collapsed="false"/>
    <row r="62024" customFormat="false" ht="12.75" hidden="false" customHeight="true" outlineLevel="0" collapsed="false"/>
    <row r="62025" customFormat="false" ht="12.75" hidden="false" customHeight="true" outlineLevel="0" collapsed="false"/>
    <row r="62026" customFormat="false" ht="12.75" hidden="false" customHeight="true" outlineLevel="0" collapsed="false"/>
    <row r="62027" customFormat="false" ht="12.75" hidden="false" customHeight="true" outlineLevel="0" collapsed="false"/>
    <row r="62028" customFormat="false" ht="12.75" hidden="false" customHeight="true" outlineLevel="0" collapsed="false"/>
    <row r="62029" customFormat="false" ht="12.75" hidden="false" customHeight="true" outlineLevel="0" collapsed="false"/>
    <row r="62030" customFormat="false" ht="12.75" hidden="false" customHeight="true" outlineLevel="0" collapsed="false"/>
    <row r="62031" customFormat="false" ht="12.75" hidden="false" customHeight="true" outlineLevel="0" collapsed="false"/>
    <row r="62032" customFormat="false" ht="12.75" hidden="false" customHeight="true" outlineLevel="0" collapsed="false"/>
    <row r="62033" customFormat="false" ht="12.75" hidden="false" customHeight="true" outlineLevel="0" collapsed="false"/>
    <row r="62034" customFormat="false" ht="12.75" hidden="false" customHeight="true" outlineLevel="0" collapsed="false"/>
    <row r="62035" customFormat="false" ht="12.75" hidden="false" customHeight="true" outlineLevel="0" collapsed="false"/>
    <row r="62036" customFormat="false" ht="12.75" hidden="false" customHeight="true" outlineLevel="0" collapsed="false"/>
    <row r="62037" customFormat="false" ht="12.75" hidden="false" customHeight="true" outlineLevel="0" collapsed="false"/>
    <row r="62038" customFormat="false" ht="12.75" hidden="false" customHeight="true" outlineLevel="0" collapsed="false"/>
    <row r="62039" customFormat="false" ht="12.75" hidden="false" customHeight="true" outlineLevel="0" collapsed="false"/>
    <row r="62040" customFormat="false" ht="12.75" hidden="false" customHeight="true" outlineLevel="0" collapsed="false"/>
    <row r="62041" customFormat="false" ht="12.75" hidden="false" customHeight="true" outlineLevel="0" collapsed="false"/>
    <row r="62042" customFormat="false" ht="12.75" hidden="false" customHeight="true" outlineLevel="0" collapsed="false"/>
    <row r="62043" customFormat="false" ht="12.75" hidden="false" customHeight="true" outlineLevel="0" collapsed="false"/>
    <row r="62044" customFormat="false" ht="12.75" hidden="false" customHeight="true" outlineLevel="0" collapsed="false"/>
    <row r="62045" customFormat="false" ht="12.75" hidden="false" customHeight="true" outlineLevel="0" collapsed="false"/>
    <row r="62046" customFormat="false" ht="12.75" hidden="false" customHeight="true" outlineLevel="0" collapsed="false"/>
    <row r="62047" customFormat="false" ht="12.75" hidden="false" customHeight="true" outlineLevel="0" collapsed="false"/>
    <row r="62048" customFormat="false" ht="12.75" hidden="false" customHeight="true" outlineLevel="0" collapsed="false"/>
    <row r="62049" customFormat="false" ht="12.75" hidden="false" customHeight="true" outlineLevel="0" collapsed="false"/>
    <row r="62050" customFormat="false" ht="12.75" hidden="false" customHeight="true" outlineLevel="0" collapsed="false"/>
    <row r="62051" customFormat="false" ht="12.75" hidden="false" customHeight="true" outlineLevel="0" collapsed="false"/>
    <row r="62052" customFormat="false" ht="12.75" hidden="false" customHeight="true" outlineLevel="0" collapsed="false"/>
    <row r="62053" customFormat="false" ht="12.75" hidden="false" customHeight="true" outlineLevel="0" collapsed="false"/>
    <row r="62054" customFormat="false" ht="12.75" hidden="false" customHeight="true" outlineLevel="0" collapsed="false"/>
    <row r="62055" customFormat="false" ht="12.75" hidden="false" customHeight="true" outlineLevel="0" collapsed="false"/>
    <row r="62056" customFormat="false" ht="12.75" hidden="false" customHeight="true" outlineLevel="0" collapsed="false"/>
    <row r="62057" customFormat="false" ht="12.75" hidden="false" customHeight="true" outlineLevel="0" collapsed="false"/>
    <row r="62058" customFormat="false" ht="12.75" hidden="false" customHeight="true" outlineLevel="0" collapsed="false"/>
    <row r="62059" customFormat="false" ht="12.75" hidden="false" customHeight="true" outlineLevel="0" collapsed="false"/>
    <row r="62060" customFormat="false" ht="12.75" hidden="false" customHeight="true" outlineLevel="0" collapsed="false"/>
    <row r="62061" customFormat="false" ht="12.75" hidden="false" customHeight="true" outlineLevel="0" collapsed="false"/>
    <row r="62062" customFormat="false" ht="12.75" hidden="false" customHeight="true" outlineLevel="0" collapsed="false"/>
    <row r="62063" customFormat="false" ht="12.75" hidden="false" customHeight="true" outlineLevel="0" collapsed="false"/>
    <row r="62064" customFormat="false" ht="12.75" hidden="false" customHeight="true" outlineLevel="0" collapsed="false"/>
    <row r="62065" customFormat="false" ht="12.75" hidden="false" customHeight="true" outlineLevel="0" collapsed="false"/>
    <row r="62066" customFormat="false" ht="12.75" hidden="false" customHeight="true" outlineLevel="0" collapsed="false"/>
    <row r="62067" customFormat="false" ht="12.75" hidden="false" customHeight="true" outlineLevel="0" collapsed="false"/>
    <row r="62068" customFormat="false" ht="12.75" hidden="false" customHeight="true" outlineLevel="0" collapsed="false"/>
    <row r="62069" customFormat="false" ht="12.75" hidden="false" customHeight="true" outlineLevel="0" collapsed="false"/>
    <row r="62070" customFormat="false" ht="12.75" hidden="false" customHeight="true" outlineLevel="0" collapsed="false"/>
    <row r="62071" customFormat="false" ht="12.75" hidden="false" customHeight="true" outlineLevel="0" collapsed="false"/>
    <row r="62072" customFormat="false" ht="12.75" hidden="false" customHeight="true" outlineLevel="0" collapsed="false"/>
    <row r="62073" customFormat="false" ht="12.75" hidden="false" customHeight="true" outlineLevel="0" collapsed="false"/>
    <row r="62074" customFormat="false" ht="12.75" hidden="false" customHeight="true" outlineLevel="0" collapsed="false"/>
    <row r="62075" customFormat="false" ht="12.75" hidden="false" customHeight="true" outlineLevel="0" collapsed="false"/>
    <row r="62076" customFormat="false" ht="12.75" hidden="false" customHeight="true" outlineLevel="0" collapsed="false"/>
    <row r="62077" customFormat="false" ht="12.75" hidden="false" customHeight="true" outlineLevel="0" collapsed="false"/>
    <row r="62078" customFormat="false" ht="12.75" hidden="false" customHeight="true" outlineLevel="0" collapsed="false"/>
    <row r="62079" customFormat="false" ht="12.75" hidden="false" customHeight="true" outlineLevel="0" collapsed="false"/>
    <row r="62080" customFormat="false" ht="12.75" hidden="false" customHeight="true" outlineLevel="0" collapsed="false"/>
    <row r="62081" customFormat="false" ht="12.75" hidden="false" customHeight="true" outlineLevel="0" collapsed="false"/>
    <row r="62082" customFormat="false" ht="12.75" hidden="false" customHeight="true" outlineLevel="0" collapsed="false"/>
    <row r="62083" customFormat="false" ht="12.75" hidden="false" customHeight="true" outlineLevel="0" collapsed="false"/>
    <row r="62084" customFormat="false" ht="12.75" hidden="false" customHeight="true" outlineLevel="0" collapsed="false"/>
    <row r="62085" customFormat="false" ht="12.75" hidden="false" customHeight="true" outlineLevel="0" collapsed="false"/>
    <row r="62086" customFormat="false" ht="12.75" hidden="false" customHeight="true" outlineLevel="0" collapsed="false"/>
    <row r="62087" customFormat="false" ht="12.75" hidden="false" customHeight="true" outlineLevel="0" collapsed="false"/>
    <row r="62088" customFormat="false" ht="12.75" hidden="false" customHeight="true" outlineLevel="0" collapsed="false"/>
    <row r="62089" customFormat="false" ht="12.75" hidden="false" customHeight="true" outlineLevel="0" collapsed="false"/>
    <row r="62090" customFormat="false" ht="12.75" hidden="false" customHeight="true" outlineLevel="0" collapsed="false"/>
    <row r="62091" customFormat="false" ht="12.75" hidden="false" customHeight="true" outlineLevel="0" collapsed="false"/>
    <row r="62092" customFormat="false" ht="12.75" hidden="false" customHeight="true" outlineLevel="0" collapsed="false"/>
    <row r="62093" customFormat="false" ht="12.75" hidden="false" customHeight="true" outlineLevel="0" collapsed="false"/>
    <row r="62094" customFormat="false" ht="12.75" hidden="false" customHeight="true" outlineLevel="0" collapsed="false"/>
    <row r="62095" customFormat="false" ht="12.75" hidden="false" customHeight="true" outlineLevel="0" collapsed="false"/>
    <row r="62096" customFormat="false" ht="12.75" hidden="false" customHeight="true" outlineLevel="0" collapsed="false"/>
    <row r="62097" customFormat="false" ht="12.75" hidden="false" customHeight="true" outlineLevel="0" collapsed="false"/>
    <row r="62098" customFormat="false" ht="12.75" hidden="false" customHeight="true" outlineLevel="0" collapsed="false"/>
    <row r="62099" customFormat="false" ht="12.75" hidden="false" customHeight="true" outlineLevel="0" collapsed="false"/>
    <row r="62100" customFormat="false" ht="12.75" hidden="false" customHeight="true" outlineLevel="0" collapsed="false"/>
    <row r="62101" customFormat="false" ht="12.75" hidden="false" customHeight="true" outlineLevel="0" collapsed="false"/>
    <row r="62102" customFormat="false" ht="12.75" hidden="false" customHeight="true" outlineLevel="0" collapsed="false"/>
    <row r="62103" customFormat="false" ht="12.75" hidden="false" customHeight="true" outlineLevel="0" collapsed="false"/>
    <row r="62104" customFormat="false" ht="12.75" hidden="false" customHeight="true" outlineLevel="0" collapsed="false"/>
    <row r="62105" customFormat="false" ht="12.75" hidden="false" customHeight="true" outlineLevel="0" collapsed="false"/>
    <row r="62106" customFormat="false" ht="12.75" hidden="false" customHeight="true" outlineLevel="0" collapsed="false"/>
    <row r="62107" customFormat="false" ht="12.75" hidden="false" customHeight="true" outlineLevel="0" collapsed="false"/>
    <row r="62108" customFormat="false" ht="12.75" hidden="false" customHeight="true" outlineLevel="0" collapsed="false"/>
    <row r="62109" customFormat="false" ht="12.75" hidden="false" customHeight="true" outlineLevel="0" collapsed="false"/>
    <row r="62110" customFormat="false" ht="12.75" hidden="false" customHeight="true" outlineLevel="0" collapsed="false"/>
    <row r="62111" customFormat="false" ht="12.75" hidden="false" customHeight="true" outlineLevel="0" collapsed="false"/>
    <row r="62112" customFormat="false" ht="12.75" hidden="false" customHeight="true" outlineLevel="0" collapsed="false"/>
    <row r="62113" customFormat="false" ht="12.75" hidden="false" customHeight="true" outlineLevel="0" collapsed="false"/>
    <row r="62114" customFormat="false" ht="12.75" hidden="false" customHeight="true" outlineLevel="0" collapsed="false"/>
    <row r="62115" customFormat="false" ht="12.75" hidden="false" customHeight="true" outlineLevel="0" collapsed="false"/>
    <row r="62116" customFormat="false" ht="12.75" hidden="false" customHeight="true" outlineLevel="0" collapsed="false"/>
    <row r="62117" customFormat="false" ht="12.75" hidden="false" customHeight="true" outlineLevel="0" collapsed="false"/>
    <row r="62118" customFormat="false" ht="12.75" hidden="false" customHeight="true" outlineLevel="0" collapsed="false"/>
    <row r="62119" customFormat="false" ht="12.75" hidden="false" customHeight="true" outlineLevel="0" collapsed="false"/>
    <row r="62120" customFormat="false" ht="12.75" hidden="false" customHeight="true" outlineLevel="0" collapsed="false"/>
    <row r="62121" customFormat="false" ht="12.75" hidden="false" customHeight="true" outlineLevel="0" collapsed="false"/>
    <row r="62122" customFormat="false" ht="12.75" hidden="false" customHeight="true" outlineLevel="0" collapsed="false"/>
    <row r="62123" customFormat="false" ht="12.75" hidden="false" customHeight="true" outlineLevel="0" collapsed="false"/>
    <row r="62124" customFormat="false" ht="12.75" hidden="false" customHeight="true" outlineLevel="0" collapsed="false"/>
    <row r="62125" customFormat="false" ht="12.75" hidden="false" customHeight="true" outlineLevel="0" collapsed="false"/>
    <row r="62126" customFormat="false" ht="12.75" hidden="false" customHeight="true" outlineLevel="0" collapsed="false"/>
    <row r="62127" customFormat="false" ht="12.75" hidden="false" customHeight="true" outlineLevel="0" collapsed="false"/>
    <row r="62128" customFormat="false" ht="12.75" hidden="false" customHeight="true" outlineLevel="0" collapsed="false"/>
    <row r="62129" customFormat="false" ht="12.75" hidden="false" customHeight="true" outlineLevel="0" collapsed="false"/>
    <row r="62130" customFormat="false" ht="12.75" hidden="false" customHeight="true" outlineLevel="0" collapsed="false"/>
    <row r="62131" customFormat="false" ht="12.75" hidden="false" customHeight="true" outlineLevel="0" collapsed="false"/>
    <row r="62132" customFormat="false" ht="12.75" hidden="false" customHeight="true" outlineLevel="0" collapsed="false"/>
    <row r="62133" customFormat="false" ht="12.75" hidden="false" customHeight="true" outlineLevel="0" collapsed="false"/>
    <row r="62134" customFormat="false" ht="12.75" hidden="false" customHeight="true" outlineLevel="0" collapsed="false"/>
    <row r="62135" customFormat="false" ht="12.75" hidden="false" customHeight="true" outlineLevel="0" collapsed="false"/>
    <row r="62136" customFormat="false" ht="12.75" hidden="false" customHeight="true" outlineLevel="0" collapsed="false"/>
    <row r="62137" customFormat="false" ht="12.75" hidden="false" customHeight="true" outlineLevel="0" collapsed="false"/>
    <row r="62138" customFormat="false" ht="12.75" hidden="false" customHeight="true" outlineLevel="0" collapsed="false"/>
    <row r="62139" customFormat="false" ht="12.75" hidden="false" customHeight="true" outlineLevel="0" collapsed="false"/>
    <row r="62140" customFormat="false" ht="12.75" hidden="false" customHeight="true" outlineLevel="0" collapsed="false"/>
    <row r="62141" customFormat="false" ht="12.75" hidden="false" customHeight="true" outlineLevel="0" collapsed="false"/>
    <row r="62142" customFormat="false" ht="12.75" hidden="false" customHeight="true" outlineLevel="0" collapsed="false"/>
    <row r="62143" customFormat="false" ht="12.75" hidden="false" customHeight="true" outlineLevel="0" collapsed="false"/>
    <row r="62144" customFormat="false" ht="12.75" hidden="false" customHeight="true" outlineLevel="0" collapsed="false"/>
    <row r="62145" customFormat="false" ht="12.75" hidden="false" customHeight="true" outlineLevel="0" collapsed="false"/>
    <row r="62146" customFormat="false" ht="12.75" hidden="false" customHeight="true" outlineLevel="0" collapsed="false"/>
    <row r="62147" customFormat="false" ht="12.75" hidden="false" customHeight="true" outlineLevel="0" collapsed="false"/>
    <row r="62148" customFormat="false" ht="12.75" hidden="false" customHeight="true" outlineLevel="0" collapsed="false"/>
    <row r="62149" customFormat="false" ht="12.75" hidden="false" customHeight="true" outlineLevel="0" collapsed="false"/>
    <row r="62150" customFormat="false" ht="12.75" hidden="false" customHeight="true" outlineLevel="0" collapsed="false"/>
    <row r="62151" customFormat="false" ht="12.75" hidden="false" customHeight="true" outlineLevel="0" collapsed="false"/>
    <row r="62152" customFormat="false" ht="12.75" hidden="false" customHeight="true" outlineLevel="0" collapsed="false"/>
    <row r="62153" customFormat="false" ht="12.75" hidden="false" customHeight="true" outlineLevel="0" collapsed="false"/>
    <row r="62154" customFormat="false" ht="12.75" hidden="false" customHeight="true" outlineLevel="0" collapsed="false"/>
    <row r="62155" customFormat="false" ht="12.75" hidden="false" customHeight="true" outlineLevel="0" collapsed="false"/>
    <row r="62156" customFormat="false" ht="12.75" hidden="false" customHeight="true" outlineLevel="0" collapsed="false"/>
    <row r="62157" customFormat="false" ht="12.75" hidden="false" customHeight="true" outlineLevel="0" collapsed="false"/>
    <row r="62158" customFormat="false" ht="12.75" hidden="false" customHeight="true" outlineLevel="0" collapsed="false"/>
    <row r="62159" customFormat="false" ht="12.75" hidden="false" customHeight="true" outlineLevel="0" collapsed="false"/>
    <row r="62160" customFormat="false" ht="12.75" hidden="false" customHeight="true" outlineLevel="0" collapsed="false"/>
    <row r="62161" customFormat="false" ht="12.75" hidden="false" customHeight="true" outlineLevel="0" collapsed="false"/>
    <row r="62162" customFormat="false" ht="12.75" hidden="false" customHeight="true" outlineLevel="0" collapsed="false"/>
    <row r="62163" customFormat="false" ht="12.75" hidden="false" customHeight="true" outlineLevel="0" collapsed="false"/>
    <row r="62164" customFormat="false" ht="12.75" hidden="false" customHeight="true" outlineLevel="0" collapsed="false"/>
    <row r="62165" customFormat="false" ht="12.75" hidden="false" customHeight="true" outlineLevel="0" collapsed="false"/>
    <row r="62166" customFormat="false" ht="12.75" hidden="false" customHeight="true" outlineLevel="0" collapsed="false"/>
    <row r="62167" customFormat="false" ht="12.75" hidden="false" customHeight="true" outlineLevel="0" collapsed="false"/>
    <row r="62168" customFormat="false" ht="12.75" hidden="false" customHeight="true" outlineLevel="0" collapsed="false"/>
    <row r="62169" customFormat="false" ht="12.75" hidden="false" customHeight="true" outlineLevel="0" collapsed="false"/>
    <row r="62170" customFormat="false" ht="12.75" hidden="false" customHeight="true" outlineLevel="0" collapsed="false"/>
    <row r="62171" customFormat="false" ht="12.75" hidden="false" customHeight="true" outlineLevel="0" collapsed="false"/>
    <row r="62172" customFormat="false" ht="12.75" hidden="false" customHeight="true" outlineLevel="0" collapsed="false"/>
    <row r="62173" customFormat="false" ht="12.75" hidden="false" customHeight="true" outlineLevel="0" collapsed="false"/>
    <row r="62174" customFormat="false" ht="12.75" hidden="false" customHeight="true" outlineLevel="0" collapsed="false"/>
    <row r="62175" customFormat="false" ht="12.75" hidden="false" customHeight="true" outlineLevel="0" collapsed="false"/>
    <row r="62176" customFormat="false" ht="12.75" hidden="false" customHeight="true" outlineLevel="0" collapsed="false"/>
    <row r="62177" customFormat="false" ht="12.75" hidden="false" customHeight="true" outlineLevel="0" collapsed="false"/>
    <row r="62178" customFormat="false" ht="12.75" hidden="false" customHeight="true" outlineLevel="0" collapsed="false"/>
    <row r="62179" customFormat="false" ht="12.75" hidden="false" customHeight="true" outlineLevel="0" collapsed="false"/>
    <row r="62180" customFormat="false" ht="12.75" hidden="false" customHeight="true" outlineLevel="0" collapsed="false"/>
    <row r="62181" customFormat="false" ht="12.75" hidden="false" customHeight="true" outlineLevel="0" collapsed="false"/>
    <row r="62182" customFormat="false" ht="12.75" hidden="false" customHeight="true" outlineLevel="0" collapsed="false"/>
    <row r="62183" customFormat="false" ht="12.75" hidden="false" customHeight="true" outlineLevel="0" collapsed="false"/>
    <row r="62184" customFormat="false" ht="12.75" hidden="false" customHeight="true" outlineLevel="0" collapsed="false"/>
    <row r="62185" customFormat="false" ht="12.75" hidden="false" customHeight="true" outlineLevel="0" collapsed="false"/>
    <row r="62186" customFormat="false" ht="12.75" hidden="false" customHeight="true" outlineLevel="0" collapsed="false"/>
    <row r="62187" customFormat="false" ht="12.75" hidden="false" customHeight="true" outlineLevel="0" collapsed="false"/>
    <row r="62188" customFormat="false" ht="12.75" hidden="false" customHeight="true" outlineLevel="0" collapsed="false"/>
    <row r="62189" customFormat="false" ht="12.75" hidden="false" customHeight="true" outlineLevel="0" collapsed="false"/>
    <row r="62190" customFormat="false" ht="12.75" hidden="false" customHeight="true" outlineLevel="0" collapsed="false"/>
    <row r="62191" customFormat="false" ht="12.75" hidden="false" customHeight="true" outlineLevel="0" collapsed="false"/>
    <row r="62192" customFormat="false" ht="12.75" hidden="false" customHeight="true" outlineLevel="0" collapsed="false"/>
    <row r="62193" customFormat="false" ht="12.75" hidden="false" customHeight="true" outlineLevel="0" collapsed="false"/>
    <row r="62194" customFormat="false" ht="12.75" hidden="false" customHeight="true" outlineLevel="0" collapsed="false"/>
    <row r="62195" customFormat="false" ht="12.75" hidden="false" customHeight="true" outlineLevel="0" collapsed="false"/>
    <row r="62196" customFormat="false" ht="12.75" hidden="false" customHeight="true" outlineLevel="0" collapsed="false"/>
    <row r="62197" customFormat="false" ht="12.75" hidden="false" customHeight="true" outlineLevel="0" collapsed="false"/>
    <row r="62198" customFormat="false" ht="12.75" hidden="false" customHeight="true" outlineLevel="0" collapsed="false"/>
    <row r="62199" customFormat="false" ht="12.75" hidden="false" customHeight="true" outlineLevel="0" collapsed="false"/>
    <row r="62200" customFormat="false" ht="12.75" hidden="false" customHeight="true" outlineLevel="0" collapsed="false"/>
    <row r="62201" customFormat="false" ht="12.75" hidden="false" customHeight="true" outlineLevel="0" collapsed="false"/>
    <row r="62202" customFormat="false" ht="12.75" hidden="false" customHeight="true" outlineLevel="0" collapsed="false"/>
    <row r="62203" customFormat="false" ht="12.75" hidden="false" customHeight="true" outlineLevel="0" collapsed="false"/>
    <row r="62204" customFormat="false" ht="12.75" hidden="false" customHeight="true" outlineLevel="0" collapsed="false"/>
    <row r="62205" customFormat="false" ht="12.75" hidden="false" customHeight="true" outlineLevel="0" collapsed="false"/>
    <row r="62206" customFormat="false" ht="12.75" hidden="false" customHeight="true" outlineLevel="0" collapsed="false"/>
    <row r="62207" customFormat="false" ht="12.75" hidden="false" customHeight="true" outlineLevel="0" collapsed="false"/>
    <row r="62208" customFormat="false" ht="12.75" hidden="false" customHeight="true" outlineLevel="0" collapsed="false"/>
    <row r="62209" customFormat="false" ht="12.75" hidden="false" customHeight="true" outlineLevel="0" collapsed="false"/>
    <row r="62210" customFormat="false" ht="12.75" hidden="false" customHeight="true" outlineLevel="0" collapsed="false"/>
    <row r="62211" customFormat="false" ht="12.75" hidden="false" customHeight="true" outlineLevel="0" collapsed="false"/>
    <row r="62212" customFormat="false" ht="12.75" hidden="false" customHeight="true" outlineLevel="0" collapsed="false"/>
    <row r="62213" customFormat="false" ht="12.75" hidden="false" customHeight="true" outlineLevel="0" collapsed="false"/>
    <row r="62214" customFormat="false" ht="12.75" hidden="false" customHeight="true" outlineLevel="0" collapsed="false"/>
    <row r="62215" customFormat="false" ht="12.75" hidden="false" customHeight="true" outlineLevel="0" collapsed="false"/>
    <row r="62216" customFormat="false" ht="12.75" hidden="false" customHeight="true" outlineLevel="0" collapsed="false"/>
    <row r="62217" customFormat="false" ht="12.75" hidden="false" customHeight="true" outlineLevel="0" collapsed="false"/>
    <row r="62218" customFormat="false" ht="12.75" hidden="false" customHeight="true" outlineLevel="0" collapsed="false"/>
    <row r="62219" customFormat="false" ht="12.75" hidden="false" customHeight="true" outlineLevel="0" collapsed="false"/>
    <row r="62220" customFormat="false" ht="12.75" hidden="false" customHeight="true" outlineLevel="0" collapsed="false"/>
    <row r="62221" customFormat="false" ht="12.75" hidden="false" customHeight="true" outlineLevel="0" collapsed="false"/>
    <row r="62222" customFormat="false" ht="12.75" hidden="false" customHeight="true" outlineLevel="0" collapsed="false"/>
    <row r="62223" customFormat="false" ht="12.75" hidden="false" customHeight="true" outlineLevel="0" collapsed="false"/>
    <row r="62224" customFormat="false" ht="12.75" hidden="false" customHeight="true" outlineLevel="0" collapsed="false"/>
    <row r="62225" customFormat="false" ht="12.75" hidden="false" customHeight="true" outlineLevel="0" collapsed="false"/>
    <row r="62226" customFormat="false" ht="12.75" hidden="false" customHeight="true" outlineLevel="0" collapsed="false"/>
    <row r="62227" customFormat="false" ht="12.75" hidden="false" customHeight="true" outlineLevel="0" collapsed="false"/>
    <row r="62228" customFormat="false" ht="12.75" hidden="false" customHeight="true" outlineLevel="0" collapsed="false"/>
    <row r="62229" customFormat="false" ht="12.75" hidden="false" customHeight="true" outlineLevel="0" collapsed="false"/>
    <row r="62230" customFormat="false" ht="12.75" hidden="false" customHeight="true" outlineLevel="0" collapsed="false"/>
    <row r="62231" customFormat="false" ht="12.75" hidden="false" customHeight="true" outlineLevel="0" collapsed="false"/>
    <row r="62232" customFormat="false" ht="12.75" hidden="false" customHeight="true" outlineLevel="0" collapsed="false"/>
    <row r="62233" customFormat="false" ht="12.75" hidden="false" customHeight="true" outlineLevel="0" collapsed="false"/>
    <row r="62234" customFormat="false" ht="12.75" hidden="false" customHeight="true" outlineLevel="0" collapsed="false"/>
    <row r="62235" customFormat="false" ht="12.75" hidden="false" customHeight="true" outlineLevel="0" collapsed="false"/>
    <row r="62236" customFormat="false" ht="12.75" hidden="false" customHeight="true" outlineLevel="0" collapsed="false"/>
    <row r="62237" customFormat="false" ht="12.75" hidden="false" customHeight="true" outlineLevel="0" collapsed="false"/>
    <row r="62238" customFormat="false" ht="12.75" hidden="false" customHeight="true" outlineLevel="0" collapsed="false"/>
    <row r="62239" customFormat="false" ht="12.75" hidden="false" customHeight="true" outlineLevel="0" collapsed="false"/>
    <row r="62240" customFormat="false" ht="12.75" hidden="false" customHeight="true" outlineLevel="0" collapsed="false"/>
    <row r="62241" customFormat="false" ht="12.75" hidden="false" customHeight="true" outlineLevel="0" collapsed="false"/>
    <row r="62242" customFormat="false" ht="12.75" hidden="false" customHeight="true" outlineLevel="0" collapsed="false"/>
    <row r="62243" customFormat="false" ht="12.75" hidden="false" customHeight="true" outlineLevel="0" collapsed="false"/>
    <row r="62244" customFormat="false" ht="12.75" hidden="false" customHeight="true" outlineLevel="0" collapsed="false"/>
    <row r="62245" customFormat="false" ht="12.75" hidden="false" customHeight="true" outlineLevel="0" collapsed="false"/>
    <row r="62246" customFormat="false" ht="12.75" hidden="false" customHeight="true" outlineLevel="0" collapsed="false"/>
    <row r="62247" customFormat="false" ht="12.75" hidden="false" customHeight="true" outlineLevel="0" collapsed="false"/>
    <row r="62248" customFormat="false" ht="12.75" hidden="false" customHeight="true" outlineLevel="0" collapsed="false"/>
    <row r="62249" customFormat="false" ht="12.75" hidden="false" customHeight="true" outlineLevel="0" collapsed="false"/>
    <row r="62250" customFormat="false" ht="12.75" hidden="false" customHeight="true" outlineLevel="0" collapsed="false"/>
    <row r="62251" customFormat="false" ht="12.75" hidden="false" customHeight="true" outlineLevel="0" collapsed="false"/>
    <row r="62252" customFormat="false" ht="12.75" hidden="false" customHeight="true" outlineLevel="0" collapsed="false"/>
    <row r="62253" customFormat="false" ht="12.75" hidden="false" customHeight="true" outlineLevel="0" collapsed="false"/>
    <row r="62254" customFormat="false" ht="12.75" hidden="false" customHeight="true" outlineLevel="0" collapsed="false"/>
    <row r="62255" customFormat="false" ht="12.75" hidden="false" customHeight="true" outlineLevel="0" collapsed="false"/>
    <row r="62256" customFormat="false" ht="12.75" hidden="false" customHeight="true" outlineLevel="0" collapsed="false"/>
    <row r="62257" customFormat="false" ht="12.75" hidden="false" customHeight="true" outlineLevel="0" collapsed="false"/>
    <row r="62258" customFormat="false" ht="12.75" hidden="false" customHeight="true" outlineLevel="0" collapsed="false"/>
    <row r="62259" customFormat="false" ht="12.75" hidden="false" customHeight="true" outlineLevel="0" collapsed="false"/>
    <row r="62260" customFormat="false" ht="12.75" hidden="false" customHeight="true" outlineLevel="0" collapsed="false"/>
    <row r="62261" customFormat="false" ht="12.75" hidden="false" customHeight="true" outlineLevel="0" collapsed="false"/>
    <row r="62262" customFormat="false" ht="12.75" hidden="false" customHeight="true" outlineLevel="0" collapsed="false"/>
    <row r="62263" customFormat="false" ht="12.75" hidden="false" customHeight="true" outlineLevel="0" collapsed="false"/>
    <row r="62264" customFormat="false" ht="12.75" hidden="false" customHeight="true" outlineLevel="0" collapsed="false"/>
    <row r="62265" customFormat="false" ht="12.75" hidden="false" customHeight="true" outlineLevel="0" collapsed="false"/>
    <row r="62266" customFormat="false" ht="12.75" hidden="false" customHeight="true" outlineLevel="0" collapsed="false"/>
    <row r="62267" customFormat="false" ht="12.75" hidden="false" customHeight="true" outlineLevel="0" collapsed="false"/>
    <row r="62268" customFormat="false" ht="12.75" hidden="false" customHeight="true" outlineLevel="0" collapsed="false"/>
    <row r="62269" customFormat="false" ht="12.75" hidden="false" customHeight="true" outlineLevel="0" collapsed="false"/>
    <row r="62270" customFormat="false" ht="12.75" hidden="false" customHeight="true" outlineLevel="0" collapsed="false"/>
    <row r="62271" customFormat="false" ht="12.75" hidden="false" customHeight="true" outlineLevel="0" collapsed="false"/>
    <row r="62272" customFormat="false" ht="12.75" hidden="false" customHeight="true" outlineLevel="0" collapsed="false"/>
    <row r="62273" customFormat="false" ht="12.75" hidden="false" customHeight="true" outlineLevel="0" collapsed="false"/>
    <row r="62274" customFormat="false" ht="12.75" hidden="false" customHeight="true" outlineLevel="0" collapsed="false"/>
    <row r="62275" customFormat="false" ht="12.75" hidden="false" customHeight="true" outlineLevel="0" collapsed="false"/>
    <row r="62276" customFormat="false" ht="12.75" hidden="false" customHeight="true" outlineLevel="0" collapsed="false"/>
    <row r="62277" customFormat="false" ht="12.75" hidden="false" customHeight="true" outlineLevel="0" collapsed="false"/>
    <row r="62278" customFormat="false" ht="12.75" hidden="false" customHeight="true" outlineLevel="0" collapsed="false"/>
    <row r="62279" customFormat="false" ht="12.75" hidden="false" customHeight="true" outlineLevel="0" collapsed="false"/>
    <row r="62280" customFormat="false" ht="12.75" hidden="false" customHeight="true" outlineLevel="0" collapsed="false"/>
    <row r="62281" customFormat="false" ht="12.75" hidden="false" customHeight="true" outlineLevel="0" collapsed="false"/>
    <row r="62282" customFormat="false" ht="12.75" hidden="false" customHeight="true" outlineLevel="0" collapsed="false"/>
    <row r="62283" customFormat="false" ht="12.75" hidden="false" customHeight="true" outlineLevel="0" collapsed="false"/>
    <row r="62284" customFormat="false" ht="12.75" hidden="false" customHeight="true" outlineLevel="0" collapsed="false"/>
    <row r="62285" customFormat="false" ht="12.75" hidden="false" customHeight="true" outlineLevel="0" collapsed="false"/>
    <row r="62286" customFormat="false" ht="12.75" hidden="false" customHeight="true" outlineLevel="0" collapsed="false"/>
    <row r="62287" customFormat="false" ht="12.75" hidden="false" customHeight="true" outlineLevel="0" collapsed="false"/>
    <row r="62288" customFormat="false" ht="12.75" hidden="false" customHeight="true" outlineLevel="0" collapsed="false"/>
    <row r="62289" customFormat="false" ht="12.75" hidden="false" customHeight="true" outlineLevel="0" collapsed="false"/>
    <row r="62290" customFormat="false" ht="12.75" hidden="false" customHeight="true" outlineLevel="0" collapsed="false"/>
    <row r="62291" customFormat="false" ht="12.75" hidden="false" customHeight="true" outlineLevel="0" collapsed="false"/>
    <row r="62292" customFormat="false" ht="12.75" hidden="false" customHeight="true" outlineLevel="0" collapsed="false"/>
    <row r="62293" customFormat="false" ht="12.75" hidden="false" customHeight="true" outlineLevel="0" collapsed="false"/>
    <row r="62294" customFormat="false" ht="12.75" hidden="false" customHeight="true" outlineLevel="0" collapsed="false"/>
    <row r="62295" customFormat="false" ht="12.75" hidden="false" customHeight="true" outlineLevel="0" collapsed="false"/>
    <row r="62296" customFormat="false" ht="12.75" hidden="false" customHeight="true" outlineLevel="0" collapsed="false"/>
    <row r="62297" customFormat="false" ht="12.75" hidden="false" customHeight="true" outlineLevel="0" collapsed="false"/>
    <row r="62298" customFormat="false" ht="12.75" hidden="false" customHeight="true" outlineLevel="0" collapsed="false"/>
    <row r="62299" customFormat="false" ht="12.75" hidden="false" customHeight="true" outlineLevel="0" collapsed="false"/>
    <row r="62300" customFormat="false" ht="12.75" hidden="false" customHeight="true" outlineLevel="0" collapsed="false"/>
    <row r="62301" customFormat="false" ht="12.75" hidden="false" customHeight="true" outlineLevel="0" collapsed="false"/>
    <row r="62302" customFormat="false" ht="12.75" hidden="false" customHeight="true" outlineLevel="0" collapsed="false"/>
    <row r="62303" customFormat="false" ht="12.75" hidden="false" customHeight="true" outlineLevel="0" collapsed="false"/>
    <row r="62304" customFormat="false" ht="12.75" hidden="false" customHeight="true" outlineLevel="0" collapsed="false"/>
    <row r="62305" customFormat="false" ht="12.75" hidden="false" customHeight="true" outlineLevel="0" collapsed="false"/>
    <row r="62306" customFormat="false" ht="12.75" hidden="false" customHeight="true" outlineLevel="0" collapsed="false"/>
    <row r="62307" customFormat="false" ht="12.75" hidden="false" customHeight="true" outlineLevel="0" collapsed="false"/>
    <row r="62308" customFormat="false" ht="12.75" hidden="false" customHeight="true" outlineLevel="0" collapsed="false"/>
    <row r="62309" customFormat="false" ht="12.75" hidden="false" customHeight="true" outlineLevel="0" collapsed="false"/>
    <row r="62310" customFormat="false" ht="12.75" hidden="false" customHeight="true" outlineLevel="0" collapsed="false"/>
    <row r="62311" customFormat="false" ht="12.75" hidden="false" customHeight="true" outlineLevel="0" collapsed="false"/>
    <row r="62312" customFormat="false" ht="12.75" hidden="false" customHeight="true" outlineLevel="0" collapsed="false"/>
    <row r="62313" customFormat="false" ht="12.75" hidden="false" customHeight="true" outlineLevel="0" collapsed="false"/>
    <row r="62314" customFormat="false" ht="12.75" hidden="false" customHeight="true" outlineLevel="0" collapsed="false"/>
    <row r="62315" customFormat="false" ht="12.75" hidden="false" customHeight="true" outlineLevel="0" collapsed="false"/>
    <row r="62316" customFormat="false" ht="12.75" hidden="false" customHeight="true" outlineLevel="0" collapsed="false"/>
    <row r="62317" customFormat="false" ht="12.75" hidden="false" customHeight="true" outlineLevel="0" collapsed="false"/>
    <row r="62318" customFormat="false" ht="12.75" hidden="false" customHeight="true" outlineLevel="0" collapsed="false"/>
    <row r="62319" customFormat="false" ht="12.75" hidden="false" customHeight="true" outlineLevel="0" collapsed="false"/>
    <row r="62320" customFormat="false" ht="12.75" hidden="false" customHeight="true" outlineLevel="0" collapsed="false"/>
    <row r="62321" customFormat="false" ht="12.75" hidden="false" customHeight="true" outlineLevel="0" collapsed="false"/>
    <row r="62322" customFormat="false" ht="12.75" hidden="false" customHeight="true" outlineLevel="0" collapsed="false"/>
    <row r="62323" customFormat="false" ht="12.75" hidden="false" customHeight="true" outlineLevel="0" collapsed="false"/>
    <row r="62324" customFormat="false" ht="12.75" hidden="false" customHeight="true" outlineLevel="0" collapsed="false"/>
    <row r="62325" customFormat="false" ht="12.75" hidden="false" customHeight="true" outlineLevel="0" collapsed="false"/>
    <row r="62326" customFormat="false" ht="12.75" hidden="false" customHeight="true" outlineLevel="0" collapsed="false"/>
    <row r="62327" customFormat="false" ht="12.75" hidden="false" customHeight="true" outlineLevel="0" collapsed="false"/>
    <row r="62328" customFormat="false" ht="12.75" hidden="false" customHeight="true" outlineLevel="0" collapsed="false"/>
    <row r="62329" customFormat="false" ht="12.75" hidden="false" customHeight="true" outlineLevel="0" collapsed="false"/>
    <row r="62330" customFormat="false" ht="12.75" hidden="false" customHeight="true" outlineLevel="0" collapsed="false"/>
    <row r="62331" customFormat="false" ht="12.75" hidden="false" customHeight="true" outlineLevel="0" collapsed="false"/>
    <row r="62332" customFormat="false" ht="12.75" hidden="false" customHeight="true" outlineLevel="0" collapsed="false"/>
    <row r="62333" customFormat="false" ht="12.75" hidden="false" customHeight="true" outlineLevel="0" collapsed="false"/>
    <row r="62334" customFormat="false" ht="12.75" hidden="false" customHeight="true" outlineLevel="0" collapsed="false"/>
    <row r="62335" customFormat="false" ht="12.75" hidden="false" customHeight="true" outlineLevel="0" collapsed="false"/>
    <row r="62336" customFormat="false" ht="12.75" hidden="false" customHeight="true" outlineLevel="0" collapsed="false"/>
    <row r="62337" customFormat="false" ht="12.75" hidden="false" customHeight="true" outlineLevel="0" collapsed="false"/>
    <row r="62338" customFormat="false" ht="12.75" hidden="false" customHeight="true" outlineLevel="0" collapsed="false"/>
    <row r="62339" customFormat="false" ht="12.75" hidden="false" customHeight="true" outlineLevel="0" collapsed="false"/>
    <row r="62340" customFormat="false" ht="12.75" hidden="false" customHeight="true" outlineLevel="0" collapsed="false"/>
    <row r="62341" customFormat="false" ht="12.75" hidden="false" customHeight="true" outlineLevel="0" collapsed="false"/>
    <row r="62342" customFormat="false" ht="12.75" hidden="false" customHeight="true" outlineLevel="0" collapsed="false"/>
    <row r="62343" customFormat="false" ht="12.75" hidden="false" customHeight="true" outlineLevel="0" collapsed="false"/>
    <row r="62344" customFormat="false" ht="12.75" hidden="false" customHeight="true" outlineLevel="0" collapsed="false"/>
    <row r="62345" customFormat="false" ht="12.75" hidden="false" customHeight="true" outlineLevel="0" collapsed="false"/>
    <row r="62346" customFormat="false" ht="12.75" hidden="false" customHeight="true" outlineLevel="0" collapsed="false"/>
    <row r="62347" customFormat="false" ht="12.75" hidden="false" customHeight="true" outlineLevel="0" collapsed="false"/>
    <row r="62348" customFormat="false" ht="12.75" hidden="false" customHeight="true" outlineLevel="0" collapsed="false"/>
    <row r="62349" customFormat="false" ht="12.75" hidden="false" customHeight="true" outlineLevel="0" collapsed="false"/>
    <row r="62350" customFormat="false" ht="12.75" hidden="false" customHeight="true" outlineLevel="0" collapsed="false"/>
    <row r="62351" customFormat="false" ht="12.75" hidden="false" customHeight="true" outlineLevel="0" collapsed="false"/>
    <row r="62352" customFormat="false" ht="12.75" hidden="false" customHeight="true" outlineLevel="0" collapsed="false"/>
    <row r="62353" customFormat="false" ht="12.75" hidden="false" customHeight="true" outlineLevel="0" collapsed="false"/>
    <row r="62354" customFormat="false" ht="12.75" hidden="false" customHeight="true" outlineLevel="0" collapsed="false"/>
    <row r="62355" customFormat="false" ht="12.75" hidden="false" customHeight="true" outlineLevel="0" collapsed="false"/>
    <row r="62356" customFormat="false" ht="12.75" hidden="false" customHeight="true" outlineLevel="0" collapsed="false"/>
    <row r="62357" customFormat="false" ht="12.75" hidden="false" customHeight="true" outlineLevel="0" collapsed="false"/>
    <row r="62358" customFormat="false" ht="12.75" hidden="false" customHeight="true" outlineLevel="0" collapsed="false"/>
    <row r="62359" customFormat="false" ht="12.75" hidden="false" customHeight="true" outlineLevel="0" collapsed="false"/>
    <row r="62360" customFormat="false" ht="12.75" hidden="false" customHeight="true" outlineLevel="0" collapsed="false"/>
    <row r="62361" customFormat="false" ht="12.75" hidden="false" customHeight="true" outlineLevel="0" collapsed="false"/>
    <row r="62362" customFormat="false" ht="12.75" hidden="false" customHeight="true" outlineLevel="0" collapsed="false"/>
    <row r="62363" customFormat="false" ht="12.75" hidden="false" customHeight="true" outlineLevel="0" collapsed="false"/>
    <row r="62364" customFormat="false" ht="12.75" hidden="false" customHeight="true" outlineLevel="0" collapsed="false"/>
    <row r="62365" customFormat="false" ht="12.75" hidden="false" customHeight="true" outlineLevel="0" collapsed="false"/>
    <row r="62366" customFormat="false" ht="12.75" hidden="false" customHeight="true" outlineLevel="0" collapsed="false"/>
    <row r="62367" customFormat="false" ht="12.75" hidden="false" customHeight="true" outlineLevel="0" collapsed="false"/>
    <row r="62368" customFormat="false" ht="12.75" hidden="false" customHeight="true" outlineLevel="0" collapsed="false"/>
    <row r="62369" customFormat="false" ht="12.75" hidden="false" customHeight="true" outlineLevel="0" collapsed="false"/>
    <row r="62370" customFormat="false" ht="12.75" hidden="false" customHeight="true" outlineLevel="0" collapsed="false"/>
    <row r="62371" customFormat="false" ht="12.75" hidden="false" customHeight="true" outlineLevel="0" collapsed="false"/>
    <row r="62372" customFormat="false" ht="12.75" hidden="false" customHeight="true" outlineLevel="0" collapsed="false"/>
    <row r="62373" customFormat="false" ht="12.75" hidden="false" customHeight="true" outlineLevel="0" collapsed="false"/>
    <row r="62374" customFormat="false" ht="12.75" hidden="false" customHeight="true" outlineLevel="0" collapsed="false"/>
    <row r="62375" customFormat="false" ht="12.75" hidden="false" customHeight="true" outlineLevel="0" collapsed="false"/>
    <row r="62376" customFormat="false" ht="12.75" hidden="false" customHeight="true" outlineLevel="0" collapsed="false"/>
    <row r="62377" customFormat="false" ht="12.75" hidden="false" customHeight="true" outlineLevel="0" collapsed="false"/>
    <row r="62378" customFormat="false" ht="12.75" hidden="false" customHeight="true" outlineLevel="0" collapsed="false"/>
    <row r="62379" customFormat="false" ht="12.75" hidden="false" customHeight="true" outlineLevel="0" collapsed="false"/>
    <row r="62380" customFormat="false" ht="12.75" hidden="false" customHeight="true" outlineLevel="0" collapsed="false"/>
    <row r="62381" customFormat="false" ht="12.75" hidden="false" customHeight="true" outlineLevel="0" collapsed="false"/>
    <row r="62382" customFormat="false" ht="12.75" hidden="false" customHeight="true" outlineLevel="0" collapsed="false"/>
    <row r="62383" customFormat="false" ht="12.75" hidden="false" customHeight="true" outlineLevel="0" collapsed="false"/>
    <row r="62384" customFormat="false" ht="12.75" hidden="false" customHeight="true" outlineLevel="0" collapsed="false"/>
    <row r="62385" customFormat="false" ht="12.75" hidden="false" customHeight="true" outlineLevel="0" collapsed="false"/>
    <row r="62386" customFormat="false" ht="12.75" hidden="false" customHeight="true" outlineLevel="0" collapsed="false"/>
    <row r="62387" customFormat="false" ht="12.75" hidden="false" customHeight="true" outlineLevel="0" collapsed="false"/>
    <row r="62388" customFormat="false" ht="12.75" hidden="false" customHeight="true" outlineLevel="0" collapsed="false"/>
    <row r="62389" customFormat="false" ht="12.75" hidden="false" customHeight="true" outlineLevel="0" collapsed="false"/>
    <row r="62390" customFormat="false" ht="12.75" hidden="false" customHeight="true" outlineLevel="0" collapsed="false"/>
    <row r="62391" customFormat="false" ht="12.75" hidden="false" customHeight="true" outlineLevel="0" collapsed="false"/>
    <row r="62392" customFormat="false" ht="12.75" hidden="false" customHeight="true" outlineLevel="0" collapsed="false"/>
    <row r="62393" customFormat="false" ht="12.75" hidden="false" customHeight="true" outlineLevel="0" collapsed="false"/>
    <row r="62394" customFormat="false" ht="12.75" hidden="false" customHeight="true" outlineLevel="0" collapsed="false"/>
    <row r="62395" customFormat="false" ht="12.75" hidden="false" customHeight="true" outlineLevel="0" collapsed="false"/>
    <row r="62396" customFormat="false" ht="12.75" hidden="false" customHeight="true" outlineLevel="0" collapsed="false"/>
    <row r="62397" customFormat="false" ht="12.75" hidden="false" customHeight="true" outlineLevel="0" collapsed="false"/>
    <row r="62398" customFormat="false" ht="12.75" hidden="false" customHeight="true" outlineLevel="0" collapsed="false"/>
    <row r="62399" customFormat="false" ht="12.75" hidden="false" customHeight="true" outlineLevel="0" collapsed="false"/>
    <row r="62400" customFormat="false" ht="12.75" hidden="false" customHeight="true" outlineLevel="0" collapsed="false"/>
    <row r="62401" customFormat="false" ht="12.75" hidden="false" customHeight="true" outlineLevel="0" collapsed="false"/>
    <row r="62402" customFormat="false" ht="12.75" hidden="false" customHeight="true" outlineLevel="0" collapsed="false"/>
    <row r="62403" customFormat="false" ht="12.75" hidden="false" customHeight="true" outlineLevel="0" collapsed="false"/>
    <row r="62404" customFormat="false" ht="12.75" hidden="false" customHeight="true" outlineLevel="0" collapsed="false"/>
    <row r="62405" customFormat="false" ht="12.75" hidden="false" customHeight="true" outlineLevel="0" collapsed="false"/>
    <row r="62406" customFormat="false" ht="12.75" hidden="false" customHeight="true" outlineLevel="0" collapsed="false"/>
    <row r="62407" customFormat="false" ht="12.75" hidden="false" customHeight="true" outlineLevel="0" collapsed="false"/>
    <row r="62408" customFormat="false" ht="12.75" hidden="false" customHeight="true" outlineLevel="0" collapsed="false"/>
    <row r="62409" customFormat="false" ht="12.75" hidden="false" customHeight="true" outlineLevel="0" collapsed="false"/>
    <row r="62410" customFormat="false" ht="12.75" hidden="false" customHeight="true" outlineLevel="0" collapsed="false"/>
    <row r="62411" customFormat="false" ht="12.75" hidden="false" customHeight="true" outlineLevel="0" collapsed="false"/>
    <row r="62412" customFormat="false" ht="12.75" hidden="false" customHeight="true" outlineLevel="0" collapsed="false"/>
    <row r="62413" customFormat="false" ht="12.75" hidden="false" customHeight="true" outlineLevel="0" collapsed="false"/>
    <row r="62414" customFormat="false" ht="12.75" hidden="false" customHeight="true" outlineLevel="0" collapsed="false"/>
    <row r="62415" customFormat="false" ht="12.75" hidden="false" customHeight="true" outlineLevel="0" collapsed="false"/>
    <row r="62416" customFormat="false" ht="12.75" hidden="false" customHeight="true" outlineLevel="0" collapsed="false"/>
    <row r="62417" customFormat="false" ht="12.75" hidden="false" customHeight="true" outlineLevel="0" collapsed="false"/>
    <row r="62418" customFormat="false" ht="12.75" hidden="false" customHeight="true" outlineLevel="0" collapsed="false"/>
    <row r="62419" customFormat="false" ht="12.75" hidden="false" customHeight="true" outlineLevel="0" collapsed="false"/>
    <row r="62420" customFormat="false" ht="12.75" hidden="false" customHeight="true" outlineLevel="0" collapsed="false"/>
    <row r="62421" customFormat="false" ht="12.75" hidden="false" customHeight="true" outlineLevel="0" collapsed="false"/>
    <row r="62422" customFormat="false" ht="12.75" hidden="false" customHeight="true" outlineLevel="0" collapsed="false"/>
    <row r="62423" customFormat="false" ht="12.75" hidden="false" customHeight="true" outlineLevel="0" collapsed="false"/>
    <row r="62424" customFormat="false" ht="12.75" hidden="false" customHeight="true" outlineLevel="0" collapsed="false"/>
    <row r="62425" customFormat="false" ht="12.75" hidden="false" customHeight="true" outlineLevel="0" collapsed="false"/>
    <row r="62426" customFormat="false" ht="12.75" hidden="false" customHeight="true" outlineLevel="0" collapsed="false"/>
    <row r="62427" customFormat="false" ht="12.75" hidden="false" customHeight="true" outlineLevel="0" collapsed="false"/>
    <row r="62428" customFormat="false" ht="12.75" hidden="false" customHeight="true" outlineLevel="0" collapsed="false"/>
    <row r="62429" customFormat="false" ht="12.75" hidden="false" customHeight="true" outlineLevel="0" collapsed="false"/>
    <row r="62430" customFormat="false" ht="12.75" hidden="false" customHeight="true" outlineLevel="0" collapsed="false"/>
    <row r="62431" customFormat="false" ht="12.75" hidden="false" customHeight="true" outlineLevel="0" collapsed="false"/>
    <row r="62432" customFormat="false" ht="12.75" hidden="false" customHeight="true" outlineLevel="0" collapsed="false"/>
    <row r="62433" customFormat="false" ht="12.75" hidden="false" customHeight="true" outlineLevel="0" collapsed="false"/>
    <row r="62434" customFormat="false" ht="12.75" hidden="false" customHeight="true" outlineLevel="0" collapsed="false"/>
    <row r="62435" customFormat="false" ht="12.75" hidden="false" customHeight="true" outlineLevel="0" collapsed="false"/>
    <row r="62436" customFormat="false" ht="12.75" hidden="false" customHeight="true" outlineLevel="0" collapsed="false"/>
    <row r="62437" customFormat="false" ht="12.75" hidden="false" customHeight="true" outlineLevel="0" collapsed="false"/>
    <row r="62438" customFormat="false" ht="12.75" hidden="false" customHeight="true" outlineLevel="0" collapsed="false"/>
    <row r="62439" customFormat="false" ht="12.75" hidden="false" customHeight="true" outlineLevel="0" collapsed="false"/>
    <row r="62440" customFormat="false" ht="12.75" hidden="false" customHeight="true" outlineLevel="0" collapsed="false"/>
    <row r="62441" customFormat="false" ht="12.75" hidden="false" customHeight="true" outlineLevel="0" collapsed="false"/>
    <row r="62442" customFormat="false" ht="12.75" hidden="false" customHeight="true" outlineLevel="0" collapsed="false"/>
    <row r="62443" customFormat="false" ht="12.75" hidden="false" customHeight="true" outlineLevel="0" collapsed="false"/>
    <row r="62444" customFormat="false" ht="12.75" hidden="false" customHeight="true" outlineLevel="0" collapsed="false"/>
    <row r="62445" customFormat="false" ht="12.75" hidden="false" customHeight="true" outlineLevel="0" collapsed="false"/>
    <row r="62446" customFormat="false" ht="12.75" hidden="false" customHeight="true" outlineLevel="0" collapsed="false"/>
    <row r="62447" customFormat="false" ht="12.75" hidden="false" customHeight="true" outlineLevel="0" collapsed="false"/>
    <row r="62448" customFormat="false" ht="12.75" hidden="false" customHeight="true" outlineLevel="0" collapsed="false"/>
    <row r="62449" customFormat="false" ht="12.75" hidden="false" customHeight="true" outlineLevel="0" collapsed="false"/>
    <row r="62450" customFormat="false" ht="12.75" hidden="false" customHeight="true" outlineLevel="0" collapsed="false"/>
    <row r="62451" customFormat="false" ht="12.75" hidden="false" customHeight="true" outlineLevel="0" collapsed="false"/>
    <row r="62452" customFormat="false" ht="12.75" hidden="false" customHeight="true" outlineLevel="0" collapsed="false"/>
    <row r="62453" customFormat="false" ht="12.75" hidden="false" customHeight="true" outlineLevel="0" collapsed="false"/>
    <row r="62454" customFormat="false" ht="12.75" hidden="false" customHeight="true" outlineLevel="0" collapsed="false"/>
    <row r="62455" customFormat="false" ht="12.75" hidden="false" customHeight="true" outlineLevel="0" collapsed="false"/>
    <row r="62456" customFormat="false" ht="12.75" hidden="false" customHeight="true" outlineLevel="0" collapsed="false"/>
    <row r="62457" customFormat="false" ht="12.75" hidden="false" customHeight="true" outlineLevel="0" collapsed="false"/>
    <row r="62458" customFormat="false" ht="12.75" hidden="false" customHeight="true" outlineLevel="0" collapsed="false"/>
    <row r="62459" customFormat="false" ht="12.75" hidden="false" customHeight="true" outlineLevel="0" collapsed="false"/>
    <row r="62460" customFormat="false" ht="12.75" hidden="false" customHeight="true" outlineLevel="0" collapsed="false"/>
    <row r="62461" customFormat="false" ht="12.75" hidden="false" customHeight="true" outlineLevel="0" collapsed="false"/>
    <row r="62462" customFormat="false" ht="12.75" hidden="false" customHeight="true" outlineLevel="0" collapsed="false"/>
    <row r="62463" customFormat="false" ht="12.75" hidden="false" customHeight="true" outlineLevel="0" collapsed="false"/>
    <row r="62464" customFormat="false" ht="12.75" hidden="false" customHeight="true" outlineLevel="0" collapsed="false"/>
    <row r="62465" customFormat="false" ht="12.75" hidden="false" customHeight="true" outlineLevel="0" collapsed="false"/>
    <row r="62466" customFormat="false" ht="12.75" hidden="false" customHeight="true" outlineLevel="0" collapsed="false"/>
    <row r="62467" customFormat="false" ht="12.75" hidden="false" customHeight="true" outlineLevel="0" collapsed="false"/>
    <row r="62468" customFormat="false" ht="12.75" hidden="false" customHeight="true" outlineLevel="0" collapsed="false"/>
    <row r="62469" customFormat="false" ht="12.75" hidden="false" customHeight="true" outlineLevel="0" collapsed="false"/>
    <row r="62470" customFormat="false" ht="12.75" hidden="false" customHeight="true" outlineLevel="0" collapsed="false"/>
    <row r="62471" customFormat="false" ht="12.75" hidden="false" customHeight="true" outlineLevel="0" collapsed="false"/>
    <row r="62472" customFormat="false" ht="12.75" hidden="false" customHeight="true" outlineLevel="0" collapsed="false"/>
    <row r="62473" customFormat="false" ht="12.75" hidden="false" customHeight="true" outlineLevel="0" collapsed="false"/>
    <row r="62474" customFormat="false" ht="12.75" hidden="false" customHeight="true" outlineLevel="0" collapsed="false"/>
    <row r="62475" customFormat="false" ht="12.75" hidden="false" customHeight="true" outlineLevel="0" collapsed="false"/>
    <row r="62476" customFormat="false" ht="12.75" hidden="false" customHeight="true" outlineLevel="0" collapsed="false"/>
    <row r="62477" customFormat="false" ht="12.75" hidden="false" customHeight="true" outlineLevel="0" collapsed="false"/>
    <row r="62478" customFormat="false" ht="12.75" hidden="false" customHeight="true" outlineLevel="0" collapsed="false"/>
    <row r="62479" customFormat="false" ht="12.75" hidden="false" customHeight="true" outlineLevel="0" collapsed="false"/>
    <row r="62480" customFormat="false" ht="12.75" hidden="false" customHeight="true" outlineLevel="0" collapsed="false"/>
    <row r="62481" customFormat="false" ht="12.75" hidden="false" customHeight="true" outlineLevel="0" collapsed="false"/>
    <row r="62482" customFormat="false" ht="12.75" hidden="false" customHeight="true" outlineLevel="0" collapsed="false"/>
    <row r="62483" customFormat="false" ht="12.75" hidden="false" customHeight="true" outlineLevel="0" collapsed="false"/>
    <row r="62484" customFormat="false" ht="12.75" hidden="false" customHeight="true" outlineLevel="0" collapsed="false"/>
    <row r="62485" customFormat="false" ht="12.75" hidden="false" customHeight="true" outlineLevel="0" collapsed="false"/>
    <row r="62486" customFormat="false" ht="12.75" hidden="false" customHeight="true" outlineLevel="0" collapsed="false"/>
    <row r="62487" customFormat="false" ht="12.75" hidden="false" customHeight="true" outlineLevel="0" collapsed="false"/>
    <row r="62488" customFormat="false" ht="12.75" hidden="false" customHeight="true" outlineLevel="0" collapsed="false"/>
    <row r="62489" customFormat="false" ht="12.75" hidden="false" customHeight="true" outlineLevel="0" collapsed="false"/>
    <row r="62490" customFormat="false" ht="12.75" hidden="false" customHeight="true" outlineLevel="0" collapsed="false"/>
    <row r="62491" customFormat="false" ht="12.75" hidden="false" customHeight="true" outlineLevel="0" collapsed="false"/>
    <row r="62492" customFormat="false" ht="12.75" hidden="false" customHeight="true" outlineLevel="0" collapsed="false"/>
    <row r="62493" customFormat="false" ht="12.75" hidden="false" customHeight="true" outlineLevel="0" collapsed="false"/>
    <row r="62494" customFormat="false" ht="12.75" hidden="false" customHeight="true" outlineLevel="0" collapsed="false"/>
    <row r="62495" customFormat="false" ht="12.75" hidden="false" customHeight="true" outlineLevel="0" collapsed="false"/>
    <row r="62496" customFormat="false" ht="12.75" hidden="false" customHeight="true" outlineLevel="0" collapsed="false"/>
    <row r="62497" customFormat="false" ht="12.75" hidden="false" customHeight="true" outlineLevel="0" collapsed="false"/>
    <row r="62498" customFormat="false" ht="12.75" hidden="false" customHeight="true" outlineLevel="0" collapsed="false"/>
    <row r="62499" customFormat="false" ht="12.75" hidden="false" customHeight="true" outlineLevel="0" collapsed="false"/>
    <row r="62500" customFormat="false" ht="12.75" hidden="false" customHeight="true" outlineLevel="0" collapsed="false"/>
    <row r="62501" customFormat="false" ht="12.75" hidden="false" customHeight="true" outlineLevel="0" collapsed="false"/>
    <row r="62502" customFormat="false" ht="12.75" hidden="false" customHeight="true" outlineLevel="0" collapsed="false"/>
    <row r="62503" customFormat="false" ht="12.75" hidden="false" customHeight="true" outlineLevel="0" collapsed="false"/>
    <row r="62504" customFormat="false" ht="12.75" hidden="false" customHeight="true" outlineLevel="0" collapsed="false"/>
    <row r="62505" customFormat="false" ht="12.75" hidden="false" customHeight="true" outlineLevel="0" collapsed="false"/>
    <row r="62506" customFormat="false" ht="12.75" hidden="false" customHeight="true" outlineLevel="0" collapsed="false"/>
    <row r="62507" customFormat="false" ht="12.75" hidden="false" customHeight="true" outlineLevel="0" collapsed="false"/>
    <row r="62508" customFormat="false" ht="12.75" hidden="false" customHeight="true" outlineLevel="0" collapsed="false"/>
    <row r="62509" customFormat="false" ht="12.75" hidden="false" customHeight="true" outlineLevel="0" collapsed="false"/>
    <row r="62510" customFormat="false" ht="12.75" hidden="false" customHeight="true" outlineLevel="0" collapsed="false"/>
    <row r="62511" customFormat="false" ht="12.75" hidden="false" customHeight="true" outlineLevel="0" collapsed="false"/>
    <row r="62512" customFormat="false" ht="12.75" hidden="false" customHeight="true" outlineLevel="0" collapsed="false"/>
    <row r="62513" customFormat="false" ht="12.75" hidden="false" customHeight="true" outlineLevel="0" collapsed="false"/>
    <row r="62514" customFormat="false" ht="12.75" hidden="false" customHeight="true" outlineLevel="0" collapsed="false"/>
    <row r="62515" customFormat="false" ht="12.75" hidden="false" customHeight="true" outlineLevel="0" collapsed="false"/>
    <row r="62516" customFormat="false" ht="12.75" hidden="false" customHeight="true" outlineLevel="0" collapsed="false"/>
    <row r="62517" customFormat="false" ht="12.75" hidden="false" customHeight="true" outlineLevel="0" collapsed="false"/>
    <row r="62518" customFormat="false" ht="12.75" hidden="false" customHeight="true" outlineLevel="0" collapsed="false"/>
    <row r="62519" customFormat="false" ht="12.75" hidden="false" customHeight="true" outlineLevel="0" collapsed="false"/>
    <row r="62520" customFormat="false" ht="12.75" hidden="false" customHeight="true" outlineLevel="0" collapsed="false"/>
    <row r="62521" customFormat="false" ht="12.75" hidden="false" customHeight="true" outlineLevel="0" collapsed="false"/>
    <row r="62522" customFormat="false" ht="12.75" hidden="false" customHeight="true" outlineLevel="0" collapsed="false"/>
    <row r="62523" customFormat="false" ht="12.75" hidden="false" customHeight="true" outlineLevel="0" collapsed="false"/>
    <row r="62524" customFormat="false" ht="12.75" hidden="false" customHeight="true" outlineLevel="0" collapsed="false"/>
    <row r="62525" customFormat="false" ht="12.75" hidden="false" customHeight="true" outlineLevel="0" collapsed="false"/>
    <row r="62526" customFormat="false" ht="12.75" hidden="false" customHeight="true" outlineLevel="0" collapsed="false"/>
    <row r="62527" customFormat="false" ht="12.75" hidden="false" customHeight="true" outlineLevel="0" collapsed="false"/>
    <row r="62528" customFormat="false" ht="12.75" hidden="false" customHeight="true" outlineLevel="0" collapsed="false"/>
    <row r="62529" customFormat="false" ht="12.75" hidden="false" customHeight="true" outlineLevel="0" collapsed="false"/>
    <row r="62530" customFormat="false" ht="12.75" hidden="false" customHeight="true" outlineLevel="0" collapsed="false"/>
    <row r="62531" customFormat="false" ht="12.75" hidden="false" customHeight="true" outlineLevel="0" collapsed="false"/>
    <row r="62532" customFormat="false" ht="12.75" hidden="false" customHeight="true" outlineLevel="0" collapsed="false"/>
    <row r="62533" customFormat="false" ht="12.75" hidden="false" customHeight="true" outlineLevel="0" collapsed="false"/>
    <row r="62534" customFormat="false" ht="12.75" hidden="false" customHeight="true" outlineLevel="0" collapsed="false"/>
    <row r="62535" customFormat="false" ht="12.75" hidden="false" customHeight="true" outlineLevel="0" collapsed="false"/>
    <row r="62536" customFormat="false" ht="12.75" hidden="false" customHeight="true" outlineLevel="0" collapsed="false"/>
    <row r="62537" customFormat="false" ht="12.75" hidden="false" customHeight="true" outlineLevel="0" collapsed="false"/>
    <row r="62538" customFormat="false" ht="12.75" hidden="false" customHeight="true" outlineLevel="0" collapsed="false"/>
    <row r="62539" customFormat="false" ht="12.75" hidden="false" customHeight="true" outlineLevel="0" collapsed="false"/>
    <row r="62540" customFormat="false" ht="12.75" hidden="false" customHeight="true" outlineLevel="0" collapsed="false"/>
    <row r="62541" customFormat="false" ht="12.75" hidden="false" customHeight="true" outlineLevel="0" collapsed="false"/>
    <row r="62542" customFormat="false" ht="12.75" hidden="false" customHeight="true" outlineLevel="0" collapsed="false"/>
    <row r="62543" customFormat="false" ht="12.75" hidden="false" customHeight="true" outlineLevel="0" collapsed="false"/>
    <row r="62544" customFormat="false" ht="12.75" hidden="false" customHeight="true" outlineLevel="0" collapsed="false"/>
    <row r="62545" customFormat="false" ht="12.75" hidden="false" customHeight="true" outlineLevel="0" collapsed="false"/>
    <row r="62546" customFormat="false" ht="12.75" hidden="false" customHeight="true" outlineLevel="0" collapsed="false"/>
    <row r="62547" customFormat="false" ht="12.75" hidden="false" customHeight="true" outlineLevel="0" collapsed="false"/>
    <row r="62548" customFormat="false" ht="12.75" hidden="false" customHeight="true" outlineLevel="0" collapsed="false"/>
    <row r="62549" customFormat="false" ht="12.75" hidden="false" customHeight="true" outlineLevel="0" collapsed="false"/>
    <row r="62550" customFormat="false" ht="12.75" hidden="false" customHeight="true" outlineLevel="0" collapsed="false"/>
    <row r="62551" customFormat="false" ht="12.75" hidden="false" customHeight="true" outlineLevel="0" collapsed="false"/>
    <row r="62552" customFormat="false" ht="12.75" hidden="false" customHeight="true" outlineLevel="0" collapsed="false"/>
    <row r="62553" customFormat="false" ht="12.75" hidden="false" customHeight="true" outlineLevel="0" collapsed="false"/>
    <row r="62554" customFormat="false" ht="12.75" hidden="false" customHeight="true" outlineLevel="0" collapsed="false"/>
    <row r="62555" customFormat="false" ht="12.75" hidden="false" customHeight="true" outlineLevel="0" collapsed="false"/>
    <row r="62556" customFormat="false" ht="12.75" hidden="false" customHeight="true" outlineLevel="0" collapsed="false"/>
    <row r="62557" customFormat="false" ht="12.75" hidden="false" customHeight="true" outlineLevel="0" collapsed="false"/>
    <row r="62558" customFormat="false" ht="12.75" hidden="false" customHeight="true" outlineLevel="0" collapsed="false"/>
    <row r="62559" customFormat="false" ht="12.75" hidden="false" customHeight="true" outlineLevel="0" collapsed="false"/>
    <row r="62560" customFormat="false" ht="12.75" hidden="false" customHeight="true" outlineLevel="0" collapsed="false"/>
    <row r="62561" customFormat="false" ht="12.75" hidden="false" customHeight="true" outlineLevel="0" collapsed="false"/>
    <row r="62562" customFormat="false" ht="12.75" hidden="false" customHeight="true" outlineLevel="0" collapsed="false"/>
    <row r="62563" customFormat="false" ht="12.75" hidden="false" customHeight="true" outlineLevel="0" collapsed="false"/>
    <row r="62564" customFormat="false" ht="12.75" hidden="false" customHeight="true" outlineLevel="0" collapsed="false"/>
    <row r="62565" customFormat="false" ht="12.75" hidden="false" customHeight="true" outlineLevel="0" collapsed="false"/>
    <row r="62566" customFormat="false" ht="12.75" hidden="false" customHeight="true" outlineLevel="0" collapsed="false"/>
    <row r="62567" customFormat="false" ht="12.75" hidden="false" customHeight="true" outlineLevel="0" collapsed="false"/>
    <row r="62568" customFormat="false" ht="12.75" hidden="false" customHeight="true" outlineLevel="0" collapsed="false"/>
    <row r="62569" customFormat="false" ht="12.75" hidden="false" customHeight="true" outlineLevel="0" collapsed="false"/>
    <row r="62570" customFormat="false" ht="12.75" hidden="false" customHeight="true" outlineLevel="0" collapsed="false"/>
    <row r="62571" customFormat="false" ht="12.75" hidden="false" customHeight="true" outlineLevel="0" collapsed="false"/>
    <row r="62572" customFormat="false" ht="12.75" hidden="false" customHeight="true" outlineLevel="0" collapsed="false"/>
    <row r="62573" customFormat="false" ht="12.75" hidden="false" customHeight="true" outlineLevel="0" collapsed="false"/>
    <row r="62574" customFormat="false" ht="12.75" hidden="false" customHeight="true" outlineLevel="0" collapsed="false"/>
    <row r="62575" customFormat="false" ht="12.75" hidden="false" customHeight="true" outlineLevel="0" collapsed="false"/>
    <row r="62576" customFormat="false" ht="12.75" hidden="false" customHeight="true" outlineLevel="0" collapsed="false"/>
    <row r="62577" customFormat="false" ht="12.75" hidden="false" customHeight="true" outlineLevel="0" collapsed="false"/>
    <row r="62578" customFormat="false" ht="12.75" hidden="false" customHeight="true" outlineLevel="0" collapsed="false"/>
    <row r="62579" customFormat="false" ht="12.75" hidden="false" customHeight="true" outlineLevel="0" collapsed="false"/>
    <row r="62580" customFormat="false" ht="12.75" hidden="false" customHeight="true" outlineLevel="0" collapsed="false"/>
    <row r="62581" customFormat="false" ht="12.75" hidden="false" customHeight="true" outlineLevel="0" collapsed="false"/>
    <row r="62582" customFormat="false" ht="12.75" hidden="false" customHeight="true" outlineLevel="0" collapsed="false"/>
    <row r="62583" customFormat="false" ht="12.75" hidden="false" customHeight="true" outlineLevel="0" collapsed="false"/>
    <row r="62584" customFormat="false" ht="12.75" hidden="false" customHeight="true" outlineLevel="0" collapsed="false"/>
    <row r="62585" customFormat="false" ht="12.75" hidden="false" customHeight="true" outlineLevel="0" collapsed="false"/>
    <row r="62586" customFormat="false" ht="12.75" hidden="false" customHeight="true" outlineLevel="0" collapsed="false"/>
    <row r="62587" customFormat="false" ht="12.75" hidden="false" customHeight="true" outlineLevel="0" collapsed="false"/>
    <row r="62588" customFormat="false" ht="12.75" hidden="false" customHeight="true" outlineLevel="0" collapsed="false"/>
    <row r="62589" customFormat="false" ht="12.75" hidden="false" customHeight="true" outlineLevel="0" collapsed="false"/>
    <row r="62590" customFormat="false" ht="12.75" hidden="false" customHeight="true" outlineLevel="0" collapsed="false"/>
    <row r="62591" customFormat="false" ht="12.75" hidden="false" customHeight="true" outlineLevel="0" collapsed="false"/>
    <row r="62592" customFormat="false" ht="12.75" hidden="false" customHeight="true" outlineLevel="0" collapsed="false"/>
    <row r="62593" customFormat="false" ht="12.75" hidden="false" customHeight="true" outlineLevel="0" collapsed="false"/>
    <row r="62594" customFormat="false" ht="12.75" hidden="false" customHeight="true" outlineLevel="0" collapsed="false"/>
    <row r="62595" customFormat="false" ht="12.75" hidden="false" customHeight="true" outlineLevel="0" collapsed="false"/>
    <row r="62596" customFormat="false" ht="12.75" hidden="false" customHeight="true" outlineLevel="0" collapsed="false"/>
    <row r="62597" customFormat="false" ht="12.75" hidden="false" customHeight="true" outlineLevel="0" collapsed="false"/>
    <row r="62598" customFormat="false" ht="12.75" hidden="false" customHeight="true" outlineLevel="0" collapsed="false"/>
    <row r="62599" customFormat="false" ht="12.75" hidden="false" customHeight="true" outlineLevel="0" collapsed="false"/>
    <row r="62600" customFormat="false" ht="12.75" hidden="false" customHeight="true" outlineLevel="0" collapsed="false"/>
    <row r="62601" customFormat="false" ht="12.75" hidden="false" customHeight="true" outlineLevel="0" collapsed="false"/>
    <row r="62602" customFormat="false" ht="12.75" hidden="false" customHeight="true" outlineLevel="0" collapsed="false"/>
    <row r="62603" customFormat="false" ht="12.75" hidden="false" customHeight="true" outlineLevel="0" collapsed="false"/>
    <row r="62604" customFormat="false" ht="12.75" hidden="false" customHeight="true" outlineLevel="0" collapsed="false"/>
    <row r="62605" customFormat="false" ht="12.75" hidden="false" customHeight="true" outlineLevel="0" collapsed="false"/>
    <row r="62606" customFormat="false" ht="12.75" hidden="false" customHeight="true" outlineLevel="0" collapsed="false"/>
    <row r="62607" customFormat="false" ht="12.75" hidden="false" customHeight="true" outlineLevel="0" collapsed="false"/>
    <row r="62608" customFormat="false" ht="12.75" hidden="false" customHeight="true" outlineLevel="0" collapsed="false"/>
    <row r="62609" customFormat="false" ht="12.75" hidden="false" customHeight="true" outlineLevel="0" collapsed="false"/>
    <row r="62610" customFormat="false" ht="12.75" hidden="false" customHeight="true" outlineLevel="0" collapsed="false"/>
    <row r="62611" customFormat="false" ht="12.75" hidden="false" customHeight="true" outlineLevel="0" collapsed="false"/>
    <row r="62612" customFormat="false" ht="12.75" hidden="false" customHeight="true" outlineLevel="0" collapsed="false"/>
    <row r="62613" customFormat="false" ht="12.75" hidden="false" customHeight="true" outlineLevel="0" collapsed="false"/>
    <row r="62614" customFormat="false" ht="12.75" hidden="false" customHeight="true" outlineLevel="0" collapsed="false"/>
    <row r="62615" customFormat="false" ht="12.75" hidden="false" customHeight="true" outlineLevel="0" collapsed="false"/>
    <row r="62616" customFormat="false" ht="12.75" hidden="false" customHeight="true" outlineLevel="0" collapsed="false"/>
    <row r="62617" customFormat="false" ht="12.75" hidden="false" customHeight="true" outlineLevel="0" collapsed="false"/>
    <row r="62618" customFormat="false" ht="12.75" hidden="false" customHeight="true" outlineLevel="0" collapsed="false"/>
    <row r="62619" customFormat="false" ht="12.75" hidden="false" customHeight="true" outlineLevel="0" collapsed="false"/>
    <row r="62620" customFormat="false" ht="12.75" hidden="false" customHeight="true" outlineLevel="0" collapsed="false"/>
    <row r="62621" customFormat="false" ht="12.75" hidden="false" customHeight="true" outlineLevel="0" collapsed="false"/>
    <row r="62622" customFormat="false" ht="12.75" hidden="false" customHeight="true" outlineLevel="0" collapsed="false"/>
    <row r="62623" customFormat="false" ht="12.75" hidden="false" customHeight="true" outlineLevel="0" collapsed="false"/>
    <row r="62624" customFormat="false" ht="12.75" hidden="false" customHeight="true" outlineLevel="0" collapsed="false"/>
    <row r="62625" customFormat="false" ht="12.75" hidden="false" customHeight="true" outlineLevel="0" collapsed="false"/>
    <row r="62626" customFormat="false" ht="12.75" hidden="false" customHeight="true" outlineLevel="0" collapsed="false"/>
    <row r="62627" customFormat="false" ht="12.75" hidden="false" customHeight="true" outlineLevel="0" collapsed="false"/>
    <row r="62628" customFormat="false" ht="12.75" hidden="false" customHeight="true" outlineLevel="0" collapsed="false"/>
    <row r="62629" customFormat="false" ht="12.75" hidden="false" customHeight="true" outlineLevel="0" collapsed="false"/>
    <row r="62630" customFormat="false" ht="12.75" hidden="false" customHeight="true" outlineLevel="0" collapsed="false"/>
    <row r="62631" customFormat="false" ht="12.75" hidden="false" customHeight="true" outlineLevel="0" collapsed="false"/>
    <row r="62632" customFormat="false" ht="12.75" hidden="false" customHeight="true" outlineLevel="0" collapsed="false"/>
    <row r="62633" customFormat="false" ht="12.75" hidden="false" customHeight="true" outlineLevel="0" collapsed="false"/>
    <row r="62634" customFormat="false" ht="12.75" hidden="false" customHeight="true" outlineLevel="0" collapsed="false"/>
    <row r="62635" customFormat="false" ht="12.75" hidden="false" customHeight="true" outlineLevel="0" collapsed="false"/>
    <row r="62636" customFormat="false" ht="12.75" hidden="false" customHeight="true" outlineLevel="0" collapsed="false"/>
    <row r="62637" customFormat="false" ht="12.75" hidden="false" customHeight="true" outlineLevel="0" collapsed="false"/>
    <row r="62638" customFormat="false" ht="12.75" hidden="false" customHeight="true" outlineLevel="0" collapsed="false"/>
    <row r="62639" customFormat="false" ht="12.75" hidden="false" customHeight="true" outlineLevel="0" collapsed="false"/>
    <row r="62640" customFormat="false" ht="12.75" hidden="false" customHeight="true" outlineLevel="0" collapsed="false"/>
    <row r="62641" customFormat="false" ht="12.75" hidden="false" customHeight="true" outlineLevel="0" collapsed="false"/>
    <row r="62642" customFormat="false" ht="12.75" hidden="false" customHeight="true" outlineLevel="0" collapsed="false"/>
    <row r="62643" customFormat="false" ht="12.75" hidden="false" customHeight="true" outlineLevel="0" collapsed="false"/>
    <row r="62644" customFormat="false" ht="12.75" hidden="false" customHeight="true" outlineLevel="0" collapsed="false"/>
    <row r="62645" customFormat="false" ht="12.75" hidden="false" customHeight="true" outlineLevel="0" collapsed="false"/>
    <row r="62646" customFormat="false" ht="12.75" hidden="false" customHeight="true" outlineLevel="0" collapsed="false"/>
    <row r="62647" customFormat="false" ht="12.75" hidden="false" customHeight="true" outlineLevel="0" collapsed="false"/>
    <row r="62648" customFormat="false" ht="12.75" hidden="false" customHeight="true" outlineLevel="0" collapsed="false"/>
    <row r="62649" customFormat="false" ht="12.75" hidden="false" customHeight="true" outlineLevel="0" collapsed="false"/>
    <row r="62650" customFormat="false" ht="12.75" hidden="false" customHeight="true" outlineLevel="0" collapsed="false"/>
    <row r="62651" customFormat="false" ht="12.75" hidden="false" customHeight="true" outlineLevel="0" collapsed="false"/>
    <row r="62652" customFormat="false" ht="12.75" hidden="false" customHeight="true" outlineLevel="0" collapsed="false"/>
    <row r="62653" customFormat="false" ht="12.75" hidden="false" customHeight="true" outlineLevel="0" collapsed="false"/>
    <row r="62654" customFormat="false" ht="12.75" hidden="false" customHeight="true" outlineLevel="0" collapsed="false"/>
    <row r="62655" customFormat="false" ht="12.75" hidden="false" customHeight="true" outlineLevel="0" collapsed="false"/>
    <row r="62656" customFormat="false" ht="12.75" hidden="false" customHeight="true" outlineLevel="0" collapsed="false"/>
    <row r="62657" customFormat="false" ht="12.75" hidden="false" customHeight="true" outlineLevel="0" collapsed="false"/>
    <row r="62658" customFormat="false" ht="12.75" hidden="false" customHeight="true" outlineLevel="0" collapsed="false"/>
    <row r="62659" customFormat="false" ht="12.75" hidden="false" customHeight="true" outlineLevel="0" collapsed="false"/>
    <row r="62660" customFormat="false" ht="12.75" hidden="false" customHeight="true" outlineLevel="0" collapsed="false"/>
    <row r="62661" customFormat="false" ht="12.75" hidden="false" customHeight="true" outlineLevel="0" collapsed="false"/>
    <row r="62662" customFormat="false" ht="12.75" hidden="false" customHeight="true" outlineLevel="0" collapsed="false"/>
    <row r="62663" customFormat="false" ht="12.75" hidden="false" customHeight="true" outlineLevel="0" collapsed="false"/>
    <row r="62664" customFormat="false" ht="12.75" hidden="false" customHeight="true" outlineLevel="0" collapsed="false"/>
    <row r="62665" customFormat="false" ht="12.75" hidden="false" customHeight="true" outlineLevel="0" collapsed="false"/>
    <row r="62666" customFormat="false" ht="12.75" hidden="false" customHeight="true" outlineLevel="0" collapsed="false"/>
    <row r="62667" customFormat="false" ht="12.75" hidden="false" customHeight="true" outlineLevel="0" collapsed="false"/>
    <row r="62668" customFormat="false" ht="12.75" hidden="false" customHeight="true" outlineLevel="0" collapsed="false"/>
    <row r="62669" customFormat="false" ht="12.75" hidden="false" customHeight="true" outlineLevel="0" collapsed="false"/>
    <row r="62670" customFormat="false" ht="12.75" hidden="false" customHeight="true" outlineLevel="0" collapsed="false"/>
    <row r="62671" customFormat="false" ht="12.75" hidden="false" customHeight="true" outlineLevel="0" collapsed="false"/>
    <row r="62672" customFormat="false" ht="12.75" hidden="false" customHeight="true" outlineLevel="0" collapsed="false"/>
    <row r="62673" customFormat="false" ht="12.75" hidden="false" customHeight="true" outlineLevel="0" collapsed="false"/>
    <row r="62674" customFormat="false" ht="12.75" hidden="false" customHeight="true" outlineLevel="0" collapsed="false"/>
    <row r="62675" customFormat="false" ht="12.75" hidden="false" customHeight="true" outlineLevel="0" collapsed="false"/>
    <row r="62676" customFormat="false" ht="12.75" hidden="false" customHeight="true" outlineLevel="0" collapsed="false"/>
    <row r="62677" customFormat="false" ht="12.75" hidden="false" customHeight="true" outlineLevel="0" collapsed="false"/>
    <row r="62678" customFormat="false" ht="12.75" hidden="false" customHeight="true" outlineLevel="0" collapsed="false"/>
    <row r="62679" customFormat="false" ht="12.75" hidden="false" customHeight="true" outlineLevel="0" collapsed="false"/>
    <row r="62680" customFormat="false" ht="12.75" hidden="false" customHeight="true" outlineLevel="0" collapsed="false"/>
    <row r="62681" customFormat="false" ht="12.75" hidden="false" customHeight="true" outlineLevel="0" collapsed="false"/>
    <row r="62682" customFormat="false" ht="12.75" hidden="false" customHeight="true" outlineLevel="0" collapsed="false"/>
    <row r="62683" customFormat="false" ht="12.75" hidden="false" customHeight="true" outlineLevel="0" collapsed="false"/>
    <row r="62684" customFormat="false" ht="12.75" hidden="false" customHeight="true" outlineLevel="0" collapsed="false"/>
    <row r="62685" customFormat="false" ht="12.75" hidden="false" customHeight="true" outlineLevel="0" collapsed="false"/>
    <row r="62686" customFormat="false" ht="12.75" hidden="false" customHeight="true" outlineLevel="0" collapsed="false"/>
    <row r="62687" customFormat="false" ht="12.75" hidden="false" customHeight="true" outlineLevel="0" collapsed="false"/>
    <row r="62688" customFormat="false" ht="12.75" hidden="false" customHeight="true" outlineLevel="0" collapsed="false"/>
    <row r="62689" customFormat="false" ht="12.75" hidden="false" customHeight="true" outlineLevel="0" collapsed="false"/>
    <row r="62690" customFormat="false" ht="12.75" hidden="false" customHeight="true" outlineLevel="0" collapsed="false"/>
    <row r="62691" customFormat="false" ht="12.75" hidden="false" customHeight="true" outlineLevel="0" collapsed="false"/>
    <row r="62692" customFormat="false" ht="12.75" hidden="false" customHeight="true" outlineLevel="0" collapsed="false"/>
    <row r="62693" customFormat="false" ht="12.75" hidden="false" customHeight="true" outlineLevel="0" collapsed="false"/>
    <row r="62694" customFormat="false" ht="12.75" hidden="false" customHeight="true" outlineLevel="0" collapsed="false"/>
    <row r="62695" customFormat="false" ht="12.75" hidden="false" customHeight="true" outlineLevel="0" collapsed="false"/>
    <row r="62696" customFormat="false" ht="12.75" hidden="false" customHeight="true" outlineLevel="0" collapsed="false"/>
    <row r="62697" customFormat="false" ht="12.75" hidden="false" customHeight="true" outlineLevel="0" collapsed="false"/>
    <row r="62698" customFormat="false" ht="12.75" hidden="false" customHeight="true" outlineLevel="0" collapsed="false"/>
    <row r="62699" customFormat="false" ht="12.75" hidden="false" customHeight="true" outlineLevel="0" collapsed="false"/>
    <row r="62700" customFormat="false" ht="12.75" hidden="false" customHeight="true" outlineLevel="0" collapsed="false"/>
    <row r="62701" customFormat="false" ht="12.75" hidden="false" customHeight="true" outlineLevel="0" collapsed="false"/>
    <row r="62702" customFormat="false" ht="12.75" hidden="false" customHeight="true" outlineLevel="0" collapsed="false"/>
    <row r="62703" customFormat="false" ht="12.75" hidden="false" customHeight="true" outlineLevel="0" collapsed="false"/>
    <row r="62704" customFormat="false" ht="12.75" hidden="false" customHeight="true" outlineLevel="0" collapsed="false"/>
    <row r="62705" customFormat="false" ht="12.75" hidden="false" customHeight="true" outlineLevel="0" collapsed="false"/>
    <row r="62706" customFormat="false" ht="12.75" hidden="false" customHeight="true" outlineLevel="0" collapsed="false"/>
    <row r="62707" customFormat="false" ht="12.75" hidden="false" customHeight="true" outlineLevel="0" collapsed="false"/>
    <row r="62708" customFormat="false" ht="12.75" hidden="false" customHeight="true" outlineLevel="0" collapsed="false"/>
    <row r="62709" customFormat="false" ht="12.75" hidden="false" customHeight="true" outlineLevel="0" collapsed="false"/>
    <row r="62710" customFormat="false" ht="12.75" hidden="false" customHeight="true" outlineLevel="0" collapsed="false"/>
    <row r="62711" customFormat="false" ht="12.75" hidden="false" customHeight="true" outlineLevel="0" collapsed="false"/>
    <row r="62712" customFormat="false" ht="12.75" hidden="false" customHeight="true" outlineLevel="0" collapsed="false"/>
    <row r="62713" customFormat="false" ht="12.75" hidden="false" customHeight="true" outlineLevel="0" collapsed="false"/>
    <row r="62714" customFormat="false" ht="12.75" hidden="false" customHeight="true" outlineLevel="0" collapsed="false"/>
    <row r="62715" customFormat="false" ht="12.75" hidden="false" customHeight="true" outlineLevel="0" collapsed="false"/>
    <row r="62716" customFormat="false" ht="12.75" hidden="false" customHeight="true" outlineLevel="0" collapsed="false"/>
    <row r="62717" customFormat="false" ht="12.75" hidden="false" customHeight="true" outlineLevel="0" collapsed="false"/>
    <row r="62718" customFormat="false" ht="12.75" hidden="false" customHeight="true" outlineLevel="0" collapsed="false"/>
    <row r="62719" customFormat="false" ht="12.75" hidden="false" customHeight="true" outlineLevel="0" collapsed="false"/>
    <row r="62720" customFormat="false" ht="12.75" hidden="false" customHeight="true" outlineLevel="0" collapsed="false"/>
    <row r="62721" customFormat="false" ht="12.75" hidden="false" customHeight="true" outlineLevel="0" collapsed="false"/>
    <row r="62722" customFormat="false" ht="12.75" hidden="false" customHeight="true" outlineLevel="0" collapsed="false"/>
    <row r="62723" customFormat="false" ht="12.75" hidden="false" customHeight="true" outlineLevel="0" collapsed="false"/>
    <row r="62724" customFormat="false" ht="12.75" hidden="false" customHeight="true" outlineLevel="0" collapsed="false"/>
    <row r="62725" customFormat="false" ht="12.75" hidden="false" customHeight="true" outlineLevel="0" collapsed="false"/>
    <row r="62726" customFormat="false" ht="12.75" hidden="false" customHeight="true" outlineLevel="0" collapsed="false"/>
    <row r="62727" customFormat="false" ht="12.75" hidden="false" customHeight="true" outlineLevel="0" collapsed="false"/>
    <row r="62728" customFormat="false" ht="12.75" hidden="false" customHeight="true" outlineLevel="0" collapsed="false"/>
    <row r="62729" customFormat="false" ht="12.75" hidden="false" customHeight="true" outlineLevel="0" collapsed="false"/>
    <row r="62730" customFormat="false" ht="12.75" hidden="false" customHeight="true" outlineLevel="0" collapsed="false"/>
    <row r="62731" customFormat="false" ht="12.75" hidden="false" customHeight="true" outlineLevel="0" collapsed="false"/>
    <row r="62732" customFormat="false" ht="12.75" hidden="false" customHeight="true" outlineLevel="0" collapsed="false"/>
    <row r="62733" customFormat="false" ht="12.75" hidden="false" customHeight="true" outlineLevel="0" collapsed="false"/>
    <row r="62734" customFormat="false" ht="12.75" hidden="false" customHeight="true" outlineLevel="0" collapsed="false"/>
    <row r="62735" customFormat="false" ht="12.75" hidden="false" customHeight="true" outlineLevel="0" collapsed="false"/>
    <row r="62736" customFormat="false" ht="12.75" hidden="false" customHeight="true" outlineLevel="0" collapsed="false"/>
    <row r="62737" customFormat="false" ht="12.75" hidden="false" customHeight="true" outlineLevel="0" collapsed="false"/>
    <row r="62738" customFormat="false" ht="12.75" hidden="false" customHeight="true" outlineLevel="0" collapsed="false"/>
    <row r="62739" customFormat="false" ht="12.75" hidden="false" customHeight="true" outlineLevel="0" collapsed="false"/>
    <row r="62740" customFormat="false" ht="12.75" hidden="false" customHeight="true" outlineLevel="0" collapsed="false"/>
    <row r="62741" customFormat="false" ht="12.75" hidden="false" customHeight="true" outlineLevel="0" collapsed="false"/>
    <row r="62742" customFormat="false" ht="12.75" hidden="false" customHeight="true" outlineLevel="0" collapsed="false"/>
    <row r="62743" customFormat="false" ht="12.75" hidden="false" customHeight="true" outlineLevel="0" collapsed="false"/>
    <row r="62744" customFormat="false" ht="12.75" hidden="false" customHeight="true" outlineLevel="0" collapsed="false"/>
    <row r="62745" customFormat="false" ht="12.75" hidden="false" customHeight="true" outlineLevel="0" collapsed="false"/>
    <row r="62746" customFormat="false" ht="12.75" hidden="false" customHeight="true" outlineLevel="0" collapsed="false"/>
    <row r="62747" customFormat="false" ht="12.75" hidden="false" customHeight="true" outlineLevel="0" collapsed="false"/>
    <row r="62748" customFormat="false" ht="12.75" hidden="false" customHeight="true" outlineLevel="0" collapsed="false"/>
    <row r="62749" customFormat="false" ht="12.75" hidden="false" customHeight="true" outlineLevel="0" collapsed="false"/>
    <row r="62750" customFormat="false" ht="12.75" hidden="false" customHeight="true" outlineLevel="0" collapsed="false"/>
    <row r="62751" customFormat="false" ht="12.75" hidden="false" customHeight="true" outlineLevel="0" collapsed="false"/>
    <row r="62752" customFormat="false" ht="12.75" hidden="false" customHeight="true" outlineLevel="0" collapsed="false"/>
    <row r="62753" customFormat="false" ht="12.75" hidden="false" customHeight="true" outlineLevel="0" collapsed="false"/>
    <row r="62754" customFormat="false" ht="12.75" hidden="false" customHeight="true" outlineLevel="0" collapsed="false"/>
    <row r="62755" customFormat="false" ht="12.75" hidden="false" customHeight="true" outlineLevel="0" collapsed="false"/>
    <row r="62756" customFormat="false" ht="12.75" hidden="false" customHeight="true" outlineLevel="0" collapsed="false"/>
    <row r="62757" customFormat="false" ht="12.75" hidden="false" customHeight="true" outlineLevel="0" collapsed="false"/>
    <row r="62758" customFormat="false" ht="12.75" hidden="false" customHeight="true" outlineLevel="0" collapsed="false"/>
    <row r="62759" customFormat="false" ht="12.75" hidden="false" customHeight="true" outlineLevel="0" collapsed="false"/>
    <row r="62760" customFormat="false" ht="12.75" hidden="false" customHeight="true" outlineLevel="0" collapsed="false"/>
    <row r="62761" customFormat="false" ht="12.75" hidden="false" customHeight="true" outlineLevel="0" collapsed="false"/>
    <row r="62762" customFormat="false" ht="12.75" hidden="false" customHeight="true" outlineLevel="0" collapsed="false"/>
    <row r="62763" customFormat="false" ht="12.75" hidden="false" customHeight="true" outlineLevel="0" collapsed="false"/>
    <row r="62764" customFormat="false" ht="12.75" hidden="false" customHeight="true" outlineLevel="0" collapsed="false"/>
    <row r="62765" customFormat="false" ht="12.75" hidden="false" customHeight="true" outlineLevel="0" collapsed="false"/>
    <row r="62766" customFormat="false" ht="12.75" hidden="false" customHeight="true" outlineLevel="0" collapsed="false"/>
    <row r="62767" customFormat="false" ht="12.75" hidden="false" customHeight="true" outlineLevel="0" collapsed="false"/>
    <row r="62768" customFormat="false" ht="12.75" hidden="false" customHeight="true" outlineLevel="0" collapsed="false"/>
    <row r="62769" customFormat="false" ht="12.75" hidden="false" customHeight="true" outlineLevel="0" collapsed="false"/>
    <row r="62770" customFormat="false" ht="12.75" hidden="false" customHeight="true" outlineLevel="0" collapsed="false"/>
    <row r="62771" customFormat="false" ht="12.75" hidden="false" customHeight="true" outlineLevel="0" collapsed="false"/>
    <row r="62772" customFormat="false" ht="12.75" hidden="false" customHeight="true" outlineLevel="0" collapsed="false"/>
    <row r="62773" customFormat="false" ht="12.75" hidden="false" customHeight="true" outlineLevel="0" collapsed="false"/>
    <row r="62774" customFormat="false" ht="12.75" hidden="false" customHeight="true" outlineLevel="0" collapsed="false"/>
    <row r="62775" customFormat="false" ht="12.75" hidden="false" customHeight="true" outlineLevel="0" collapsed="false"/>
    <row r="62776" customFormat="false" ht="12.75" hidden="false" customHeight="true" outlineLevel="0" collapsed="false"/>
    <row r="62777" customFormat="false" ht="12.75" hidden="false" customHeight="true" outlineLevel="0" collapsed="false"/>
    <row r="62778" customFormat="false" ht="12.75" hidden="false" customHeight="true" outlineLevel="0" collapsed="false"/>
    <row r="62779" customFormat="false" ht="12.75" hidden="false" customHeight="true" outlineLevel="0" collapsed="false"/>
    <row r="62780" customFormat="false" ht="12.75" hidden="false" customHeight="true" outlineLevel="0" collapsed="false"/>
    <row r="62781" customFormat="false" ht="12.75" hidden="false" customHeight="true" outlineLevel="0" collapsed="false"/>
    <row r="62782" customFormat="false" ht="12.75" hidden="false" customHeight="true" outlineLevel="0" collapsed="false"/>
    <row r="62783" customFormat="false" ht="12.75" hidden="false" customHeight="true" outlineLevel="0" collapsed="false"/>
    <row r="62784" customFormat="false" ht="12.75" hidden="false" customHeight="true" outlineLevel="0" collapsed="false"/>
    <row r="62785" customFormat="false" ht="12.75" hidden="false" customHeight="true" outlineLevel="0" collapsed="false"/>
    <row r="62786" customFormat="false" ht="12.75" hidden="false" customHeight="true" outlineLevel="0" collapsed="false"/>
    <row r="62787" customFormat="false" ht="12.75" hidden="false" customHeight="true" outlineLevel="0" collapsed="false"/>
    <row r="62788" customFormat="false" ht="12.75" hidden="false" customHeight="true" outlineLevel="0" collapsed="false"/>
    <row r="62789" customFormat="false" ht="12.75" hidden="false" customHeight="true" outlineLevel="0" collapsed="false"/>
    <row r="62790" customFormat="false" ht="12.75" hidden="false" customHeight="true" outlineLevel="0" collapsed="false"/>
    <row r="62791" customFormat="false" ht="12.75" hidden="false" customHeight="true" outlineLevel="0" collapsed="false"/>
    <row r="62792" customFormat="false" ht="12.75" hidden="false" customHeight="true" outlineLevel="0" collapsed="false"/>
    <row r="62793" customFormat="false" ht="12.75" hidden="false" customHeight="true" outlineLevel="0" collapsed="false"/>
    <row r="62794" customFormat="false" ht="12.75" hidden="false" customHeight="true" outlineLevel="0" collapsed="false"/>
    <row r="62795" customFormat="false" ht="12.75" hidden="false" customHeight="true" outlineLevel="0" collapsed="false"/>
    <row r="62796" customFormat="false" ht="12.75" hidden="false" customHeight="true" outlineLevel="0" collapsed="false"/>
    <row r="62797" customFormat="false" ht="12.75" hidden="false" customHeight="true" outlineLevel="0" collapsed="false"/>
    <row r="62798" customFormat="false" ht="12.75" hidden="false" customHeight="true" outlineLevel="0" collapsed="false"/>
    <row r="62799" customFormat="false" ht="12.75" hidden="false" customHeight="true" outlineLevel="0" collapsed="false"/>
    <row r="62800" customFormat="false" ht="12.75" hidden="false" customHeight="true" outlineLevel="0" collapsed="false"/>
    <row r="62801" customFormat="false" ht="12.75" hidden="false" customHeight="true" outlineLevel="0" collapsed="false"/>
    <row r="62802" customFormat="false" ht="12.75" hidden="false" customHeight="true" outlineLevel="0" collapsed="false"/>
    <row r="62803" customFormat="false" ht="12.75" hidden="false" customHeight="true" outlineLevel="0" collapsed="false"/>
    <row r="62804" customFormat="false" ht="12.75" hidden="false" customHeight="true" outlineLevel="0" collapsed="false"/>
    <row r="62805" customFormat="false" ht="12.75" hidden="false" customHeight="true" outlineLevel="0" collapsed="false"/>
    <row r="62806" customFormat="false" ht="12.75" hidden="false" customHeight="true" outlineLevel="0" collapsed="false"/>
    <row r="62807" customFormat="false" ht="12.75" hidden="false" customHeight="true" outlineLevel="0" collapsed="false"/>
    <row r="62808" customFormat="false" ht="12.75" hidden="false" customHeight="true" outlineLevel="0" collapsed="false"/>
    <row r="62809" customFormat="false" ht="12.75" hidden="false" customHeight="true" outlineLevel="0" collapsed="false"/>
    <row r="62810" customFormat="false" ht="12.75" hidden="false" customHeight="true" outlineLevel="0" collapsed="false"/>
    <row r="62811" customFormat="false" ht="12.75" hidden="false" customHeight="true" outlineLevel="0" collapsed="false"/>
    <row r="62812" customFormat="false" ht="12.75" hidden="false" customHeight="true" outlineLevel="0" collapsed="false"/>
    <row r="62813" customFormat="false" ht="12.75" hidden="false" customHeight="true" outlineLevel="0" collapsed="false"/>
    <row r="62814" customFormat="false" ht="12.75" hidden="false" customHeight="true" outlineLevel="0" collapsed="false"/>
    <row r="62815" customFormat="false" ht="12.75" hidden="false" customHeight="true" outlineLevel="0" collapsed="false"/>
    <row r="62816" customFormat="false" ht="12.75" hidden="false" customHeight="true" outlineLevel="0" collapsed="false"/>
    <row r="62817" customFormat="false" ht="12.75" hidden="false" customHeight="true" outlineLevel="0" collapsed="false"/>
    <row r="62818" customFormat="false" ht="12.75" hidden="false" customHeight="true" outlineLevel="0" collapsed="false"/>
    <row r="62819" customFormat="false" ht="12.75" hidden="false" customHeight="true" outlineLevel="0" collapsed="false"/>
    <row r="62820" customFormat="false" ht="12.75" hidden="false" customHeight="true" outlineLevel="0" collapsed="false"/>
    <row r="62821" customFormat="false" ht="12.75" hidden="false" customHeight="true" outlineLevel="0" collapsed="false"/>
    <row r="62822" customFormat="false" ht="12.75" hidden="false" customHeight="true" outlineLevel="0" collapsed="false"/>
    <row r="62823" customFormat="false" ht="12.75" hidden="false" customHeight="true" outlineLevel="0" collapsed="false"/>
    <row r="62824" customFormat="false" ht="12.75" hidden="false" customHeight="true" outlineLevel="0" collapsed="false"/>
    <row r="62825" customFormat="false" ht="12.75" hidden="false" customHeight="true" outlineLevel="0" collapsed="false"/>
    <row r="62826" customFormat="false" ht="12.75" hidden="false" customHeight="true" outlineLevel="0" collapsed="false"/>
    <row r="62827" customFormat="false" ht="12.75" hidden="false" customHeight="true" outlineLevel="0" collapsed="false"/>
    <row r="62828" customFormat="false" ht="12.75" hidden="false" customHeight="true" outlineLevel="0" collapsed="false"/>
    <row r="62829" customFormat="false" ht="12.75" hidden="false" customHeight="true" outlineLevel="0" collapsed="false"/>
    <row r="62830" customFormat="false" ht="12.75" hidden="false" customHeight="true" outlineLevel="0" collapsed="false"/>
    <row r="62831" customFormat="false" ht="12.75" hidden="false" customHeight="true" outlineLevel="0" collapsed="false"/>
    <row r="62832" customFormat="false" ht="12.75" hidden="false" customHeight="true" outlineLevel="0" collapsed="false"/>
    <row r="62833" customFormat="false" ht="12.75" hidden="false" customHeight="true" outlineLevel="0" collapsed="false"/>
    <row r="62834" customFormat="false" ht="12.75" hidden="false" customHeight="true" outlineLevel="0" collapsed="false"/>
    <row r="62835" customFormat="false" ht="12.75" hidden="false" customHeight="true" outlineLevel="0" collapsed="false"/>
    <row r="62836" customFormat="false" ht="12.75" hidden="false" customHeight="true" outlineLevel="0" collapsed="false"/>
    <row r="62837" customFormat="false" ht="12.75" hidden="false" customHeight="true" outlineLevel="0" collapsed="false"/>
    <row r="62838" customFormat="false" ht="12.75" hidden="false" customHeight="true" outlineLevel="0" collapsed="false"/>
    <row r="62839" customFormat="false" ht="12.75" hidden="false" customHeight="true" outlineLevel="0" collapsed="false"/>
    <row r="62840" customFormat="false" ht="12.75" hidden="false" customHeight="true" outlineLevel="0" collapsed="false"/>
    <row r="62841" customFormat="false" ht="12.75" hidden="false" customHeight="true" outlineLevel="0" collapsed="false"/>
    <row r="62842" customFormat="false" ht="12.75" hidden="false" customHeight="true" outlineLevel="0" collapsed="false"/>
    <row r="62843" customFormat="false" ht="12.75" hidden="false" customHeight="true" outlineLevel="0" collapsed="false"/>
    <row r="62844" customFormat="false" ht="12.75" hidden="false" customHeight="true" outlineLevel="0" collapsed="false"/>
    <row r="62845" customFormat="false" ht="12.75" hidden="false" customHeight="true" outlineLevel="0" collapsed="false"/>
    <row r="62846" customFormat="false" ht="12.75" hidden="false" customHeight="true" outlineLevel="0" collapsed="false"/>
    <row r="62847" customFormat="false" ht="12.75" hidden="false" customHeight="true" outlineLevel="0" collapsed="false"/>
    <row r="62848" customFormat="false" ht="12.75" hidden="false" customHeight="true" outlineLevel="0" collapsed="false"/>
    <row r="62849" customFormat="false" ht="12.75" hidden="false" customHeight="true" outlineLevel="0" collapsed="false"/>
    <row r="62850" customFormat="false" ht="12.75" hidden="false" customHeight="true" outlineLevel="0" collapsed="false"/>
    <row r="62851" customFormat="false" ht="12.75" hidden="false" customHeight="true" outlineLevel="0" collapsed="false"/>
    <row r="62852" customFormat="false" ht="12.75" hidden="false" customHeight="true" outlineLevel="0" collapsed="false"/>
    <row r="62853" customFormat="false" ht="12.75" hidden="false" customHeight="true" outlineLevel="0" collapsed="false"/>
    <row r="62854" customFormat="false" ht="12.75" hidden="false" customHeight="true" outlineLevel="0" collapsed="false"/>
    <row r="62855" customFormat="false" ht="12.75" hidden="false" customHeight="true" outlineLevel="0" collapsed="false"/>
    <row r="62856" customFormat="false" ht="12.75" hidden="false" customHeight="true" outlineLevel="0" collapsed="false"/>
    <row r="62857" customFormat="false" ht="12.75" hidden="false" customHeight="true" outlineLevel="0" collapsed="false"/>
    <row r="62858" customFormat="false" ht="12.75" hidden="false" customHeight="true" outlineLevel="0" collapsed="false"/>
    <row r="62859" customFormat="false" ht="12.75" hidden="false" customHeight="true" outlineLevel="0" collapsed="false"/>
    <row r="62860" customFormat="false" ht="12.75" hidden="false" customHeight="true" outlineLevel="0" collapsed="false"/>
    <row r="62861" customFormat="false" ht="12.75" hidden="false" customHeight="true" outlineLevel="0" collapsed="false"/>
    <row r="62862" customFormat="false" ht="12.75" hidden="false" customHeight="true" outlineLevel="0" collapsed="false"/>
    <row r="62863" customFormat="false" ht="12.75" hidden="false" customHeight="true" outlineLevel="0" collapsed="false"/>
    <row r="62864" customFormat="false" ht="12.75" hidden="false" customHeight="true" outlineLevel="0" collapsed="false"/>
    <row r="62865" customFormat="false" ht="12.75" hidden="false" customHeight="true" outlineLevel="0" collapsed="false"/>
    <row r="62866" customFormat="false" ht="12.75" hidden="false" customHeight="true" outlineLevel="0" collapsed="false"/>
    <row r="62867" customFormat="false" ht="12.75" hidden="false" customHeight="true" outlineLevel="0" collapsed="false"/>
    <row r="62868" customFormat="false" ht="12.75" hidden="false" customHeight="true" outlineLevel="0" collapsed="false"/>
    <row r="62869" customFormat="false" ht="12.75" hidden="false" customHeight="true" outlineLevel="0" collapsed="false"/>
    <row r="62870" customFormat="false" ht="12.75" hidden="false" customHeight="true" outlineLevel="0" collapsed="false"/>
    <row r="62871" customFormat="false" ht="12.75" hidden="false" customHeight="true" outlineLevel="0" collapsed="false"/>
    <row r="62872" customFormat="false" ht="12.75" hidden="false" customHeight="true" outlineLevel="0" collapsed="false"/>
    <row r="62873" customFormat="false" ht="12.75" hidden="false" customHeight="true" outlineLevel="0" collapsed="false"/>
    <row r="62874" customFormat="false" ht="12.75" hidden="false" customHeight="true" outlineLevel="0" collapsed="false"/>
    <row r="62875" customFormat="false" ht="12.75" hidden="false" customHeight="true" outlineLevel="0" collapsed="false"/>
    <row r="62876" customFormat="false" ht="12.75" hidden="false" customHeight="true" outlineLevel="0" collapsed="false"/>
    <row r="62877" customFormat="false" ht="12.75" hidden="false" customHeight="true" outlineLevel="0" collapsed="false"/>
    <row r="62878" customFormat="false" ht="12.75" hidden="false" customHeight="true" outlineLevel="0" collapsed="false"/>
    <row r="62879" customFormat="false" ht="12.75" hidden="false" customHeight="true" outlineLevel="0" collapsed="false"/>
    <row r="62880" customFormat="false" ht="12.75" hidden="false" customHeight="true" outlineLevel="0" collapsed="false"/>
    <row r="62881" customFormat="false" ht="12.75" hidden="false" customHeight="true" outlineLevel="0" collapsed="false"/>
    <row r="62882" customFormat="false" ht="12.75" hidden="false" customHeight="true" outlineLevel="0" collapsed="false"/>
    <row r="62883" customFormat="false" ht="12.75" hidden="false" customHeight="true" outlineLevel="0" collapsed="false"/>
    <row r="62884" customFormat="false" ht="12.75" hidden="false" customHeight="true" outlineLevel="0" collapsed="false"/>
    <row r="62885" customFormat="false" ht="12.75" hidden="false" customHeight="true" outlineLevel="0" collapsed="false"/>
    <row r="62886" customFormat="false" ht="12.75" hidden="false" customHeight="true" outlineLevel="0" collapsed="false"/>
    <row r="62887" customFormat="false" ht="12.75" hidden="false" customHeight="true" outlineLevel="0" collapsed="false"/>
    <row r="62888" customFormat="false" ht="12.75" hidden="false" customHeight="true" outlineLevel="0" collapsed="false"/>
    <row r="62889" customFormat="false" ht="12.75" hidden="false" customHeight="true" outlineLevel="0" collapsed="false"/>
    <row r="62890" customFormat="false" ht="12.75" hidden="false" customHeight="true" outlineLevel="0" collapsed="false"/>
    <row r="62891" customFormat="false" ht="12.75" hidden="false" customHeight="true" outlineLevel="0" collapsed="false"/>
    <row r="62892" customFormat="false" ht="12.75" hidden="false" customHeight="true" outlineLevel="0" collapsed="false"/>
    <row r="62893" customFormat="false" ht="12.75" hidden="false" customHeight="true" outlineLevel="0" collapsed="false"/>
    <row r="62894" customFormat="false" ht="12.75" hidden="false" customHeight="true" outlineLevel="0" collapsed="false"/>
    <row r="62895" customFormat="false" ht="12.75" hidden="false" customHeight="true" outlineLevel="0" collapsed="false"/>
    <row r="62896" customFormat="false" ht="12.75" hidden="false" customHeight="true" outlineLevel="0" collapsed="false"/>
    <row r="62897" customFormat="false" ht="12.75" hidden="false" customHeight="true" outlineLevel="0" collapsed="false"/>
    <row r="62898" customFormat="false" ht="12.75" hidden="false" customHeight="true" outlineLevel="0" collapsed="false"/>
    <row r="62899" customFormat="false" ht="12.75" hidden="false" customHeight="true" outlineLevel="0" collapsed="false"/>
    <row r="62900" customFormat="false" ht="12.75" hidden="false" customHeight="true" outlineLevel="0" collapsed="false"/>
    <row r="62901" customFormat="false" ht="12.75" hidden="false" customHeight="true" outlineLevel="0" collapsed="false"/>
    <row r="62902" customFormat="false" ht="12.75" hidden="false" customHeight="true" outlineLevel="0" collapsed="false"/>
    <row r="62903" customFormat="false" ht="12.75" hidden="false" customHeight="true" outlineLevel="0" collapsed="false"/>
    <row r="62904" customFormat="false" ht="12.75" hidden="false" customHeight="true" outlineLevel="0" collapsed="false"/>
    <row r="62905" customFormat="false" ht="12.75" hidden="false" customHeight="true" outlineLevel="0" collapsed="false"/>
    <row r="62906" customFormat="false" ht="12.75" hidden="false" customHeight="true" outlineLevel="0" collapsed="false"/>
    <row r="62907" customFormat="false" ht="12.75" hidden="false" customHeight="true" outlineLevel="0" collapsed="false"/>
    <row r="62908" customFormat="false" ht="12.75" hidden="false" customHeight="true" outlineLevel="0" collapsed="false"/>
    <row r="62909" customFormat="false" ht="12.75" hidden="false" customHeight="true" outlineLevel="0" collapsed="false"/>
    <row r="62910" customFormat="false" ht="12.75" hidden="false" customHeight="true" outlineLevel="0" collapsed="false"/>
    <row r="62911" customFormat="false" ht="12.75" hidden="false" customHeight="true" outlineLevel="0" collapsed="false"/>
    <row r="62912" customFormat="false" ht="12.75" hidden="false" customHeight="true" outlineLevel="0" collapsed="false"/>
    <row r="62913" customFormat="false" ht="12.75" hidden="false" customHeight="true" outlineLevel="0" collapsed="false"/>
    <row r="62914" customFormat="false" ht="12.75" hidden="false" customHeight="true" outlineLevel="0" collapsed="false"/>
    <row r="62915" customFormat="false" ht="12.75" hidden="false" customHeight="true" outlineLevel="0" collapsed="false"/>
    <row r="62916" customFormat="false" ht="12.75" hidden="false" customHeight="true" outlineLevel="0" collapsed="false"/>
    <row r="62917" customFormat="false" ht="12.75" hidden="false" customHeight="true" outlineLevel="0" collapsed="false"/>
    <row r="62918" customFormat="false" ht="12.75" hidden="false" customHeight="true" outlineLevel="0" collapsed="false"/>
    <row r="62919" customFormat="false" ht="12.75" hidden="false" customHeight="true" outlineLevel="0" collapsed="false"/>
    <row r="62920" customFormat="false" ht="12.75" hidden="false" customHeight="true" outlineLevel="0" collapsed="false"/>
    <row r="62921" customFormat="false" ht="12.75" hidden="false" customHeight="true" outlineLevel="0" collapsed="false"/>
    <row r="62922" customFormat="false" ht="12.75" hidden="false" customHeight="true" outlineLevel="0" collapsed="false"/>
    <row r="62923" customFormat="false" ht="12.75" hidden="false" customHeight="true" outlineLevel="0" collapsed="false"/>
    <row r="62924" customFormat="false" ht="12.75" hidden="false" customHeight="true" outlineLevel="0" collapsed="false"/>
    <row r="62925" customFormat="false" ht="12.75" hidden="false" customHeight="true" outlineLevel="0" collapsed="false"/>
    <row r="62926" customFormat="false" ht="12.75" hidden="false" customHeight="true" outlineLevel="0" collapsed="false"/>
    <row r="62927" customFormat="false" ht="12.75" hidden="false" customHeight="true" outlineLevel="0" collapsed="false"/>
    <row r="62928" customFormat="false" ht="12.75" hidden="false" customHeight="true" outlineLevel="0" collapsed="false"/>
    <row r="62929" customFormat="false" ht="12.75" hidden="false" customHeight="true" outlineLevel="0" collapsed="false"/>
    <row r="62930" customFormat="false" ht="12.75" hidden="false" customHeight="true" outlineLevel="0" collapsed="false"/>
    <row r="62931" customFormat="false" ht="12.75" hidden="false" customHeight="true" outlineLevel="0" collapsed="false"/>
    <row r="62932" customFormat="false" ht="12.75" hidden="false" customHeight="true" outlineLevel="0" collapsed="false"/>
    <row r="62933" customFormat="false" ht="12.75" hidden="false" customHeight="true" outlineLevel="0" collapsed="false"/>
    <row r="62934" customFormat="false" ht="12.75" hidden="false" customHeight="true" outlineLevel="0" collapsed="false"/>
    <row r="62935" customFormat="false" ht="12.75" hidden="false" customHeight="true" outlineLevel="0" collapsed="false"/>
    <row r="62936" customFormat="false" ht="12.75" hidden="false" customHeight="true" outlineLevel="0" collapsed="false"/>
    <row r="62937" customFormat="false" ht="12.75" hidden="false" customHeight="true" outlineLevel="0" collapsed="false"/>
    <row r="62938" customFormat="false" ht="12.75" hidden="false" customHeight="true" outlineLevel="0" collapsed="false"/>
    <row r="62939" customFormat="false" ht="12.75" hidden="false" customHeight="true" outlineLevel="0" collapsed="false"/>
    <row r="62940" customFormat="false" ht="12.75" hidden="false" customHeight="true" outlineLevel="0" collapsed="false"/>
    <row r="62941" customFormat="false" ht="12.75" hidden="false" customHeight="true" outlineLevel="0" collapsed="false"/>
    <row r="62942" customFormat="false" ht="12.75" hidden="false" customHeight="true" outlineLevel="0" collapsed="false"/>
    <row r="62943" customFormat="false" ht="12.75" hidden="false" customHeight="true" outlineLevel="0" collapsed="false"/>
    <row r="62944" customFormat="false" ht="12.75" hidden="false" customHeight="true" outlineLevel="0" collapsed="false"/>
    <row r="62945" customFormat="false" ht="12.75" hidden="false" customHeight="true" outlineLevel="0" collapsed="false"/>
    <row r="62946" customFormat="false" ht="12.75" hidden="false" customHeight="true" outlineLevel="0" collapsed="false"/>
    <row r="62947" customFormat="false" ht="12.75" hidden="false" customHeight="true" outlineLevel="0" collapsed="false"/>
    <row r="62948" customFormat="false" ht="12.75" hidden="false" customHeight="true" outlineLevel="0" collapsed="false"/>
    <row r="62949" customFormat="false" ht="12.75" hidden="false" customHeight="true" outlineLevel="0" collapsed="false"/>
    <row r="62950" customFormat="false" ht="12.75" hidden="false" customHeight="true" outlineLevel="0" collapsed="false"/>
    <row r="62951" customFormat="false" ht="12.75" hidden="false" customHeight="true" outlineLevel="0" collapsed="false"/>
    <row r="62952" customFormat="false" ht="12.75" hidden="false" customHeight="true" outlineLevel="0" collapsed="false"/>
    <row r="62953" customFormat="false" ht="12.75" hidden="false" customHeight="true" outlineLevel="0" collapsed="false"/>
    <row r="62954" customFormat="false" ht="12.75" hidden="false" customHeight="true" outlineLevel="0" collapsed="false"/>
    <row r="62955" customFormat="false" ht="12.75" hidden="false" customHeight="true" outlineLevel="0" collapsed="false"/>
    <row r="62956" customFormat="false" ht="12.75" hidden="false" customHeight="true" outlineLevel="0" collapsed="false"/>
    <row r="62957" customFormat="false" ht="12.75" hidden="false" customHeight="true" outlineLevel="0" collapsed="false"/>
    <row r="62958" customFormat="false" ht="12.75" hidden="false" customHeight="true" outlineLevel="0" collapsed="false"/>
    <row r="62959" customFormat="false" ht="12.75" hidden="false" customHeight="true" outlineLevel="0" collapsed="false"/>
    <row r="62960" customFormat="false" ht="12.75" hidden="false" customHeight="true" outlineLevel="0" collapsed="false"/>
    <row r="62961" customFormat="false" ht="12.75" hidden="false" customHeight="true" outlineLevel="0" collapsed="false"/>
    <row r="62962" customFormat="false" ht="12.75" hidden="false" customHeight="true" outlineLevel="0" collapsed="false"/>
    <row r="62963" customFormat="false" ht="12.75" hidden="false" customHeight="true" outlineLevel="0" collapsed="false"/>
    <row r="62964" customFormat="false" ht="12.75" hidden="false" customHeight="true" outlineLevel="0" collapsed="false"/>
    <row r="62965" customFormat="false" ht="12.75" hidden="false" customHeight="true" outlineLevel="0" collapsed="false"/>
    <row r="62966" customFormat="false" ht="12.75" hidden="false" customHeight="true" outlineLevel="0" collapsed="false"/>
    <row r="62967" customFormat="false" ht="12.75" hidden="false" customHeight="true" outlineLevel="0" collapsed="false"/>
    <row r="62968" customFormat="false" ht="12.75" hidden="false" customHeight="true" outlineLevel="0" collapsed="false"/>
    <row r="62969" customFormat="false" ht="12.75" hidden="false" customHeight="true" outlineLevel="0" collapsed="false"/>
    <row r="62970" customFormat="false" ht="12.75" hidden="false" customHeight="true" outlineLevel="0" collapsed="false"/>
    <row r="62971" customFormat="false" ht="12.75" hidden="false" customHeight="true" outlineLevel="0" collapsed="false"/>
    <row r="62972" customFormat="false" ht="12.75" hidden="false" customHeight="true" outlineLevel="0" collapsed="false"/>
    <row r="62973" customFormat="false" ht="12.75" hidden="false" customHeight="true" outlineLevel="0" collapsed="false"/>
    <row r="62974" customFormat="false" ht="12.75" hidden="false" customHeight="true" outlineLevel="0" collapsed="false"/>
    <row r="62975" customFormat="false" ht="12.75" hidden="false" customHeight="true" outlineLevel="0" collapsed="false"/>
    <row r="62976" customFormat="false" ht="12.75" hidden="false" customHeight="true" outlineLevel="0" collapsed="false"/>
    <row r="62977" customFormat="false" ht="12.75" hidden="false" customHeight="true" outlineLevel="0" collapsed="false"/>
    <row r="62978" customFormat="false" ht="12.75" hidden="false" customHeight="true" outlineLevel="0" collapsed="false"/>
    <row r="62979" customFormat="false" ht="12.75" hidden="false" customHeight="true" outlineLevel="0" collapsed="false"/>
    <row r="62980" customFormat="false" ht="12.75" hidden="false" customHeight="true" outlineLevel="0" collapsed="false"/>
    <row r="62981" customFormat="false" ht="12.75" hidden="false" customHeight="true" outlineLevel="0" collapsed="false"/>
    <row r="62982" customFormat="false" ht="12.75" hidden="false" customHeight="true" outlineLevel="0" collapsed="false"/>
    <row r="62983" customFormat="false" ht="12.75" hidden="false" customHeight="true" outlineLevel="0" collapsed="false"/>
    <row r="62984" customFormat="false" ht="12.75" hidden="false" customHeight="true" outlineLevel="0" collapsed="false"/>
    <row r="62985" customFormat="false" ht="12.75" hidden="false" customHeight="true" outlineLevel="0" collapsed="false"/>
    <row r="62986" customFormat="false" ht="12.75" hidden="false" customHeight="true" outlineLevel="0" collapsed="false"/>
    <row r="62987" customFormat="false" ht="12.75" hidden="false" customHeight="true" outlineLevel="0" collapsed="false"/>
    <row r="62988" customFormat="false" ht="12.75" hidden="false" customHeight="true" outlineLevel="0" collapsed="false"/>
    <row r="62989" customFormat="false" ht="12.75" hidden="false" customHeight="true" outlineLevel="0" collapsed="false"/>
    <row r="62990" customFormat="false" ht="12.75" hidden="false" customHeight="true" outlineLevel="0" collapsed="false"/>
    <row r="62991" customFormat="false" ht="12.75" hidden="false" customHeight="true" outlineLevel="0" collapsed="false"/>
    <row r="62992" customFormat="false" ht="12.75" hidden="false" customHeight="true" outlineLevel="0" collapsed="false"/>
    <row r="62993" customFormat="false" ht="12.75" hidden="false" customHeight="true" outlineLevel="0" collapsed="false"/>
    <row r="62994" customFormat="false" ht="12.75" hidden="false" customHeight="true" outlineLevel="0" collapsed="false"/>
    <row r="62995" customFormat="false" ht="12.75" hidden="false" customHeight="true" outlineLevel="0" collapsed="false"/>
    <row r="62996" customFormat="false" ht="12.75" hidden="false" customHeight="true" outlineLevel="0" collapsed="false"/>
    <row r="62997" customFormat="false" ht="12.75" hidden="false" customHeight="true" outlineLevel="0" collapsed="false"/>
    <row r="62998" customFormat="false" ht="12.75" hidden="false" customHeight="true" outlineLevel="0" collapsed="false"/>
    <row r="62999" customFormat="false" ht="12.75" hidden="false" customHeight="true" outlineLevel="0" collapsed="false"/>
    <row r="63000" customFormat="false" ht="12.75" hidden="false" customHeight="true" outlineLevel="0" collapsed="false"/>
    <row r="63001" customFormat="false" ht="12.75" hidden="false" customHeight="true" outlineLevel="0" collapsed="false"/>
    <row r="63002" customFormat="false" ht="12.75" hidden="false" customHeight="true" outlineLevel="0" collapsed="false"/>
    <row r="63003" customFormat="false" ht="12.75" hidden="false" customHeight="true" outlineLevel="0" collapsed="false"/>
    <row r="63004" customFormat="false" ht="12.75" hidden="false" customHeight="true" outlineLevel="0" collapsed="false"/>
    <row r="63005" customFormat="false" ht="12.75" hidden="false" customHeight="true" outlineLevel="0" collapsed="false"/>
    <row r="63006" customFormat="false" ht="12.75" hidden="false" customHeight="true" outlineLevel="0" collapsed="false"/>
    <row r="63007" customFormat="false" ht="12.75" hidden="false" customHeight="true" outlineLevel="0" collapsed="false"/>
    <row r="63008" customFormat="false" ht="12.75" hidden="false" customHeight="true" outlineLevel="0" collapsed="false"/>
    <row r="63009" customFormat="false" ht="12.75" hidden="false" customHeight="true" outlineLevel="0" collapsed="false"/>
    <row r="63010" customFormat="false" ht="12.75" hidden="false" customHeight="true" outlineLevel="0" collapsed="false"/>
    <row r="63011" customFormat="false" ht="12.75" hidden="false" customHeight="true" outlineLevel="0" collapsed="false"/>
    <row r="63012" customFormat="false" ht="12.75" hidden="false" customHeight="true" outlineLevel="0" collapsed="false"/>
    <row r="63013" customFormat="false" ht="12.75" hidden="false" customHeight="true" outlineLevel="0" collapsed="false"/>
    <row r="63014" customFormat="false" ht="12.75" hidden="false" customHeight="true" outlineLevel="0" collapsed="false"/>
    <row r="63015" customFormat="false" ht="12.75" hidden="false" customHeight="true" outlineLevel="0" collapsed="false"/>
    <row r="63016" customFormat="false" ht="12.75" hidden="false" customHeight="true" outlineLevel="0" collapsed="false"/>
    <row r="63017" customFormat="false" ht="12.75" hidden="false" customHeight="true" outlineLevel="0" collapsed="false"/>
    <row r="63018" customFormat="false" ht="12.75" hidden="false" customHeight="true" outlineLevel="0" collapsed="false"/>
    <row r="63019" customFormat="false" ht="12.75" hidden="false" customHeight="true" outlineLevel="0" collapsed="false"/>
    <row r="63020" customFormat="false" ht="12.75" hidden="false" customHeight="true" outlineLevel="0" collapsed="false"/>
    <row r="63021" customFormat="false" ht="12.75" hidden="false" customHeight="true" outlineLevel="0" collapsed="false"/>
    <row r="63022" customFormat="false" ht="12.75" hidden="false" customHeight="true" outlineLevel="0" collapsed="false"/>
    <row r="63023" customFormat="false" ht="12.75" hidden="false" customHeight="true" outlineLevel="0" collapsed="false"/>
    <row r="63024" customFormat="false" ht="12.75" hidden="false" customHeight="true" outlineLevel="0" collapsed="false"/>
    <row r="63025" customFormat="false" ht="12.75" hidden="false" customHeight="true" outlineLevel="0" collapsed="false"/>
    <row r="63026" customFormat="false" ht="12.75" hidden="false" customHeight="true" outlineLevel="0" collapsed="false"/>
    <row r="63027" customFormat="false" ht="12.75" hidden="false" customHeight="true" outlineLevel="0" collapsed="false"/>
    <row r="63028" customFormat="false" ht="12.75" hidden="false" customHeight="true" outlineLevel="0" collapsed="false"/>
    <row r="63029" customFormat="false" ht="12.75" hidden="false" customHeight="true" outlineLevel="0" collapsed="false"/>
    <row r="63030" customFormat="false" ht="12.75" hidden="false" customHeight="true" outlineLevel="0" collapsed="false"/>
    <row r="63031" customFormat="false" ht="12.75" hidden="false" customHeight="true" outlineLevel="0" collapsed="false"/>
    <row r="63032" customFormat="false" ht="12.75" hidden="false" customHeight="true" outlineLevel="0" collapsed="false"/>
    <row r="63033" customFormat="false" ht="12.75" hidden="false" customHeight="true" outlineLevel="0" collapsed="false"/>
    <row r="63034" customFormat="false" ht="12.75" hidden="false" customHeight="true" outlineLevel="0" collapsed="false"/>
    <row r="63035" customFormat="false" ht="12.75" hidden="false" customHeight="true" outlineLevel="0" collapsed="false"/>
    <row r="63036" customFormat="false" ht="12.75" hidden="false" customHeight="true" outlineLevel="0" collapsed="false"/>
    <row r="63037" customFormat="false" ht="12.75" hidden="false" customHeight="true" outlineLevel="0" collapsed="false"/>
    <row r="63038" customFormat="false" ht="12.75" hidden="false" customHeight="true" outlineLevel="0" collapsed="false"/>
    <row r="63039" customFormat="false" ht="12.75" hidden="false" customHeight="true" outlineLevel="0" collapsed="false"/>
    <row r="63040" customFormat="false" ht="12.75" hidden="false" customHeight="true" outlineLevel="0" collapsed="false"/>
    <row r="63041" customFormat="false" ht="12.75" hidden="false" customHeight="true" outlineLevel="0" collapsed="false"/>
    <row r="63042" customFormat="false" ht="12.75" hidden="false" customHeight="true" outlineLevel="0" collapsed="false"/>
    <row r="63043" customFormat="false" ht="12.75" hidden="false" customHeight="true" outlineLevel="0" collapsed="false"/>
    <row r="63044" customFormat="false" ht="12.75" hidden="false" customHeight="true" outlineLevel="0" collapsed="false"/>
    <row r="63045" customFormat="false" ht="12.75" hidden="false" customHeight="true" outlineLevel="0" collapsed="false"/>
    <row r="63046" customFormat="false" ht="12.75" hidden="false" customHeight="true" outlineLevel="0" collapsed="false"/>
    <row r="63047" customFormat="false" ht="12.75" hidden="false" customHeight="true" outlineLevel="0" collapsed="false"/>
    <row r="63048" customFormat="false" ht="12.75" hidden="false" customHeight="true" outlineLevel="0" collapsed="false"/>
    <row r="63049" customFormat="false" ht="12.75" hidden="false" customHeight="true" outlineLevel="0" collapsed="false"/>
    <row r="63050" customFormat="false" ht="12.75" hidden="false" customHeight="true" outlineLevel="0" collapsed="false"/>
    <row r="63051" customFormat="false" ht="12.75" hidden="false" customHeight="true" outlineLevel="0" collapsed="false"/>
    <row r="63052" customFormat="false" ht="12.75" hidden="false" customHeight="true" outlineLevel="0" collapsed="false"/>
    <row r="63053" customFormat="false" ht="12.75" hidden="false" customHeight="true" outlineLevel="0" collapsed="false"/>
    <row r="63054" customFormat="false" ht="12.75" hidden="false" customHeight="true" outlineLevel="0" collapsed="false"/>
    <row r="63055" customFormat="false" ht="12.75" hidden="false" customHeight="true" outlineLevel="0" collapsed="false"/>
    <row r="63056" customFormat="false" ht="12.75" hidden="false" customHeight="true" outlineLevel="0" collapsed="false"/>
    <row r="63057" customFormat="false" ht="12.75" hidden="false" customHeight="true" outlineLevel="0" collapsed="false"/>
    <row r="63058" customFormat="false" ht="12.75" hidden="false" customHeight="true" outlineLevel="0" collapsed="false"/>
    <row r="63059" customFormat="false" ht="12.75" hidden="false" customHeight="true" outlineLevel="0" collapsed="false"/>
    <row r="63060" customFormat="false" ht="12.75" hidden="false" customHeight="true" outlineLevel="0" collapsed="false"/>
    <row r="63061" customFormat="false" ht="12.75" hidden="false" customHeight="true" outlineLevel="0" collapsed="false"/>
    <row r="63062" customFormat="false" ht="12.75" hidden="false" customHeight="true" outlineLevel="0" collapsed="false"/>
    <row r="63063" customFormat="false" ht="12.75" hidden="false" customHeight="true" outlineLevel="0" collapsed="false"/>
    <row r="63064" customFormat="false" ht="12.75" hidden="false" customHeight="true" outlineLevel="0" collapsed="false"/>
    <row r="63065" customFormat="false" ht="12.75" hidden="false" customHeight="true" outlineLevel="0" collapsed="false"/>
    <row r="63066" customFormat="false" ht="12.75" hidden="false" customHeight="true" outlineLevel="0" collapsed="false"/>
    <row r="63067" customFormat="false" ht="12.75" hidden="false" customHeight="true" outlineLevel="0" collapsed="false"/>
    <row r="63068" customFormat="false" ht="12.75" hidden="false" customHeight="true" outlineLevel="0" collapsed="false"/>
    <row r="63069" customFormat="false" ht="12.75" hidden="false" customHeight="true" outlineLevel="0" collapsed="false"/>
    <row r="63070" customFormat="false" ht="12.75" hidden="false" customHeight="true" outlineLevel="0" collapsed="false"/>
    <row r="63071" customFormat="false" ht="12.75" hidden="false" customHeight="true" outlineLevel="0" collapsed="false"/>
    <row r="63072" customFormat="false" ht="12.75" hidden="false" customHeight="true" outlineLevel="0" collapsed="false"/>
    <row r="63073" customFormat="false" ht="12.75" hidden="false" customHeight="true" outlineLevel="0" collapsed="false"/>
    <row r="63074" customFormat="false" ht="12.75" hidden="false" customHeight="true" outlineLevel="0" collapsed="false"/>
    <row r="63075" customFormat="false" ht="12.75" hidden="false" customHeight="true" outlineLevel="0" collapsed="false"/>
    <row r="63076" customFormat="false" ht="12.75" hidden="false" customHeight="true" outlineLevel="0" collapsed="false"/>
    <row r="63077" customFormat="false" ht="12.75" hidden="false" customHeight="true" outlineLevel="0" collapsed="false"/>
    <row r="63078" customFormat="false" ht="12.75" hidden="false" customHeight="true" outlineLevel="0" collapsed="false"/>
    <row r="63079" customFormat="false" ht="12.75" hidden="false" customHeight="true" outlineLevel="0" collapsed="false"/>
    <row r="63080" customFormat="false" ht="12.75" hidden="false" customHeight="true" outlineLevel="0" collapsed="false"/>
    <row r="63081" customFormat="false" ht="12.75" hidden="false" customHeight="true" outlineLevel="0" collapsed="false"/>
    <row r="63082" customFormat="false" ht="12.75" hidden="false" customHeight="true" outlineLevel="0" collapsed="false"/>
    <row r="63083" customFormat="false" ht="12.75" hidden="false" customHeight="true" outlineLevel="0" collapsed="false"/>
    <row r="63084" customFormat="false" ht="12.75" hidden="false" customHeight="true" outlineLevel="0" collapsed="false"/>
    <row r="63085" customFormat="false" ht="12.75" hidden="false" customHeight="true" outlineLevel="0" collapsed="false"/>
    <row r="63086" customFormat="false" ht="12.75" hidden="false" customHeight="true" outlineLevel="0" collapsed="false"/>
    <row r="63087" customFormat="false" ht="12.75" hidden="false" customHeight="true" outlineLevel="0" collapsed="false"/>
    <row r="63088" customFormat="false" ht="12.75" hidden="false" customHeight="true" outlineLevel="0" collapsed="false"/>
    <row r="63089" customFormat="false" ht="12.75" hidden="false" customHeight="true" outlineLevel="0" collapsed="false"/>
    <row r="63090" customFormat="false" ht="12.75" hidden="false" customHeight="true" outlineLevel="0" collapsed="false"/>
    <row r="63091" customFormat="false" ht="12.75" hidden="false" customHeight="true" outlineLevel="0" collapsed="false"/>
    <row r="63092" customFormat="false" ht="12.75" hidden="false" customHeight="true" outlineLevel="0" collapsed="false"/>
    <row r="63093" customFormat="false" ht="12.75" hidden="false" customHeight="true" outlineLevel="0" collapsed="false"/>
    <row r="63094" customFormat="false" ht="12.75" hidden="false" customHeight="true" outlineLevel="0" collapsed="false"/>
    <row r="63095" customFormat="false" ht="12.75" hidden="false" customHeight="true" outlineLevel="0" collapsed="false"/>
    <row r="63096" customFormat="false" ht="12.75" hidden="false" customHeight="true" outlineLevel="0" collapsed="false"/>
    <row r="63097" customFormat="false" ht="12.75" hidden="false" customHeight="true" outlineLevel="0" collapsed="false"/>
    <row r="63098" customFormat="false" ht="12.75" hidden="false" customHeight="true" outlineLevel="0" collapsed="false"/>
    <row r="63099" customFormat="false" ht="12.75" hidden="false" customHeight="true" outlineLevel="0" collapsed="false"/>
    <row r="63100" customFormat="false" ht="12.75" hidden="false" customHeight="true" outlineLevel="0" collapsed="false"/>
    <row r="63101" customFormat="false" ht="12.75" hidden="false" customHeight="true" outlineLevel="0" collapsed="false"/>
    <row r="63102" customFormat="false" ht="12.75" hidden="false" customHeight="true" outlineLevel="0" collapsed="false"/>
    <row r="63103" customFormat="false" ht="12.75" hidden="false" customHeight="true" outlineLevel="0" collapsed="false"/>
    <row r="63104" customFormat="false" ht="12.75" hidden="false" customHeight="true" outlineLevel="0" collapsed="false"/>
    <row r="63105" customFormat="false" ht="12.75" hidden="false" customHeight="true" outlineLevel="0" collapsed="false"/>
    <row r="63106" customFormat="false" ht="12.75" hidden="false" customHeight="true" outlineLevel="0" collapsed="false"/>
    <row r="63107" customFormat="false" ht="12.75" hidden="false" customHeight="true" outlineLevel="0" collapsed="false"/>
    <row r="63108" customFormat="false" ht="12.75" hidden="false" customHeight="true" outlineLevel="0" collapsed="false"/>
    <row r="63109" customFormat="false" ht="12.75" hidden="false" customHeight="true" outlineLevel="0" collapsed="false"/>
    <row r="63110" customFormat="false" ht="12.75" hidden="false" customHeight="true" outlineLevel="0" collapsed="false"/>
    <row r="63111" customFormat="false" ht="12.75" hidden="false" customHeight="true" outlineLevel="0" collapsed="false"/>
    <row r="63112" customFormat="false" ht="12.75" hidden="false" customHeight="true" outlineLevel="0" collapsed="false"/>
    <row r="63113" customFormat="false" ht="12.75" hidden="false" customHeight="true" outlineLevel="0" collapsed="false"/>
    <row r="63114" customFormat="false" ht="12.75" hidden="false" customHeight="true" outlineLevel="0" collapsed="false"/>
    <row r="63115" customFormat="false" ht="12.75" hidden="false" customHeight="true" outlineLevel="0" collapsed="false"/>
    <row r="63116" customFormat="false" ht="12.75" hidden="false" customHeight="true" outlineLevel="0" collapsed="false"/>
    <row r="63117" customFormat="false" ht="12.75" hidden="false" customHeight="true" outlineLevel="0" collapsed="false"/>
    <row r="63118" customFormat="false" ht="12.75" hidden="false" customHeight="true" outlineLevel="0" collapsed="false"/>
    <row r="63119" customFormat="false" ht="12.75" hidden="false" customHeight="true" outlineLevel="0" collapsed="false"/>
    <row r="63120" customFormat="false" ht="12.75" hidden="false" customHeight="true" outlineLevel="0" collapsed="false"/>
    <row r="63121" customFormat="false" ht="12.75" hidden="false" customHeight="true" outlineLevel="0" collapsed="false"/>
    <row r="63122" customFormat="false" ht="12.75" hidden="false" customHeight="true" outlineLevel="0" collapsed="false"/>
    <row r="63123" customFormat="false" ht="12.75" hidden="false" customHeight="true" outlineLevel="0" collapsed="false"/>
    <row r="63124" customFormat="false" ht="12.75" hidden="false" customHeight="true" outlineLevel="0" collapsed="false"/>
    <row r="63125" customFormat="false" ht="12.75" hidden="false" customHeight="true" outlineLevel="0" collapsed="false"/>
    <row r="63126" customFormat="false" ht="12.75" hidden="false" customHeight="true" outlineLevel="0" collapsed="false"/>
    <row r="63127" customFormat="false" ht="12.75" hidden="false" customHeight="true" outlineLevel="0" collapsed="false"/>
    <row r="63128" customFormat="false" ht="12.75" hidden="false" customHeight="true" outlineLevel="0" collapsed="false"/>
    <row r="63129" customFormat="false" ht="12.75" hidden="false" customHeight="true" outlineLevel="0" collapsed="false"/>
    <row r="63130" customFormat="false" ht="12.75" hidden="false" customHeight="true" outlineLevel="0" collapsed="false"/>
    <row r="63131" customFormat="false" ht="12.75" hidden="false" customHeight="true" outlineLevel="0" collapsed="false"/>
    <row r="63132" customFormat="false" ht="12.75" hidden="false" customHeight="true" outlineLevel="0" collapsed="false"/>
    <row r="63133" customFormat="false" ht="12.75" hidden="false" customHeight="true" outlineLevel="0" collapsed="false"/>
    <row r="63134" customFormat="false" ht="12.75" hidden="false" customHeight="true" outlineLevel="0" collapsed="false"/>
    <row r="63135" customFormat="false" ht="12.75" hidden="false" customHeight="true" outlineLevel="0" collapsed="false"/>
    <row r="63136" customFormat="false" ht="12.75" hidden="false" customHeight="true" outlineLevel="0" collapsed="false"/>
    <row r="63137" customFormat="false" ht="12.75" hidden="false" customHeight="true" outlineLevel="0" collapsed="false"/>
    <row r="63138" customFormat="false" ht="12.75" hidden="false" customHeight="true" outlineLevel="0" collapsed="false"/>
    <row r="63139" customFormat="false" ht="12.75" hidden="false" customHeight="true" outlineLevel="0" collapsed="false"/>
    <row r="63140" customFormat="false" ht="12.75" hidden="false" customHeight="true" outlineLevel="0" collapsed="false"/>
    <row r="63141" customFormat="false" ht="12.75" hidden="false" customHeight="true" outlineLevel="0" collapsed="false"/>
    <row r="63142" customFormat="false" ht="12.75" hidden="false" customHeight="true" outlineLevel="0" collapsed="false"/>
    <row r="63143" customFormat="false" ht="12.75" hidden="false" customHeight="true" outlineLevel="0" collapsed="false"/>
    <row r="63144" customFormat="false" ht="12.75" hidden="false" customHeight="true" outlineLevel="0" collapsed="false"/>
    <row r="63145" customFormat="false" ht="12.75" hidden="false" customHeight="true" outlineLevel="0" collapsed="false"/>
    <row r="63146" customFormat="false" ht="12.75" hidden="false" customHeight="true" outlineLevel="0" collapsed="false"/>
    <row r="63147" customFormat="false" ht="12.75" hidden="false" customHeight="true" outlineLevel="0" collapsed="false"/>
    <row r="63148" customFormat="false" ht="12.75" hidden="false" customHeight="true" outlineLevel="0" collapsed="false"/>
    <row r="63149" customFormat="false" ht="12.75" hidden="false" customHeight="true" outlineLevel="0" collapsed="false"/>
    <row r="63150" customFormat="false" ht="12.75" hidden="false" customHeight="true" outlineLevel="0" collapsed="false"/>
    <row r="63151" customFormat="false" ht="12.75" hidden="false" customHeight="true" outlineLevel="0" collapsed="false"/>
    <row r="63152" customFormat="false" ht="12.75" hidden="false" customHeight="true" outlineLevel="0" collapsed="false"/>
    <row r="63153" customFormat="false" ht="12.75" hidden="false" customHeight="true" outlineLevel="0" collapsed="false"/>
    <row r="63154" customFormat="false" ht="12.75" hidden="false" customHeight="true" outlineLevel="0" collapsed="false"/>
    <row r="63155" customFormat="false" ht="12.75" hidden="false" customHeight="true" outlineLevel="0" collapsed="false"/>
    <row r="63156" customFormat="false" ht="12.75" hidden="false" customHeight="true" outlineLevel="0" collapsed="false"/>
    <row r="63157" customFormat="false" ht="12.75" hidden="false" customHeight="true" outlineLevel="0" collapsed="false"/>
    <row r="63158" customFormat="false" ht="12.75" hidden="false" customHeight="true" outlineLevel="0" collapsed="false"/>
    <row r="63159" customFormat="false" ht="12.75" hidden="false" customHeight="true" outlineLevel="0" collapsed="false"/>
    <row r="63160" customFormat="false" ht="12.75" hidden="false" customHeight="true" outlineLevel="0" collapsed="false"/>
    <row r="63161" customFormat="false" ht="12.75" hidden="false" customHeight="true" outlineLevel="0" collapsed="false"/>
    <row r="63162" customFormat="false" ht="12.75" hidden="false" customHeight="true" outlineLevel="0" collapsed="false"/>
    <row r="63163" customFormat="false" ht="12.75" hidden="false" customHeight="true" outlineLevel="0" collapsed="false"/>
    <row r="63164" customFormat="false" ht="12.75" hidden="false" customHeight="true" outlineLevel="0" collapsed="false"/>
    <row r="63165" customFormat="false" ht="12.75" hidden="false" customHeight="true" outlineLevel="0" collapsed="false"/>
    <row r="63166" customFormat="false" ht="12.75" hidden="false" customHeight="true" outlineLevel="0" collapsed="false"/>
    <row r="63167" customFormat="false" ht="12.75" hidden="false" customHeight="true" outlineLevel="0" collapsed="false"/>
    <row r="63168" customFormat="false" ht="12.75" hidden="false" customHeight="true" outlineLevel="0" collapsed="false"/>
    <row r="63169" customFormat="false" ht="12.75" hidden="false" customHeight="true" outlineLevel="0" collapsed="false"/>
    <row r="63170" customFormat="false" ht="12.75" hidden="false" customHeight="true" outlineLevel="0" collapsed="false"/>
    <row r="63171" customFormat="false" ht="12.75" hidden="false" customHeight="true" outlineLevel="0" collapsed="false"/>
    <row r="63172" customFormat="false" ht="12.75" hidden="false" customHeight="true" outlineLevel="0" collapsed="false"/>
    <row r="63173" customFormat="false" ht="12.75" hidden="false" customHeight="true" outlineLevel="0" collapsed="false"/>
    <row r="63174" customFormat="false" ht="12.75" hidden="false" customHeight="true" outlineLevel="0" collapsed="false"/>
    <row r="63175" customFormat="false" ht="12.75" hidden="false" customHeight="true" outlineLevel="0" collapsed="false"/>
    <row r="63176" customFormat="false" ht="12.75" hidden="false" customHeight="true" outlineLevel="0" collapsed="false"/>
    <row r="63177" customFormat="false" ht="12.75" hidden="false" customHeight="true" outlineLevel="0" collapsed="false"/>
    <row r="63178" customFormat="false" ht="12.75" hidden="false" customHeight="true" outlineLevel="0" collapsed="false"/>
    <row r="63179" customFormat="false" ht="12.75" hidden="false" customHeight="true" outlineLevel="0" collapsed="false"/>
    <row r="63180" customFormat="false" ht="12.75" hidden="false" customHeight="true" outlineLevel="0" collapsed="false"/>
    <row r="63181" customFormat="false" ht="12.75" hidden="false" customHeight="true" outlineLevel="0" collapsed="false"/>
    <row r="63182" customFormat="false" ht="12.75" hidden="false" customHeight="true" outlineLevel="0" collapsed="false"/>
    <row r="63183" customFormat="false" ht="12.75" hidden="false" customHeight="true" outlineLevel="0" collapsed="false"/>
    <row r="63184" customFormat="false" ht="12.75" hidden="false" customHeight="true" outlineLevel="0" collapsed="false"/>
    <row r="63185" customFormat="false" ht="12.75" hidden="false" customHeight="true" outlineLevel="0" collapsed="false"/>
    <row r="63186" customFormat="false" ht="12.75" hidden="false" customHeight="true" outlineLevel="0" collapsed="false"/>
    <row r="63187" customFormat="false" ht="12.75" hidden="false" customHeight="true" outlineLevel="0" collapsed="false"/>
    <row r="63188" customFormat="false" ht="12.75" hidden="false" customHeight="true" outlineLevel="0" collapsed="false"/>
    <row r="63189" customFormat="false" ht="12.75" hidden="false" customHeight="true" outlineLevel="0" collapsed="false"/>
    <row r="63190" customFormat="false" ht="12.75" hidden="false" customHeight="true" outlineLevel="0" collapsed="false"/>
    <row r="63191" customFormat="false" ht="12.75" hidden="false" customHeight="true" outlineLevel="0" collapsed="false"/>
    <row r="63192" customFormat="false" ht="12.75" hidden="false" customHeight="true" outlineLevel="0" collapsed="false"/>
    <row r="63193" customFormat="false" ht="12.75" hidden="false" customHeight="true" outlineLevel="0" collapsed="false"/>
    <row r="63194" customFormat="false" ht="12.75" hidden="false" customHeight="true" outlineLevel="0" collapsed="false"/>
    <row r="63195" customFormat="false" ht="12.75" hidden="false" customHeight="true" outlineLevel="0" collapsed="false"/>
    <row r="63196" customFormat="false" ht="12.75" hidden="false" customHeight="true" outlineLevel="0" collapsed="false"/>
    <row r="63197" customFormat="false" ht="12.75" hidden="false" customHeight="true" outlineLevel="0" collapsed="false"/>
    <row r="63198" customFormat="false" ht="12.75" hidden="false" customHeight="true" outlineLevel="0" collapsed="false"/>
    <row r="63199" customFormat="false" ht="12.75" hidden="false" customHeight="true" outlineLevel="0" collapsed="false"/>
    <row r="63200" customFormat="false" ht="12.75" hidden="false" customHeight="true" outlineLevel="0" collapsed="false"/>
    <row r="63201" customFormat="false" ht="12.75" hidden="false" customHeight="true" outlineLevel="0" collapsed="false"/>
    <row r="63202" customFormat="false" ht="12.75" hidden="false" customHeight="true" outlineLevel="0" collapsed="false"/>
    <row r="63203" customFormat="false" ht="12.75" hidden="false" customHeight="true" outlineLevel="0" collapsed="false"/>
    <row r="63204" customFormat="false" ht="12.75" hidden="false" customHeight="true" outlineLevel="0" collapsed="false"/>
    <row r="63205" customFormat="false" ht="12.75" hidden="false" customHeight="true" outlineLevel="0" collapsed="false"/>
    <row r="63206" customFormat="false" ht="12.75" hidden="false" customHeight="true" outlineLevel="0" collapsed="false"/>
    <row r="63207" customFormat="false" ht="12.75" hidden="false" customHeight="true" outlineLevel="0" collapsed="false"/>
    <row r="63208" customFormat="false" ht="12.75" hidden="false" customHeight="true" outlineLevel="0" collapsed="false"/>
    <row r="63209" customFormat="false" ht="12.75" hidden="false" customHeight="true" outlineLevel="0" collapsed="false"/>
    <row r="63210" customFormat="false" ht="12.75" hidden="false" customHeight="true" outlineLevel="0" collapsed="false"/>
    <row r="63211" customFormat="false" ht="12.75" hidden="false" customHeight="true" outlineLevel="0" collapsed="false"/>
    <row r="63212" customFormat="false" ht="12.75" hidden="false" customHeight="true" outlineLevel="0" collapsed="false"/>
    <row r="63213" customFormat="false" ht="12.75" hidden="false" customHeight="true" outlineLevel="0" collapsed="false"/>
    <row r="63214" customFormat="false" ht="12.75" hidden="false" customHeight="true" outlineLevel="0" collapsed="false"/>
    <row r="63215" customFormat="false" ht="12.75" hidden="false" customHeight="true" outlineLevel="0" collapsed="false"/>
    <row r="63216" customFormat="false" ht="12.75" hidden="false" customHeight="true" outlineLevel="0" collapsed="false"/>
    <row r="63217" customFormat="false" ht="12.75" hidden="false" customHeight="true" outlineLevel="0" collapsed="false"/>
    <row r="63218" customFormat="false" ht="12.75" hidden="false" customHeight="true" outlineLevel="0" collapsed="false"/>
    <row r="63219" customFormat="false" ht="12.75" hidden="false" customHeight="true" outlineLevel="0" collapsed="false"/>
    <row r="63220" customFormat="false" ht="12.75" hidden="false" customHeight="true" outlineLevel="0" collapsed="false"/>
    <row r="63221" customFormat="false" ht="12.75" hidden="false" customHeight="true" outlineLevel="0" collapsed="false"/>
    <row r="63222" customFormat="false" ht="12.75" hidden="false" customHeight="true" outlineLevel="0" collapsed="false"/>
    <row r="63223" customFormat="false" ht="12.75" hidden="false" customHeight="true" outlineLevel="0" collapsed="false"/>
    <row r="63224" customFormat="false" ht="12.75" hidden="false" customHeight="true" outlineLevel="0" collapsed="false"/>
    <row r="63225" customFormat="false" ht="12.75" hidden="false" customHeight="true" outlineLevel="0" collapsed="false"/>
    <row r="63226" customFormat="false" ht="12.75" hidden="false" customHeight="true" outlineLevel="0" collapsed="false"/>
    <row r="63227" customFormat="false" ht="12.75" hidden="false" customHeight="true" outlineLevel="0" collapsed="false"/>
    <row r="63228" customFormat="false" ht="12.75" hidden="false" customHeight="true" outlineLevel="0" collapsed="false"/>
    <row r="63229" customFormat="false" ht="12.75" hidden="false" customHeight="true" outlineLevel="0" collapsed="false"/>
    <row r="63230" customFormat="false" ht="12.75" hidden="false" customHeight="true" outlineLevel="0" collapsed="false"/>
    <row r="63231" customFormat="false" ht="12.75" hidden="false" customHeight="true" outlineLevel="0" collapsed="false"/>
    <row r="63232" customFormat="false" ht="12.75" hidden="false" customHeight="true" outlineLevel="0" collapsed="false"/>
    <row r="63233" customFormat="false" ht="12.75" hidden="false" customHeight="true" outlineLevel="0" collapsed="false"/>
    <row r="63234" customFormat="false" ht="12.75" hidden="false" customHeight="true" outlineLevel="0" collapsed="false"/>
    <row r="63235" customFormat="false" ht="12.75" hidden="false" customHeight="true" outlineLevel="0" collapsed="false"/>
    <row r="63236" customFormat="false" ht="12.75" hidden="false" customHeight="true" outlineLevel="0" collapsed="false"/>
    <row r="63237" customFormat="false" ht="12.75" hidden="false" customHeight="true" outlineLevel="0" collapsed="false"/>
    <row r="63238" customFormat="false" ht="12.75" hidden="false" customHeight="true" outlineLevel="0" collapsed="false"/>
    <row r="63239" customFormat="false" ht="12.75" hidden="false" customHeight="true" outlineLevel="0" collapsed="false"/>
    <row r="63240" customFormat="false" ht="12.75" hidden="false" customHeight="true" outlineLevel="0" collapsed="false"/>
    <row r="63241" customFormat="false" ht="12.75" hidden="false" customHeight="true" outlineLevel="0" collapsed="false"/>
    <row r="63242" customFormat="false" ht="12.75" hidden="false" customHeight="true" outlineLevel="0" collapsed="false"/>
    <row r="63243" customFormat="false" ht="12.75" hidden="false" customHeight="true" outlineLevel="0" collapsed="false"/>
    <row r="63244" customFormat="false" ht="12.75" hidden="false" customHeight="true" outlineLevel="0" collapsed="false"/>
    <row r="63245" customFormat="false" ht="12.75" hidden="false" customHeight="true" outlineLevel="0" collapsed="false"/>
    <row r="63246" customFormat="false" ht="12.75" hidden="false" customHeight="true" outlineLevel="0" collapsed="false"/>
    <row r="63247" customFormat="false" ht="12.75" hidden="false" customHeight="true" outlineLevel="0" collapsed="false"/>
    <row r="63248" customFormat="false" ht="12.75" hidden="false" customHeight="true" outlineLevel="0" collapsed="false"/>
    <row r="63249" customFormat="false" ht="12.75" hidden="false" customHeight="true" outlineLevel="0" collapsed="false"/>
    <row r="63250" customFormat="false" ht="12.75" hidden="false" customHeight="true" outlineLevel="0" collapsed="false"/>
    <row r="63251" customFormat="false" ht="12.75" hidden="false" customHeight="true" outlineLevel="0" collapsed="false"/>
    <row r="63252" customFormat="false" ht="12.75" hidden="false" customHeight="true" outlineLevel="0" collapsed="false"/>
    <row r="63253" customFormat="false" ht="12.75" hidden="false" customHeight="true" outlineLevel="0" collapsed="false"/>
    <row r="63254" customFormat="false" ht="12.75" hidden="false" customHeight="true" outlineLevel="0" collapsed="false"/>
    <row r="63255" customFormat="false" ht="12.75" hidden="false" customHeight="true" outlineLevel="0" collapsed="false"/>
    <row r="63256" customFormat="false" ht="12.75" hidden="false" customHeight="true" outlineLevel="0" collapsed="false"/>
    <row r="63257" customFormat="false" ht="12.75" hidden="false" customHeight="true" outlineLevel="0" collapsed="false"/>
    <row r="63258" customFormat="false" ht="12.75" hidden="false" customHeight="true" outlineLevel="0" collapsed="false"/>
    <row r="63259" customFormat="false" ht="12.75" hidden="false" customHeight="true" outlineLevel="0" collapsed="false"/>
    <row r="63260" customFormat="false" ht="12.75" hidden="false" customHeight="true" outlineLevel="0" collapsed="false"/>
    <row r="63261" customFormat="false" ht="12.75" hidden="false" customHeight="true" outlineLevel="0" collapsed="false"/>
    <row r="63262" customFormat="false" ht="12.75" hidden="false" customHeight="true" outlineLevel="0" collapsed="false"/>
    <row r="63263" customFormat="false" ht="12.75" hidden="false" customHeight="true" outlineLevel="0" collapsed="false"/>
    <row r="63264" customFormat="false" ht="12.75" hidden="false" customHeight="true" outlineLevel="0" collapsed="false"/>
    <row r="63265" customFormat="false" ht="12.75" hidden="false" customHeight="true" outlineLevel="0" collapsed="false"/>
    <row r="63266" customFormat="false" ht="12.75" hidden="false" customHeight="true" outlineLevel="0" collapsed="false"/>
    <row r="63267" customFormat="false" ht="12.75" hidden="false" customHeight="true" outlineLevel="0" collapsed="false"/>
    <row r="63268" customFormat="false" ht="12.75" hidden="false" customHeight="true" outlineLevel="0" collapsed="false"/>
    <row r="63269" customFormat="false" ht="12.75" hidden="false" customHeight="true" outlineLevel="0" collapsed="false"/>
    <row r="63270" customFormat="false" ht="12.75" hidden="false" customHeight="true" outlineLevel="0" collapsed="false"/>
    <row r="63271" customFormat="false" ht="12.75" hidden="false" customHeight="true" outlineLevel="0" collapsed="false"/>
    <row r="63272" customFormat="false" ht="12.75" hidden="false" customHeight="true" outlineLevel="0" collapsed="false"/>
    <row r="63273" customFormat="false" ht="12.75" hidden="false" customHeight="true" outlineLevel="0" collapsed="false"/>
    <row r="63274" customFormat="false" ht="12.75" hidden="false" customHeight="true" outlineLevel="0" collapsed="false"/>
    <row r="63275" customFormat="false" ht="12.75" hidden="false" customHeight="true" outlineLevel="0" collapsed="false"/>
    <row r="63276" customFormat="false" ht="12.75" hidden="false" customHeight="true" outlineLevel="0" collapsed="false"/>
    <row r="63277" customFormat="false" ht="12.75" hidden="false" customHeight="true" outlineLevel="0" collapsed="false"/>
    <row r="63278" customFormat="false" ht="12.75" hidden="false" customHeight="true" outlineLevel="0" collapsed="false"/>
    <row r="63279" customFormat="false" ht="12.75" hidden="false" customHeight="true" outlineLevel="0" collapsed="false"/>
    <row r="63280" customFormat="false" ht="12.75" hidden="false" customHeight="true" outlineLevel="0" collapsed="false"/>
    <row r="63281" customFormat="false" ht="12.75" hidden="false" customHeight="true" outlineLevel="0" collapsed="false"/>
    <row r="63282" customFormat="false" ht="12.75" hidden="false" customHeight="true" outlineLevel="0" collapsed="false"/>
    <row r="63283" customFormat="false" ht="12.75" hidden="false" customHeight="true" outlineLevel="0" collapsed="false"/>
    <row r="63284" customFormat="false" ht="12.75" hidden="false" customHeight="true" outlineLevel="0" collapsed="false"/>
    <row r="63285" customFormat="false" ht="12.75" hidden="false" customHeight="true" outlineLevel="0" collapsed="false"/>
    <row r="63286" customFormat="false" ht="12.75" hidden="false" customHeight="true" outlineLevel="0" collapsed="false"/>
    <row r="63287" customFormat="false" ht="12.75" hidden="false" customHeight="true" outlineLevel="0" collapsed="false"/>
    <row r="63288" customFormat="false" ht="12.75" hidden="false" customHeight="true" outlineLevel="0" collapsed="false"/>
    <row r="63289" customFormat="false" ht="12.75" hidden="false" customHeight="true" outlineLevel="0" collapsed="false"/>
    <row r="63290" customFormat="false" ht="12.75" hidden="false" customHeight="true" outlineLevel="0" collapsed="false"/>
    <row r="63291" customFormat="false" ht="12.75" hidden="false" customHeight="true" outlineLevel="0" collapsed="false"/>
    <row r="63292" customFormat="false" ht="12.75" hidden="false" customHeight="true" outlineLevel="0" collapsed="false"/>
    <row r="63293" customFormat="false" ht="12.75" hidden="false" customHeight="true" outlineLevel="0" collapsed="false"/>
    <row r="63294" customFormat="false" ht="12.75" hidden="false" customHeight="true" outlineLevel="0" collapsed="false"/>
    <row r="63295" customFormat="false" ht="12.75" hidden="false" customHeight="true" outlineLevel="0" collapsed="false"/>
    <row r="63296" customFormat="false" ht="12.75" hidden="false" customHeight="true" outlineLevel="0" collapsed="false"/>
    <row r="63297" customFormat="false" ht="12.75" hidden="false" customHeight="true" outlineLevel="0" collapsed="false"/>
    <row r="63298" customFormat="false" ht="12.75" hidden="false" customHeight="true" outlineLevel="0" collapsed="false"/>
    <row r="63299" customFormat="false" ht="12.75" hidden="false" customHeight="true" outlineLevel="0" collapsed="false"/>
    <row r="63300" customFormat="false" ht="12.75" hidden="false" customHeight="true" outlineLevel="0" collapsed="false"/>
    <row r="63301" customFormat="false" ht="12.75" hidden="false" customHeight="true" outlineLevel="0" collapsed="false"/>
    <row r="63302" customFormat="false" ht="12.75" hidden="false" customHeight="true" outlineLevel="0" collapsed="false"/>
    <row r="63303" customFormat="false" ht="12.75" hidden="false" customHeight="true" outlineLevel="0" collapsed="false"/>
    <row r="63304" customFormat="false" ht="12.75" hidden="false" customHeight="true" outlineLevel="0" collapsed="false"/>
    <row r="63305" customFormat="false" ht="12.75" hidden="false" customHeight="true" outlineLevel="0" collapsed="false"/>
    <row r="63306" customFormat="false" ht="12.75" hidden="false" customHeight="true" outlineLevel="0" collapsed="false"/>
    <row r="63307" customFormat="false" ht="12.75" hidden="false" customHeight="true" outlineLevel="0" collapsed="false"/>
    <row r="63308" customFormat="false" ht="12.75" hidden="false" customHeight="true" outlineLevel="0" collapsed="false"/>
    <row r="63309" customFormat="false" ht="12.75" hidden="false" customHeight="true" outlineLevel="0" collapsed="false"/>
    <row r="63310" customFormat="false" ht="12.75" hidden="false" customHeight="true" outlineLevel="0" collapsed="false"/>
    <row r="63311" customFormat="false" ht="12.75" hidden="false" customHeight="true" outlineLevel="0" collapsed="false"/>
    <row r="63312" customFormat="false" ht="12.75" hidden="false" customHeight="true" outlineLevel="0" collapsed="false"/>
    <row r="63313" customFormat="false" ht="12.75" hidden="false" customHeight="true" outlineLevel="0" collapsed="false"/>
    <row r="63314" customFormat="false" ht="12.75" hidden="false" customHeight="true" outlineLevel="0" collapsed="false"/>
    <row r="63315" customFormat="false" ht="12.75" hidden="false" customHeight="true" outlineLevel="0" collapsed="false"/>
    <row r="63316" customFormat="false" ht="12.75" hidden="false" customHeight="true" outlineLevel="0" collapsed="false"/>
    <row r="63317" customFormat="false" ht="12.75" hidden="false" customHeight="true" outlineLevel="0" collapsed="false"/>
    <row r="63318" customFormat="false" ht="12.75" hidden="false" customHeight="true" outlineLevel="0" collapsed="false"/>
    <row r="63319" customFormat="false" ht="12.75" hidden="false" customHeight="true" outlineLevel="0" collapsed="false"/>
    <row r="63320" customFormat="false" ht="12.75" hidden="false" customHeight="true" outlineLevel="0" collapsed="false"/>
    <row r="63321" customFormat="false" ht="12.75" hidden="false" customHeight="true" outlineLevel="0" collapsed="false"/>
    <row r="63322" customFormat="false" ht="12.75" hidden="false" customHeight="true" outlineLevel="0" collapsed="false"/>
    <row r="63323" customFormat="false" ht="12.75" hidden="false" customHeight="true" outlineLevel="0" collapsed="false"/>
    <row r="63324" customFormat="false" ht="12.75" hidden="false" customHeight="true" outlineLevel="0" collapsed="false"/>
    <row r="63325" customFormat="false" ht="12.75" hidden="false" customHeight="true" outlineLevel="0" collapsed="false"/>
    <row r="63326" customFormat="false" ht="12.75" hidden="false" customHeight="true" outlineLevel="0" collapsed="false"/>
    <row r="63327" customFormat="false" ht="12.75" hidden="false" customHeight="true" outlineLevel="0" collapsed="false"/>
    <row r="63328" customFormat="false" ht="12.75" hidden="false" customHeight="true" outlineLevel="0" collapsed="false"/>
    <row r="63329" customFormat="false" ht="12.75" hidden="false" customHeight="true" outlineLevel="0" collapsed="false"/>
    <row r="63330" customFormat="false" ht="12.75" hidden="false" customHeight="true" outlineLevel="0" collapsed="false"/>
    <row r="63331" customFormat="false" ht="12.75" hidden="false" customHeight="true" outlineLevel="0" collapsed="false"/>
    <row r="63332" customFormat="false" ht="12.75" hidden="false" customHeight="true" outlineLevel="0" collapsed="false"/>
    <row r="63333" customFormat="false" ht="12.75" hidden="false" customHeight="true" outlineLevel="0" collapsed="false"/>
    <row r="63334" customFormat="false" ht="12.75" hidden="false" customHeight="true" outlineLevel="0" collapsed="false"/>
    <row r="63335" customFormat="false" ht="12.75" hidden="false" customHeight="true" outlineLevel="0" collapsed="false"/>
    <row r="63336" customFormat="false" ht="12.75" hidden="false" customHeight="true" outlineLevel="0" collapsed="false"/>
    <row r="63337" customFormat="false" ht="12.75" hidden="false" customHeight="true" outlineLevel="0" collapsed="false"/>
    <row r="63338" customFormat="false" ht="12.75" hidden="false" customHeight="true" outlineLevel="0" collapsed="false"/>
    <row r="63339" customFormat="false" ht="12.75" hidden="false" customHeight="true" outlineLevel="0" collapsed="false"/>
    <row r="63340" customFormat="false" ht="12.75" hidden="false" customHeight="true" outlineLevel="0" collapsed="false"/>
    <row r="63341" customFormat="false" ht="12.75" hidden="false" customHeight="true" outlineLevel="0" collapsed="false"/>
    <row r="63342" customFormat="false" ht="12.75" hidden="false" customHeight="true" outlineLevel="0" collapsed="false"/>
    <row r="63343" customFormat="false" ht="12.75" hidden="false" customHeight="true" outlineLevel="0" collapsed="false"/>
    <row r="63344" customFormat="false" ht="12.75" hidden="false" customHeight="true" outlineLevel="0" collapsed="false"/>
    <row r="63345" customFormat="false" ht="12.75" hidden="false" customHeight="true" outlineLevel="0" collapsed="false"/>
    <row r="63346" customFormat="false" ht="12.75" hidden="false" customHeight="true" outlineLevel="0" collapsed="false"/>
    <row r="63347" customFormat="false" ht="12.75" hidden="false" customHeight="true" outlineLevel="0" collapsed="false"/>
    <row r="63348" customFormat="false" ht="12.75" hidden="false" customHeight="true" outlineLevel="0" collapsed="false"/>
    <row r="63349" customFormat="false" ht="12.75" hidden="false" customHeight="true" outlineLevel="0" collapsed="false"/>
    <row r="63350" customFormat="false" ht="12.75" hidden="false" customHeight="true" outlineLevel="0" collapsed="false"/>
    <row r="63351" customFormat="false" ht="12.75" hidden="false" customHeight="true" outlineLevel="0" collapsed="false"/>
    <row r="63352" customFormat="false" ht="12.75" hidden="false" customHeight="true" outlineLevel="0" collapsed="false"/>
    <row r="63353" customFormat="false" ht="12.75" hidden="false" customHeight="true" outlineLevel="0" collapsed="false"/>
    <row r="63354" customFormat="false" ht="12.75" hidden="false" customHeight="true" outlineLevel="0" collapsed="false"/>
    <row r="63355" customFormat="false" ht="12.75" hidden="false" customHeight="true" outlineLevel="0" collapsed="false"/>
    <row r="63356" customFormat="false" ht="12.75" hidden="false" customHeight="true" outlineLevel="0" collapsed="false"/>
    <row r="63357" customFormat="false" ht="12.75" hidden="false" customHeight="true" outlineLevel="0" collapsed="false"/>
    <row r="63358" customFormat="false" ht="12.75" hidden="false" customHeight="true" outlineLevel="0" collapsed="false"/>
    <row r="63359" customFormat="false" ht="12.75" hidden="false" customHeight="true" outlineLevel="0" collapsed="false"/>
    <row r="63360" customFormat="false" ht="12.75" hidden="false" customHeight="true" outlineLevel="0" collapsed="false"/>
    <row r="63361" customFormat="false" ht="12.75" hidden="false" customHeight="true" outlineLevel="0" collapsed="false"/>
    <row r="63362" customFormat="false" ht="12.75" hidden="false" customHeight="true" outlineLevel="0" collapsed="false"/>
    <row r="63363" customFormat="false" ht="12.75" hidden="false" customHeight="true" outlineLevel="0" collapsed="false"/>
    <row r="63364" customFormat="false" ht="12.75" hidden="false" customHeight="true" outlineLevel="0" collapsed="false"/>
    <row r="63365" customFormat="false" ht="12.75" hidden="false" customHeight="true" outlineLevel="0" collapsed="false"/>
    <row r="63366" customFormat="false" ht="12.75" hidden="false" customHeight="true" outlineLevel="0" collapsed="false"/>
    <row r="63367" customFormat="false" ht="12.75" hidden="false" customHeight="true" outlineLevel="0" collapsed="false"/>
    <row r="63368" customFormat="false" ht="12.75" hidden="false" customHeight="true" outlineLevel="0" collapsed="false"/>
    <row r="63369" customFormat="false" ht="12.75" hidden="false" customHeight="true" outlineLevel="0" collapsed="false"/>
    <row r="63370" customFormat="false" ht="12.75" hidden="false" customHeight="true" outlineLevel="0" collapsed="false"/>
    <row r="63371" customFormat="false" ht="12.75" hidden="false" customHeight="true" outlineLevel="0" collapsed="false"/>
    <row r="63372" customFormat="false" ht="12.75" hidden="false" customHeight="true" outlineLevel="0" collapsed="false"/>
    <row r="63373" customFormat="false" ht="12.75" hidden="false" customHeight="true" outlineLevel="0" collapsed="false"/>
    <row r="63374" customFormat="false" ht="12.75" hidden="false" customHeight="true" outlineLevel="0" collapsed="false"/>
    <row r="63375" customFormat="false" ht="12.75" hidden="false" customHeight="true" outlineLevel="0" collapsed="false"/>
    <row r="63376" customFormat="false" ht="12.75" hidden="false" customHeight="true" outlineLevel="0" collapsed="false"/>
    <row r="63377" customFormat="false" ht="12.75" hidden="false" customHeight="true" outlineLevel="0" collapsed="false"/>
    <row r="63378" customFormat="false" ht="12.75" hidden="false" customHeight="true" outlineLevel="0" collapsed="false"/>
    <row r="63379" customFormat="false" ht="12.75" hidden="false" customHeight="true" outlineLevel="0" collapsed="false"/>
    <row r="63380" customFormat="false" ht="12.75" hidden="false" customHeight="true" outlineLevel="0" collapsed="false"/>
    <row r="63381" customFormat="false" ht="12.75" hidden="false" customHeight="true" outlineLevel="0" collapsed="false"/>
    <row r="63382" customFormat="false" ht="12.75" hidden="false" customHeight="true" outlineLevel="0" collapsed="false"/>
    <row r="63383" customFormat="false" ht="12.75" hidden="false" customHeight="true" outlineLevel="0" collapsed="false"/>
    <row r="63384" customFormat="false" ht="12.75" hidden="false" customHeight="true" outlineLevel="0" collapsed="false"/>
    <row r="63385" customFormat="false" ht="12.75" hidden="false" customHeight="true" outlineLevel="0" collapsed="false"/>
    <row r="63386" customFormat="false" ht="12.75" hidden="false" customHeight="true" outlineLevel="0" collapsed="false"/>
    <row r="63387" customFormat="false" ht="12.75" hidden="false" customHeight="true" outlineLevel="0" collapsed="false"/>
    <row r="63388" customFormat="false" ht="12.75" hidden="false" customHeight="true" outlineLevel="0" collapsed="false"/>
    <row r="63389" customFormat="false" ht="12.75" hidden="false" customHeight="true" outlineLevel="0" collapsed="false"/>
    <row r="63390" customFormat="false" ht="12.75" hidden="false" customHeight="true" outlineLevel="0" collapsed="false"/>
    <row r="63391" customFormat="false" ht="12.75" hidden="false" customHeight="true" outlineLevel="0" collapsed="false"/>
    <row r="63392" customFormat="false" ht="12.75" hidden="false" customHeight="true" outlineLevel="0" collapsed="false"/>
    <row r="63393" customFormat="false" ht="12.75" hidden="false" customHeight="true" outlineLevel="0" collapsed="false"/>
    <row r="63394" customFormat="false" ht="12.75" hidden="false" customHeight="true" outlineLevel="0" collapsed="false"/>
    <row r="63395" customFormat="false" ht="12.75" hidden="false" customHeight="true" outlineLevel="0" collapsed="false"/>
    <row r="63396" customFormat="false" ht="12.75" hidden="false" customHeight="true" outlineLevel="0" collapsed="false"/>
    <row r="63397" customFormat="false" ht="12.75" hidden="false" customHeight="true" outlineLevel="0" collapsed="false"/>
    <row r="63398" customFormat="false" ht="12.75" hidden="false" customHeight="true" outlineLevel="0" collapsed="false"/>
    <row r="63399" customFormat="false" ht="12.75" hidden="false" customHeight="true" outlineLevel="0" collapsed="false"/>
    <row r="63400" customFormat="false" ht="12.75" hidden="false" customHeight="true" outlineLevel="0" collapsed="false"/>
    <row r="63401" customFormat="false" ht="12.75" hidden="false" customHeight="true" outlineLevel="0" collapsed="false"/>
    <row r="63402" customFormat="false" ht="12.75" hidden="false" customHeight="true" outlineLevel="0" collapsed="false"/>
    <row r="63403" customFormat="false" ht="12.75" hidden="false" customHeight="true" outlineLevel="0" collapsed="false"/>
    <row r="63404" customFormat="false" ht="12.75" hidden="false" customHeight="true" outlineLevel="0" collapsed="false"/>
    <row r="63405" customFormat="false" ht="12.75" hidden="false" customHeight="true" outlineLevel="0" collapsed="false"/>
    <row r="63406" customFormat="false" ht="12.75" hidden="false" customHeight="true" outlineLevel="0" collapsed="false"/>
    <row r="63407" customFormat="false" ht="12.75" hidden="false" customHeight="true" outlineLevel="0" collapsed="false"/>
    <row r="63408" customFormat="false" ht="12.75" hidden="false" customHeight="true" outlineLevel="0" collapsed="false"/>
    <row r="63409" customFormat="false" ht="12.75" hidden="false" customHeight="true" outlineLevel="0" collapsed="false"/>
    <row r="63410" customFormat="false" ht="12.75" hidden="false" customHeight="true" outlineLevel="0" collapsed="false"/>
    <row r="63411" customFormat="false" ht="12.75" hidden="false" customHeight="true" outlineLevel="0" collapsed="false"/>
    <row r="63412" customFormat="false" ht="12.75" hidden="false" customHeight="true" outlineLevel="0" collapsed="false"/>
    <row r="63413" customFormat="false" ht="12.75" hidden="false" customHeight="true" outlineLevel="0" collapsed="false"/>
    <row r="63414" customFormat="false" ht="12.75" hidden="false" customHeight="true" outlineLevel="0" collapsed="false"/>
    <row r="63415" customFormat="false" ht="12.75" hidden="false" customHeight="true" outlineLevel="0" collapsed="false"/>
    <row r="63416" customFormat="false" ht="12.75" hidden="false" customHeight="true" outlineLevel="0" collapsed="false"/>
    <row r="63417" customFormat="false" ht="12.75" hidden="false" customHeight="true" outlineLevel="0" collapsed="false"/>
    <row r="63418" customFormat="false" ht="12.75" hidden="false" customHeight="true" outlineLevel="0" collapsed="false"/>
    <row r="63419" customFormat="false" ht="12.75" hidden="false" customHeight="true" outlineLevel="0" collapsed="false"/>
    <row r="63420" customFormat="false" ht="12.75" hidden="false" customHeight="true" outlineLevel="0" collapsed="false"/>
    <row r="63421" customFormat="false" ht="12.75" hidden="false" customHeight="true" outlineLevel="0" collapsed="false"/>
    <row r="63422" customFormat="false" ht="12.75" hidden="false" customHeight="true" outlineLevel="0" collapsed="false"/>
    <row r="63423" customFormat="false" ht="12.75" hidden="false" customHeight="true" outlineLevel="0" collapsed="false"/>
    <row r="63424" customFormat="false" ht="12.75" hidden="false" customHeight="true" outlineLevel="0" collapsed="false"/>
    <row r="63425" customFormat="false" ht="12.75" hidden="false" customHeight="true" outlineLevel="0" collapsed="false"/>
    <row r="63426" customFormat="false" ht="12.75" hidden="false" customHeight="true" outlineLevel="0" collapsed="false"/>
    <row r="63427" customFormat="false" ht="12.75" hidden="false" customHeight="true" outlineLevel="0" collapsed="false"/>
    <row r="63428" customFormat="false" ht="12.75" hidden="false" customHeight="true" outlineLevel="0" collapsed="false"/>
    <row r="63429" customFormat="false" ht="12.75" hidden="false" customHeight="true" outlineLevel="0" collapsed="false"/>
    <row r="63430" customFormat="false" ht="12.75" hidden="false" customHeight="true" outlineLevel="0" collapsed="false"/>
    <row r="63431" customFormat="false" ht="12.75" hidden="false" customHeight="true" outlineLevel="0" collapsed="false"/>
    <row r="63432" customFormat="false" ht="12.75" hidden="false" customHeight="true" outlineLevel="0" collapsed="false"/>
    <row r="63433" customFormat="false" ht="12.75" hidden="false" customHeight="true" outlineLevel="0" collapsed="false"/>
    <row r="63434" customFormat="false" ht="12.75" hidden="false" customHeight="true" outlineLevel="0" collapsed="false"/>
    <row r="63435" customFormat="false" ht="12.75" hidden="false" customHeight="true" outlineLevel="0" collapsed="false"/>
    <row r="63436" customFormat="false" ht="12.75" hidden="false" customHeight="true" outlineLevel="0" collapsed="false"/>
    <row r="63437" customFormat="false" ht="12.75" hidden="false" customHeight="true" outlineLevel="0" collapsed="false"/>
    <row r="63438" customFormat="false" ht="12.75" hidden="false" customHeight="true" outlineLevel="0" collapsed="false"/>
    <row r="63439" customFormat="false" ht="12.75" hidden="false" customHeight="true" outlineLevel="0" collapsed="false"/>
    <row r="63440" customFormat="false" ht="12.75" hidden="false" customHeight="true" outlineLevel="0" collapsed="false"/>
    <row r="63441" customFormat="false" ht="12.75" hidden="false" customHeight="true" outlineLevel="0" collapsed="false"/>
    <row r="63442" customFormat="false" ht="12.75" hidden="false" customHeight="true" outlineLevel="0" collapsed="false"/>
    <row r="63443" customFormat="false" ht="12.75" hidden="false" customHeight="true" outlineLevel="0" collapsed="false"/>
    <row r="63444" customFormat="false" ht="12.75" hidden="false" customHeight="true" outlineLevel="0" collapsed="false"/>
    <row r="63445" customFormat="false" ht="12.75" hidden="false" customHeight="true" outlineLevel="0" collapsed="false"/>
    <row r="63446" customFormat="false" ht="12.75" hidden="false" customHeight="true" outlineLevel="0" collapsed="false"/>
    <row r="63447" customFormat="false" ht="12.75" hidden="false" customHeight="true" outlineLevel="0" collapsed="false"/>
    <row r="63448" customFormat="false" ht="12.75" hidden="false" customHeight="true" outlineLevel="0" collapsed="false"/>
    <row r="63449" customFormat="false" ht="12.75" hidden="false" customHeight="true" outlineLevel="0" collapsed="false"/>
    <row r="63450" customFormat="false" ht="12.75" hidden="false" customHeight="true" outlineLevel="0" collapsed="false"/>
    <row r="63451" customFormat="false" ht="12.75" hidden="false" customHeight="true" outlineLevel="0" collapsed="false"/>
    <row r="63452" customFormat="false" ht="12.75" hidden="false" customHeight="true" outlineLevel="0" collapsed="false"/>
    <row r="63453" customFormat="false" ht="12.75" hidden="false" customHeight="true" outlineLevel="0" collapsed="false"/>
    <row r="63454" customFormat="false" ht="12.75" hidden="false" customHeight="true" outlineLevel="0" collapsed="false"/>
    <row r="63455" customFormat="false" ht="12.75" hidden="false" customHeight="true" outlineLevel="0" collapsed="false"/>
    <row r="63456" customFormat="false" ht="12.75" hidden="false" customHeight="true" outlineLevel="0" collapsed="false"/>
    <row r="63457" customFormat="false" ht="12.75" hidden="false" customHeight="true" outlineLevel="0" collapsed="false"/>
    <row r="63458" customFormat="false" ht="12.75" hidden="false" customHeight="true" outlineLevel="0" collapsed="false"/>
    <row r="63459" customFormat="false" ht="12.75" hidden="false" customHeight="true" outlineLevel="0" collapsed="false"/>
    <row r="63460" customFormat="false" ht="12.75" hidden="false" customHeight="true" outlineLevel="0" collapsed="false"/>
    <row r="63461" customFormat="false" ht="12.75" hidden="false" customHeight="true" outlineLevel="0" collapsed="false"/>
    <row r="63462" customFormat="false" ht="12.75" hidden="false" customHeight="true" outlineLevel="0" collapsed="false"/>
    <row r="63463" customFormat="false" ht="12.75" hidden="false" customHeight="true" outlineLevel="0" collapsed="false"/>
    <row r="63464" customFormat="false" ht="12.75" hidden="false" customHeight="true" outlineLevel="0" collapsed="false"/>
    <row r="63465" customFormat="false" ht="12.75" hidden="false" customHeight="true" outlineLevel="0" collapsed="false"/>
    <row r="63466" customFormat="false" ht="12.75" hidden="false" customHeight="true" outlineLevel="0" collapsed="false"/>
    <row r="63467" customFormat="false" ht="12.75" hidden="false" customHeight="true" outlineLevel="0" collapsed="false"/>
    <row r="63468" customFormat="false" ht="12.75" hidden="false" customHeight="true" outlineLevel="0" collapsed="false"/>
    <row r="63469" customFormat="false" ht="12.75" hidden="false" customHeight="true" outlineLevel="0" collapsed="false"/>
    <row r="63470" customFormat="false" ht="12.75" hidden="false" customHeight="true" outlineLevel="0" collapsed="false"/>
    <row r="63471" customFormat="false" ht="12.75" hidden="false" customHeight="true" outlineLevel="0" collapsed="false"/>
    <row r="63472" customFormat="false" ht="12.75" hidden="false" customHeight="true" outlineLevel="0" collapsed="false"/>
    <row r="63473" customFormat="false" ht="12.75" hidden="false" customHeight="true" outlineLevel="0" collapsed="false"/>
    <row r="63474" customFormat="false" ht="12.75" hidden="false" customHeight="true" outlineLevel="0" collapsed="false"/>
    <row r="63475" customFormat="false" ht="12.75" hidden="false" customHeight="true" outlineLevel="0" collapsed="false"/>
    <row r="63476" customFormat="false" ht="12.75" hidden="false" customHeight="true" outlineLevel="0" collapsed="false"/>
    <row r="63477" customFormat="false" ht="12.75" hidden="false" customHeight="true" outlineLevel="0" collapsed="false"/>
    <row r="63478" customFormat="false" ht="12.75" hidden="false" customHeight="true" outlineLevel="0" collapsed="false"/>
    <row r="63479" customFormat="false" ht="12.75" hidden="false" customHeight="true" outlineLevel="0" collapsed="false"/>
    <row r="63480" customFormat="false" ht="12.75" hidden="false" customHeight="true" outlineLevel="0" collapsed="false"/>
    <row r="63481" customFormat="false" ht="12.75" hidden="false" customHeight="true" outlineLevel="0" collapsed="false"/>
    <row r="63482" customFormat="false" ht="12.75" hidden="false" customHeight="true" outlineLevel="0" collapsed="false"/>
    <row r="63483" customFormat="false" ht="12.75" hidden="false" customHeight="true" outlineLevel="0" collapsed="false"/>
    <row r="63484" customFormat="false" ht="12.75" hidden="false" customHeight="true" outlineLevel="0" collapsed="false"/>
    <row r="63485" customFormat="false" ht="12.75" hidden="false" customHeight="true" outlineLevel="0" collapsed="false"/>
    <row r="63486" customFormat="false" ht="12.75" hidden="false" customHeight="true" outlineLevel="0" collapsed="false"/>
    <row r="63487" customFormat="false" ht="12.75" hidden="false" customHeight="true" outlineLevel="0" collapsed="false"/>
    <row r="63488" customFormat="false" ht="12.75" hidden="false" customHeight="true" outlineLevel="0" collapsed="false"/>
    <row r="63489" customFormat="false" ht="12.75" hidden="false" customHeight="true" outlineLevel="0" collapsed="false"/>
    <row r="63490" customFormat="false" ht="12.75" hidden="false" customHeight="true" outlineLevel="0" collapsed="false"/>
    <row r="63491" customFormat="false" ht="12.75" hidden="false" customHeight="true" outlineLevel="0" collapsed="false"/>
    <row r="63492" customFormat="false" ht="12.75" hidden="false" customHeight="true" outlineLevel="0" collapsed="false"/>
    <row r="63493" customFormat="false" ht="12.75" hidden="false" customHeight="true" outlineLevel="0" collapsed="false"/>
    <row r="63494" customFormat="false" ht="12.75" hidden="false" customHeight="true" outlineLevel="0" collapsed="false"/>
    <row r="63495" customFormat="false" ht="12.75" hidden="false" customHeight="true" outlineLevel="0" collapsed="false"/>
    <row r="63496" customFormat="false" ht="12.75" hidden="false" customHeight="true" outlineLevel="0" collapsed="false"/>
    <row r="63497" customFormat="false" ht="12.75" hidden="false" customHeight="true" outlineLevel="0" collapsed="false"/>
    <row r="63498" customFormat="false" ht="12.75" hidden="false" customHeight="true" outlineLevel="0" collapsed="false"/>
    <row r="63499" customFormat="false" ht="12.75" hidden="false" customHeight="true" outlineLevel="0" collapsed="false"/>
    <row r="63500" customFormat="false" ht="12.75" hidden="false" customHeight="true" outlineLevel="0" collapsed="false"/>
    <row r="63501" customFormat="false" ht="12.75" hidden="false" customHeight="true" outlineLevel="0" collapsed="false"/>
    <row r="63502" customFormat="false" ht="12.75" hidden="false" customHeight="true" outlineLevel="0" collapsed="false"/>
    <row r="63503" customFormat="false" ht="12.75" hidden="false" customHeight="true" outlineLevel="0" collapsed="false"/>
    <row r="63504" customFormat="false" ht="12.75" hidden="false" customHeight="true" outlineLevel="0" collapsed="false"/>
    <row r="63505" customFormat="false" ht="12.75" hidden="false" customHeight="true" outlineLevel="0" collapsed="false"/>
    <row r="63506" customFormat="false" ht="12.75" hidden="false" customHeight="true" outlineLevel="0" collapsed="false"/>
    <row r="63507" customFormat="false" ht="12.75" hidden="false" customHeight="true" outlineLevel="0" collapsed="false"/>
    <row r="63508" customFormat="false" ht="12.75" hidden="false" customHeight="true" outlineLevel="0" collapsed="false"/>
    <row r="63509" customFormat="false" ht="12.75" hidden="false" customHeight="true" outlineLevel="0" collapsed="false"/>
    <row r="63510" customFormat="false" ht="12.75" hidden="false" customHeight="true" outlineLevel="0" collapsed="false"/>
    <row r="63511" customFormat="false" ht="12.75" hidden="false" customHeight="true" outlineLevel="0" collapsed="false"/>
    <row r="63512" customFormat="false" ht="12.75" hidden="false" customHeight="true" outlineLevel="0" collapsed="false"/>
    <row r="63513" customFormat="false" ht="12.75" hidden="false" customHeight="true" outlineLevel="0" collapsed="false"/>
    <row r="63514" customFormat="false" ht="12.75" hidden="false" customHeight="true" outlineLevel="0" collapsed="false"/>
    <row r="63515" customFormat="false" ht="12.75" hidden="false" customHeight="true" outlineLevel="0" collapsed="false"/>
    <row r="63516" customFormat="false" ht="12.75" hidden="false" customHeight="true" outlineLevel="0" collapsed="false"/>
    <row r="63517" customFormat="false" ht="12.75" hidden="false" customHeight="true" outlineLevel="0" collapsed="false"/>
    <row r="63518" customFormat="false" ht="12.75" hidden="false" customHeight="true" outlineLevel="0" collapsed="false"/>
    <row r="63519" customFormat="false" ht="12.75" hidden="false" customHeight="true" outlineLevel="0" collapsed="false"/>
    <row r="63520" customFormat="false" ht="12.75" hidden="false" customHeight="true" outlineLevel="0" collapsed="false"/>
    <row r="63521" customFormat="false" ht="12.75" hidden="false" customHeight="true" outlineLevel="0" collapsed="false"/>
    <row r="63522" customFormat="false" ht="12.75" hidden="false" customHeight="true" outlineLevel="0" collapsed="false"/>
    <row r="63523" customFormat="false" ht="12.75" hidden="false" customHeight="true" outlineLevel="0" collapsed="false"/>
    <row r="63524" customFormat="false" ht="12.75" hidden="false" customHeight="true" outlineLevel="0" collapsed="false"/>
    <row r="63525" customFormat="false" ht="12.75" hidden="false" customHeight="true" outlineLevel="0" collapsed="false"/>
    <row r="63526" customFormat="false" ht="12.75" hidden="false" customHeight="true" outlineLevel="0" collapsed="false"/>
    <row r="63527" customFormat="false" ht="12.75" hidden="false" customHeight="true" outlineLevel="0" collapsed="false"/>
    <row r="63528" customFormat="false" ht="12.75" hidden="false" customHeight="true" outlineLevel="0" collapsed="false"/>
    <row r="63529" customFormat="false" ht="12.75" hidden="false" customHeight="true" outlineLevel="0" collapsed="false"/>
    <row r="63530" customFormat="false" ht="12.75" hidden="false" customHeight="true" outlineLevel="0" collapsed="false"/>
    <row r="63531" customFormat="false" ht="12.75" hidden="false" customHeight="true" outlineLevel="0" collapsed="false"/>
    <row r="63532" customFormat="false" ht="12.75" hidden="false" customHeight="true" outlineLevel="0" collapsed="false"/>
    <row r="63533" customFormat="false" ht="12.75" hidden="false" customHeight="true" outlineLevel="0" collapsed="false"/>
    <row r="63534" customFormat="false" ht="12.75" hidden="false" customHeight="true" outlineLevel="0" collapsed="false"/>
    <row r="63535" customFormat="false" ht="12.75" hidden="false" customHeight="true" outlineLevel="0" collapsed="false"/>
    <row r="63536" customFormat="false" ht="12.75" hidden="false" customHeight="true" outlineLevel="0" collapsed="false"/>
    <row r="63537" customFormat="false" ht="12.75" hidden="false" customHeight="true" outlineLevel="0" collapsed="false"/>
    <row r="63538" customFormat="false" ht="12.75" hidden="false" customHeight="true" outlineLevel="0" collapsed="false"/>
    <row r="63539" customFormat="false" ht="12.75" hidden="false" customHeight="true" outlineLevel="0" collapsed="false"/>
    <row r="63540" customFormat="false" ht="12.75" hidden="false" customHeight="true" outlineLevel="0" collapsed="false"/>
    <row r="63541" customFormat="false" ht="12.75" hidden="false" customHeight="true" outlineLevel="0" collapsed="false"/>
    <row r="63542" customFormat="false" ht="12.75" hidden="false" customHeight="true" outlineLevel="0" collapsed="false"/>
    <row r="63543" customFormat="false" ht="12.75" hidden="false" customHeight="true" outlineLevel="0" collapsed="false"/>
    <row r="63544" customFormat="false" ht="12.75" hidden="false" customHeight="true" outlineLevel="0" collapsed="false"/>
    <row r="63545" customFormat="false" ht="12.75" hidden="false" customHeight="true" outlineLevel="0" collapsed="false"/>
    <row r="63546" customFormat="false" ht="12.75" hidden="false" customHeight="true" outlineLevel="0" collapsed="false"/>
    <row r="63547" customFormat="false" ht="12.75" hidden="false" customHeight="true" outlineLevel="0" collapsed="false"/>
    <row r="63548" customFormat="false" ht="12.75" hidden="false" customHeight="true" outlineLevel="0" collapsed="false"/>
    <row r="63549" customFormat="false" ht="12.75" hidden="false" customHeight="true" outlineLevel="0" collapsed="false"/>
    <row r="63550" customFormat="false" ht="12.75" hidden="false" customHeight="true" outlineLevel="0" collapsed="false"/>
    <row r="63551" customFormat="false" ht="12.75" hidden="false" customHeight="true" outlineLevel="0" collapsed="false"/>
    <row r="63552" customFormat="false" ht="12.75" hidden="false" customHeight="true" outlineLevel="0" collapsed="false"/>
    <row r="63553" customFormat="false" ht="12.75" hidden="false" customHeight="true" outlineLevel="0" collapsed="false"/>
    <row r="63554" customFormat="false" ht="12.75" hidden="false" customHeight="true" outlineLevel="0" collapsed="false"/>
    <row r="63555" customFormat="false" ht="12.75" hidden="false" customHeight="true" outlineLevel="0" collapsed="false"/>
    <row r="63556" customFormat="false" ht="12.75" hidden="false" customHeight="true" outlineLevel="0" collapsed="false"/>
    <row r="63557" customFormat="false" ht="12.75" hidden="false" customHeight="true" outlineLevel="0" collapsed="false"/>
    <row r="63558" customFormat="false" ht="12.75" hidden="false" customHeight="true" outlineLevel="0" collapsed="false"/>
    <row r="63559" customFormat="false" ht="12.75" hidden="false" customHeight="true" outlineLevel="0" collapsed="false"/>
    <row r="63560" customFormat="false" ht="12.75" hidden="false" customHeight="true" outlineLevel="0" collapsed="false"/>
    <row r="63561" customFormat="false" ht="12.75" hidden="false" customHeight="true" outlineLevel="0" collapsed="false"/>
    <row r="63562" customFormat="false" ht="12.75" hidden="false" customHeight="true" outlineLevel="0" collapsed="false"/>
    <row r="63563" customFormat="false" ht="12.75" hidden="false" customHeight="true" outlineLevel="0" collapsed="false"/>
    <row r="63564" customFormat="false" ht="12.75" hidden="false" customHeight="true" outlineLevel="0" collapsed="false"/>
    <row r="63565" customFormat="false" ht="12.75" hidden="false" customHeight="true" outlineLevel="0" collapsed="false"/>
    <row r="63566" customFormat="false" ht="12.75" hidden="false" customHeight="true" outlineLevel="0" collapsed="false"/>
    <row r="63567" customFormat="false" ht="12.75" hidden="false" customHeight="true" outlineLevel="0" collapsed="false"/>
    <row r="63568" customFormat="false" ht="12.75" hidden="false" customHeight="true" outlineLevel="0" collapsed="false"/>
    <row r="63569" customFormat="false" ht="12.75" hidden="false" customHeight="true" outlineLevel="0" collapsed="false"/>
    <row r="63570" customFormat="false" ht="12.75" hidden="false" customHeight="true" outlineLevel="0" collapsed="false"/>
    <row r="63571" customFormat="false" ht="12.75" hidden="false" customHeight="true" outlineLevel="0" collapsed="false"/>
    <row r="63572" customFormat="false" ht="12.75" hidden="false" customHeight="true" outlineLevel="0" collapsed="false"/>
    <row r="63573" customFormat="false" ht="12.75" hidden="false" customHeight="true" outlineLevel="0" collapsed="false"/>
    <row r="63574" customFormat="false" ht="12.75" hidden="false" customHeight="true" outlineLevel="0" collapsed="false"/>
    <row r="63575" customFormat="false" ht="12.75" hidden="false" customHeight="true" outlineLevel="0" collapsed="false"/>
    <row r="63576" customFormat="false" ht="12.75" hidden="false" customHeight="true" outlineLevel="0" collapsed="false"/>
    <row r="63577" customFormat="false" ht="12.75" hidden="false" customHeight="true" outlineLevel="0" collapsed="false"/>
    <row r="63578" customFormat="false" ht="12.75" hidden="false" customHeight="true" outlineLevel="0" collapsed="false"/>
    <row r="63579" customFormat="false" ht="12.75" hidden="false" customHeight="true" outlineLevel="0" collapsed="false"/>
    <row r="63580" customFormat="false" ht="12.75" hidden="false" customHeight="true" outlineLevel="0" collapsed="false"/>
    <row r="63581" customFormat="false" ht="12.75" hidden="false" customHeight="true" outlineLevel="0" collapsed="false"/>
    <row r="63582" customFormat="false" ht="12.75" hidden="false" customHeight="true" outlineLevel="0" collapsed="false"/>
    <row r="63583" customFormat="false" ht="12.75" hidden="false" customHeight="true" outlineLevel="0" collapsed="false"/>
    <row r="63584" customFormat="false" ht="12.75" hidden="false" customHeight="true" outlineLevel="0" collapsed="false"/>
    <row r="63585" customFormat="false" ht="12.75" hidden="false" customHeight="true" outlineLevel="0" collapsed="false"/>
    <row r="63586" customFormat="false" ht="12.75" hidden="false" customHeight="true" outlineLevel="0" collapsed="false"/>
    <row r="63587" customFormat="false" ht="12.75" hidden="false" customHeight="true" outlineLevel="0" collapsed="false"/>
    <row r="63588" customFormat="false" ht="12.75" hidden="false" customHeight="true" outlineLevel="0" collapsed="false"/>
    <row r="63589" customFormat="false" ht="12.75" hidden="false" customHeight="true" outlineLevel="0" collapsed="false"/>
    <row r="63590" customFormat="false" ht="12.75" hidden="false" customHeight="true" outlineLevel="0" collapsed="false"/>
    <row r="63591" customFormat="false" ht="12.75" hidden="false" customHeight="true" outlineLevel="0" collapsed="false"/>
    <row r="63592" customFormat="false" ht="12.75" hidden="false" customHeight="true" outlineLevel="0" collapsed="false"/>
    <row r="63593" customFormat="false" ht="12.75" hidden="false" customHeight="true" outlineLevel="0" collapsed="false"/>
    <row r="63594" customFormat="false" ht="12.75" hidden="false" customHeight="true" outlineLevel="0" collapsed="false"/>
    <row r="63595" customFormat="false" ht="12.75" hidden="false" customHeight="true" outlineLevel="0" collapsed="false"/>
    <row r="63596" customFormat="false" ht="12.75" hidden="false" customHeight="true" outlineLevel="0" collapsed="false"/>
    <row r="63597" customFormat="false" ht="12.75" hidden="false" customHeight="true" outlineLevel="0" collapsed="false"/>
    <row r="63598" customFormat="false" ht="12.75" hidden="false" customHeight="true" outlineLevel="0" collapsed="false"/>
    <row r="63599" customFormat="false" ht="12.75" hidden="false" customHeight="true" outlineLevel="0" collapsed="false"/>
    <row r="63600" customFormat="false" ht="12.75" hidden="false" customHeight="true" outlineLevel="0" collapsed="false"/>
    <row r="63601" customFormat="false" ht="12.75" hidden="false" customHeight="true" outlineLevel="0" collapsed="false"/>
    <row r="63602" customFormat="false" ht="12.75" hidden="false" customHeight="true" outlineLevel="0" collapsed="false"/>
    <row r="63603" customFormat="false" ht="12.75" hidden="false" customHeight="true" outlineLevel="0" collapsed="false"/>
    <row r="63604" customFormat="false" ht="12.75" hidden="false" customHeight="true" outlineLevel="0" collapsed="false"/>
    <row r="63605" customFormat="false" ht="12.75" hidden="false" customHeight="true" outlineLevel="0" collapsed="false"/>
    <row r="63606" customFormat="false" ht="12.75" hidden="false" customHeight="true" outlineLevel="0" collapsed="false"/>
    <row r="63607" customFormat="false" ht="12.75" hidden="false" customHeight="true" outlineLevel="0" collapsed="false"/>
    <row r="63608" customFormat="false" ht="12.75" hidden="false" customHeight="true" outlineLevel="0" collapsed="false"/>
    <row r="63609" customFormat="false" ht="12.75" hidden="false" customHeight="true" outlineLevel="0" collapsed="false"/>
    <row r="63610" customFormat="false" ht="12.75" hidden="false" customHeight="true" outlineLevel="0" collapsed="false"/>
    <row r="63611" customFormat="false" ht="12.75" hidden="false" customHeight="true" outlineLevel="0" collapsed="false"/>
    <row r="63612" customFormat="false" ht="12.75" hidden="false" customHeight="true" outlineLevel="0" collapsed="false"/>
    <row r="63613" customFormat="false" ht="12.75" hidden="false" customHeight="true" outlineLevel="0" collapsed="false"/>
    <row r="63614" customFormat="false" ht="12.75" hidden="false" customHeight="true" outlineLevel="0" collapsed="false"/>
    <row r="63615" customFormat="false" ht="12.75" hidden="false" customHeight="true" outlineLevel="0" collapsed="false"/>
    <row r="63616" customFormat="false" ht="12.75" hidden="false" customHeight="true" outlineLevel="0" collapsed="false"/>
    <row r="63617" customFormat="false" ht="12.75" hidden="false" customHeight="true" outlineLevel="0" collapsed="false"/>
    <row r="63618" customFormat="false" ht="12.75" hidden="false" customHeight="true" outlineLevel="0" collapsed="false"/>
    <row r="63619" customFormat="false" ht="12.75" hidden="false" customHeight="true" outlineLevel="0" collapsed="false"/>
    <row r="63620" customFormat="false" ht="12.75" hidden="false" customHeight="true" outlineLevel="0" collapsed="false"/>
    <row r="63621" customFormat="false" ht="12.75" hidden="false" customHeight="true" outlineLevel="0" collapsed="false"/>
    <row r="63622" customFormat="false" ht="12.75" hidden="false" customHeight="true" outlineLevel="0" collapsed="false"/>
    <row r="63623" customFormat="false" ht="12.75" hidden="false" customHeight="true" outlineLevel="0" collapsed="false"/>
    <row r="63624" customFormat="false" ht="12.75" hidden="false" customHeight="true" outlineLevel="0" collapsed="false"/>
    <row r="63625" customFormat="false" ht="12.75" hidden="false" customHeight="true" outlineLevel="0" collapsed="false"/>
    <row r="63626" customFormat="false" ht="12.75" hidden="false" customHeight="true" outlineLevel="0" collapsed="false"/>
    <row r="63627" customFormat="false" ht="12.75" hidden="false" customHeight="true" outlineLevel="0" collapsed="false"/>
    <row r="63628" customFormat="false" ht="12.75" hidden="false" customHeight="true" outlineLevel="0" collapsed="false"/>
    <row r="63629" customFormat="false" ht="12.75" hidden="false" customHeight="true" outlineLevel="0" collapsed="false"/>
    <row r="63630" customFormat="false" ht="12.75" hidden="false" customHeight="true" outlineLevel="0" collapsed="false"/>
    <row r="63631" customFormat="false" ht="12.75" hidden="false" customHeight="true" outlineLevel="0" collapsed="false"/>
    <row r="63632" customFormat="false" ht="12.75" hidden="false" customHeight="true" outlineLevel="0" collapsed="false"/>
    <row r="63633" customFormat="false" ht="12.75" hidden="false" customHeight="true" outlineLevel="0" collapsed="false"/>
    <row r="63634" customFormat="false" ht="12.75" hidden="false" customHeight="true" outlineLevel="0" collapsed="false"/>
    <row r="63635" customFormat="false" ht="12.75" hidden="false" customHeight="true" outlineLevel="0" collapsed="false"/>
    <row r="63636" customFormat="false" ht="12.75" hidden="false" customHeight="true" outlineLevel="0" collapsed="false"/>
    <row r="63637" customFormat="false" ht="12.75" hidden="false" customHeight="true" outlineLevel="0" collapsed="false"/>
    <row r="63638" customFormat="false" ht="12.75" hidden="false" customHeight="true" outlineLevel="0" collapsed="false"/>
    <row r="63639" customFormat="false" ht="12.75" hidden="false" customHeight="true" outlineLevel="0" collapsed="false"/>
    <row r="63640" customFormat="false" ht="12.75" hidden="false" customHeight="true" outlineLevel="0" collapsed="false"/>
    <row r="63641" customFormat="false" ht="12.75" hidden="false" customHeight="true" outlineLevel="0" collapsed="false"/>
    <row r="63642" customFormat="false" ht="12.75" hidden="false" customHeight="true" outlineLevel="0" collapsed="false"/>
    <row r="63643" customFormat="false" ht="12.75" hidden="false" customHeight="true" outlineLevel="0" collapsed="false"/>
    <row r="63644" customFormat="false" ht="12.75" hidden="false" customHeight="true" outlineLevel="0" collapsed="false"/>
    <row r="63645" customFormat="false" ht="12.75" hidden="false" customHeight="true" outlineLevel="0" collapsed="false"/>
    <row r="63646" customFormat="false" ht="12.75" hidden="false" customHeight="true" outlineLevel="0" collapsed="false"/>
    <row r="63647" customFormat="false" ht="12.75" hidden="false" customHeight="true" outlineLevel="0" collapsed="false"/>
    <row r="63648" customFormat="false" ht="12.75" hidden="false" customHeight="true" outlineLevel="0" collapsed="false"/>
    <row r="63649" customFormat="false" ht="12.75" hidden="false" customHeight="true" outlineLevel="0" collapsed="false"/>
    <row r="63650" customFormat="false" ht="12.75" hidden="false" customHeight="true" outlineLevel="0" collapsed="false"/>
    <row r="63651" customFormat="false" ht="12.75" hidden="false" customHeight="true" outlineLevel="0" collapsed="false"/>
    <row r="63652" customFormat="false" ht="12.75" hidden="false" customHeight="true" outlineLevel="0" collapsed="false"/>
    <row r="63653" customFormat="false" ht="12.75" hidden="false" customHeight="true" outlineLevel="0" collapsed="false"/>
    <row r="63654" customFormat="false" ht="12.75" hidden="false" customHeight="true" outlineLevel="0" collapsed="false"/>
    <row r="63655" customFormat="false" ht="12.75" hidden="false" customHeight="true" outlineLevel="0" collapsed="false"/>
    <row r="63656" customFormat="false" ht="12.75" hidden="false" customHeight="true" outlineLevel="0" collapsed="false"/>
    <row r="63657" customFormat="false" ht="12.75" hidden="false" customHeight="true" outlineLevel="0" collapsed="false"/>
    <row r="63658" customFormat="false" ht="12.75" hidden="false" customHeight="true" outlineLevel="0" collapsed="false"/>
    <row r="63659" customFormat="false" ht="12.75" hidden="false" customHeight="true" outlineLevel="0" collapsed="false"/>
    <row r="63660" customFormat="false" ht="12.75" hidden="false" customHeight="true" outlineLevel="0" collapsed="false"/>
    <row r="63661" customFormat="false" ht="12.75" hidden="false" customHeight="true" outlineLevel="0" collapsed="false"/>
    <row r="63662" customFormat="false" ht="12.75" hidden="false" customHeight="true" outlineLevel="0" collapsed="false"/>
    <row r="63663" customFormat="false" ht="12.75" hidden="false" customHeight="true" outlineLevel="0" collapsed="false"/>
    <row r="63664" customFormat="false" ht="12.75" hidden="false" customHeight="true" outlineLevel="0" collapsed="false"/>
    <row r="63665" customFormat="false" ht="12.75" hidden="false" customHeight="true" outlineLevel="0" collapsed="false"/>
    <row r="63666" customFormat="false" ht="12.75" hidden="false" customHeight="true" outlineLevel="0" collapsed="false"/>
    <row r="63667" customFormat="false" ht="12.75" hidden="false" customHeight="true" outlineLevel="0" collapsed="false"/>
    <row r="63668" customFormat="false" ht="12.75" hidden="false" customHeight="true" outlineLevel="0" collapsed="false"/>
    <row r="63669" customFormat="false" ht="12.75" hidden="false" customHeight="true" outlineLevel="0" collapsed="false"/>
    <row r="63670" customFormat="false" ht="12.75" hidden="false" customHeight="true" outlineLevel="0" collapsed="false"/>
    <row r="63671" customFormat="false" ht="12.75" hidden="false" customHeight="true" outlineLevel="0" collapsed="false"/>
    <row r="63672" customFormat="false" ht="12.75" hidden="false" customHeight="true" outlineLevel="0" collapsed="false"/>
    <row r="63673" customFormat="false" ht="12.75" hidden="false" customHeight="true" outlineLevel="0" collapsed="false"/>
    <row r="63674" customFormat="false" ht="12.75" hidden="false" customHeight="true" outlineLevel="0" collapsed="false"/>
    <row r="63675" customFormat="false" ht="12.75" hidden="false" customHeight="true" outlineLevel="0" collapsed="false"/>
    <row r="63676" customFormat="false" ht="12.75" hidden="false" customHeight="true" outlineLevel="0" collapsed="false"/>
    <row r="63677" customFormat="false" ht="12.75" hidden="false" customHeight="true" outlineLevel="0" collapsed="false"/>
    <row r="63678" customFormat="false" ht="12.75" hidden="false" customHeight="true" outlineLevel="0" collapsed="false"/>
    <row r="63679" customFormat="false" ht="12.75" hidden="false" customHeight="true" outlineLevel="0" collapsed="false"/>
    <row r="63680" customFormat="false" ht="12.75" hidden="false" customHeight="true" outlineLevel="0" collapsed="false"/>
    <row r="63681" customFormat="false" ht="12.75" hidden="false" customHeight="true" outlineLevel="0" collapsed="false"/>
    <row r="63682" customFormat="false" ht="12.75" hidden="false" customHeight="true" outlineLevel="0" collapsed="false"/>
    <row r="63683" customFormat="false" ht="12.75" hidden="false" customHeight="true" outlineLevel="0" collapsed="false"/>
    <row r="63684" customFormat="false" ht="12.75" hidden="false" customHeight="true" outlineLevel="0" collapsed="false"/>
    <row r="63685" customFormat="false" ht="12.75" hidden="false" customHeight="true" outlineLevel="0" collapsed="false"/>
    <row r="63686" customFormat="false" ht="12.75" hidden="false" customHeight="true" outlineLevel="0" collapsed="false"/>
    <row r="63687" customFormat="false" ht="12.75" hidden="false" customHeight="true" outlineLevel="0" collapsed="false"/>
    <row r="63688" customFormat="false" ht="12.75" hidden="false" customHeight="true" outlineLevel="0" collapsed="false"/>
    <row r="63689" customFormat="false" ht="12.75" hidden="false" customHeight="true" outlineLevel="0" collapsed="false"/>
    <row r="63690" customFormat="false" ht="12.75" hidden="false" customHeight="true" outlineLevel="0" collapsed="false"/>
    <row r="63691" customFormat="false" ht="12.75" hidden="false" customHeight="true" outlineLevel="0" collapsed="false"/>
    <row r="63692" customFormat="false" ht="12.75" hidden="false" customHeight="true" outlineLevel="0" collapsed="false"/>
    <row r="63693" customFormat="false" ht="12.75" hidden="false" customHeight="true" outlineLevel="0" collapsed="false"/>
    <row r="63694" customFormat="false" ht="12.75" hidden="false" customHeight="true" outlineLevel="0" collapsed="false"/>
    <row r="63695" customFormat="false" ht="12.75" hidden="false" customHeight="true" outlineLevel="0" collapsed="false"/>
    <row r="63696" customFormat="false" ht="12.75" hidden="false" customHeight="true" outlineLevel="0" collapsed="false"/>
    <row r="63697" customFormat="false" ht="12.75" hidden="false" customHeight="true" outlineLevel="0" collapsed="false"/>
    <row r="63698" customFormat="false" ht="12.75" hidden="false" customHeight="true" outlineLevel="0" collapsed="false"/>
    <row r="63699" customFormat="false" ht="12.75" hidden="false" customHeight="true" outlineLevel="0" collapsed="false"/>
    <row r="63700" customFormat="false" ht="12.75" hidden="false" customHeight="true" outlineLevel="0" collapsed="false"/>
    <row r="63701" customFormat="false" ht="12.75" hidden="false" customHeight="true" outlineLevel="0" collapsed="false"/>
    <row r="63702" customFormat="false" ht="12.75" hidden="false" customHeight="true" outlineLevel="0" collapsed="false"/>
    <row r="63703" customFormat="false" ht="12.75" hidden="false" customHeight="true" outlineLevel="0" collapsed="false"/>
    <row r="63704" customFormat="false" ht="12.75" hidden="false" customHeight="true" outlineLevel="0" collapsed="false"/>
    <row r="63705" customFormat="false" ht="12.75" hidden="false" customHeight="true" outlineLevel="0" collapsed="false"/>
    <row r="63706" customFormat="false" ht="12.75" hidden="false" customHeight="true" outlineLevel="0" collapsed="false"/>
    <row r="63707" customFormat="false" ht="12.75" hidden="false" customHeight="true" outlineLevel="0" collapsed="false"/>
    <row r="63708" customFormat="false" ht="12.75" hidden="false" customHeight="true" outlineLevel="0" collapsed="false"/>
    <row r="63709" customFormat="false" ht="12.75" hidden="false" customHeight="true" outlineLevel="0" collapsed="false"/>
    <row r="63710" customFormat="false" ht="12.75" hidden="false" customHeight="true" outlineLevel="0" collapsed="false"/>
    <row r="63711" customFormat="false" ht="12.75" hidden="false" customHeight="true" outlineLevel="0" collapsed="false"/>
    <row r="63712" customFormat="false" ht="12.75" hidden="false" customHeight="true" outlineLevel="0" collapsed="false"/>
    <row r="63713" customFormat="false" ht="12.75" hidden="false" customHeight="true" outlineLevel="0" collapsed="false"/>
    <row r="63714" customFormat="false" ht="12.75" hidden="false" customHeight="true" outlineLevel="0" collapsed="false"/>
    <row r="63715" customFormat="false" ht="12.75" hidden="false" customHeight="true" outlineLevel="0" collapsed="false"/>
    <row r="63716" customFormat="false" ht="12.75" hidden="false" customHeight="true" outlineLevel="0" collapsed="false"/>
    <row r="63717" customFormat="false" ht="12.75" hidden="false" customHeight="true" outlineLevel="0" collapsed="false"/>
    <row r="63718" customFormat="false" ht="12.75" hidden="false" customHeight="true" outlineLevel="0" collapsed="false"/>
    <row r="63719" customFormat="false" ht="12.75" hidden="false" customHeight="true" outlineLevel="0" collapsed="false"/>
    <row r="63720" customFormat="false" ht="12.75" hidden="false" customHeight="true" outlineLevel="0" collapsed="false"/>
    <row r="63721" customFormat="false" ht="12.75" hidden="false" customHeight="true" outlineLevel="0" collapsed="false"/>
    <row r="63722" customFormat="false" ht="12.75" hidden="false" customHeight="true" outlineLevel="0" collapsed="false"/>
    <row r="63723" customFormat="false" ht="12.75" hidden="false" customHeight="true" outlineLevel="0" collapsed="false"/>
    <row r="63724" customFormat="false" ht="12.75" hidden="false" customHeight="true" outlineLevel="0" collapsed="false"/>
    <row r="63725" customFormat="false" ht="12.75" hidden="false" customHeight="true" outlineLevel="0" collapsed="false"/>
    <row r="63726" customFormat="false" ht="12.75" hidden="false" customHeight="true" outlineLevel="0" collapsed="false"/>
    <row r="63727" customFormat="false" ht="12.75" hidden="false" customHeight="true" outlineLevel="0" collapsed="false"/>
    <row r="63728" customFormat="false" ht="12.75" hidden="false" customHeight="true" outlineLevel="0" collapsed="false"/>
    <row r="63729" customFormat="false" ht="12.75" hidden="false" customHeight="true" outlineLevel="0" collapsed="false"/>
    <row r="63730" customFormat="false" ht="12.75" hidden="false" customHeight="true" outlineLevel="0" collapsed="false"/>
    <row r="63731" customFormat="false" ht="12.75" hidden="false" customHeight="true" outlineLevel="0" collapsed="false"/>
    <row r="63732" customFormat="false" ht="12.75" hidden="false" customHeight="true" outlineLevel="0" collapsed="false"/>
    <row r="63733" customFormat="false" ht="12.75" hidden="false" customHeight="true" outlineLevel="0" collapsed="false"/>
    <row r="63734" customFormat="false" ht="12.75" hidden="false" customHeight="true" outlineLevel="0" collapsed="false"/>
    <row r="63735" customFormat="false" ht="12.75" hidden="false" customHeight="true" outlineLevel="0" collapsed="false"/>
    <row r="63736" customFormat="false" ht="12.75" hidden="false" customHeight="true" outlineLevel="0" collapsed="false"/>
    <row r="63737" customFormat="false" ht="12.75" hidden="false" customHeight="true" outlineLevel="0" collapsed="false"/>
    <row r="63738" customFormat="false" ht="12.75" hidden="false" customHeight="true" outlineLevel="0" collapsed="false"/>
    <row r="63739" customFormat="false" ht="12.75" hidden="false" customHeight="true" outlineLevel="0" collapsed="false"/>
    <row r="63740" customFormat="false" ht="12.75" hidden="false" customHeight="true" outlineLevel="0" collapsed="false"/>
    <row r="63741" customFormat="false" ht="12.75" hidden="false" customHeight="true" outlineLevel="0" collapsed="false"/>
    <row r="63742" customFormat="false" ht="12.75" hidden="false" customHeight="true" outlineLevel="0" collapsed="false"/>
    <row r="63743" customFormat="false" ht="12.75" hidden="false" customHeight="true" outlineLevel="0" collapsed="false"/>
    <row r="63744" customFormat="false" ht="12.75" hidden="false" customHeight="true" outlineLevel="0" collapsed="false"/>
    <row r="63745" customFormat="false" ht="12.75" hidden="false" customHeight="true" outlineLevel="0" collapsed="false"/>
    <row r="63746" customFormat="false" ht="12.75" hidden="false" customHeight="true" outlineLevel="0" collapsed="false"/>
    <row r="63747" customFormat="false" ht="12.75" hidden="false" customHeight="true" outlineLevel="0" collapsed="false"/>
    <row r="63748" customFormat="false" ht="12.75" hidden="false" customHeight="true" outlineLevel="0" collapsed="false"/>
    <row r="63749" customFormat="false" ht="12.75" hidden="false" customHeight="true" outlineLevel="0" collapsed="false"/>
    <row r="63750" customFormat="false" ht="12.75" hidden="false" customHeight="true" outlineLevel="0" collapsed="false"/>
    <row r="63751" customFormat="false" ht="12.75" hidden="false" customHeight="true" outlineLevel="0" collapsed="false"/>
    <row r="63752" customFormat="false" ht="12.75" hidden="false" customHeight="true" outlineLevel="0" collapsed="false"/>
    <row r="63753" customFormat="false" ht="12.75" hidden="false" customHeight="true" outlineLevel="0" collapsed="false"/>
    <row r="63754" customFormat="false" ht="12.75" hidden="false" customHeight="true" outlineLevel="0" collapsed="false"/>
    <row r="63755" customFormat="false" ht="12.75" hidden="false" customHeight="true" outlineLevel="0" collapsed="false"/>
    <row r="63756" customFormat="false" ht="12.75" hidden="false" customHeight="true" outlineLevel="0" collapsed="false"/>
    <row r="63757" customFormat="false" ht="12.75" hidden="false" customHeight="true" outlineLevel="0" collapsed="false"/>
    <row r="63758" customFormat="false" ht="12.75" hidden="false" customHeight="true" outlineLevel="0" collapsed="false"/>
    <row r="63759" customFormat="false" ht="12.75" hidden="false" customHeight="true" outlineLevel="0" collapsed="false"/>
    <row r="63760" customFormat="false" ht="12.75" hidden="false" customHeight="true" outlineLevel="0" collapsed="false"/>
    <row r="63761" customFormat="false" ht="12.75" hidden="false" customHeight="true" outlineLevel="0" collapsed="false"/>
    <row r="63762" customFormat="false" ht="12.75" hidden="false" customHeight="true" outlineLevel="0" collapsed="false"/>
    <row r="63763" customFormat="false" ht="12.75" hidden="false" customHeight="true" outlineLevel="0" collapsed="false"/>
    <row r="63764" customFormat="false" ht="12.75" hidden="false" customHeight="true" outlineLevel="0" collapsed="false"/>
    <row r="63765" customFormat="false" ht="12.75" hidden="false" customHeight="true" outlineLevel="0" collapsed="false"/>
    <row r="63766" customFormat="false" ht="12.75" hidden="false" customHeight="true" outlineLevel="0" collapsed="false"/>
    <row r="63767" customFormat="false" ht="12.75" hidden="false" customHeight="true" outlineLevel="0" collapsed="false"/>
    <row r="63768" customFormat="false" ht="12.75" hidden="false" customHeight="true" outlineLevel="0" collapsed="false"/>
    <row r="63769" customFormat="false" ht="12.75" hidden="false" customHeight="true" outlineLevel="0" collapsed="false"/>
    <row r="63770" customFormat="false" ht="12.75" hidden="false" customHeight="true" outlineLevel="0" collapsed="false"/>
    <row r="63771" customFormat="false" ht="12.75" hidden="false" customHeight="true" outlineLevel="0" collapsed="false"/>
    <row r="63772" customFormat="false" ht="12.75" hidden="false" customHeight="true" outlineLevel="0" collapsed="false"/>
    <row r="63773" customFormat="false" ht="12.75" hidden="false" customHeight="true" outlineLevel="0" collapsed="false"/>
    <row r="63774" customFormat="false" ht="12.75" hidden="false" customHeight="true" outlineLevel="0" collapsed="false"/>
    <row r="63775" customFormat="false" ht="12.75" hidden="false" customHeight="true" outlineLevel="0" collapsed="false"/>
    <row r="63776" customFormat="false" ht="12.75" hidden="false" customHeight="true" outlineLevel="0" collapsed="false"/>
    <row r="63777" customFormat="false" ht="12.75" hidden="false" customHeight="true" outlineLevel="0" collapsed="false"/>
    <row r="63778" customFormat="false" ht="12.75" hidden="false" customHeight="true" outlineLevel="0" collapsed="false"/>
    <row r="63779" customFormat="false" ht="12.75" hidden="false" customHeight="true" outlineLevel="0" collapsed="false"/>
    <row r="63780" customFormat="false" ht="12.75" hidden="false" customHeight="true" outlineLevel="0" collapsed="false"/>
    <row r="63781" customFormat="false" ht="12.75" hidden="false" customHeight="true" outlineLevel="0" collapsed="false"/>
    <row r="63782" customFormat="false" ht="12.75" hidden="false" customHeight="true" outlineLevel="0" collapsed="false"/>
    <row r="63783" customFormat="false" ht="12.75" hidden="false" customHeight="true" outlineLevel="0" collapsed="false"/>
    <row r="63784" customFormat="false" ht="12.75" hidden="false" customHeight="true" outlineLevel="0" collapsed="false"/>
    <row r="63785" customFormat="false" ht="12.75" hidden="false" customHeight="true" outlineLevel="0" collapsed="false"/>
    <row r="63786" customFormat="false" ht="12.75" hidden="false" customHeight="true" outlineLevel="0" collapsed="false"/>
    <row r="63787" customFormat="false" ht="12.75" hidden="false" customHeight="true" outlineLevel="0" collapsed="false"/>
    <row r="63788" customFormat="false" ht="12.75" hidden="false" customHeight="true" outlineLevel="0" collapsed="false"/>
    <row r="63789" customFormat="false" ht="12.75" hidden="false" customHeight="true" outlineLevel="0" collapsed="false"/>
    <row r="63790" customFormat="false" ht="12.75" hidden="false" customHeight="true" outlineLevel="0" collapsed="false"/>
    <row r="63791" customFormat="false" ht="12.75" hidden="false" customHeight="true" outlineLevel="0" collapsed="false"/>
    <row r="63792" customFormat="false" ht="12.75" hidden="false" customHeight="true" outlineLevel="0" collapsed="false"/>
    <row r="63793" customFormat="false" ht="12.75" hidden="false" customHeight="true" outlineLevel="0" collapsed="false"/>
    <row r="63794" customFormat="false" ht="12.75" hidden="false" customHeight="true" outlineLevel="0" collapsed="false"/>
    <row r="63795" customFormat="false" ht="12.75" hidden="false" customHeight="true" outlineLevel="0" collapsed="false"/>
    <row r="63796" customFormat="false" ht="12.75" hidden="false" customHeight="true" outlineLevel="0" collapsed="false"/>
    <row r="63797" customFormat="false" ht="12.75" hidden="false" customHeight="true" outlineLevel="0" collapsed="false"/>
    <row r="63798" customFormat="false" ht="12.75" hidden="false" customHeight="true" outlineLevel="0" collapsed="false"/>
    <row r="63799" customFormat="false" ht="12.75" hidden="false" customHeight="true" outlineLevel="0" collapsed="false"/>
    <row r="63800" customFormat="false" ht="12.75" hidden="false" customHeight="true" outlineLevel="0" collapsed="false"/>
    <row r="63801" customFormat="false" ht="12.75" hidden="false" customHeight="true" outlineLevel="0" collapsed="false"/>
    <row r="63802" customFormat="false" ht="12.75" hidden="false" customHeight="true" outlineLevel="0" collapsed="false"/>
    <row r="63803" customFormat="false" ht="12.75" hidden="false" customHeight="true" outlineLevel="0" collapsed="false"/>
    <row r="63804" customFormat="false" ht="12.75" hidden="false" customHeight="true" outlineLevel="0" collapsed="false"/>
    <row r="63805" customFormat="false" ht="12.75" hidden="false" customHeight="true" outlineLevel="0" collapsed="false"/>
    <row r="63806" customFormat="false" ht="12.75" hidden="false" customHeight="true" outlineLevel="0" collapsed="false"/>
    <row r="63807" customFormat="false" ht="12.75" hidden="false" customHeight="true" outlineLevel="0" collapsed="false"/>
    <row r="63808" customFormat="false" ht="12.75" hidden="false" customHeight="true" outlineLevel="0" collapsed="false"/>
    <row r="63809" customFormat="false" ht="12.75" hidden="false" customHeight="true" outlineLevel="0" collapsed="false"/>
    <row r="63810" customFormat="false" ht="12.75" hidden="false" customHeight="true" outlineLevel="0" collapsed="false"/>
    <row r="63811" customFormat="false" ht="12.75" hidden="false" customHeight="true" outlineLevel="0" collapsed="false"/>
    <row r="63812" customFormat="false" ht="12.75" hidden="false" customHeight="true" outlineLevel="0" collapsed="false"/>
    <row r="63813" customFormat="false" ht="12.75" hidden="false" customHeight="true" outlineLevel="0" collapsed="false"/>
    <row r="63814" customFormat="false" ht="12.75" hidden="false" customHeight="true" outlineLevel="0" collapsed="false"/>
    <row r="63815" customFormat="false" ht="12.75" hidden="false" customHeight="true" outlineLevel="0" collapsed="false"/>
    <row r="63816" customFormat="false" ht="12.75" hidden="false" customHeight="true" outlineLevel="0" collapsed="false"/>
    <row r="63817" customFormat="false" ht="12.75" hidden="false" customHeight="true" outlineLevel="0" collapsed="false"/>
    <row r="63818" customFormat="false" ht="12.75" hidden="false" customHeight="true" outlineLevel="0" collapsed="false"/>
    <row r="63819" customFormat="false" ht="12.75" hidden="false" customHeight="true" outlineLevel="0" collapsed="false"/>
    <row r="63820" customFormat="false" ht="12.75" hidden="false" customHeight="true" outlineLevel="0" collapsed="false"/>
    <row r="63821" customFormat="false" ht="12.75" hidden="false" customHeight="true" outlineLevel="0" collapsed="false"/>
    <row r="63822" customFormat="false" ht="12.75" hidden="false" customHeight="true" outlineLevel="0" collapsed="false"/>
    <row r="63823" customFormat="false" ht="12.75" hidden="false" customHeight="true" outlineLevel="0" collapsed="false"/>
    <row r="63824" customFormat="false" ht="12.75" hidden="false" customHeight="true" outlineLevel="0" collapsed="false"/>
    <row r="63825" customFormat="false" ht="12.75" hidden="false" customHeight="true" outlineLevel="0" collapsed="false"/>
    <row r="63826" customFormat="false" ht="12.75" hidden="false" customHeight="true" outlineLevel="0" collapsed="false"/>
    <row r="63827" customFormat="false" ht="12.75" hidden="false" customHeight="true" outlineLevel="0" collapsed="false"/>
    <row r="63828" customFormat="false" ht="12.75" hidden="false" customHeight="true" outlineLevel="0" collapsed="false"/>
    <row r="63829" customFormat="false" ht="12.75" hidden="false" customHeight="true" outlineLevel="0" collapsed="false"/>
    <row r="63830" customFormat="false" ht="12.75" hidden="false" customHeight="true" outlineLevel="0" collapsed="false"/>
    <row r="63831" customFormat="false" ht="12.75" hidden="false" customHeight="true" outlineLevel="0" collapsed="false"/>
    <row r="63832" customFormat="false" ht="12.75" hidden="false" customHeight="true" outlineLevel="0" collapsed="false"/>
    <row r="63833" customFormat="false" ht="12.75" hidden="false" customHeight="true" outlineLevel="0" collapsed="false"/>
    <row r="63834" customFormat="false" ht="12.75" hidden="false" customHeight="true" outlineLevel="0" collapsed="false"/>
    <row r="63835" customFormat="false" ht="12.75" hidden="false" customHeight="true" outlineLevel="0" collapsed="false"/>
    <row r="63836" customFormat="false" ht="12.75" hidden="false" customHeight="true" outlineLevel="0" collapsed="false"/>
    <row r="63837" customFormat="false" ht="12.75" hidden="false" customHeight="true" outlineLevel="0" collapsed="false"/>
    <row r="63838" customFormat="false" ht="12.75" hidden="false" customHeight="true" outlineLevel="0" collapsed="false"/>
    <row r="63839" customFormat="false" ht="12.75" hidden="false" customHeight="true" outlineLevel="0" collapsed="false"/>
    <row r="63840" customFormat="false" ht="12.75" hidden="false" customHeight="true" outlineLevel="0" collapsed="false"/>
    <row r="63841" customFormat="false" ht="12.75" hidden="false" customHeight="true" outlineLevel="0" collapsed="false"/>
    <row r="63842" customFormat="false" ht="12.75" hidden="false" customHeight="true" outlineLevel="0" collapsed="false"/>
    <row r="63843" customFormat="false" ht="12.75" hidden="false" customHeight="true" outlineLevel="0" collapsed="false"/>
    <row r="63844" customFormat="false" ht="12.75" hidden="false" customHeight="true" outlineLevel="0" collapsed="false"/>
    <row r="63845" customFormat="false" ht="12.75" hidden="false" customHeight="true" outlineLevel="0" collapsed="false"/>
    <row r="63846" customFormat="false" ht="12.75" hidden="false" customHeight="true" outlineLevel="0" collapsed="false"/>
    <row r="63847" customFormat="false" ht="12.75" hidden="false" customHeight="true" outlineLevel="0" collapsed="false"/>
    <row r="63848" customFormat="false" ht="12.75" hidden="false" customHeight="true" outlineLevel="0" collapsed="false"/>
    <row r="63849" customFormat="false" ht="12.75" hidden="false" customHeight="true" outlineLevel="0" collapsed="false"/>
    <row r="63850" customFormat="false" ht="12.75" hidden="false" customHeight="true" outlineLevel="0" collapsed="false"/>
    <row r="63851" customFormat="false" ht="12.75" hidden="false" customHeight="true" outlineLevel="0" collapsed="false"/>
    <row r="63852" customFormat="false" ht="12.75" hidden="false" customHeight="true" outlineLevel="0" collapsed="false"/>
    <row r="63853" customFormat="false" ht="12.75" hidden="false" customHeight="true" outlineLevel="0" collapsed="false"/>
    <row r="63854" customFormat="false" ht="12.75" hidden="false" customHeight="true" outlineLevel="0" collapsed="false"/>
    <row r="63855" customFormat="false" ht="12.75" hidden="false" customHeight="true" outlineLevel="0" collapsed="false"/>
    <row r="63856" customFormat="false" ht="12.75" hidden="false" customHeight="true" outlineLevel="0" collapsed="false"/>
    <row r="63857" customFormat="false" ht="12.75" hidden="false" customHeight="true" outlineLevel="0" collapsed="false"/>
    <row r="63858" customFormat="false" ht="12.75" hidden="false" customHeight="true" outlineLevel="0" collapsed="false"/>
    <row r="63859" customFormat="false" ht="12.75" hidden="false" customHeight="true" outlineLevel="0" collapsed="false"/>
    <row r="63860" customFormat="false" ht="12.75" hidden="false" customHeight="true" outlineLevel="0" collapsed="false"/>
    <row r="63861" customFormat="false" ht="12.75" hidden="false" customHeight="true" outlineLevel="0" collapsed="false"/>
    <row r="63862" customFormat="false" ht="12.75" hidden="false" customHeight="true" outlineLevel="0" collapsed="false"/>
    <row r="63863" customFormat="false" ht="12.75" hidden="false" customHeight="true" outlineLevel="0" collapsed="false"/>
    <row r="63864" customFormat="false" ht="12.75" hidden="false" customHeight="true" outlineLevel="0" collapsed="false"/>
    <row r="63865" customFormat="false" ht="12.75" hidden="false" customHeight="true" outlineLevel="0" collapsed="false"/>
    <row r="63866" customFormat="false" ht="12.75" hidden="false" customHeight="true" outlineLevel="0" collapsed="false"/>
    <row r="63867" customFormat="false" ht="12.75" hidden="false" customHeight="true" outlineLevel="0" collapsed="false"/>
    <row r="63868" customFormat="false" ht="12.75" hidden="false" customHeight="true" outlineLevel="0" collapsed="false"/>
    <row r="63869" customFormat="false" ht="12.75" hidden="false" customHeight="true" outlineLevel="0" collapsed="false"/>
    <row r="63870" customFormat="false" ht="12.75" hidden="false" customHeight="true" outlineLevel="0" collapsed="false"/>
    <row r="63871" customFormat="false" ht="12.75" hidden="false" customHeight="true" outlineLevel="0" collapsed="false"/>
    <row r="63872" customFormat="false" ht="12.75" hidden="false" customHeight="true" outlineLevel="0" collapsed="false"/>
    <row r="63873" customFormat="false" ht="12.75" hidden="false" customHeight="true" outlineLevel="0" collapsed="false"/>
    <row r="63874" customFormat="false" ht="12.75" hidden="false" customHeight="true" outlineLevel="0" collapsed="false"/>
    <row r="63875" customFormat="false" ht="12.75" hidden="false" customHeight="true" outlineLevel="0" collapsed="false"/>
    <row r="63876" customFormat="false" ht="12.75" hidden="false" customHeight="true" outlineLevel="0" collapsed="false"/>
    <row r="63877" customFormat="false" ht="12.75" hidden="false" customHeight="true" outlineLevel="0" collapsed="false"/>
    <row r="63878" customFormat="false" ht="12.75" hidden="false" customHeight="true" outlineLevel="0" collapsed="false"/>
    <row r="63879" customFormat="false" ht="12.75" hidden="false" customHeight="true" outlineLevel="0" collapsed="false"/>
    <row r="63880" customFormat="false" ht="12.75" hidden="false" customHeight="true" outlineLevel="0" collapsed="false"/>
    <row r="63881" customFormat="false" ht="12.75" hidden="false" customHeight="true" outlineLevel="0" collapsed="false"/>
    <row r="63882" customFormat="false" ht="12.75" hidden="false" customHeight="true" outlineLevel="0" collapsed="false"/>
    <row r="63883" customFormat="false" ht="12.75" hidden="false" customHeight="true" outlineLevel="0" collapsed="false"/>
    <row r="63884" customFormat="false" ht="12.75" hidden="false" customHeight="true" outlineLevel="0" collapsed="false"/>
    <row r="63885" customFormat="false" ht="12.75" hidden="false" customHeight="true" outlineLevel="0" collapsed="false"/>
    <row r="63886" customFormat="false" ht="12.75" hidden="false" customHeight="true" outlineLevel="0" collapsed="false"/>
    <row r="63887" customFormat="false" ht="12.75" hidden="false" customHeight="true" outlineLevel="0" collapsed="false"/>
    <row r="63888" customFormat="false" ht="12.75" hidden="false" customHeight="true" outlineLevel="0" collapsed="false"/>
    <row r="63889" customFormat="false" ht="12.75" hidden="false" customHeight="true" outlineLevel="0" collapsed="false"/>
    <row r="63890" customFormat="false" ht="12.75" hidden="false" customHeight="true" outlineLevel="0" collapsed="false"/>
    <row r="63891" customFormat="false" ht="12.75" hidden="false" customHeight="true" outlineLevel="0" collapsed="false"/>
    <row r="63892" customFormat="false" ht="12.75" hidden="false" customHeight="true" outlineLevel="0" collapsed="false"/>
    <row r="63893" customFormat="false" ht="12.75" hidden="false" customHeight="true" outlineLevel="0" collapsed="false"/>
    <row r="63894" customFormat="false" ht="12.75" hidden="false" customHeight="true" outlineLevel="0" collapsed="false"/>
    <row r="63895" customFormat="false" ht="12.75" hidden="false" customHeight="true" outlineLevel="0" collapsed="false"/>
    <row r="63896" customFormat="false" ht="12.75" hidden="false" customHeight="true" outlineLevel="0" collapsed="false"/>
    <row r="63897" customFormat="false" ht="12.75" hidden="false" customHeight="true" outlineLevel="0" collapsed="false"/>
    <row r="63898" customFormat="false" ht="12.75" hidden="false" customHeight="true" outlineLevel="0" collapsed="false"/>
    <row r="63899" customFormat="false" ht="12.75" hidden="false" customHeight="true" outlineLevel="0" collapsed="false"/>
    <row r="63900" customFormat="false" ht="12.75" hidden="false" customHeight="true" outlineLevel="0" collapsed="false"/>
    <row r="63901" customFormat="false" ht="12.75" hidden="false" customHeight="true" outlineLevel="0" collapsed="false"/>
    <row r="63902" customFormat="false" ht="12.75" hidden="false" customHeight="true" outlineLevel="0" collapsed="false"/>
    <row r="63903" customFormat="false" ht="12.75" hidden="false" customHeight="true" outlineLevel="0" collapsed="false"/>
    <row r="63904" customFormat="false" ht="12.75" hidden="false" customHeight="true" outlineLevel="0" collapsed="false"/>
    <row r="63905" customFormat="false" ht="12.75" hidden="false" customHeight="true" outlineLevel="0" collapsed="false"/>
    <row r="63906" customFormat="false" ht="12.75" hidden="false" customHeight="true" outlineLevel="0" collapsed="false"/>
    <row r="63907" customFormat="false" ht="12.75" hidden="false" customHeight="true" outlineLevel="0" collapsed="false"/>
    <row r="63908" customFormat="false" ht="12.75" hidden="false" customHeight="true" outlineLevel="0" collapsed="false"/>
    <row r="63909" customFormat="false" ht="12.75" hidden="false" customHeight="true" outlineLevel="0" collapsed="false"/>
    <row r="63910" customFormat="false" ht="12.75" hidden="false" customHeight="true" outlineLevel="0" collapsed="false"/>
    <row r="63911" customFormat="false" ht="12.75" hidden="false" customHeight="true" outlineLevel="0" collapsed="false"/>
    <row r="63912" customFormat="false" ht="12.75" hidden="false" customHeight="true" outlineLevel="0" collapsed="false"/>
    <row r="63913" customFormat="false" ht="12.75" hidden="false" customHeight="true" outlineLevel="0" collapsed="false"/>
    <row r="63914" customFormat="false" ht="12.75" hidden="false" customHeight="true" outlineLevel="0" collapsed="false"/>
    <row r="63915" customFormat="false" ht="12.75" hidden="false" customHeight="true" outlineLevel="0" collapsed="false"/>
    <row r="63916" customFormat="false" ht="12.75" hidden="false" customHeight="true" outlineLevel="0" collapsed="false"/>
    <row r="63917" customFormat="false" ht="12.75" hidden="false" customHeight="true" outlineLevel="0" collapsed="false"/>
    <row r="63918" customFormat="false" ht="12.75" hidden="false" customHeight="true" outlineLevel="0" collapsed="false"/>
    <row r="63919" customFormat="false" ht="12.75" hidden="false" customHeight="true" outlineLevel="0" collapsed="false"/>
    <row r="63920" customFormat="false" ht="12.75" hidden="false" customHeight="true" outlineLevel="0" collapsed="false"/>
    <row r="63921" customFormat="false" ht="12.75" hidden="false" customHeight="true" outlineLevel="0" collapsed="false"/>
    <row r="63922" customFormat="false" ht="12.75" hidden="false" customHeight="true" outlineLevel="0" collapsed="false"/>
    <row r="63923" customFormat="false" ht="12.75" hidden="false" customHeight="true" outlineLevel="0" collapsed="false"/>
    <row r="63924" customFormat="false" ht="12.75" hidden="false" customHeight="true" outlineLevel="0" collapsed="false"/>
    <row r="63925" customFormat="false" ht="12.75" hidden="false" customHeight="true" outlineLevel="0" collapsed="false"/>
    <row r="63926" customFormat="false" ht="12.75" hidden="false" customHeight="true" outlineLevel="0" collapsed="false"/>
    <row r="63927" customFormat="false" ht="12.75" hidden="false" customHeight="true" outlineLevel="0" collapsed="false"/>
    <row r="63928" customFormat="false" ht="12.75" hidden="false" customHeight="true" outlineLevel="0" collapsed="false"/>
    <row r="63929" customFormat="false" ht="12.75" hidden="false" customHeight="true" outlineLevel="0" collapsed="false"/>
    <row r="63930" customFormat="false" ht="12.75" hidden="false" customHeight="true" outlineLevel="0" collapsed="false"/>
    <row r="63931" customFormat="false" ht="12.75" hidden="false" customHeight="true" outlineLevel="0" collapsed="false"/>
    <row r="63932" customFormat="false" ht="12.75" hidden="false" customHeight="true" outlineLevel="0" collapsed="false"/>
    <row r="63933" customFormat="false" ht="12.75" hidden="false" customHeight="true" outlineLevel="0" collapsed="false"/>
    <row r="63934" customFormat="false" ht="12.75" hidden="false" customHeight="true" outlineLevel="0" collapsed="false"/>
    <row r="63935" customFormat="false" ht="12.75" hidden="false" customHeight="true" outlineLevel="0" collapsed="false"/>
    <row r="63936" customFormat="false" ht="12.75" hidden="false" customHeight="true" outlineLevel="0" collapsed="false"/>
    <row r="63937" customFormat="false" ht="12.75" hidden="false" customHeight="true" outlineLevel="0" collapsed="false"/>
    <row r="63938" customFormat="false" ht="12.75" hidden="false" customHeight="true" outlineLevel="0" collapsed="false"/>
    <row r="63939" customFormat="false" ht="12.75" hidden="false" customHeight="true" outlineLevel="0" collapsed="false"/>
    <row r="63940" customFormat="false" ht="12.75" hidden="false" customHeight="true" outlineLevel="0" collapsed="false"/>
    <row r="63941" customFormat="false" ht="12.75" hidden="false" customHeight="true" outlineLevel="0" collapsed="false"/>
    <row r="63942" customFormat="false" ht="12.75" hidden="false" customHeight="true" outlineLevel="0" collapsed="false"/>
    <row r="63943" customFormat="false" ht="12.75" hidden="false" customHeight="true" outlineLevel="0" collapsed="false"/>
    <row r="63944" customFormat="false" ht="12.75" hidden="false" customHeight="true" outlineLevel="0" collapsed="false"/>
    <row r="63945" customFormat="false" ht="12.75" hidden="false" customHeight="true" outlineLevel="0" collapsed="false"/>
    <row r="63946" customFormat="false" ht="12.75" hidden="false" customHeight="true" outlineLevel="0" collapsed="false"/>
    <row r="63947" customFormat="false" ht="12.75" hidden="false" customHeight="true" outlineLevel="0" collapsed="false"/>
    <row r="63948" customFormat="false" ht="12.75" hidden="false" customHeight="true" outlineLevel="0" collapsed="false"/>
    <row r="63949" customFormat="false" ht="12.75" hidden="false" customHeight="true" outlineLevel="0" collapsed="false"/>
    <row r="63950" customFormat="false" ht="12.75" hidden="false" customHeight="true" outlineLevel="0" collapsed="false"/>
    <row r="63951" customFormat="false" ht="12.75" hidden="false" customHeight="true" outlineLevel="0" collapsed="false"/>
    <row r="63952" customFormat="false" ht="12.75" hidden="false" customHeight="true" outlineLevel="0" collapsed="false"/>
    <row r="63953" customFormat="false" ht="12.75" hidden="false" customHeight="true" outlineLevel="0" collapsed="false"/>
    <row r="63954" customFormat="false" ht="12.75" hidden="false" customHeight="true" outlineLevel="0" collapsed="false"/>
    <row r="63955" customFormat="false" ht="12.75" hidden="false" customHeight="true" outlineLevel="0" collapsed="false"/>
    <row r="63956" customFormat="false" ht="12.75" hidden="false" customHeight="true" outlineLevel="0" collapsed="false"/>
    <row r="63957" customFormat="false" ht="12.75" hidden="false" customHeight="true" outlineLevel="0" collapsed="false"/>
    <row r="63958" customFormat="false" ht="12.75" hidden="false" customHeight="true" outlineLevel="0" collapsed="false"/>
    <row r="63959" customFormat="false" ht="12.75" hidden="false" customHeight="true" outlineLevel="0" collapsed="false"/>
    <row r="63960" customFormat="false" ht="12.75" hidden="false" customHeight="true" outlineLevel="0" collapsed="false"/>
    <row r="63961" customFormat="false" ht="12.75" hidden="false" customHeight="true" outlineLevel="0" collapsed="false"/>
    <row r="63962" customFormat="false" ht="12.75" hidden="false" customHeight="true" outlineLevel="0" collapsed="false"/>
    <row r="63963" customFormat="false" ht="12.75" hidden="false" customHeight="true" outlineLevel="0" collapsed="false"/>
    <row r="63964" customFormat="false" ht="12.75" hidden="false" customHeight="true" outlineLevel="0" collapsed="false"/>
    <row r="63965" customFormat="false" ht="12.75" hidden="false" customHeight="true" outlineLevel="0" collapsed="false"/>
    <row r="63966" customFormat="false" ht="12.75" hidden="false" customHeight="true" outlineLevel="0" collapsed="false"/>
    <row r="63967" customFormat="false" ht="12.75" hidden="false" customHeight="true" outlineLevel="0" collapsed="false"/>
    <row r="63968" customFormat="false" ht="12.75" hidden="false" customHeight="true" outlineLevel="0" collapsed="false"/>
    <row r="63969" customFormat="false" ht="12.75" hidden="false" customHeight="true" outlineLevel="0" collapsed="false"/>
    <row r="63970" customFormat="false" ht="12.75" hidden="false" customHeight="true" outlineLevel="0" collapsed="false"/>
    <row r="63971" customFormat="false" ht="12.75" hidden="false" customHeight="true" outlineLevel="0" collapsed="false"/>
    <row r="63972" customFormat="false" ht="12.75" hidden="false" customHeight="true" outlineLevel="0" collapsed="false"/>
    <row r="63973" customFormat="false" ht="12.75" hidden="false" customHeight="true" outlineLevel="0" collapsed="false"/>
    <row r="63974" customFormat="false" ht="12.75" hidden="false" customHeight="true" outlineLevel="0" collapsed="false"/>
    <row r="63975" customFormat="false" ht="12.75" hidden="false" customHeight="true" outlineLevel="0" collapsed="false"/>
    <row r="63976" customFormat="false" ht="12.75" hidden="false" customHeight="true" outlineLevel="0" collapsed="false"/>
    <row r="63977" customFormat="false" ht="12.75" hidden="false" customHeight="true" outlineLevel="0" collapsed="false"/>
    <row r="63978" customFormat="false" ht="12.75" hidden="false" customHeight="true" outlineLevel="0" collapsed="false"/>
    <row r="63979" customFormat="false" ht="12.75" hidden="false" customHeight="true" outlineLevel="0" collapsed="false"/>
    <row r="63980" customFormat="false" ht="12.75" hidden="false" customHeight="true" outlineLevel="0" collapsed="false"/>
    <row r="63981" customFormat="false" ht="12.75" hidden="false" customHeight="true" outlineLevel="0" collapsed="false"/>
    <row r="63982" customFormat="false" ht="12.75" hidden="false" customHeight="true" outlineLevel="0" collapsed="false"/>
    <row r="63983" customFormat="false" ht="12.75" hidden="false" customHeight="true" outlineLevel="0" collapsed="false"/>
    <row r="63984" customFormat="false" ht="12.75" hidden="false" customHeight="true" outlineLevel="0" collapsed="false"/>
    <row r="63985" customFormat="false" ht="12.75" hidden="false" customHeight="true" outlineLevel="0" collapsed="false"/>
    <row r="63986" customFormat="false" ht="12.75" hidden="false" customHeight="true" outlineLevel="0" collapsed="false"/>
    <row r="63987" customFormat="false" ht="12.75" hidden="false" customHeight="true" outlineLevel="0" collapsed="false"/>
    <row r="63988" customFormat="false" ht="12.75" hidden="false" customHeight="true" outlineLevel="0" collapsed="false"/>
    <row r="63989" customFormat="false" ht="12.75" hidden="false" customHeight="true" outlineLevel="0" collapsed="false"/>
    <row r="63990" customFormat="false" ht="12.75" hidden="false" customHeight="true" outlineLevel="0" collapsed="false"/>
    <row r="63991" customFormat="false" ht="12.75" hidden="false" customHeight="true" outlineLevel="0" collapsed="false"/>
    <row r="63992" customFormat="false" ht="12.75" hidden="false" customHeight="true" outlineLevel="0" collapsed="false"/>
    <row r="63993" customFormat="false" ht="12.75" hidden="false" customHeight="true" outlineLevel="0" collapsed="false"/>
    <row r="63994" customFormat="false" ht="12.75" hidden="false" customHeight="true" outlineLevel="0" collapsed="false"/>
    <row r="63995" customFormat="false" ht="12.75" hidden="false" customHeight="true" outlineLevel="0" collapsed="false"/>
    <row r="63996" customFormat="false" ht="12.75" hidden="false" customHeight="true" outlineLevel="0" collapsed="false"/>
    <row r="63997" customFormat="false" ht="12.75" hidden="false" customHeight="true" outlineLevel="0" collapsed="false"/>
    <row r="63998" customFormat="false" ht="12.75" hidden="false" customHeight="true" outlineLevel="0" collapsed="false"/>
    <row r="63999" customFormat="false" ht="12.75" hidden="false" customHeight="true" outlineLevel="0" collapsed="false"/>
    <row r="64000" customFormat="false" ht="12.75" hidden="false" customHeight="true" outlineLevel="0" collapsed="false"/>
    <row r="64001" customFormat="false" ht="12.75" hidden="false" customHeight="true" outlineLevel="0" collapsed="false"/>
    <row r="64002" customFormat="false" ht="12.75" hidden="false" customHeight="true" outlineLevel="0" collapsed="false"/>
    <row r="64003" customFormat="false" ht="12.75" hidden="false" customHeight="true" outlineLevel="0" collapsed="false"/>
    <row r="64004" customFormat="false" ht="12.75" hidden="false" customHeight="true" outlineLevel="0" collapsed="false"/>
    <row r="64005" customFormat="false" ht="12.75" hidden="false" customHeight="true" outlineLevel="0" collapsed="false"/>
    <row r="64006" customFormat="false" ht="12.75" hidden="false" customHeight="true" outlineLevel="0" collapsed="false"/>
    <row r="64007" customFormat="false" ht="12.75" hidden="false" customHeight="true" outlineLevel="0" collapsed="false"/>
    <row r="64008" customFormat="false" ht="12.75" hidden="false" customHeight="true" outlineLevel="0" collapsed="false"/>
    <row r="64009" customFormat="false" ht="12.75" hidden="false" customHeight="true" outlineLevel="0" collapsed="false"/>
    <row r="64010" customFormat="false" ht="12.75" hidden="false" customHeight="true" outlineLevel="0" collapsed="false"/>
    <row r="64011" customFormat="false" ht="12.75" hidden="false" customHeight="true" outlineLevel="0" collapsed="false"/>
    <row r="64012" customFormat="false" ht="12.75" hidden="false" customHeight="true" outlineLevel="0" collapsed="false"/>
    <row r="64013" customFormat="false" ht="12.75" hidden="false" customHeight="true" outlineLevel="0" collapsed="false"/>
    <row r="64014" customFormat="false" ht="12.75" hidden="false" customHeight="true" outlineLevel="0" collapsed="false"/>
    <row r="64015" customFormat="false" ht="12.75" hidden="false" customHeight="true" outlineLevel="0" collapsed="false"/>
    <row r="64016" customFormat="false" ht="12.75" hidden="false" customHeight="true" outlineLevel="0" collapsed="false"/>
    <row r="64017" customFormat="false" ht="12.75" hidden="false" customHeight="true" outlineLevel="0" collapsed="false"/>
    <row r="64018" customFormat="false" ht="12.75" hidden="false" customHeight="true" outlineLevel="0" collapsed="false"/>
    <row r="64019" customFormat="false" ht="12.75" hidden="false" customHeight="true" outlineLevel="0" collapsed="false"/>
    <row r="64020" customFormat="false" ht="12.75" hidden="false" customHeight="true" outlineLevel="0" collapsed="false"/>
    <row r="64021" customFormat="false" ht="12.75" hidden="false" customHeight="true" outlineLevel="0" collapsed="false"/>
    <row r="64022" customFormat="false" ht="12.75" hidden="false" customHeight="true" outlineLevel="0" collapsed="false"/>
    <row r="64023" customFormat="false" ht="12.75" hidden="false" customHeight="true" outlineLevel="0" collapsed="false"/>
    <row r="64024" customFormat="false" ht="12.75" hidden="false" customHeight="true" outlineLevel="0" collapsed="false"/>
    <row r="64025" customFormat="false" ht="12.75" hidden="false" customHeight="true" outlineLevel="0" collapsed="false"/>
    <row r="64026" customFormat="false" ht="12.75" hidden="false" customHeight="true" outlineLevel="0" collapsed="false"/>
    <row r="64027" customFormat="false" ht="12.75" hidden="false" customHeight="true" outlineLevel="0" collapsed="false"/>
    <row r="64028" customFormat="false" ht="12.75" hidden="false" customHeight="true" outlineLevel="0" collapsed="false"/>
    <row r="64029" customFormat="false" ht="12.75" hidden="false" customHeight="true" outlineLevel="0" collapsed="false"/>
    <row r="64030" customFormat="false" ht="12.75" hidden="false" customHeight="true" outlineLevel="0" collapsed="false"/>
    <row r="64031" customFormat="false" ht="12.75" hidden="false" customHeight="true" outlineLevel="0" collapsed="false"/>
    <row r="64032" customFormat="false" ht="12.75" hidden="false" customHeight="true" outlineLevel="0" collapsed="false"/>
    <row r="64033" customFormat="false" ht="12.75" hidden="false" customHeight="true" outlineLevel="0" collapsed="false"/>
    <row r="64034" customFormat="false" ht="12.75" hidden="false" customHeight="true" outlineLevel="0" collapsed="false"/>
    <row r="64035" customFormat="false" ht="12.75" hidden="false" customHeight="true" outlineLevel="0" collapsed="false"/>
    <row r="64036" customFormat="false" ht="12.75" hidden="false" customHeight="true" outlineLevel="0" collapsed="false"/>
    <row r="64037" customFormat="false" ht="12.75" hidden="false" customHeight="true" outlineLevel="0" collapsed="false"/>
    <row r="64038" customFormat="false" ht="12.75" hidden="false" customHeight="true" outlineLevel="0" collapsed="false"/>
    <row r="64039" customFormat="false" ht="12.75" hidden="false" customHeight="true" outlineLevel="0" collapsed="false"/>
    <row r="64040" customFormat="false" ht="12.75" hidden="false" customHeight="true" outlineLevel="0" collapsed="false"/>
    <row r="64041" customFormat="false" ht="12.75" hidden="false" customHeight="true" outlineLevel="0" collapsed="false"/>
    <row r="64042" customFormat="false" ht="12.75" hidden="false" customHeight="true" outlineLevel="0" collapsed="false"/>
    <row r="64043" customFormat="false" ht="12.75" hidden="false" customHeight="true" outlineLevel="0" collapsed="false"/>
    <row r="64044" customFormat="false" ht="12.75" hidden="false" customHeight="true" outlineLevel="0" collapsed="false"/>
    <row r="64045" customFormat="false" ht="12.75" hidden="false" customHeight="true" outlineLevel="0" collapsed="false"/>
    <row r="64046" customFormat="false" ht="12.75" hidden="false" customHeight="true" outlineLevel="0" collapsed="false"/>
    <row r="64047" customFormat="false" ht="12.75" hidden="false" customHeight="true" outlineLevel="0" collapsed="false"/>
    <row r="64048" customFormat="false" ht="12.75" hidden="false" customHeight="true" outlineLevel="0" collapsed="false"/>
    <row r="64049" customFormat="false" ht="12.75" hidden="false" customHeight="true" outlineLevel="0" collapsed="false"/>
    <row r="64050" customFormat="false" ht="12.75" hidden="false" customHeight="true" outlineLevel="0" collapsed="false"/>
    <row r="64051" customFormat="false" ht="12.75" hidden="false" customHeight="true" outlineLevel="0" collapsed="false"/>
    <row r="64052" customFormat="false" ht="12.75" hidden="false" customHeight="true" outlineLevel="0" collapsed="false"/>
    <row r="64053" customFormat="false" ht="12.75" hidden="false" customHeight="true" outlineLevel="0" collapsed="false"/>
    <row r="64054" customFormat="false" ht="12.75" hidden="false" customHeight="true" outlineLevel="0" collapsed="false"/>
    <row r="64055" customFormat="false" ht="12.75" hidden="false" customHeight="true" outlineLevel="0" collapsed="false"/>
    <row r="64056" customFormat="false" ht="12.75" hidden="false" customHeight="true" outlineLevel="0" collapsed="false"/>
    <row r="64057" customFormat="false" ht="12.75" hidden="false" customHeight="true" outlineLevel="0" collapsed="false"/>
    <row r="64058" customFormat="false" ht="12.75" hidden="false" customHeight="true" outlineLevel="0" collapsed="false"/>
    <row r="64059" customFormat="false" ht="12.75" hidden="false" customHeight="true" outlineLevel="0" collapsed="false"/>
    <row r="64060" customFormat="false" ht="12.75" hidden="false" customHeight="true" outlineLevel="0" collapsed="false"/>
    <row r="64061" customFormat="false" ht="12.75" hidden="false" customHeight="true" outlineLevel="0" collapsed="false"/>
    <row r="64062" customFormat="false" ht="12.75" hidden="false" customHeight="true" outlineLevel="0" collapsed="false"/>
    <row r="64063" customFormat="false" ht="12.75" hidden="false" customHeight="true" outlineLevel="0" collapsed="false"/>
    <row r="64064" customFormat="false" ht="12.75" hidden="false" customHeight="true" outlineLevel="0" collapsed="false"/>
    <row r="64065" customFormat="false" ht="12.75" hidden="false" customHeight="true" outlineLevel="0" collapsed="false"/>
    <row r="64066" customFormat="false" ht="12.75" hidden="false" customHeight="true" outlineLevel="0" collapsed="false"/>
    <row r="64067" customFormat="false" ht="12.75" hidden="false" customHeight="true" outlineLevel="0" collapsed="false"/>
    <row r="64068" customFormat="false" ht="12.75" hidden="false" customHeight="true" outlineLevel="0" collapsed="false"/>
    <row r="64069" customFormat="false" ht="12.75" hidden="false" customHeight="true" outlineLevel="0" collapsed="false"/>
    <row r="64070" customFormat="false" ht="12.75" hidden="false" customHeight="true" outlineLevel="0" collapsed="false"/>
    <row r="64071" customFormat="false" ht="12.75" hidden="false" customHeight="true" outlineLevel="0" collapsed="false"/>
    <row r="64072" customFormat="false" ht="12.75" hidden="false" customHeight="true" outlineLevel="0" collapsed="false"/>
    <row r="64073" customFormat="false" ht="12.75" hidden="false" customHeight="true" outlineLevel="0" collapsed="false"/>
    <row r="64074" customFormat="false" ht="12.75" hidden="false" customHeight="true" outlineLevel="0" collapsed="false"/>
    <row r="64075" customFormat="false" ht="12.75" hidden="false" customHeight="true" outlineLevel="0" collapsed="false"/>
    <row r="64076" customFormat="false" ht="12.75" hidden="false" customHeight="true" outlineLevel="0" collapsed="false"/>
    <row r="64077" customFormat="false" ht="12.75" hidden="false" customHeight="true" outlineLevel="0" collapsed="false"/>
    <row r="64078" customFormat="false" ht="12.75" hidden="false" customHeight="true" outlineLevel="0" collapsed="false"/>
    <row r="64079" customFormat="false" ht="12.75" hidden="false" customHeight="true" outlineLevel="0" collapsed="false"/>
    <row r="64080" customFormat="false" ht="12.75" hidden="false" customHeight="true" outlineLevel="0" collapsed="false"/>
    <row r="64081" customFormat="false" ht="12.75" hidden="false" customHeight="true" outlineLevel="0" collapsed="false"/>
    <row r="64082" customFormat="false" ht="12.75" hidden="false" customHeight="true" outlineLevel="0" collapsed="false"/>
    <row r="64083" customFormat="false" ht="12.75" hidden="false" customHeight="true" outlineLevel="0" collapsed="false"/>
    <row r="64084" customFormat="false" ht="12.75" hidden="false" customHeight="true" outlineLevel="0" collapsed="false"/>
    <row r="64085" customFormat="false" ht="12.75" hidden="false" customHeight="true" outlineLevel="0" collapsed="false"/>
    <row r="64086" customFormat="false" ht="12.75" hidden="false" customHeight="true" outlineLevel="0" collapsed="false"/>
    <row r="64087" customFormat="false" ht="12.75" hidden="false" customHeight="true" outlineLevel="0" collapsed="false"/>
    <row r="64088" customFormat="false" ht="12.75" hidden="false" customHeight="true" outlineLevel="0" collapsed="false"/>
    <row r="64089" customFormat="false" ht="12.75" hidden="false" customHeight="true" outlineLevel="0" collapsed="false"/>
    <row r="64090" customFormat="false" ht="12.75" hidden="false" customHeight="true" outlineLevel="0" collapsed="false"/>
    <row r="64091" customFormat="false" ht="12.75" hidden="false" customHeight="true" outlineLevel="0" collapsed="false"/>
    <row r="64092" customFormat="false" ht="12.75" hidden="false" customHeight="true" outlineLevel="0" collapsed="false"/>
    <row r="64093" customFormat="false" ht="12.75" hidden="false" customHeight="true" outlineLevel="0" collapsed="false"/>
    <row r="64094" customFormat="false" ht="12.75" hidden="false" customHeight="true" outlineLevel="0" collapsed="false"/>
    <row r="64095" customFormat="false" ht="12.75" hidden="false" customHeight="true" outlineLevel="0" collapsed="false"/>
    <row r="64096" customFormat="false" ht="12.75" hidden="false" customHeight="true" outlineLevel="0" collapsed="false"/>
    <row r="64097" customFormat="false" ht="12.75" hidden="false" customHeight="true" outlineLevel="0" collapsed="false"/>
    <row r="64098" customFormat="false" ht="12.75" hidden="false" customHeight="true" outlineLevel="0" collapsed="false"/>
    <row r="64099" customFormat="false" ht="12.75" hidden="false" customHeight="true" outlineLevel="0" collapsed="false"/>
    <row r="64100" customFormat="false" ht="12.75" hidden="false" customHeight="true" outlineLevel="0" collapsed="false"/>
    <row r="64101" customFormat="false" ht="12.75" hidden="false" customHeight="true" outlineLevel="0" collapsed="false"/>
    <row r="64102" customFormat="false" ht="12.75" hidden="false" customHeight="true" outlineLevel="0" collapsed="false"/>
    <row r="64103" customFormat="false" ht="12.75" hidden="false" customHeight="true" outlineLevel="0" collapsed="false"/>
    <row r="64104" customFormat="false" ht="12.75" hidden="false" customHeight="true" outlineLevel="0" collapsed="false"/>
    <row r="64105" customFormat="false" ht="12.75" hidden="false" customHeight="true" outlineLevel="0" collapsed="false"/>
    <row r="64106" customFormat="false" ht="12.75" hidden="false" customHeight="true" outlineLevel="0" collapsed="false"/>
    <row r="64107" customFormat="false" ht="12.75" hidden="false" customHeight="true" outlineLevel="0" collapsed="false"/>
    <row r="64108" customFormat="false" ht="12.75" hidden="false" customHeight="true" outlineLevel="0" collapsed="false"/>
    <row r="64109" customFormat="false" ht="12.75" hidden="false" customHeight="true" outlineLevel="0" collapsed="false"/>
    <row r="64110" customFormat="false" ht="12.75" hidden="false" customHeight="true" outlineLevel="0" collapsed="false"/>
    <row r="64111" customFormat="false" ht="12.75" hidden="false" customHeight="true" outlineLevel="0" collapsed="false"/>
    <row r="64112" customFormat="false" ht="12.75" hidden="false" customHeight="true" outlineLevel="0" collapsed="false"/>
    <row r="64113" customFormat="false" ht="12.75" hidden="false" customHeight="true" outlineLevel="0" collapsed="false"/>
    <row r="64114" customFormat="false" ht="12.75" hidden="false" customHeight="true" outlineLevel="0" collapsed="false"/>
    <row r="64115" customFormat="false" ht="12.75" hidden="false" customHeight="true" outlineLevel="0" collapsed="false"/>
    <row r="64116" customFormat="false" ht="12.75" hidden="false" customHeight="true" outlineLevel="0" collapsed="false"/>
    <row r="64117" customFormat="false" ht="12.75" hidden="false" customHeight="true" outlineLevel="0" collapsed="false"/>
    <row r="64118" customFormat="false" ht="12.75" hidden="false" customHeight="true" outlineLevel="0" collapsed="false"/>
    <row r="64119" customFormat="false" ht="12.75" hidden="false" customHeight="true" outlineLevel="0" collapsed="false"/>
    <row r="64120" customFormat="false" ht="12.75" hidden="false" customHeight="true" outlineLevel="0" collapsed="false"/>
    <row r="64121" customFormat="false" ht="12.75" hidden="false" customHeight="true" outlineLevel="0" collapsed="false"/>
    <row r="64122" customFormat="false" ht="12.75" hidden="false" customHeight="true" outlineLevel="0" collapsed="false"/>
    <row r="64123" customFormat="false" ht="12.75" hidden="false" customHeight="true" outlineLevel="0" collapsed="false"/>
    <row r="64124" customFormat="false" ht="12.75" hidden="false" customHeight="true" outlineLevel="0" collapsed="false"/>
    <row r="64125" customFormat="false" ht="12.75" hidden="false" customHeight="true" outlineLevel="0" collapsed="false"/>
    <row r="64126" customFormat="false" ht="12.75" hidden="false" customHeight="true" outlineLevel="0" collapsed="false"/>
    <row r="64127" customFormat="false" ht="12.75" hidden="false" customHeight="true" outlineLevel="0" collapsed="false"/>
    <row r="64128" customFormat="false" ht="12.75" hidden="false" customHeight="true" outlineLevel="0" collapsed="false"/>
    <row r="64129" customFormat="false" ht="12.75" hidden="false" customHeight="true" outlineLevel="0" collapsed="false"/>
    <row r="64130" customFormat="false" ht="12.75" hidden="false" customHeight="true" outlineLevel="0" collapsed="false"/>
    <row r="64131" customFormat="false" ht="12.75" hidden="false" customHeight="true" outlineLevel="0" collapsed="false"/>
    <row r="64132" customFormat="false" ht="12.75" hidden="false" customHeight="true" outlineLevel="0" collapsed="false"/>
    <row r="64133" customFormat="false" ht="12.75" hidden="false" customHeight="true" outlineLevel="0" collapsed="false"/>
    <row r="64134" customFormat="false" ht="12.75" hidden="false" customHeight="true" outlineLevel="0" collapsed="false"/>
    <row r="64135" customFormat="false" ht="12.75" hidden="false" customHeight="true" outlineLevel="0" collapsed="false"/>
    <row r="64136" customFormat="false" ht="12.75" hidden="false" customHeight="true" outlineLevel="0" collapsed="false"/>
    <row r="64137" customFormat="false" ht="12.75" hidden="false" customHeight="true" outlineLevel="0" collapsed="false"/>
    <row r="64138" customFormat="false" ht="12.75" hidden="false" customHeight="true" outlineLevel="0" collapsed="false"/>
    <row r="64139" customFormat="false" ht="12.75" hidden="false" customHeight="true" outlineLevel="0" collapsed="false"/>
    <row r="64140" customFormat="false" ht="12.75" hidden="false" customHeight="true" outlineLevel="0" collapsed="false"/>
    <row r="64141" customFormat="false" ht="12.75" hidden="false" customHeight="true" outlineLevel="0" collapsed="false"/>
    <row r="64142" customFormat="false" ht="12.75" hidden="false" customHeight="true" outlineLevel="0" collapsed="false"/>
    <row r="64143" customFormat="false" ht="12.75" hidden="false" customHeight="true" outlineLevel="0" collapsed="false"/>
    <row r="64144" customFormat="false" ht="12.75" hidden="false" customHeight="true" outlineLevel="0" collapsed="false"/>
    <row r="64145" customFormat="false" ht="12.75" hidden="false" customHeight="true" outlineLevel="0" collapsed="false"/>
    <row r="64146" customFormat="false" ht="12.75" hidden="false" customHeight="true" outlineLevel="0" collapsed="false"/>
    <row r="64147" customFormat="false" ht="12.75" hidden="false" customHeight="true" outlineLevel="0" collapsed="false"/>
    <row r="64148" customFormat="false" ht="12.75" hidden="false" customHeight="true" outlineLevel="0" collapsed="false"/>
    <row r="64149" customFormat="false" ht="12.75" hidden="false" customHeight="true" outlineLevel="0" collapsed="false"/>
    <row r="64150" customFormat="false" ht="12.75" hidden="false" customHeight="true" outlineLevel="0" collapsed="false"/>
    <row r="64151" customFormat="false" ht="12.75" hidden="false" customHeight="true" outlineLevel="0" collapsed="false"/>
    <row r="64152" customFormat="false" ht="12.75" hidden="false" customHeight="true" outlineLevel="0" collapsed="false"/>
    <row r="64153" customFormat="false" ht="12.75" hidden="false" customHeight="true" outlineLevel="0" collapsed="false"/>
    <row r="64154" customFormat="false" ht="12.75" hidden="false" customHeight="true" outlineLevel="0" collapsed="false"/>
    <row r="64155" customFormat="false" ht="12.75" hidden="false" customHeight="true" outlineLevel="0" collapsed="false"/>
    <row r="64156" customFormat="false" ht="12.75" hidden="false" customHeight="true" outlineLevel="0" collapsed="false"/>
    <row r="64157" customFormat="false" ht="12.75" hidden="false" customHeight="true" outlineLevel="0" collapsed="false"/>
    <row r="64158" customFormat="false" ht="12.75" hidden="false" customHeight="true" outlineLevel="0" collapsed="false"/>
    <row r="64159" customFormat="false" ht="12.75" hidden="false" customHeight="true" outlineLevel="0" collapsed="false"/>
    <row r="64160" customFormat="false" ht="12.75" hidden="false" customHeight="true" outlineLevel="0" collapsed="false"/>
    <row r="64161" customFormat="false" ht="12.75" hidden="false" customHeight="true" outlineLevel="0" collapsed="false"/>
    <row r="64162" customFormat="false" ht="12.75" hidden="false" customHeight="true" outlineLevel="0" collapsed="false"/>
    <row r="64163" customFormat="false" ht="12.75" hidden="false" customHeight="true" outlineLevel="0" collapsed="false"/>
    <row r="64164" customFormat="false" ht="12.75" hidden="false" customHeight="true" outlineLevel="0" collapsed="false"/>
    <row r="64165" customFormat="false" ht="12.75" hidden="false" customHeight="true" outlineLevel="0" collapsed="false"/>
    <row r="64166" customFormat="false" ht="12.75" hidden="false" customHeight="true" outlineLevel="0" collapsed="false"/>
    <row r="64167" customFormat="false" ht="12.75" hidden="false" customHeight="true" outlineLevel="0" collapsed="false"/>
    <row r="64168" customFormat="false" ht="12.75" hidden="false" customHeight="true" outlineLevel="0" collapsed="false"/>
    <row r="64169" customFormat="false" ht="12.75" hidden="false" customHeight="true" outlineLevel="0" collapsed="false"/>
    <row r="64170" customFormat="false" ht="12.75" hidden="false" customHeight="true" outlineLevel="0" collapsed="false"/>
    <row r="64171" customFormat="false" ht="12.75" hidden="false" customHeight="true" outlineLevel="0" collapsed="false"/>
    <row r="64172" customFormat="false" ht="12.75" hidden="false" customHeight="true" outlineLevel="0" collapsed="false"/>
    <row r="64173" customFormat="false" ht="12.75" hidden="false" customHeight="true" outlineLevel="0" collapsed="false"/>
    <row r="64174" customFormat="false" ht="12.75" hidden="false" customHeight="true" outlineLevel="0" collapsed="false"/>
    <row r="64175" customFormat="false" ht="12.75" hidden="false" customHeight="true" outlineLevel="0" collapsed="false"/>
    <row r="64176" customFormat="false" ht="12.75" hidden="false" customHeight="true" outlineLevel="0" collapsed="false"/>
    <row r="64177" customFormat="false" ht="12.75" hidden="false" customHeight="true" outlineLevel="0" collapsed="false"/>
    <row r="64178" customFormat="false" ht="12.75" hidden="false" customHeight="true" outlineLevel="0" collapsed="false"/>
    <row r="64179" customFormat="false" ht="12.75" hidden="false" customHeight="true" outlineLevel="0" collapsed="false"/>
    <row r="64180" customFormat="false" ht="12.75" hidden="false" customHeight="true" outlineLevel="0" collapsed="false"/>
    <row r="64181" customFormat="false" ht="12.75" hidden="false" customHeight="true" outlineLevel="0" collapsed="false"/>
    <row r="64182" customFormat="false" ht="12.75" hidden="false" customHeight="true" outlineLevel="0" collapsed="false"/>
    <row r="64183" customFormat="false" ht="12.75" hidden="false" customHeight="true" outlineLevel="0" collapsed="false"/>
    <row r="64184" customFormat="false" ht="12.75" hidden="false" customHeight="true" outlineLevel="0" collapsed="false"/>
    <row r="64185" customFormat="false" ht="12.75" hidden="false" customHeight="true" outlineLevel="0" collapsed="false"/>
    <row r="64186" customFormat="false" ht="12.75" hidden="false" customHeight="true" outlineLevel="0" collapsed="false"/>
    <row r="64187" customFormat="false" ht="12.75" hidden="false" customHeight="true" outlineLevel="0" collapsed="false"/>
    <row r="64188" customFormat="false" ht="12.75" hidden="false" customHeight="true" outlineLevel="0" collapsed="false"/>
    <row r="64189" customFormat="false" ht="12.75" hidden="false" customHeight="true" outlineLevel="0" collapsed="false"/>
    <row r="64190" customFormat="false" ht="12.75" hidden="false" customHeight="true" outlineLevel="0" collapsed="false"/>
    <row r="64191" customFormat="false" ht="12.75" hidden="false" customHeight="true" outlineLevel="0" collapsed="false"/>
    <row r="64192" customFormat="false" ht="12.75" hidden="false" customHeight="true" outlineLevel="0" collapsed="false"/>
    <row r="64193" customFormat="false" ht="12.75" hidden="false" customHeight="true" outlineLevel="0" collapsed="false"/>
    <row r="64194" customFormat="false" ht="12.75" hidden="false" customHeight="true" outlineLevel="0" collapsed="false"/>
    <row r="64195" customFormat="false" ht="12.75" hidden="false" customHeight="true" outlineLevel="0" collapsed="false"/>
    <row r="64196" customFormat="false" ht="12.75" hidden="false" customHeight="true" outlineLevel="0" collapsed="false"/>
    <row r="64197" customFormat="false" ht="12.75" hidden="false" customHeight="true" outlineLevel="0" collapsed="false"/>
    <row r="64198" customFormat="false" ht="12.75" hidden="false" customHeight="true" outlineLevel="0" collapsed="false"/>
    <row r="64199" customFormat="false" ht="12.75" hidden="false" customHeight="true" outlineLevel="0" collapsed="false"/>
    <row r="64200" customFormat="false" ht="12.75" hidden="false" customHeight="true" outlineLevel="0" collapsed="false"/>
    <row r="64201" customFormat="false" ht="12.75" hidden="false" customHeight="true" outlineLevel="0" collapsed="false"/>
    <row r="64202" customFormat="false" ht="12.75" hidden="false" customHeight="true" outlineLevel="0" collapsed="false"/>
    <row r="64203" customFormat="false" ht="12.75" hidden="false" customHeight="true" outlineLevel="0" collapsed="false"/>
    <row r="64204" customFormat="false" ht="12.75" hidden="false" customHeight="true" outlineLevel="0" collapsed="false"/>
    <row r="64205" customFormat="false" ht="12.75" hidden="false" customHeight="true" outlineLevel="0" collapsed="false"/>
    <row r="64206" customFormat="false" ht="12.75" hidden="false" customHeight="true" outlineLevel="0" collapsed="false"/>
    <row r="64207" customFormat="false" ht="12.75" hidden="false" customHeight="true" outlineLevel="0" collapsed="false"/>
    <row r="64208" customFormat="false" ht="12.75" hidden="false" customHeight="true" outlineLevel="0" collapsed="false"/>
    <row r="64209" customFormat="false" ht="12.75" hidden="false" customHeight="true" outlineLevel="0" collapsed="false"/>
    <row r="64210" customFormat="false" ht="12.75" hidden="false" customHeight="true" outlineLevel="0" collapsed="false"/>
    <row r="64211" customFormat="false" ht="12.75" hidden="false" customHeight="true" outlineLevel="0" collapsed="false"/>
    <row r="64212" customFormat="false" ht="12.75" hidden="false" customHeight="true" outlineLevel="0" collapsed="false"/>
    <row r="64213" customFormat="false" ht="12.75" hidden="false" customHeight="true" outlineLevel="0" collapsed="false"/>
    <row r="64214" customFormat="false" ht="12.75" hidden="false" customHeight="true" outlineLevel="0" collapsed="false"/>
    <row r="64215" customFormat="false" ht="12.75" hidden="false" customHeight="true" outlineLevel="0" collapsed="false"/>
    <row r="64216" customFormat="false" ht="12.75" hidden="false" customHeight="true" outlineLevel="0" collapsed="false"/>
    <row r="64217" customFormat="false" ht="12.75" hidden="false" customHeight="true" outlineLevel="0" collapsed="false"/>
    <row r="64218" customFormat="false" ht="12.75" hidden="false" customHeight="true" outlineLevel="0" collapsed="false"/>
    <row r="64219" customFormat="false" ht="12.75" hidden="false" customHeight="true" outlineLevel="0" collapsed="false"/>
    <row r="64220" customFormat="false" ht="12.75" hidden="false" customHeight="true" outlineLevel="0" collapsed="false"/>
    <row r="64221" customFormat="false" ht="12.75" hidden="false" customHeight="true" outlineLevel="0" collapsed="false"/>
    <row r="64222" customFormat="false" ht="12.75" hidden="false" customHeight="true" outlineLevel="0" collapsed="false"/>
    <row r="64223" customFormat="false" ht="12.75" hidden="false" customHeight="true" outlineLevel="0" collapsed="false"/>
    <row r="64224" customFormat="false" ht="12.75" hidden="false" customHeight="true" outlineLevel="0" collapsed="false"/>
    <row r="64225" customFormat="false" ht="12.75" hidden="false" customHeight="true" outlineLevel="0" collapsed="false"/>
    <row r="64226" customFormat="false" ht="12.75" hidden="false" customHeight="true" outlineLevel="0" collapsed="false"/>
    <row r="64227" customFormat="false" ht="12.75" hidden="false" customHeight="true" outlineLevel="0" collapsed="false"/>
    <row r="64228" customFormat="false" ht="12.75" hidden="false" customHeight="true" outlineLevel="0" collapsed="false"/>
    <row r="64229" customFormat="false" ht="12.75" hidden="false" customHeight="true" outlineLevel="0" collapsed="false"/>
    <row r="64230" customFormat="false" ht="12.75" hidden="false" customHeight="true" outlineLevel="0" collapsed="false"/>
    <row r="64231" customFormat="false" ht="12.75" hidden="false" customHeight="true" outlineLevel="0" collapsed="false"/>
    <row r="64232" customFormat="false" ht="12.75" hidden="false" customHeight="true" outlineLevel="0" collapsed="false"/>
    <row r="64233" customFormat="false" ht="12.75" hidden="false" customHeight="true" outlineLevel="0" collapsed="false"/>
    <row r="64234" customFormat="false" ht="12.75" hidden="false" customHeight="true" outlineLevel="0" collapsed="false"/>
    <row r="64235" customFormat="false" ht="12.75" hidden="false" customHeight="true" outlineLevel="0" collapsed="false"/>
    <row r="64236" customFormat="false" ht="12.75" hidden="false" customHeight="true" outlineLevel="0" collapsed="false"/>
    <row r="64237" customFormat="false" ht="12.75" hidden="false" customHeight="true" outlineLevel="0" collapsed="false"/>
    <row r="64238" customFormat="false" ht="12.75" hidden="false" customHeight="true" outlineLevel="0" collapsed="false"/>
    <row r="64239" customFormat="false" ht="12.75" hidden="false" customHeight="true" outlineLevel="0" collapsed="false"/>
    <row r="64240" customFormat="false" ht="12.75" hidden="false" customHeight="true" outlineLevel="0" collapsed="false"/>
    <row r="64241" customFormat="false" ht="12.75" hidden="false" customHeight="true" outlineLevel="0" collapsed="false"/>
    <row r="64242" customFormat="false" ht="12.75" hidden="false" customHeight="true" outlineLevel="0" collapsed="false"/>
    <row r="64243" customFormat="false" ht="12.75" hidden="false" customHeight="true" outlineLevel="0" collapsed="false"/>
    <row r="64244" customFormat="false" ht="12.75" hidden="false" customHeight="true" outlineLevel="0" collapsed="false"/>
    <row r="64245" customFormat="false" ht="12.75" hidden="false" customHeight="true" outlineLevel="0" collapsed="false"/>
    <row r="64246" customFormat="false" ht="12.75" hidden="false" customHeight="true" outlineLevel="0" collapsed="false"/>
    <row r="64247" customFormat="false" ht="12.75" hidden="false" customHeight="true" outlineLevel="0" collapsed="false"/>
    <row r="64248" customFormat="false" ht="12.75" hidden="false" customHeight="true" outlineLevel="0" collapsed="false"/>
    <row r="64249" customFormat="false" ht="12.75" hidden="false" customHeight="true" outlineLevel="0" collapsed="false"/>
    <row r="64250" customFormat="false" ht="12.75" hidden="false" customHeight="true" outlineLevel="0" collapsed="false"/>
    <row r="64251" customFormat="false" ht="12.75" hidden="false" customHeight="true" outlineLevel="0" collapsed="false"/>
    <row r="64252" customFormat="false" ht="12.75" hidden="false" customHeight="true" outlineLevel="0" collapsed="false"/>
    <row r="64253" customFormat="false" ht="12.75" hidden="false" customHeight="true" outlineLevel="0" collapsed="false"/>
    <row r="64254" customFormat="false" ht="12.75" hidden="false" customHeight="true" outlineLevel="0" collapsed="false"/>
    <row r="64255" customFormat="false" ht="12.75" hidden="false" customHeight="true" outlineLevel="0" collapsed="false"/>
    <row r="64256" customFormat="false" ht="12.75" hidden="false" customHeight="true" outlineLevel="0" collapsed="false"/>
    <row r="64257" customFormat="false" ht="12.75" hidden="false" customHeight="true" outlineLevel="0" collapsed="false"/>
    <row r="64258" customFormat="false" ht="12.75" hidden="false" customHeight="true" outlineLevel="0" collapsed="false"/>
    <row r="64259" customFormat="false" ht="12.75" hidden="false" customHeight="true" outlineLevel="0" collapsed="false"/>
    <row r="64260" customFormat="false" ht="12.75" hidden="false" customHeight="true" outlineLevel="0" collapsed="false"/>
    <row r="64261" customFormat="false" ht="12.75" hidden="false" customHeight="true" outlineLevel="0" collapsed="false"/>
    <row r="64262" customFormat="false" ht="12.75" hidden="false" customHeight="true" outlineLevel="0" collapsed="false"/>
    <row r="64263" customFormat="false" ht="12.75" hidden="false" customHeight="true" outlineLevel="0" collapsed="false"/>
    <row r="64264" customFormat="false" ht="12.75" hidden="false" customHeight="true" outlineLevel="0" collapsed="false"/>
    <row r="64265" customFormat="false" ht="12.75" hidden="false" customHeight="true" outlineLevel="0" collapsed="false"/>
    <row r="64266" customFormat="false" ht="12.75" hidden="false" customHeight="true" outlineLevel="0" collapsed="false"/>
    <row r="64267" customFormat="false" ht="12.75" hidden="false" customHeight="true" outlineLevel="0" collapsed="false"/>
    <row r="64268" customFormat="false" ht="12.75" hidden="false" customHeight="true" outlineLevel="0" collapsed="false"/>
    <row r="64269" customFormat="false" ht="12.75" hidden="false" customHeight="true" outlineLevel="0" collapsed="false"/>
    <row r="64270" customFormat="false" ht="12.75" hidden="false" customHeight="true" outlineLevel="0" collapsed="false"/>
    <row r="64271" customFormat="false" ht="12.75" hidden="false" customHeight="true" outlineLevel="0" collapsed="false"/>
    <row r="64272" customFormat="false" ht="12.75" hidden="false" customHeight="true" outlineLevel="0" collapsed="false"/>
    <row r="64273" customFormat="false" ht="12.75" hidden="false" customHeight="true" outlineLevel="0" collapsed="false"/>
    <row r="64274" customFormat="false" ht="12.75" hidden="false" customHeight="true" outlineLevel="0" collapsed="false"/>
    <row r="64275" customFormat="false" ht="12.75" hidden="false" customHeight="true" outlineLevel="0" collapsed="false"/>
    <row r="64276" customFormat="false" ht="12.75" hidden="false" customHeight="true" outlineLevel="0" collapsed="false"/>
    <row r="64277" customFormat="false" ht="12.75" hidden="false" customHeight="true" outlineLevel="0" collapsed="false"/>
    <row r="64278" customFormat="false" ht="12.75" hidden="false" customHeight="true" outlineLevel="0" collapsed="false"/>
    <row r="64279" customFormat="false" ht="12.75" hidden="false" customHeight="true" outlineLevel="0" collapsed="false"/>
    <row r="64280" customFormat="false" ht="12.75" hidden="false" customHeight="true" outlineLevel="0" collapsed="false"/>
    <row r="64281" customFormat="false" ht="12.75" hidden="false" customHeight="true" outlineLevel="0" collapsed="false"/>
    <row r="64282" customFormat="false" ht="12.75" hidden="false" customHeight="true" outlineLevel="0" collapsed="false"/>
    <row r="64283" customFormat="false" ht="12.75" hidden="false" customHeight="true" outlineLevel="0" collapsed="false"/>
    <row r="64284" customFormat="false" ht="12.75" hidden="false" customHeight="true" outlineLevel="0" collapsed="false"/>
    <row r="64285" customFormat="false" ht="12.75" hidden="false" customHeight="true" outlineLevel="0" collapsed="false"/>
    <row r="64286" customFormat="false" ht="12.75" hidden="false" customHeight="true" outlineLevel="0" collapsed="false"/>
    <row r="64287" customFormat="false" ht="12.75" hidden="false" customHeight="true" outlineLevel="0" collapsed="false"/>
    <row r="64288" customFormat="false" ht="12.75" hidden="false" customHeight="true" outlineLevel="0" collapsed="false"/>
    <row r="64289" customFormat="false" ht="12.75" hidden="false" customHeight="true" outlineLevel="0" collapsed="false"/>
    <row r="64290" customFormat="false" ht="12.75" hidden="false" customHeight="true" outlineLevel="0" collapsed="false"/>
    <row r="64291" customFormat="false" ht="12.75" hidden="false" customHeight="true" outlineLevel="0" collapsed="false"/>
    <row r="64292" customFormat="false" ht="12.75" hidden="false" customHeight="true" outlineLevel="0" collapsed="false"/>
    <row r="64293" customFormat="false" ht="12.75" hidden="false" customHeight="true" outlineLevel="0" collapsed="false"/>
    <row r="64294" customFormat="false" ht="12.75" hidden="false" customHeight="true" outlineLevel="0" collapsed="false"/>
    <row r="64295" customFormat="false" ht="12.75" hidden="false" customHeight="true" outlineLevel="0" collapsed="false"/>
    <row r="64296" customFormat="false" ht="12.75" hidden="false" customHeight="true" outlineLevel="0" collapsed="false"/>
    <row r="64297" customFormat="false" ht="12.75" hidden="false" customHeight="true" outlineLevel="0" collapsed="false"/>
    <row r="64298" customFormat="false" ht="12.75" hidden="false" customHeight="true" outlineLevel="0" collapsed="false"/>
    <row r="64299" customFormat="false" ht="12.75" hidden="false" customHeight="true" outlineLevel="0" collapsed="false"/>
    <row r="64300" customFormat="false" ht="12.75" hidden="false" customHeight="true" outlineLevel="0" collapsed="false"/>
    <row r="64301" customFormat="false" ht="12.75" hidden="false" customHeight="true" outlineLevel="0" collapsed="false"/>
    <row r="64302" customFormat="false" ht="12.75" hidden="false" customHeight="true" outlineLevel="0" collapsed="false"/>
    <row r="64303" customFormat="false" ht="12.75" hidden="false" customHeight="true" outlineLevel="0" collapsed="false"/>
    <row r="64304" customFormat="false" ht="12.75" hidden="false" customHeight="true" outlineLevel="0" collapsed="false"/>
    <row r="64305" customFormat="false" ht="12.75" hidden="false" customHeight="true" outlineLevel="0" collapsed="false"/>
    <row r="64306" customFormat="false" ht="12.75" hidden="false" customHeight="true" outlineLevel="0" collapsed="false"/>
    <row r="64307" customFormat="false" ht="12.75" hidden="false" customHeight="true" outlineLevel="0" collapsed="false"/>
    <row r="64308" customFormat="false" ht="12.75" hidden="false" customHeight="true" outlineLevel="0" collapsed="false"/>
    <row r="64309" customFormat="false" ht="12.75" hidden="false" customHeight="true" outlineLevel="0" collapsed="false"/>
    <row r="64310" customFormat="false" ht="12.75" hidden="false" customHeight="true" outlineLevel="0" collapsed="false"/>
    <row r="64311" customFormat="false" ht="12.75" hidden="false" customHeight="true" outlineLevel="0" collapsed="false"/>
    <row r="64312" customFormat="false" ht="12.75" hidden="false" customHeight="true" outlineLevel="0" collapsed="false"/>
    <row r="64313" customFormat="false" ht="12.75" hidden="false" customHeight="true" outlineLevel="0" collapsed="false"/>
    <row r="64314" customFormat="false" ht="12.75" hidden="false" customHeight="true" outlineLevel="0" collapsed="false"/>
    <row r="64315" customFormat="false" ht="12.75" hidden="false" customHeight="true" outlineLevel="0" collapsed="false"/>
    <row r="64316" customFormat="false" ht="12.75" hidden="false" customHeight="true" outlineLevel="0" collapsed="false"/>
    <row r="64317" customFormat="false" ht="12.75" hidden="false" customHeight="true" outlineLevel="0" collapsed="false"/>
    <row r="64318" customFormat="false" ht="12.75" hidden="false" customHeight="true" outlineLevel="0" collapsed="false"/>
    <row r="64319" customFormat="false" ht="12.75" hidden="false" customHeight="true" outlineLevel="0" collapsed="false"/>
    <row r="64320" customFormat="false" ht="12.75" hidden="false" customHeight="true" outlineLevel="0" collapsed="false"/>
    <row r="64321" customFormat="false" ht="12.75" hidden="false" customHeight="true" outlineLevel="0" collapsed="false"/>
    <row r="64322" customFormat="false" ht="12.75" hidden="false" customHeight="true" outlineLevel="0" collapsed="false"/>
    <row r="64323" customFormat="false" ht="12.75" hidden="false" customHeight="true" outlineLevel="0" collapsed="false"/>
    <row r="64324" customFormat="false" ht="12.75" hidden="false" customHeight="true" outlineLevel="0" collapsed="false"/>
    <row r="64325" customFormat="false" ht="12.75" hidden="false" customHeight="true" outlineLevel="0" collapsed="false"/>
    <row r="64326" customFormat="false" ht="12.75" hidden="false" customHeight="true" outlineLevel="0" collapsed="false"/>
    <row r="64327" customFormat="false" ht="12.75" hidden="false" customHeight="true" outlineLevel="0" collapsed="false"/>
    <row r="64328" customFormat="false" ht="12.75" hidden="false" customHeight="true" outlineLevel="0" collapsed="false"/>
    <row r="64329" customFormat="false" ht="12.75" hidden="false" customHeight="true" outlineLevel="0" collapsed="false"/>
    <row r="64330" customFormat="false" ht="12.75" hidden="false" customHeight="true" outlineLevel="0" collapsed="false"/>
    <row r="64331" customFormat="false" ht="12.75" hidden="false" customHeight="true" outlineLevel="0" collapsed="false"/>
    <row r="64332" customFormat="false" ht="12.75" hidden="false" customHeight="true" outlineLevel="0" collapsed="false"/>
    <row r="64333" customFormat="false" ht="12.75" hidden="false" customHeight="true" outlineLevel="0" collapsed="false"/>
    <row r="64334" customFormat="false" ht="12.75" hidden="false" customHeight="true" outlineLevel="0" collapsed="false"/>
    <row r="64335" customFormat="false" ht="12.75" hidden="false" customHeight="true" outlineLevel="0" collapsed="false"/>
    <row r="64336" customFormat="false" ht="12.75" hidden="false" customHeight="true" outlineLevel="0" collapsed="false"/>
    <row r="64337" customFormat="false" ht="12.75" hidden="false" customHeight="true" outlineLevel="0" collapsed="false"/>
    <row r="64338" customFormat="false" ht="12.75" hidden="false" customHeight="true" outlineLevel="0" collapsed="false"/>
    <row r="64339" customFormat="false" ht="12.75" hidden="false" customHeight="true" outlineLevel="0" collapsed="false"/>
    <row r="64340" customFormat="false" ht="12.75" hidden="false" customHeight="true" outlineLevel="0" collapsed="false"/>
    <row r="64341" customFormat="false" ht="12.75" hidden="false" customHeight="true" outlineLevel="0" collapsed="false"/>
    <row r="64342" customFormat="false" ht="12.75" hidden="false" customHeight="true" outlineLevel="0" collapsed="false"/>
    <row r="64343" customFormat="false" ht="12.75" hidden="false" customHeight="true" outlineLevel="0" collapsed="false"/>
    <row r="64344" customFormat="false" ht="12.75" hidden="false" customHeight="true" outlineLevel="0" collapsed="false"/>
    <row r="64345" customFormat="false" ht="12.75" hidden="false" customHeight="true" outlineLevel="0" collapsed="false"/>
    <row r="64346" customFormat="false" ht="12.75" hidden="false" customHeight="true" outlineLevel="0" collapsed="false"/>
    <row r="64347" customFormat="false" ht="12.75" hidden="false" customHeight="true" outlineLevel="0" collapsed="false"/>
    <row r="64348" customFormat="false" ht="12.75" hidden="false" customHeight="true" outlineLevel="0" collapsed="false"/>
    <row r="64349" customFormat="false" ht="12.75" hidden="false" customHeight="true" outlineLevel="0" collapsed="false"/>
    <row r="64350" customFormat="false" ht="12.75" hidden="false" customHeight="true" outlineLevel="0" collapsed="false"/>
    <row r="64351" customFormat="false" ht="12.75" hidden="false" customHeight="true" outlineLevel="0" collapsed="false"/>
    <row r="64352" customFormat="false" ht="12.75" hidden="false" customHeight="true" outlineLevel="0" collapsed="false"/>
    <row r="64353" customFormat="false" ht="12.75" hidden="false" customHeight="true" outlineLevel="0" collapsed="false"/>
    <row r="64354" customFormat="false" ht="12.75" hidden="false" customHeight="true" outlineLevel="0" collapsed="false"/>
    <row r="64355" customFormat="false" ht="12.75" hidden="false" customHeight="true" outlineLevel="0" collapsed="false"/>
    <row r="64356" customFormat="false" ht="12.75" hidden="false" customHeight="true" outlineLevel="0" collapsed="false"/>
    <row r="64357" customFormat="false" ht="12.75" hidden="false" customHeight="true" outlineLevel="0" collapsed="false"/>
    <row r="64358" customFormat="false" ht="12.75" hidden="false" customHeight="true" outlineLevel="0" collapsed="false"/>
    <row r="64359" customFormat="false" ht="12.75" hidden="false" customHeight="true" outlineLevel="0" collapsed="false"/>
    <row r="64360" customFormat="false" ht="12.75" hidden="false" customHeight="true" outlineLevel="0" collapsed="false"/>
    <row r="64361" customFormat="false" ht="12.75" hidden="false" customHeight="true" outlineLevel="0" collapsed="false"/>
    <row r="64362" customFormat="false" ht="12.75" hidden="false" customHeight="true" outlineLevel="0" collapsed="false"/>
    <row r="64363" customFormat="false" ht="12.75" hidden="false" customHeight="true" outlineLevel="0" collapsed="false"/>
    <row r="64364" customFormat="false" ht="12.75" hidden="false" customHeight="true" outlineLevel="0" collapsed="false"/>
    <row r="64365" customFormat="false" ht="12.75" hidden="false" customHeight="true" outlineLevel="0" collapsed="false"/>
    <row r="64366" customFormat="false" ht="12.75" hidden="false" customHeight="true" outlineLevel="0" collapsed="false"/>
    <row r="64367" customFormat="false" ht="12.75" hidden="false" customHeight="true" outlineLevel="0" collapsed="false"/>
    <row r="64368" customFormat="false" ht="12.75" hidden="false" customHeight="true" outlineLevel="0" collapsed="false"/>
    <row r="64369" customFormat="false" ht="12.75" hidden="false" customHeight="true" outlineLevel="0" collapsed="false"/>
    <row r="64370" customFormat="false" ht="12.75" hidden="false" customHeight="true" outlineLevel="0" collapsed="false"/>
    <row r="64371" customFormat="false" ht="12.75" hidden="false" customHeight="true" outlineLevel="0" collapsed="false"/>
    <row r="64372" customFormat="false" ht="12.75" hidden="false" customHeight="true" outlineLevel="0" collapsed="false"/>
    <row r="64373" customFormat="false" ht="12.75" hidden="false" customHeight="true" outlineLevel="0" collapsed="false"/>
    <row r="64374" customFormat="false" ht="12.75" hidden="false" customHeight="true" outlineLevel="0" collapsed="false"/>
    <row r="64375" customFormat="false" ht="12.75" hidden="false" customHeight="true" outlineLevel="0" collapsed="false"/>
    <row r="64376" customFormat="false" ht="12.75" hidden="false" customHeight="true" outlineLevel="0" collapsed="false"/>
    <row r="64377" customFormat="false" ht="12.75" hidden="false" customHeight="true" outlineLevel="0" collapsed="false"/>
    <row r="64378" customFormat="false" ht="12.75" hidden="false" customHeight="true" outlineLevel="0" collapsed="false"/>
    <row r="64379" customFormat="false" ht="12.75" hidden="false" customHeight="true" outlineLevel="0" collapsed="false"/>
    <row r="64380" customFormat="false" ht="12.75" hidden="false" customHeight="true" outlineLevel="0" collapsed="false"/>
    <row r="64381" customFormat="false" ht="12.75" hidden="false" customHeight="true" outlineLevel="0" collapsed="false"/>
    <row r="64382" customFormat="false" ht="12.75" hidden="false" customHeight="true" outlineLevel="0" collapsed="false"/>
    <row r="64383" customFormat="false" ht="12.75" hidden="false" customHeight="true" outlineLevel="0" collapsed="false"/>
    <row r="64384" customFormat="false" ht="12.75" hidden="false" customHeight="true" outlineLevel="0" collapsed="false"/>
    <row r="64385" customFormat="false" ht="12.75" hidden="false" customHeight="true" outlineLevel="0" collapsed="false"/>
    <row r="64386" customFormat="false" ht="12.75" hidden="false" customHeight="true" outlineLevel="0" collapsed="false"/>
    <row r="64387" customFormat="false" ht="12.75" hidden="false" customHeight="true" outlineLevel="0" collapsed="false"/>
    <row r="64388" customFormat="false" ht="12.75" hidden="false" customHeight="true" outlineLevel="0" collapsed="false"/>
    <row r="64389" customFormat="false" ht="12.75" hidden="false" customHeight="true" outlineLevel="0" collapsed="false"/>
    <row r="64390" customFormat="false" ht="12.75" hidden="false" customHeight="true" outlineLevel="0" collapsed="false"/>
    <row r="64391" customFormat="false" ht="12.75" hidden="false" customHeight="true" outlineLevel="0" collapsed="false"/>
    <row r="64392" customFormat="false" ht="12.75" hidden="false" customHeight="true" outlineLevel="0" collapsed="false"/>
    <row r="64393" customFormat="false" ht="12.75" hidden="false" customHeight="true" outlineLevel="0" collapsed="false"/>
    <row r="64394" customFormat="false" ht="12.75" hidden="false" customHeight="true" outlineLevel="0" collapsed="false"/>
    <row r="64395" customFormat="false" ht="12.75" hidden="false" customHeight="true" outlineLevel="0" collapsed="false"/>
    <row r="64396" customFormat="false" ht="12.75" hidden="false" customHeight="true" outlineLevel="0" collapsed="false"/>
    <row r="64397" customFormat="false" ht="12.75" hidden="false" customHeight="true" outlineLevel="0" collapsed="false"/>
    <row r="64398" customFormat="false" ht="12.75" hidden="false" customHeight="true" outlineLevel="0" collapsed="false"/>
    <row r="64399" customFormat="false" ht="12.75" hidden="false" customHeight="true" outlineLevel="0" collapsed="false"/>
    <row r="64400" customFormat="false" ht="12.75" hidden="false" customHeight="true" outlineLevel="0" collapsed="false"/>
    <row r="64401" customFormat="false" ht="12.75" hidden="false" customHeight="true" outlineLevel="0" collapsed="false"/>
    <row r="64402" customFormat="false" ht="12.75" hidden="false" customHeight="true" outlineLevel="0" collapsed="false"/>
    <row r="64403" customFormat="false" ht="12.75" hidden="false" customHeight="true" outlineLevel="0" collapsed="false"/>
    <row r="64404" customFormat="false" ht="12.75" hidden="false" customHeight="true" outlineLevel="0" collapsed="false"/>
    <row r="64405" customFormat="false" ht="12.75" hidden="false" customHeight="true" outlineLevel="0" collapsed="false"/>
    <row r="64406" customFormat="false" ht="12.75" hidden="false" customHeight="true" outlineLevel="0" collapsed="false"/>
    <row r="64407" customFormat="false" ht="12.75" hidden="false" customHeight="true" outlineLevel="0" collapsed="false"/>
    <row r="64408" customFormat="false" ht="12.75" hidden="false" customHeight="true" outlineLevel="0" collapsed="false"/>
    <row r="64409" customFormat="false" ht="12.75" hidden="false" customHeight="true" outlineLevel="0" collapsed="false"/>
    <row r="64410" customFormat="false" ht="12.75" hidden="false" customHeight="true" outlineLevel="0" collapsed="false"/>
    <row r="64411" customFormat="false" ht="12.75" hidden="false" customHeight="true" outlineLevel="0" collapsed="false"/>
    <row r="64412" customFormat="false" ht="12.75" hidden="false" customHeight="true" outlineLevel="0" collapsed="false"/>
    <row r="64413" customFormat="false" ht="12.75" hidden="false" customHeight="true" outlineLevel="0" collapsed="false"/>
    <row r="64414" customFormat="false" ht="12.75" hidden="false" customHeight="true" outlineLevel="0" collapsed="false"/>
    <row r="64415" customFormat="false" ht="12.75" hidden="false" customHeight="true" outlineLevel="0" collapsed="false"/>
    <row r="64416" customFormat="false" ht="12.75" hidden="false" customHeight="true" outlineLevel="0" collapsed="false"/>
    <row r="64417" customFormat="false" ht="12.75" hidden="false" customHeight="true" outlineLevel="0" collapsed="false"/>
    <row r="64418" customFormat="false" ht="12.75" hidden="false" customHeight="true" outlineLevel="0" collapsed="false"/>
    <row r="64419" customFormat="false" ht="12.75" hidden="false" customHeight="true" outlineLevel="0" collapsed="false"/>
    <row r="64420" customFormat="false" ht="12.75" hidden="false" customHeight="true" outlineLevel="0" collapsed="false"/>
    <row r="64421" customFormat="false" ht="12.75" hidden="false" customHeight="true" outlineLevel="0" collapsed="false"/>
    <row r="64422" customFormat="false" ht="12.75" hidden="false" customHeight="true" outlineLevel="0" collapsed="false"/>
    <row r="64423" customFormat="false" ht="12.75" hidden="false" customHeight="true" outlineLevel="0" collapsed="false"/>
    <row r="64424" customFormat="false" ht="12.75" hidden="false" customHeight="true" outlineLevel="0" collapsed="false"/>
    <row r="64425" customFormat="false" ht="12.75" hidden="false" customHeight="true" outlineLevel="0" collapsed="false"/>
    <row r="64426" customFormat="false" ht="12.75" hidden="false" customHeight="true" outlineLevel="0" collapsed="false"/>
    <row r="64427" customFormat="false" ht="12.75" hidden="false" customHeight="true" outlineLevel="0" collapsed="false"/>
    <row r="64428" customFormat="false" ht="12.75" hidden="false" customHeight="true" outlineLevel="0" collapsed="false"/>
    <row r="64429" customFormat="false" ht="12.75" hidden="false" customHeight="true" outlineLevel="0" collapsed="false"/>
    <row r="64430" customFormat="false" ht="12.75" hidden="false" customHeight="true" outlineLevel="0" collapsed="false"/>
    <row r="64431" customFormat="false" ht="12.75" hidden="false" customHeight="true" outlineLevel="0" collapsed="false"/>
    <row r="64432" customFormat="false" ht="12.75" hidden="false" customHeight="true" outlineLevel="0" collapsed="false"/>
    <row r="64433" customFormat="false" ht="12.75" hidden="false" customHeight="true" outlineLevel="0" collapsed="false"/>
    <row r="64434" customFormat="false" ht="12.75" hidden="false" customHeight="true" outlineLevel="0" collapsed="false"/>
    <row r="64435" customFormat="false" ht="12.75" hidden="false" customHeight="true" outlineLevel="0" collapsed="false"/>
    <row r="64436" customFormat="false" ht="12.75" hidden="false" customHeight="true" outlineLevel="0" collapsed="false"/>
    <row r="64437" customFormat="false" ht="12.75" hidden="false" customHeight="true" outlineLevel="0" collapsed="false"/>
    <row r="64438" customFormat="false" ht="12.75" hidden="false" customHeight="true" outlineLevel="0" collapsed="false"/>
    <row r="64439" customFormat="false" ht="12.75" hidden="false" customHeight="true" outlineLevel="0" collapsed="false"/>
    <row r="64440" customFormat="false" ht="12.75" hidden="false" customHeight="true" outlineLevel="0" collapsed="false"/>
    <row r="64441" customFormat="false" ht="12.75" hidden="false" customHeight="true" outlineLevel="0" collapsed="false"/>
    <row r="64442" customFormat="false" ht="12.75" hidden="false" customHeight="true" outlineLevel="0" collapsed="false"/>
    <row r="64443" customFormat="false" ht="12.75" hidden="false" customHeight="true" outlineLevel="0" collapsed="false"/>
    <row r="64444" customFormat="false" ht="12.75" hidden="false" customHeight="true" outlineLevel="0" collapsed="false"/>
    <row r="64445" customFormat="false" ht="12.75" hidden="false" customHeight="true" outlineLevel="0" collapsed="false"/>
    <row r="64446" customFormat="false" ht="12.75" hidden="false" customHeight="true" outlineLevel="0" collapsed="false"/>
    <row r="64447" customFormat="false" ht="12.75" hidden="false" customHeight="true" outlineLevel="0" collapsed="false"/>
    <row r="64448" customFormat="false" ht="12.75" hidden="false" customHeight="true" outlineLevel="0" collapsed="false"/>
    <row r="64449" customFormat="false" ht="12.75" hidden="false" customHeight="true" outlineLevel="0" collapsed="false"/>
    <row r="64450" customFormat="false" ht="12.75" hidden="false" customHeight="true" outlineLevel="0" collapsed="false"/>
    <row r="64451" customFormat="false" ht="12.75" hidden="false" customHeight="true" outlineLevel="0" collapsed="false"/>
    <row r="64452" customFormat="false" ht="12.75" hidden="false" customHeight="true" outlineLevel="0" collapsed="false"/>
    <row r="64453" customFormat="false" ht="12.75" hidden="false" customHeight="true" outlineLevel="0" collapsed="false"/>
    <row r="64454" customFormat="false" ht="12.75" hidden="false" customHeight="true" outlineLevel="0" collapsed="false"/>
    <row r="64455" customFormat="false" ht="12.75" hidden="false" customHeight="true" outlineLevel="0" collapsed="false"/>
    <row r="64456" customFormat="false" ht="12.75" hidden="false" customHeight="true" outlineLevel="0" collapsed="false"/>
    <row r="64457" customFormat="false" ht="12.75" hidden="false" customHeight="true" outlineLevel="0" collapsed="false"/>
    <row r="64458" customFormat="false" ht="12.75" hidden="false" customHeight="true" outlineLevel="0" collapsed="false"/>
    <row r="64459" customFormat="false" ht="12.75" hidden="false" customHeight="true" outlineLevel="0" collapsed="false"/>
    <row r="64460" customFormat="false" ht="12.75" hidden="false" customHeight="true" outlineLevel="0" collapsed="false"/>
    <row r="64461" customFormat="false" ht="12.75" hidden="false" customHeight="true" outlineLevel="0" collapsed="false"/>
    <row r="64462" customFormat="false" ht="12.75" hidden="false" customHeight="true" outlineLevel="0" collapsed="false"/>
    <row r="64463" customFormat="false" ht="12.75" hidden="false" customHeight="true" outlineLevel="0" collapsed="false"/>
    <row r="64464" customFormat="false" ht="12.75" hidden="false" customHeight="true" outlineLevel="0" collapsed="false"/>
    <row r="64465" customFormat="false" ht="12.75" hidden="false" customHeight="true" outlineLevel="0" collapsed="false"/>
    <row r="64466" customFormat="false" ht="12.75" hidden="false" customHeight="true" outlineLevel="0" collapsed="false"/>
    <row r="64467" customFormat="false" ht="12.75" hidden="false" customHeight="true" outlineLevel="0" collapsed="false"/>
    <row r="64468" customFormat="false" ht="12.75" hidden="false" customHeight="true" outlineLevel="0" collapsed="false"/>
    <row r="64469" customFormat="false" ht="12.75" hidden="false" customHeight="true" outlineLevel="0" collapsed="false"/>
    <row r="64470" customFormat="false" ht="12.75" hidden="false" customHeight="true" outlineLevel="0" collapsed="false"/>
    <row r="64471" customFormat="false" ht="12.75" hidden="false" customHeight="true" outlineLevel="0" collapsed="false"/>
    <row r="64472" customFormat="false" ht="12.75" hidden="false" customHeight="true" outlineLevel="0" collapsed="false"/>
    <row r="64473" customFormat="false" ht="12.75" hidden="false" customHeight="true" outlineLevel="0" collapsed="false"/>
    <row r="64474" customFormat="false" ht="12.75" hidden="false" customHeight="true" outlineLevel="0" collapsed="false"/>
    <row r="64475" customFormat="false" ht="12.75" hidden="false" customHeight="true" outlineLevel="0" collapsed="false"/>
    <row r="64476" customFormat="false" ht="12.75" hidden="false" customHeight="true" outlineLevel="0" collapsed="false"/>
    <row r="64477" customFormat="false" ht="12.75" hidden="false" customHeight="true" outlineLevel="0" collapsed="false"/>
    <row r="64478" customFormat="false" ht="12.75" hidden="false" customHeight="true" outlineLevel="0" collapsed="false"/>
    <row r="64479" customFormat="false" ht="12.75" hidden="false" customHeight="true" outlineLevel="0" collapsed="false"/>
    <row r="64480" customFormat="false" ht="12.75" hidden="false" customHeight="true" outlineLevel="0" collapsed="false"/>
    <row r="64481" customFormat="false" ht="12.75" hidden="false" customHeight="true" outlineLevel="0" collapsed="false"/>
    <row r="64482" customFormat="false" ht="12.75" hidden="false" customHeight="true" outlineLevel="0" collapsed="false"/>
    <row r="64483" customFormat="false" ht="12.75" hidden="false" customHeight="true" outlineLevel="0" collapsed="false"/>
    <row r="64484" customFormat="false" ht="12.75" hidden="false" customHeight="true" outlineLevel="0" collapsed="false"/>
    <row r="64485" customFormat="false" ht="12.75" hidden="false" customHeight="true" outlineLevel="0" collapsed="false"/>
    <row r="64486" customFormat="false" ht="12.75" hidden="false" customHeight="true" outlineLevel="0" collapsed="false"/>
    <row r="64487" customFormat="false" ht="12.75" hidden="false" customHeight="true" outlineLevel="0" collapsed="false"/>
    <row r="64488" customFormat="false" ht="12.75" hidden="false" customHeight="true" outlineLevel="0" collapsed="false"/>
    <row r="64489" customFormat="false" ht="12.75" hidden="false" customHeight="true" outlineLevel="0" collapsed="false"/>
    <row r="64490" customFormat="false" ht="12.75" hidden="false" customHeight="true" outlineLevel="0" collapsed="false"/>
    <row r="64491" customFormat="false" ht="12.75" hidden="false" customHeight="true" outlineLevel="0" collapsed="false"/>
    <row r="64492" customFormat="false" ht="12.75" hidden="false" customHeight="true" outlineLevel="0" collapsed="false"/>
    <row r="64493" customFormat="false" ht="12.75" hidden="false" customHeight="true" outlineLevel="0" collapsed="false"/>
    <row r="64494" customFormat="false" ht="12.75" hidden="false" customHeight="true" outlineLevel="0" collapsed="false"/>
    <row r="64495" customFormat="false" ht="12.75" hidden="false" customHeight="true" outlineLevel="0" collapsed="false"/>
    <row r="64496" customFormat="false" ht="12.75" hidden="false" customHeight="true" outlineLevel="0" collapsed="false"/>
    <row r="64497" customFormat="false" ht="12.75" hidden="false" customHeight="true" outlineLevel="0" collapsed="false"/>
    <row r="64498" customFormat="false" ht="12.75" hidden="false" customHeight="true" outlineLevel="0" collapsed="false"/>
    <row r="64499" customFormat="false" ht="12.75" hidden="false" customHeight="true" outlineLevel="0" collapsed="false"/>
    <row r="64500" customFormat="false" ht="12.75" hidden="false" customHeight="true" outlineLevel="0" collapsed="false"/>
    <row r="64501" customFormat="false" ht="12.75" hidden="false" customHeight="true" outlineLevel="0" collapsed="false"/>
    <row r="64502" customFormat="false" ht="12.75" hidden="false" customHeight="true" outlineLevel="0" collapsed="false"/>
    <row r="64503" customFormat="false" ht="12.75" hidden="false" customHeight="true" outlineLevel="0" collapsed="false"/>
    <row r="64504" customFormat="false" ht="12.75" hidden="false" customHeight="true" outlineLevel="0" collapsed="false"/>
    <row r="64505" customFormat="false" ht="12.75" hidden="false" customHeight="true" outlineLevel="0" collapsed="false"/>
    <row r="64506" customFormat="false" ht="12.75" hidden="false" customHeight="true" outlineLevel="0" collapsed="false"/>
    <row r="64507" customFormat="false" ht="12.75" hidden="false" customHeight="true" outlineLevel="0" collapsed="false"/>
    <row r="64508" customFormat="false" ht="12.75" hidden="false" customHeight="true" outlineLevel="0" collapsed="false"/>
    <row r="64509" customFormat="false" ht="12.75" hidden="false" customHeight="true" outlineLevel="0" collapsed="false"/>
    <row r="64510" customFormat="false" ht="12.75" hidden="false" customHeight="true" outlineLevel="0" collapsed="false"/>
    <row r="64511" customFormat="false" ht="12.75" hidden="false" customHeight="true" outlineLevel="0" collapsed="false"/>
    <row r="64512" customFormat="false" ht="12.75" hidden="false" customHeight="true" outlineLevel="0" collapsed="false"/>
    <row r="64513" customFormat="false" ht="12.75" hidden="false" customHeight="true" outlineLevel="0" collapsed="false"/>
    <row r="64514" customFormat="false" ht="12.75" hidden="false" customHeight="true" outlineLevel="0" collapsed="false"/>
    <row r="64515" customFormat="false" ht="12.75" hidden="false" customHeight="true" outlineLevel="0" collapsed="false"/>
    <row r="64516" customFormat="false" ht="12.75" hidden="false" customHeight="true" outlineLevel="0" collapsed="false"/>
    <row r="64517" customFormat="false" ht="12.75" hidden="false" customHeight="true" outlineLevel="0" collapsed="false"/>
    <row r="64518" customFormat="false" ht="12.75" hidden="false" customHeight="true" outlineLevel="0" collapsed="false"/>
    <row r="64519" customFormat="false" ht="12.75" hidden="false" customHeight="true" outlineLevel="0" collapsed="false"/>
    <row r="64520" customFormat="false" ht="12.75" hidden="false" customHeight="true" outlineLevel="0" collapsed="false"/>
    <row r="64521" customFormat="false" ht="12.75" hidden="false" customHeight="true" outlineLevel="0" collapsed="false"/>
    <row r="64522" customFormat="false" ht="12.75" hidden="false" customHeight="true" outlineLevel="0" collapsed="false"/>
    <row r="64523" customFormat="false" ht="12.75" hidden="false" customHeight="true" outlineLevel="0" collapsed="false"/>
    <row r="64524" customFormat="false" ht="12.75" hidden="false" customHeight="true" outlineLevel="0" collapsed="false"/>
    <row r="64525" customFormat="false" ht="12.75" hidden="false" customHeight="true" outlineLevel="0" collapsed="false"/>
    <row r="64526" customFormat="false" ht="12.75" hidden="false" customHeight="true" outlineLevel="0" collapsed="false"/>
    <row r="64527" customFormat="false" ht="12.75" hidden="false" customHeight="true" outlineLevel="0" collapsed="false"/>
    <row r="64528" customFormat="false" ht="12.75" hidden="false" customHeight="true" outlineLevel="0" collapsed="false"/>
    <row r="64529" customFormat="false" ht="12.75" hidden="false" customHeight="true" outlineLevel="0" collapsed="false"/>
    <row r="64530" customFormat="false" ht="12.75" hidden="false" customHeight="true" outlineLevel="0" collapsed="false"/>
    <row r="64531" customFormat="false" ht="12.75" hidden="false" customHeight="true" outlineLevel="0" collapsed="false"/>
    <row r="64532" customFormat="false" ht="12.75" hidden="false" customHeight="true" outlineLevel="0" collapsed="false"/>
    <row r="64533" customFormat="false" ht="12.75" hidden="false" customHeight="true" outlineLevel="0" collapsed="false"/>
    <row r="64534" customFormat="false" ht="12.75" hidden="false" customHeight="true" outlineLevel="0" collapsed="false"/>
    <row r="64535" customFormat="false" ht="12.75" hidden="false" customHeight="true" outlineLevel="0" collapsed="false"/>
    <row r="64536" customFormat="false" ht="12.75" hidden="false" customHeight="true" outlineLevel="0" collapsed="false"/>
    <row r="64537" customFormat="false" ht="12.75" hidden="false" customHeight="true" outlineLevel="0" collapsed="false"/>
    <row r="64538" customFormat="false" ht="12.75" hidden="false" customHeight="true" outlineLevel="0" collapsed="false"/>
    <row r="64539" customFormat="false" ht="12.75" hidden="false" customHeight="true" outlineLevel="0" collapsed="false"/>
    <row r="64540" customFormat="false" ht="12.75" hidden="false" customHeight="true" outlineLevel="0" collapsed="false"/>
    <row r="64541" customFormat="false" ht="12.75" hidden="false" customHeight="true" outlineLevel="0" collapsed="false"/>
    <row r="64542" customFormat="false" ht="12.75" hidden="false" customHeight="true" outlineLevel="0" collapsed="false"/>
    <row r="64543" customFormat="false" ht="12.75" hidden="false" customHeight="true" outlineLevel="0" collapsed="false"/>
    <row r="64544" customFormat="false" ht="12.75" hidden="false" customHeight="true" outlineLevel="0" collapsed="false"/>
    <row r="64545" customFormat="false" ht="12.75" hidden="false" customHeight="true" outlineLevel="0" collapsed="false"/>
    <row r="64546" customFormat="false" ht="12.75" hidden="false" customHeight="true" outlineLevel="0" collapsed="false"/>
    <row r="64547" customFormat="false" ht="12.75" hidden="false" customHeight="true" outlineLevel="0" collapsed="false"/>
    <row r="64548" customFormat="false" ht="12.75" hidden="false" customHeight="true" outlineLevel="0" collapsed="false"/>
    <row r="64549" customFormat="false" ht="12.75" hidden="false" customHeight="true" outlineLevel="0" collapsed="false"/>
    <row r="64550" customFormat="false" ht="12.75" hidden="false" customHeight="true" outlineLevel="0" collapsed="false"/>
    <row r="64551" customFormat="false" ht="12.75" hidden="false" customHeight="true" outlineLevel="0" collapsed="false"/>
    <row r="64552" customFormat="false" ht="12.75" hidden="false" customHeight="true" outlineLevel="0" collapsed="false"/>
    <row r="64553" customFormat="false" ht="12.75" hidden="false" customHeight="true" outlineLevel="0" collapsed="false"/>
    <row r="64554" customFormat="false" ht="12.75" hidden="false" customHeight="true" outlineLevel="0" collapsed="false"/>
    <row r="64555" customFormat="false" ht="12.75" hidden="false" customHeight="true" outlineLevel="0" collapsed="false"/>
    <row r="64556" customFormat="false" ht="12.75" hidden="false" customHeight="true" outlineLevel="0" collapsed="false"/>
    <row r="64557" customFormat="false" ht="12.75" hidden="false" customHeight="true" outlineLevel="0" collapsed="false"/>
    <row r="64558" customFormat="false" ht="12.75" hidden="false" customHeight="true" outlineLevel="0" collapsed="false"/>
    <row r="64559" customFormat="false" ht="12.75" hidden="false" customHeight="true" outlineLevel="0" collapsed="false"/>
    <row r="64560" customFormat="false" ht="12.75" hidden="false" customHeight="true" outlineLevel="0" collapsed="false"/>
    <row r="64561" customFormat="false" ht="12.75" hidden="false" customHeight="true" outlineLevel="0" collapsed="false"/>
    <row r="64562" customFormat="false" ht="12.75" hidden="false" customHeight="true" outlineLevel="0" collapsed="false"/>
    <row r="64563" customFormat="false" ht="12.75" hidden="false" customHeight="true" outlineLevel="0" collapsed="false"/>
    <row r="64564" customFormat="false" ht="12.75" hidden="false" customHeight="true" outlineLevel="0" collapsed="false"/>
    <row r="64565" customFormat="false" ht="12.75" hidden="false" customHeight="true" outlineLevel="0" collapsed="false"/>
    <row r="64566" customFormat="false" ht="12.75" hidden="false" customHeight="true" outlineLevel="0" collapsed="false"/>
    <row r="64567" customFormat="false" ht="12.75" hidden="false" customHeight="true" outlineLevel="0" collapsed="false"/>
    <row r="64568" customFormat="false" ht="12.75" hidden="false" customHeight="true" outlineLevel="0" collapsed="false"/>
    <row r="64569" customFormat="false" ht="12.75" hidden="false" customHeight="true" outlineLevel="0" collapsed="false"/>
    <row r="64570" customFormat="false" ht="12.75" hidden="false" customHeight="true" outlineLevel="0" collapsed="false"/>
    <row r="64571" customFormat="false" ht="12.75" hidden="false" customHeight="true" outlineLevel="0" collapsed="false"/>
    <row r="64572" customFormat="false" ht="12.75" hidden="false" customHeight="true" outlineLevel="0" collapsed="false"/>
    <row r="64573" customFormat="false" ht="12.75" hidden="false" customHeight="true" outlineLevel="0" collapsed="false"/>
    <row r="64574" customFormat="false" ht="12.75" hidden="false" customHeight="true" outlineLevel="0" collapsed="false"/>
    <row r="64575" customFormat="false" ht="12.75" hidden="false" customHeight="true" outlineLevel="0" collapsed="false"/>
    <row r="64576" customFormat="false" ht="12.75" hidden="false" customHeight="true" outlineLevel="0" collapsed="false"/>
    <row r="64577" customFormat="false" ht="12.75" hidden="false" customHeight="true" outlineLevel="0" collapsed="false"/>
    <row r="64578" customFormat="false" ht="12.75" hidden="false" customHeight="true" outlineLevel="0" collapsed="false"/>
    <row r="64579" customFormat="false" ht="12.75" hidden="false" customHeight="true" outlineLevel="0" collapsed="false"/>
    <row r="64580" customFormat="false" ht="12.75" hidden="false" customHeight="true" outlineLevel="0" collapsed="false"/>
    <row r="64581" customFormat="false" ht="12.75" hidden="false" customHeight="true" outlineLevel="0" collapsed="false"/>
    <row r="64582" customFormat="false" ht="12.75" hidden="false" customHeight="true" outlineLevel="0" collapsed="false"/>
    <row r="64583" customFormat="false" ht="12.75" hidden="false" customHeight="true" outlineLevel="0" collapsed="false"/>
    <row r="64584" customFormat="false" ht="12.75" hidden="false" customHeight="true" outlineLevel="0" collapsed="false"/>
    <row r="64585" customFormat="false" ht="12.75" hidden="false" customHeight="true" outlineLevel="0" collapsed="false"/>
    <row r="64586" customFormat="false" ht="12.75" hidden="false" customHeight="true" outlineLevel="0" collapsed="false"/>
    <row r="64587" customFormat="false" ht="12.75" hidden="false" customHeight="true" outlineLevel="0" collapsed="false"/>
    <row r="64588" customFormat="false" ht="12.75" hidden="false" customHeight="true" outlineLevel="0" collapsed="false"/>
    <row r="64589" customFormat="false" ht="12.75" hidden="false" customHeight="true" outlineLevel="0" collapsed="false"/>
    <row r="64590" customFormat="false" ht="12.75" hidden="false" customHeight="true" outlineLevel="0" collapsed="false"/>
    <row r="64591" customFormat="false" ht="12.75" hidden="false" customHeight="true" outlineLevel="0" collapsed="false"/>
    <row r="64592" customFormat="false" ht="12.75" hidden="false" customHeight="true" outlineLevel="0" collapsed="false"/>
    <row r="64593" customFormat="false" ht="12.75" hidden="false" customHeight="true" outlineLevel="0" collapsed="false"/>
    <row r="64594" customFormat="false" ht="12.75" hidden="false" customHeight="true" outlineLevel="0" collapsed="false"/>
    <row r="64595" customFormat="false" ht="12.75" hidden="false" customHeight="true" outlineLevel="0" collapsed="false"/>
    <row r="64596" customFormat="false" ht="12.75" hidden="false" customHeight="true" outlineLevel="0" collapsed="false"/>
    <row r="64597" customFormat="false" ht="12.75" hidden="false" customHeight="true" outlineLevel="0" collapsed="false"/>
    <row r="64598" customFormat="false" ht="12.75" hidden="false" customHeight="true" outlineLevel="0" collapsed="false"/>
    <row r="64599" customFormat="false" ht="12.75" hidden="false" customHeight="true" outlineLevel="0" collapsed="false"/>
    <row r="64600" customFormat="false" ht="12.75" hidden="false" customHeight="true" outlineLevel="0" collapsed="false"/>
    <row r="64601" customFormat="false" ht="12.75" hidden="false" customHeight="true" outlineLevel="0" collapsed="false"/>
    <row r="64602" customFormat="false" ht="12.75" hidden="false" customHeight="true" outlineLevel="0" collapsed="false"/>
    <row r="64603" customFormat="false" ht="12.75" hidden="false" customHeight="true" outlineLevel="0" collapsed="false"/>
    <row r="64604" customFormat="false" ht="12.75" hidden="false" customHeight="true" outlineLevel="0" collapsed="false"/>
    <row r="64605" customFormat="false" ht="12.75" hidden="false" customHeight="true" outlineLevel="0" collapsed="false"/>
    <row r="64606" customFormat="false" ht="12.75" hidden="false" customHeight="true" outlineLevel="0" collapsed="false"/>
    <row r="64607" customFormat="false" ht="12.75" hidden="false" customHeight="true" outlineLevel="0" collapsed="false"/>
    <row r="64608" customFormat="false" ht="12.75" hidden="false" customHeight="true" outlineLevel="0" collapsed="false"/>
    <row r="64609" customFormat="false" ht="12.75" hidden="false" customHeight="true" outlineLevel="0" collapsed="false"/>
    <row r="64610" customFormat="false" ht="12.75" hidden="false" customHeight="true" outlineLevel="0" collapsed="false"/>
    <row r="64611" customFormat="false" ht="12.75" hidden="false" customHeight="true" outlineLevel="0" collapsed="false"/>
    <row r="64612" customFormat="false" ht="12.75" hidden="false" customHeight="true" outlineLevel="0" collapsed="false"/>
    <row r="64613" customFormat="false" ht="12.75" hidden="false" customHeight="true" outlineLevel="0" collapsed="false"/>
    <row r="64614" customFormat="false" ht="12.75" hidden="false" customHeight="true" outlineLevel="0" collapsed="false"/>
    <row r="64615" customFormat="false" ht="12.75" hidden="false" customHeight="true" outlineLevel="0" collapsed="false"/>
    <row r="64616" customFormat="false" ht="12.75" hidden="false" customHeight="true" outlineLevel="0" collapsed="false"/>
    <row r="64617" customFormat="false" ht="12.75" hidden="false" customHeight="true" outlineLevel="0" collapsed="false"/>
    <row r="64618" customFormat="false" ht="12.75" hidden="false" customHeight="true" outlineLevel="0" collapsed="false"/>
    <row r="64619" customFormat="false" ht="12.75" hidden="false" customHeight="true" outlineLevel="0" collapsed="false"/>
    <row r="64620" customFormat="false" ht="12.75" hidden="false" customHeight="true" outlineLevel="0" collapsed="false"/>
    <row r="64621" customFormat="false" ht="12.75" hidden="false" customHeight="true" outlineLevel="0" collapsed="false"/>
    <row r="64622" customFormat="false" ht="12.75" hidden="false" customHeight="true" outlineLevel="0" collapsed="false"/>
    <row r="64623" customFormat="false" ht="12.75" hidden="false" customHeight="true" outlineLevel="0" collapsed="false"/>
    <row r="64624" customFormat="false" ht="12.75" hidden="false" customHeight="true" outlineLevel="0" collapsed="false"/>
    <row r="64625" customFormat="false" ht="12.75" hidden="false" customHeight="true" outlineLevel="0" collapsed="false"/>
    <row r="64626" customFormat="false" ht="12.75" hidden="false" customHeight="true" outlineLevel="0" collapsed="false"/>
    <row r="64627" customFormat="false" ht="12.75" hidden="false" customHeight="true" outlineLevel="0" collapsed="false"/>
    <row r="64628" customFormat="false" ht="12.75" hidden="false" customHeight="true" outlineLevel="0" collapsed="false"/>
    <row r="64629" customFormat="false" ht="12.75" hidden="false" customHeight="true" outlineLevel="0" collapsed="false"/>
    <row r="64630" customFormat="false" ht="12.75" hidden="false" customHeight="true" outlineLevel="0" collapsed="false"/>
    <row r="64631" customFormat="false" ht="12.75" hidden="false" customHeight="true" outlineLevel="0" collapsed="false"/>
    <row r="64632" customFormat="false" ht="12.75" hidden="false" customHeight="true" outlineLevel="0" collapsed="false"/>
    <row r="64633" customFormat="false" ht="12.75" hidden="false" customHeight="true" outlineLevel="0" collapsed="false"/>
    <row r="64634" customFormat="false" ht="12.75" hidden="false" customHeight="true" outlineLevel="0" collapsed="false"/>
    <row r="64635" customFormat="false" ht="12.75" hidden="false" customHeight="true" outlineLevel="0" collapsed="false"/>
    <row r="64636" customFormat="false" ht="12.75" hidden="false" customHeight="true" outlineLevel="0" collapsed="false"/>
    <row r="64637" customFormat="false" ht="12.75" hidden="false" customHeight="true" outlineLevel="0" collapsed="false"/>
    <row r="64638" customFormat="false" ht="12.75" hidden="false" customHeight="true" outlineLevel="0" collapsed="false"/>
    <row r="64639" customFormat="false" ht="12.75" hidden="false" customHeight="true" outlineLevel="0" collapsed="false"/>
    <row r="64640" customFormat="false" ht="12.75" hidden="false" customHeight="true" outlineLevel="0" collapsed="false"/>
    <row r="64641" customFormat="false" ht="12.75" hidden="false" customHeight="true" outlineLevel="0" collapsed="false"/>
    <row r="64642" customFormat="false" ht="12.75" hidden="false" customHeight="true" outlineLevel="0" collapsed="false"/>
    <row r="64643" customFormat="false" ht="12.75" hidden="false" customHeight="true" outlineLevel="0" collapsed="false"/>
    <row r="64644" customFormat="false" ht="12.75" hidden="false" customHeight="true" outlineLevel="0" collapsed="false"/>
    <row r="64645" customFormat="false" ht="12.75" hidden="false" customHeight="true" outlineLevel="0" collapsed="false"/>
    <row r="64646" customFormat="false" ht="12.75" hidden="false" customHeight="true" outlineLevel="0" collapsed="false"/>
    <row r="64647" customFormat="false" ht="12.75" hidden="false" customHeight="true" outlineLevel="0" collapsed="false"/>
    <row r="64648" customFormat="false" ht="12.75" hidden="false" customHeight="true" outlineLevel="0" collapsed="false"/>
    <row r="64649" customFormat="false" ht="12.75" hidden="false" customHeight="true" outlineLevel="0" collapsed="false"/>
    <row r="64650" customFormat="false" ht="12.75" hidden="false" customHeight="true" outlineLevel="0" collapsed="false"/>
    <row r="64651" customFormat="false" ht="12.75" hidden="false" customHeight="true" outlineLevel="0" collapsed="false"/>
    <row r="64652" customFormat="false" ht="12.75" hidden="false" customHeight="true" outlineLevel="0" collapsed="false"/>
    <row r="64653" customFormat="false" ht="12.75" hidden="false" customHeight="true" outlineLevel="0" collapsed="false"/>
    <row r="64654" customFormat="false" ht="12.75" hidden="false" customHeight="true" outlineLevel="0" collapsed="false"/>
    <row r="64655" customFormat="false" ht="12.75" hidden="false" customHeight="true" outlineLevel="0" collapsed="false"/>
    <row r="64656" customFormat="false" ht="12.75" hidden="false" customHeight="true" outlineLevel="0" collapsed="false"/>
    <row r="64657" customFormat="false" ht="12.75" hidden="false" customHeight="true" outlineLevel="0" collapsed="false"/>
    <row r="64658" customFormat="false" ht="12.75" hidden="false" customHeight="true" outlineLevel="0" collapsed="false"/>
    <row r="64659" customFormat="false" ht="12.75" hidden="false" customHeight="true" outlineLevel="0" collapsed="false"/>
    <row r="64660" customFormat="false" ht="12.75" hidden="false" customHeight="true" outlineLevel="0" collapsed="false"/>
    <row r="64661" customFormat="false" ht="12.75" hidden="false" customHeight="true" outlineLevel="0" collapsed="false"/>
    <row r="64662" customFormat="false" ht="12.75" hidden="false" customHeight="true" outlineLevel="0" collapsed="false"/>
    <row r="64663" customFormat="false" ht="12.75" hidden="false" customHeight="true" outlineLevel="0" collapsed="false"/>
    <row r="64664" customFormat="false" ht="12.75" hidden="false" customHeight="true" outlineLevel="0" collapsed="false"/>
    <row r="64665" customFormat="false" ht="12.75" hidden="false" customHeight="true" outlineLevel="0" collapsed="false"/>
    <row r="64666" customFormat="false" ht="12.75" hidden="false" customHeight="true" outlineLevel="0" collapsed="false"/>
    <row r="64667" customFormat="false" ht="12.75" hidden="false" customHeight="true" outlineLevel="0" collapsed="false"/>
    <row r="64668" customFormat="false" ht="12.75" hidden="false" customHeight="true" outlineLevel="0" collapsed="false"/>
    <row r="64669" customFormat="false" ht="12.75" hidden="false" customHeight="true" outlineLevel="0" collapsed="false"/>
    <row r="64670" customFormat="false" ht="12.75" hidden="false" customHeight="true" outlineLevel="0" collapsed="false"/>
    <row r="64671" customFormat="false" ht="12.75" hidden="false" customHeight="true" outlineLevel="0" collapsed="false"/>
    <row r="64672" customFormat="false" ht="12.75" hidden="false" customHeight="true" outlineLevel="0" collapsed="false"/>
    <row r="64673" customFormat="false" ht="12.75" hidden="false" customHeight="true" outlineLevel="0" collapsed="false"/>
    <row r="64674" customFormat="false" ht="12.75" hidden="false" customHeight="true" outlineLevel="0" collapsed="false"/>
    <row r="64675" customFormat="false" ht="12.75" hidden="false" customHeight="true" outlineLevel="0" collapsed="false"/>
    <row r="64676" customFormat="false" ht="12.75" hidden="false" customHeight="true" outlineLevel="0" collapsed="false"/>
    <row r="64677" customFormat="false" ht="12.75" hidden="false" customHeight="true" outlineLevel="0" collapsed="false"/>
    <row r="64678" customFormat="false" ht="12.75" hidden="false" customHeight="true" outlineLevel="0" collapsed="false"/>
    <row r="64679" customFormat="false" ht="12.75" hidden="false" customHeight="true" outlineLevel="0" collapsed="false"/>
    <row r="64680" customFormat="false" ht="12.75" hidden="false" customHeight="true" outlineLevel="0" collapsed="false"/>
    <row r="64681" customFormat="false" ht="12.75" hidden="false" customHeight="true" outlineLevel="0" collapsed="false"/>
    <row r="64682" customFormat="false" ht="12.75" hidden="false" customHeight="true" outlineLevel="0" collapsed="false"/>
    <row r="64683" customFormat="false" ht="12.75" hidden="false" customHeight="true" outlineLevel="0" collapsed="false"/>
    <row r="64684" customFormat="false" ht="12.75" hidden="false" customHeight="true" outlineLevel="0" collapsed="false"/>
    <row r="64685" customFormat="false" ht="12.75" hidden="false" customHeight="true" outlineLevel="0" collapsed="false"/>
    <row r="64686" customFormat="false" ht="12.75" hidden="false" customHeight="true" outlineLevel="0" collapsed="false"/>
    <row r="64687" customFormat="false" ht="12.75" hidden="false" customHeight="true" outlineLevel="0" collapsed="false"/>
    <row r="64688" customFormat="false" ht="12.75" hidden="false" customHeight="true" outlineLevel="0" collapsed="false"/>
    <row r="64689" customFormat="false" ht="12.75" hidden="false" customHeight="true" outlineLevel="0" collapsed="false"/>
    <row r="64690" customFormat="false" ht="12.75" hidden="false" customHeight="true" outlineLevel="0" collapsed="false"/>
    <row r="64691" customFormat="false" ht="12.75" hidden="false" customHeight="true" outlineLevel="0" collapsed="false"/>
    <row r="64692" customFormat="false" ht="12.75" hidden="false" customHeight="true" outlineLevel="0" collapsed="false"/>
    <row r="64693" customFormat="false" ht="12.75" hidden="false" customHeight="true" outlineLevel="0" collapsed="false"/>
    <row r="64694" customFormat="false" ht="12.75" hidden="false" customHeight="true" outlineLevel="0" collapsed="false"/>
    <row r="64695" customFormat="false" ht="12.75" hidden="false" customHeight="true" outlineLevel="0" collapsed="false"/>
    <row r="64696" customFormat="false" ht="12.75" hidden="false" customHeight="true" outlineLevel="0" collapsed="false"/>
    <row r="64697" customFormat="false" ht="12.75" hidden="false" customHeight="true" outlineLevel="0" collapsed="false"/>
    <row r="64698" customFormat="false" ht="12.75" hidden="false" customHeight="true" outlineLevel="0" collapsed="false"/>
    <row r="64699" customFormat="false" ht="12.75" hidden="false" customHeight="true" outlineLevel="0" collapsed="false"/>
    <row r="64700" customFormat="false" ht="12.75" hidden="false" customHeight="true" outlineLevel="0" collapsed="false"/>
    <row r="64701" customFormat="false" ht="12.75" hidden="false" customHeight="true" outlineLevel="0" collapsed="false"/>
    <row r="64702" customFormat="false" ht="12.75" hidden="false" customHeight="true" outlineLevel="0" collapsed="false"/>
    <row r="64703" customFormat="false" ht="12.75" hidden="false" customHeight="true" outlineLevel="0" collapsed="false"/>
    <row r="64704" customFormat="false" ht="12.75" hidden="false" customHeight="true" outlineLevel="0" collapsed="false"/>
    <row r="64705" customFormat="false" ht="12.75" hidden="false" customHeight="true" outlineLevel="0" collapsed="false"/>
    <row r="64706" customFormat="false" ht="12.75" hidden="false" customHeight="true" outlineLevel="0" collapsed="false"/>
    <row r="64707" customFormat="false" ht="12.75" hidden="false" customHeight="true" outlineLevel="0" collapsed="false"/>
    <row r="64708" customFormat="false" ht="12.75" hidden="false" customHeight="true" outlineLevel="0" collapsed="false"/>
    <row r="64709" customFormat="false" ht="12.75" hidden="false" customHeight="true" outlineLevel="0" collapsed="false"/>
    <row r="64710" customFormat="false" ht="12.75" hidden="false" customHeight="true" outlineLevel="0" collapsed="false"/>
    <row r="64711" customFormat="false" ht="12.75" hidden="false" customHeight="true" outlineLevel="0" collapsed="false"/>
    <row r="64712" customFormat="false" ht="12.75" hidden="false" customHeight="true" outlineLevel="0" collapsed="false"/>
    <row r="64713" customFormat="false" ht="12.75" hidden="false" customHeight="true" outlineLevel="0" collapsed="false"/>
    <row r="64714" customFormat="false" ht="12.75" hidden="false" customHeight="true" outlineLevel="0" collapsed="false"/>
    <row r="64715" customFormat="false" ht="12.75" hidden="false" customHeight="true" outlineLevel="0" collapsed="false"/>
    <row r="64716" customFormat="false" ht="12.75" hidden="false" customHeight="true" outlineLevel="0" collapsed="false"/>
    <row r="64717" customFormat="false" ht="12.75" hidden="false" customHeight="true" outlineLevel="0" collapsed="false"/>
    <row r="64718" customFormat="false" ht="12.75" hidden="false" customHeight="true" outlineLevel="0" collapsed="false"/>
    <row r="64719" customFormat="false" ht="12.75" hidden="false" customHeight="true" outlineLevel="0" collapsed="false"/>
    <row r="64720" customFormat="false" ht="12.75" hidden="false" customHeight="true" outlineLevel="0" collapsed="false"/>
    <row r="64721" customFormat="false" ht="12.75" hidden="false" customHeight="true" outlineLevel="0" collapsed="false"/>
    <row r="64722" customFormat="false" ht="12.75" hidden="false" customHeight="true" outlineLevel="0" collapsed="false"/>
    <row r="64723" customFormat="false" ht="12.75" hidden="false" customHeight="true" outlineLevel="0" collapsed="false"/>
    <row r="64724" customFormat="false" ht="12.75" hidden="false" customHeight="true" outlineLevel="0" collapsed="false"/>
    <row r="64725" customFormat="false" ht="12.75" hidden="false" customHeight="true" outlineLevel="0" collapsed="false"/>
    <row r="64726" customFormat="false" ht="12.75" hidden="false" customHeight="true" outlineLevel="0" collapsed="false"/>
    <row r="64727" customFormat="false" ht="12.75" hidden="false" customHeight="true" outlineLevel="0" collapsed="false"/>
    <row r="64728" customFormat="false" ht="12.75" hidden="false" customHeight="true" outlineLevel="0" collapsed="false"/>
    <row r="64729" customFormat="false" ht="12.75" hidden="false" customHeight="true" outlineLevel="0" collapsed="false"/>
    <row r="64730" customFormat="false" ht="12.75" hidden="false" customHeight="true" outlineLevel="0" collapsed="false"/>
    <row r="64731" customFormat="false" ht="12.75" hidden="false" customHeight="true" outlineLevel="0" collapsed="false"/>
    <row r="64732" customFormat="false" ht="12.75" hidden="false" customHeight="true" outlineLevel="0" collapsed="false"/>
    <row r="64733" customFormat="false" ht="12.75" hidden="false" customHeight="true" outlineLevel="0" collapsed="false"/>
    <row r="64734" customFormat="false" ht="12.75" hidden="false" customHeight="true" outlineLevel="0" collapsed="false"/>
    <row r="64735" customFormat="false" ht="12.75" hidden="false" customHeight="true" outlineLevel="0" collapsed="false"/>
    <row r="64736" customFormat="false" ht="12.75" hidden="false" customHeight="true" outlineLevel="0" collapsed="false"/>
    <row r="64737" customFormat="false" ht="12.75" hidden="false" customHeight="true" outlineLevel="0" collapsed="false"/>
    <row r="64738" customFormat="false" ht="12.75" hidden="false" customHeight="true" outlineLevel="0" collapsed="false"/>
    <row r="64739" customFormat="false" ht="12.75" hidden="false" customHeight="true" outlineLevel="0" collapsed="false"/>
    <row r="64740" customFormat="false" ht="12.75" hidden="false" customHeight="true" outlineLevel="0" collapsed="false"/>
    <row r="64741" customFormat="false" ht="12.75" hidden="false" customHeight="true" outlineLevel="0" collapsed="false"/>
    <row r="64742" customFormat="false" ht="12.75" hidden="false" customHeight="true" outlineLevel="0" collapsed="false"/>
    <row r="64743" customFormat="false" ht="12.75" hidden="false" customHeight="true" outlineLevel="0" collapsed="false"/>
    <row r="64744" customFormat="false" ht="12.75" hidden="false" customHeight="true" outlineLevel="0" collapsed="false"/>
    <row r="64745" customFormat="false" ht="12.75" hidden="false" customHeight="true" outlineLevel="0" collapsed="false"/>
    <row r="64746" customFormat="false" ht="12.75" hidden="false" customHeight="true" outlineLevel="0" collapsed="false"/>
    <row r="64747" customFormat="false" ht="12.75" hidden="false" customHeight="true" outlineLevel="0" collapsed="false"/>
    <row r="64748" customFormat="false" ht="12.75" hidden="false" customHeight="true" outlineLevel="0" collapsed="false"/>
    <row r="64749" customFormat="false" ht="12.75" hidden="false" customHeight="true" outlineLevel="0" collapsed="false"/>
    <row r="64750" customFormat="false" ht="12.75" hidden="false" customHeight="true" outlineLevel="0" collapsed="false"/>
    <row r="64751" customFormat="false" ht="12.75" hidden="false" customHeight="true" outlineLevel="0" collapsed="false"/>
    <row r="64752" customFormat="false" ht="12.75" hidden="false" customHeight="true" outlineLevel="0" collapsed="false"/>
    <row r="64753" customFormat="false" ht="12.75" hidden="false" customHeight="true" outlineLevel="0" collapsed="false"/>
    <row r="64754" customFormat="false" ht="12.75" hidden="false" customHeight="true" outlineLevel="0" collapsed="false"/>
    <row r="64755" customFormat="false" ht="12.75" hidden="false" customHeight="true" outlineLevel="0" collapsed="false"/>
    <row r="64756" customFormat="false" ht="12.75" hidden="false" customHeight="true" outlineLevel="0" collapsed="false"/>
    <row r="64757" customFormat="false" ht="12.75" hidden="false" customHeight="true" outlineLevel="0" collapsed="false"/>
    <row r="64758" customFormat="false" ht="12.75" hidden="false" customHeight="true" outlineLevel="0" collapsed="false"/>
    <row r="64759" customFormat="false" ht="12.75" hidden="false" customHeight="true" outlineLevel="0" collapsed="false"/>
    <row r="64760" customFormat="false" ht="12.75" hidden="false" customHeight="true" outlineLevel="0" collapsed="false"/>
    <row r="64761" customFormat="false" ht="12.75" hidden="false" customHeight="true" outlineLevel="0" collapsed="false"/>
    <row r="64762" customFormat="false" ht="12.75" hidden="false" customHeight="true" outlineLevel="0" collapsed="false"/>
    <row r="64763" customFormat="false" ht="12.75" hidden="false" customHeight="true" outlineLevel="0" collapsed="false"/>
    <row r="64764" customFormat="false" ht="12.75" hidden="false" customHeight="true" outlineLevel="0" collapsed="false"/>
    <row r="64765" customFormat="false" ht="12.75" hidden="false" customHeight="true" outlineLevel="0" collapsed="false"/>
    <row r="64766" customFormat="false" ht="12.75" hidden="false" customHeight="true" outlineLevel="0" collapsed="false"/>
    <row r="64767" customFormat="false" ht="12.75" hidden="false" customHeight="true" outlineLevel="0" collapsed="false"/>
    <row r="64768" customFormat="false" ht="12.75" hidden="false" customHeight="true" outlineLevel="0" collapsed="false"/>
    <row r="64769" customFormat="false" ht="12.75" hidden="false" customHeight="true" outlineLevel="0" collapsed="false"/>
    <row r="64770" customFormat="false" ht="12.75" hidden="false" customHeight="true" outlineLevel="0" collapsed="false"/>
    <row r="64771" customFormat="false" ht="12.75" hidden="false" customHeight="true" outlineLevel="0" collapsed="false"/>
    <row r="64772" customFormat="false" ht="12.75" hidden="false" customHeight="true" outlineLevel="0" collapsed="false"/>
    <row r="64773" customFormat="false" ht="12.75" hidden="false" customHeight="true" outlineLevel="0" collapsed="false"/>
    <row r="64774" customFormat="false" ht="12.75" hidden="false" customHeight="true" outlineLevel="0" collapsed="false"/>
    <row r="64775" customFormat="false" ht="12.75" hidden="false" customHeight="true" outlineLevel="0" collapsed="false"/>
    <row r="64776" customFormat="false" ht="12.75" hidden="false" customHeight="true" outlineLevel="0" collapsed="false"/>
    <row r="64777" customFormat="false" ht="12.75" hidden="false" customHeight="true" outlineLevel="0" collapsed="false"/>
    <row r="64778" customFormat="false" ht="12.75" hidden="false" customHeight="true" outlineLevel="0" collapsed="false"/>
    <row r="64779" customFormat="false" ht="12.75" hidden="false" customHeight="true" outlineLevel="0" collapsed="false"/>
    <row r="64780" customFormat="false" ht="12.75" hidden="false" customHeight="true" outlineLevel="0" collapsed="false"/>
    <row r="64781" customFormat="false" ht="12.75" hidden="false" customHeight="true" outlineLevel="0" collapsed="false"/>
    <row r="64782" customFormat="false" ht="12.75" hidden="false" customHeight="true" outlineLevel="0" collapsed="false"/>
    <row r="64783" customFormat="false" ht="12.75" hidden="false" customHeight="true" outlineLevel="0" collapsed="false"/>
    <row r="64784" customFormat="false" ht="12.75" hidden="false" customHeight="true" outlineLevel="0" collapsed="false"/>
    <row r="64785" customFormat="false" ht="12.75" hidden="false" customHeight="true" outlineLevel="0" collapsed="false"/>
    <row r="64786" customFormat="false" ht="12.75" hidden="false" customHeight="true" outlineLevel="0" collapsed="false"/>
    <row r="64787" customFormat="false" ht="12.75" hidden="false" customHeight="true" outlineLevel="0" collapsed="false"/>
    <row r="64788" customFormat="false" ht="12.75" hidden="false" customHeight="true" outlineLevel="0" collapsed="false"/>
    <row r="64789" customFormat="false" ht="12.75" hidden="false" customHeight="true" outlineLevel="0" collapsed="false"/>
    <row r="64790" customFormat="false" ht="12.75" hidden="false" customHeight="true" outlineLevel="0" collapsed="false"/>
    <row r="64791" customFormat="false" ht="12.75" hidden="false" customHeight="true" outlineLevel="0" collapsed="false"/>
    <row r="64792" customFormat="false" ht="12.75" hidden="false" customHeight="true" outlineLevel="0" collapsed="false"/>
    <row r="64793" customFormat="false" ht="12.75" hidden="false" customHeight="true" outlineLevel="0" collapsed="false"/>
    <row r="64794" customFormat="false" ht="12.75" hidden="false" customHeight="true" outlineLevel="0" collapsed="false"/>
    <row r="64795" customFormat="false" ht="12.75" hidden="false" customHeight="true" outlineLevel="0" collapsed="false"/>
    <row r="64796" customFormat="false" ht="12.75" hidden="false" customHeight="true" outlineLevel="0" collapsed="false"/>
    <row r="64797" customFormat="false" ht="12.75" hidden="false" customHeight="true" outlineLevel="0" collapsed="false"/>
    <row r="64798" customFormat="false" ht="12.75" hidden="false" customHeight="true" outlineLevel="0" collapsed="false"/>
    <row r="64799" customFormat="false" ht="12.75" hidden="false" customHeight="true" outlineLevel="0" collapsed="false"/>
    <row r="64800" customFormat="false" ht="12.75" hidden="false" customHeight="true" outlineLevel="0" collapsed="false"/>
    <row r="64801" customFormat="false" ht="12.75" hidden="false" customHeight="true" outlineLevel="0" collapsed="false"/>
    <row r="64802" customFormat="false" ht="12.75" hidden="false" customHeight="true" outlineLevel="0" collapsed="false"/>
    <row r="64803" customFormat="false" ht="12.75" hidden="false" customHeight="true" outlineLevel="0" collapsed="false"/>
    <row r="64804" customFormat="false" ht="12.75" hidden="false" customHeight="true" outlineLevel="0" collapsed="false"/>
    <row r="64805" customFormat="false" ht="12.75" hidden="false" customHeight="true" outlineLevel="0" collapsed="false"/>
    <row r="64806" customFormat="false" ht="12.75" hidden="false" customHeight="true" outlineLevel="0" collapsed="false"/>
    <row r="64807" customFormat="false" ht="12.75" hidden="false" customHeight="true" outlineLevel="0" collapsed="false"/>
    <row r="64808" customFormat="false" ht="12.75" hidden="false" customHeight="true" outlineLevel="0" collapsed="false"/>
    <row r="64809" customFormat="false" ht="12.75" hidden="false" customHeight="true" outlineLevel="0" collapsed="false"/>
    <row r="64810" customFormat="false" ht="12.75" hidden="false" customHeight="true" outlineLevel="0" collapsed="false"/>
    <row r="64811" customFormat="false" ht="12.75" hidden="false" customHeight="true" outlineLevel="0" collapsed="false"/>
    <row r="64812" customFormat="false" ht="12.75" hidden="false" customHeight="true" outlineLevel="0" collapsed="false"/>
    <row r="64813" customFormat="false" ht="12.75" hidden="false" customHeight="true" outlineLevel="0" collapsed="false"/>
    <row r="64814" customFormat="false" ht="12.75" hidden="false" customHeight="true" outlineLevel="0" collapsed="false"/>
    <row r="64815" customFormat="false" ht="12.75" hidden="false" customHeight="true" outlineLevel="0" collapsed="false"/>
    <row r="64816" customFormat="false" ht="12.75" hidden="false" customHeight="true" outlineLevel="0" collapsed="false"/>
    <row r="64817" customFormat="false" ht="12.75" hidden="false" customHeight="true" outlineLevel="0" collapsed="false"/>
    <row r="64818" customFormat="false" ht="12.75" hidden="false" customHeight="true" outlineLevel="0" collapsed="false"/>
    <row r="64819" customFormat="false" ht="12.75" hidden="false" customHeight="true" outlineLevel="0" collapsed="false"/>
    <row r="64820" customFormat="false" ht="12.75" hidden="false" customHeight="true" outlineLevel="0" collapsed="false"/>
    <row r="64821" customFormat="false" ht="12.75" hidden="false" customHeight="true" outlineLevel="0" collapsed="false"/>
    <row r="64822" customFormat="false" ht="12.75" hidden="false" customHeight="true" outlineLevel="0" collapsed="false"/>
    <row r="64823" customFormat="false" ht="12.75" hidden="false" customHeight="true" outlineLevel="0" collapsed="false"/>
    <row r="64824" customFormat="false" ht="12.75" hidden="false" customHeight="true" outlineLevel="0" collapsed="false"/>
    <row r="64825" customFormat="false" ht="12.75" hidden="false" customHeight="true" outlineLevel="0" collapsed="false"/>
    <row r="64826" customFormat="false" ht="12.75" hidden="false" customHeight="true" outlineLevel="0" collapsed="false"/>
    <row r="64827" customFormat="false" ht="12.75" hidden="false" customHeight="true" outlineLevel="0" collapsed="false"/>
    <row r="64828" customFormat="false" ht="12.75" hidden="false" customHeight="true" outlineLevel="0" collapsed="false"/>
    <row r="64829" customFormat="false" ht="12.75" hidden="false" customHeight="true" outlineLevel="0" collapsed="false"/>
    <row r="64830" customFormat="false" ht="12.75" hidden="false" customHeight="true" outlineLevel="0" collapsed="false"/>
    <row r="64831" customFormat="false" ht="12.75" hidden="false" customHeight="true" outlineLevel="0" collapsed="false"/>
    <row r="64832" customFormat="false" ht="12.75" hidden="false" customHeight="true" outlineLevel="0" collapsed="false"/>
    <row r="64833" customFormat="false" ht="12.75" hidden="false" customHeight="true" outlineLevel="0" collapsed="false"/>
    <row r="64834" customFormat="false" ht="12.75" hidden="false" customHeight="true" outlineLevel="0" collapsed="false"/>
    <row r="64835" customFormat="false" ht="12.75" hidden="false" customHeight="true" outlineLevel="0" collapsed="false"/>
    <row r="64836" customFormat="false" ht="12.75" hidden="false" customHeight="true" outlineLevel="0" collapsed="false"/>
    <row r="64837" customFormat="false" ht="12.75" hidden="false" customHeight="true" outlineLevel="0" collapsed="false"/>
    <row r="64838" customFormat="false" ht="12.75" hidden="false" customHeight="true" outlineLevel="0" collapsed="false"/>
    <row r="64839" customFormat="false" ht="12.75" hidden="false" customHeight="true" outlineLevel="0" collapsed="false"/>
    <row r="64840" customFormat="false" ht="12.75" hidden="false" customHeight="true" outlineLevel="0" collapsed="false"/>
    <row r="64841" customFormat="false" ht="12.75" hidden="false" customHeight="true" outlineLevel="0" collapsed="false"/>
    <row r="64842" customFormat="false" ht="12.75" hidden="false" customHeight="true" outlineLevel="0" collapsed="false"/>
    <row r="64843" customFormat="false" ht="12.75" hidden="false" customHeight="true" outlineLevel="0" collapsed="false"/>
    <row r="64844" customFormat="false" ht="12.75" hidden="false" customHeight="true" outlineLevel="0" collapsed="false"/>
    <row r="64845" customFormat="false" ht="12.75" hidden="false" customHeight="true" outlineLevel="0" collapsed="false"/>
    <row r="64846" customFormat="false" ht="12.75" hidden="false" customHeight="true" outlineLevel="0" collapsed="false"/>
    <row r="64847" customFormat="false" ht="12.75" hidden="false" customHeight="true" outlineLevel="0" collapsed="false"/>
    <row r="64848" customFormat="false" ht="12.75" hidden="false" customHeight="true" outlineLevel="0" collapsed="false"/>
    <row r="64849" customFormat="false" ht="12.75" hidden="false" customHeight="true" outlineLevel="0" collapsed="false"/>
    <row r="64850" customFormat="false" ht="12.75" hidden="false" customHeight="true" outlineLevel="0" collapsed="false"/>
    <row r="64851" customFormat="false" ht="12.75" hidden="false" customHeight="true" outlineLevel="0" collapsed="false"/>
    <row r="64852" customFormat="false" ht="12.75" hidden="false" customHeight="true" outlineLevel="0" collapsed="false"/>
    <row r="64853" customFormat="false" ht="12.75" hidden="false" customHeight="true" outlineLevel="0" collapsed="false"/>
    <row r="64854" customFormat="false" ht="12.75" hidden="false" customHeight="true" outlineLevel="0" collapsed="false"/>
    <row r="64855" customFormat="false" ht="12.75" hidden="false" customHeight="true" outlineLevel="0" collapsed="false"/>
    <row r="64856" customFormat="false" ht="12.75" hidden="false" customHeight="true" outlineLevel="0" collapsed="false"/>
    <row r="64857" customFormat="false" ht="12.75" hidden="false" customHeight="true" outlineLevel="0" collapsed="false"/>
    <row r="64858" customFormat="false" ht="12.75" hidden="false" customHeight="true" outlineLevel="0" collapsed="false"/>
    <row r="64859" customFormat="false" ht="12.75" hidden="false" customHeight="true" outlineLevel="0" collapsed="false"/>
    <row r="64860" customFormat="false" ht="12.75" hidden="false" customHeight="true" outlineLevel="0" collapsed="false"/>
    <row r="64861" customFormat="false" ht="12.75" hidden="false" customHeight="true" outlineLevel="0" collapsed="false"/>
    <row r="64862" customFormat="false" ht="12.75" hidden="false" customHeight="true" outlineLevel="0" collapsed="false"/>
    <row r="64863" customFormat="false" ht="12.75" hidden="false" customHeight="true" outlineLevel="0" collapsed="false"/>
    <row r="64864" customFormat="false" ht="12.75" hidden="false" customHeight="true" outlineLevel="0" collapsed="false"/>
    <row r="64865" customFormat="false" ht="12.75" hidden="false" customHeight="true" outlineLevel="0" collapsed="false"/>
    <row r="64866" customFormat="false" ht="12.75" hidden="false" customHeight="true" outlineLevel="0" collapsed="false"/>
    <row r="64867" customFormat="false" ht="12.75" hidden="false" customHeight="true" outlineLevel="0" collapsed="false"/>
    <row r="64868" customFormat="false" ht="12.75" hidden="false" customHeight="true" outlineLevel="0" collapsed="false"/>
    <row r="64869" customFormat="false" ht="12.75" hidden="false" customHeight="true" outlineLevel="0" collapsed="false"/>
    <row r="64870" customFormat="false" ht="12.75" hidden="false" customHeight="true" outlineLevel="0" collapsed="false"/>
    <row r="64871" customFormat="false" ht="12.75" hidden="false" customHeight="true" outlineLevel="0" collapsed="false"/>
    <row r="64872" customFormat="false" ht="12.75" hidden="false" customHeight="true" outlineLevel="0" collapsed="false"/>
    <row r="64873" customFormat="false" ht="12.75" hidden="false" customHeight="true" outlineLevel="0" collapsed="false"/>
    <row r="64874" customFormat="false" ht="12.75" hidden="false" customHeight="true" outlineLevel="0" collapsed="false"/>
    <row r="64875" customFormat="false" ht="12.75" hidden="false" customHeight="true" outlineLevel="0" collapsed="false"/>
    <row r="64876" customFormat="false" ht="12.75" hidden="false" customHeight="true" outlineLevel="0" collapsed="false"/>
    <row r="64877" customFormat="false" ht="12.75" hidden="false" customHeight="true" outlineLevel="0" collapsed="false"/>
    <row r="64878" customFormat="false" ht="12.75" hidden="false" customHeight="true" outlineLevel="0" collapsed="false"/>
    <row r="64879" customFormat="false" ht="12.75" hidden="false" customHeight="true" outlineLevel="0" collapsed="false"/>
    <row r="64880" customFormat="false" ht="12.75" hidden="false" customHeight="true" outlineLevel="0" collapsed="false"/>
    <row r="64881" customFormat="false" ht="12.75" hidden="false" customHeight="true" outlineLevel="0" collapsed="false"/>
    <row r="64882" customFormat="false" ht="12.75" hidden="false" customHeight="true" outlineLevel="0" collapsed="false"/>
    <row r="64883" customFormat="false" ht="12.75" hidden="false" customHeight="true" outlineLevel="0" collapsed="false"/>
    <row r="64884" customFormat="false" ht="12.75" hidden="false" customHeight="true" outlineLevel="0" collapsed="false"/>
    <row r="64885" customFormat="false" ht="12.75" hidden="false" customHeight="true" outlineLevel="0" collapsed="false"/>
    <row r="64886" customFormat="false" ht="12.75" hidden="false" customHeight="true" outlineLevel="0" collapsed="false"/>
    <row r="64887" customFormat="false" ht="12.75" hidden="false" customHeight="true" outlineLevel="0" collapsed="false"/>
    <row r="64888" customFormat="false" ht="12.75" hidden="false" customHeight="true" outlineLevel="0" collapsed="false"/>
    <row r="64889" customFormat="false" ht="12.75" hidden="false" customHeight="true" outlineLevel="0" collapsed="false"/>
    <row r="64890" customFormat="false" ht="12.75" hidden="false" customHeight="true" outlineLevel="0" collapsed="false"/>
    <row r="64891" customFormat="false" ht="12.75" hidden="false" customHeight="true" outlineLevel="0" collapsed="false"/>
    <row r="64892" customFormat="false" ht="12.75" hidden="false" customHeight="true" outlineLevel="0" collapsed="false"/>
    <row r="64893" customFormat="false" ht="12.75" hidden="false" customHeight="true" outlineLevel="0" collapsed="false"/>
    <row r="64894" customFormat="false" ht="12.75" hidden="false" customHeight="true" outlineLevel="0" collapsed="false"/>
    <row r="64895" customFormat="false" ht="12.75" hidden="false" customHeight="true" outlineLevel="0" collapsed="false"/>
    <row r="64896" customFormat="false" ht="12.75" hidden="false" customHeight="true" outlineLevel="0" collapsed="false"/>
    <row r="64897" customFormat="false" ht="12.75" hidden="false" customHeight="true" outlineLevel="0" collapsed="false"/>
    <row r="64898" customFormat="false" ht="12.75" hidden="false" customHeight="true" outlineLevel="0" collapsed="false"/>
    <row r="64899" customFormat="false" ht="12.75" hidden="false" customHeight="true" outlineLevel="0" collapsed="false"/>
    <row r="64900" customFormat="false" ht="12.75" hidden="false" customHeight="true" outlineLevel="0" collapsed="false"/>
    <row r="64901" customFormat="false" ht="12.75" hidden="false" customHeight="true" outlineLevel="0" collapsed="false"/>
    <row r="64902" customFormat="false" ht="12.75" hidden="false" customHeight="true" outlineLevel="0" collapsed="false"/>
    <row r="64903" customFormat="false" ht="12.75" hidden="false" customHeight="true" outlineLevel="0" collapsed="false"/>
    <row r="64904" customFormat="false" ht="12.75" hidden="false" customHeight="true" outlineLevel="0" collapsed="false"/>
    <row r="64905" customFormat="false" ht="12.75" hidden="false" customHeight="true" outlineLevel="0" collapsed="false"/>
    <row r="64906" customFormat="false" ht="12.75" hidden="false" customHeight="true" outlineLevel="0" collapsed="false"/>
    <row r="64907" customFormat="false" ht="12.75" hidden="false" customHeight="true" outlineLevel="0" collapsed="false"/>
    <row r="64908" customFormat="false" ht="12.75" hidden="false" customHeight="true" outlineLevel="0" collapsed="false"/>
    <row r="64909" customFormat="false" ht="12.75" hidden="false" customHeight="true" outlineLevel="0" collapsed="false"/>
    <row r="64910" customFormat="false" ht="12.75" hidden="false" customHeight="true" outlineLevel="0" collapsed="false"/>
    <row r="64911" customFormat="false" ht="12.75" hidden="false" customHeight="true" outlineLevel="0" collapsed="false"/>
    <row r="64912" customFormat="false" ht="12.75" hidden="false" customHeight="true" outlineLevel="0" collapsed="false"/>
    <row r="64913" customFormat="false" ht="12.75" hidden="false" customHeight="true" outlineLevel="0" collapsed="false"/>
    <row r="64914" customFormat="false" ht="12.75" hidden="false" customHeight="true" outlineLevel="0" collapsed="false"/>
    <row r="64915" customFormat="false" ht="12.75" hidden="false" customHeight="true" outlineLevel="0" collapsed="false"/>
    <row r="64916" customFormat="false" ht="12.75" hidden="false" customHeight="true" outlineLevel="0" collapsed="false"/>
    <row r="64917" customFormat="false" ht="12.75" hidden="false" customHeight="true" outlineLevel="0" collapsed="false"/>
    <row r="64918" customFormat="false" ht="12.75" hidden="false" customHeight="true" outlineLevel="0" collapsed="false"/>
    <row r="64919" customFormat="false" ht="12.75" hidden="false" customHeight="true" outlineLevel="0" collapsed="false"/>
    <row r="64920" customFormat="false" ht="12.75" hidden="false" customHeight="true" outlineLevel="0" collapsed="false"/>
    <row r="64921" customFormat="false" ht="12.75" hidden="false" customHeight="true" outlineLevel="0" collapsed="false"/>
    <row r="64922" customFormat="false" ht="12.75" hidden="false" customHeight="true" outlineLevel="0" collapsed="false"/>
    <row r="64923" customFormat="false" ht="12.75" hidden="false" customHeight="true" outlineLevel="0" collapsed="false"/>
    <row r="64924" customFormat="false" ht="12.75" hidden="false" customHeight="true" outlineLevel="0" collapsed="false"/>
    <row r="64925" customFormat="false" ht="12.75" hidden="false" customHeight="true" outlineLevel="0" collapsed="false"/>
    <row r="64926" customFormat="false" ht="12.75" hidden="false" customHeight="true" outlineLevel="0" collapsed="false"/>
    <row r="64927" customFormat="false" ht="12.75" hidden="false" customHeight="true" outlineLevel="0" collapsed="false"/>
    <row r="64928" customFormat="false" ht="12.75" hidden="false" customHeight="true" outlineLevel="0" collapsed="false"/>
    <row r="64929" customFormat="false" ht="12.75" hidden="false" customHeight="true" outlineLevel="0" collapsed="false"/>
    <row r="64930" customFormat="false" ht="12.75" hidden="false" customHeight="true" outlineLevel="0" collapsed="false"/>
    <row r="64931" customFormat="false" ht="12.75" hidden="false" customHeight="true" outlineLevel="0" collapsed="false"/>
    <row r="64932" customFormat="false" ht="12.75" hidden="false" customHeight="true" outlineLevel="0" collapsed="false"/>
    <row r="64933" customFormat="false" ht="12.75" hidden="false" customHeight="true" outlineLevel="0" collapsed="false"/>
    <row r="64934" customFormat="false" ht="12.75" hidden="false" customHeight="true" outlineLevel="0" collapsed="false"/>
    <row r="64935" customFormat="false" ht="12.75" hidden="false" customHeight="true" outlineLevel="0" collapsed="false"/>
    <row r="64936" customFormat="false" ht="12.75" hidden="false" customHeight="true" outlineLevel="0" collapsed="false"/>
    <row r="64937" customFormat="false" ht="12.75" hidden="false" customHeight="true" outlineLevel="0" collapsed="false"/>
    <row r="64938" customFormat="false" ht="12.75" hidden="false" customHeight="true" outlineLevel="0" collapsed="false"/>
    <row r="64939" customFormat="false" ht="12.75" hidden="false" customHeight="true" outlineLevel="0" collapsed="false"/>
    <row r="64940" customFormat="false" ht="12.75" hidden="false" customHeight="true" outlineLevel="0" collapsed="false"/>
    <row r="64941" customFormat="false" ht="12.75" hidden="false" customHeight="true" outlineLevel="0" collapsed="false"/>
    <row r="64942" customFormat="false" ht="12.75" hidden="false" customHeight="true" outlineLevel="0" collapsed="false"/>
    <row r="64943" customFormat="false" ht="12.75" hidden="false" customHeight="true" outlineLevel="0" collapsed="false"/>
    <row r="64944" customFormat="false" ht="12.75" hidden="false" customHeight="true" outlineLevel="0" collapsed="false"/>
    <row r="64945" customFormat="false" ht="12.75" hidden="false" customHeight="true" outlineLevel="0" collapsed="false"/>
    <row r="64946" customFormat="false" ht="12.75" hidden="false" customHeight="true" outlineLevel="0" collapsed="false"/>
    <row r="64947" customFormat="false" ht="12.75" hidden="false" customHeight="true" outlineLevel="0" collapsed="false"/>
    <row r="64948" customFormat="false" ht="12.75" hidden="false" customHeight="true" outlineLevel="0" collapsed="false"/>
    <row r="64949" customFormat="false" ht="12.75" hidden="false" customHeight="true" outlineLevel="0" collapsed="false"/>
    <row r="64950" customFormat="false" ht="12.75" hidden="false" customHeight="true" outlineLevel="0" collapsed="false"/>
    <row r="64951" customFormat="false" ht="12.75" hidden="false" customHeight="true" outlineLevel="0" collapsed="false"/>
    <row r="64952" customFormat="false" ht="12.75" hidden="false" customHeight="true" outlineLevel="0" collapsed="false"/>
    <row r="64953" customFormat="false" ht="12.75" hidden="false" customHeight="true" outlineLevel="0" collapsed="false"/>
    <row r="64954" customFormat="false" ht="12.75" hidden="false" customHeight="true" outlineLevel="0" collapsed="false"/>
    <row r="64955" customFormat="false" ht="12.75" hidden="false" customHeight="true" outlineLevel="0" collapsed="false"/>
    <row r="64956" customFormat="false" ht="12.75" hidden="false" customHeight="true" outlineLevel="0" collapsed="false"/>
    <row r="64957" customFormat="false" ht="12.75" hidden="false" customHeight="true" outlineLevel="0" collapsed="false"/>
    <row r="64958" customFormat="false" ht="12.75" hidden="false" customHeight="true" outlineLevel="0" collapsed="false"/>
    <row r="64959" customFormat="false" ht="12.75" hidden="false" customHeight="true" outlineLevel="0" collapsed="false"/>
    <row r="64960" customFormat="false" ht="12.75" hidden="false" customHeight="true" outlineLevel="0" collapsed="false"/>
    <row r="64961" customFormat="false" ht="12.75" hidden="false" customHeight="true" outlineLevel="0" collapsed="false"/>
    <row r="64962" customFormat="false" ht="12.75" hidden="false" customHeight="true" outlineLevel="0" collapsed="false"/>
    <row r="64963" customFormat="false" ht="12.75" hidden="false" customHeight="true" outlineLevel="0" collapsed="false"/>
    <row r="64964" customFormat="false" ht="12.75" hidden="false" customHeight="true" outlineLevel="0" collapsed="false"/>
    <row r="64965" customFormat="false" ht="12.75" hidden="false" customHeight="true" outlineLevel="0" collapsed="false"/>
    <row r="64966" customFormat="false" ht="12.75" hidden="false" customHeight="true" outlineLevel="0" collapsed="false"/>
    <row r="64967" customFormat="false" ht="12.75" hidden="false" customHeight="true" outlineLevel="0" collapsed="false"/>
    <row r="64968" customFormat="false" ht="12.75" hidden="false" customHeight="true" outlineLevel="0" collapsed="false"/>
    <row r="64969" customFormat="false" ht="12.75" hidden="false" customHeight="true" outlineLevel="0" collapsed="false"/>
    <row r="64970" customFormat="false" ht="12.75" hidden="false" customHeight="true" outlineLevel="0" collapsed="false"/>
    <row r="64971" customFormat="false" ht="12.75" hidden="false" customHeight="true" outlineLevel="0" collapsed="false"/>
    <row r="64972" customFormat="false" ht="12.75" hidden="false" customHeight="true" outlineLevel="0" collapsed="false"/>
    <row r="64973" customFormat="false" ht="12.75" hidden="false" customHeight="true" outlineLevel="0" collapsed="false"/>
    <row r="64974" customFormat="false" ht="12.75" hidden="false" customHeight="true" outlineLevel="0" collapsed="false"/>
    <row r="64975" customFormat="false" ht="12.75" hidden="false" customHeight="true" outlineLevel="0" collapsed="false"/>
    <row r="64976" customFormat="false" ht="12.75" hidden="false" customHeight="true" outlineLevel="0" collapsed="false"/>
    <row r="64977" customFormat="false" ht="12.75" hidden="false" customHeight="true" outlineLevel="0" collapsed="false"/>
    <row r="64978" customFormat="false" ht="12.75" hidden="false" customHeight="true" outlineLevel="0" collapsed="false"/>
    <row r="64979" customFormat="false" ht="12.75" hidden="false" customHeight="true" outlineLevel="0" collapsed="false"/>
    <row r="64980" customFormat="false" ht="12.75" hidden="false" customHeight="true" outlineLevel="0" collapsed="false"/>
    <row r="64981" customFormat="false" ht="12.75" hidden="false" customHeight="true" outlineLevel="0" collapsed="false"/>
    <row r="64982" customFormat="false" ht="12.75" hidden="false" customHeight="true" outlineLevel="0" collapsed="false"/>
    <row r="64983" customFormat="false" ht="12.75" hidden="false" customHeight="true" outlineLevel="0" collapsed="false"/>
    <row r="64984" customFormat="false" ht="12.75" hidden="false" customHeight="true" outlineLevel="0" collapsed="false"/>
    <row r="64985" customFormat="false" ht="12.75" hidden="false" customHeight="true" outlineLevel="0" collapsed="false"/>
    <row r="64986" customFormat="false" ht="12.75" hidden="false" customHeight="true" outlineLevel="0" collapsed="false"/>
    <row r="64987" customFormat="false" ht="12.75" hidden="false" customHeight="true" outlineLevel="0" collapsed="false"/>
    <row r="64988" customFormat="false" ht="12.75" hidden="false" customHeight="true" outlineLevel="0" collapsed="false"/>
    <row r="64989" customFormat="false" ht="12.75" hidden="false" customHeight="true" outlineLevel="0" collapsed="false"/>
    <row r="64990" customFormat="false" ht="12.75" hidden="false" customHeight="true" outlineLevel="0" collapsed="false"/>
    <row r="64991" customFormat="false" ht="12.75" hidden="false" customHeight="true" outlineLevel="0" collapsed="false"/>
    <row r="64992" customFormat="false" ht="12.75" hidden="false" customHeight="true" outlineLevel="0" collapsed="false"/>
    <row r="64993" customFormat="false" ht="12.75" hidden="false" customHeight="true" outlineLevel="0" collapsed="false"/>
    <row r="64994" customFormat="false" ht="12.75" hidden="false" customHeight="true" outlineLevel="0" collapsed="false"/>
    <row r="64995" customFormat="false" ht="12.75" hidden="false" customHeight="true" outlineLevel="0" collapsed="false"/>
    <row r="64996" customFormat="false" ht="12.75" hidden="false" customHeight="true" outlineLevel="0" collapsed="false"/>
    <row r="64997" customFormat="false" ht="12.75" hidden="false" customHeight="true" outlineLevel="0" collapsed="false"/>
    <row r="64998" customFormat="false" ht="12.75" hidden="false" customHeight="true" outlineLevel="0" collapsed="false"/>
    <row r="64999" customFormat="false" ht="12.75" hidden="false" customHeight="true" outlineLevel="0" collapsed="false"/>
    <row r="65000" customFormat="false" ht="12.75" hidden="false" customHeight="true" outlineLevel="0" collapsed="false"/>
    <row r="65001" customFormat="false" ht="12.75" hidden="false" customHeight="true" outlineLevel="0" collapsed="false"/>
    <row r="65002" customFormat="false" ht="12.75" hidden="false" customHeight="true" outlineLevel="0" collapsed="false"/>
    <row r="65003" customFormat="false" ht="12.75" hidden="false" customHeight="true" outlineLevel="0" collapsed="false"/>
    <row r="65004" customFormat="false" ht="12.75" hidden="false" customHeight="true" outlineLevel="0" collapsed="false"/>
    <row r="65005" customFormat="false" ht="12.75" hidden="false" customHeight="true" outlineLevel="0" collapsed="false"/>
    <row r="65006" customFormat="false" ht="12.75" hidden="false" customHeight="true" outlineLevel="0" collapsed="false"/>
    <row r="65007" customFormat="false" ht="12.75" hidden="false" customHeight="true" outlineLevel="0" collapsed="false"/>
    <row r="65008" customFormat="false" ht="12.75" hidden="false" customHeight="true" outlineLevel="0" collapsed="false"/>
    <row r="65009" customFormat="false" ht="12.75" hidden="false" customHeight="true" outlineLevel="0" collapsed="false"/>
    <row r="65010" customFormat="false" ht="12.75" hidden="false" customHeight="true" outlineLevel="0" collapsed="false"/>
    <row r="65011" customFormat="false" ht="12.75" hidden="false" customHeight="true" outlineLevel="0" collapsed="false"/>
    <row r="65012" customFormat="false" ht="12.75" hidden="false" customHeight="true" outlineLevel="0" collapsed="false"/>
    <row r="65013" customFormat="false" ht="12.75" hidden="false" customHeight="true" outlineLevel="0" collapsed="false"/>
    <row r="65014" customFormat="false" ht="12.75" hidden="false" customHeight="true" outlineLevel="0" collapsed="false"/>
    <row r="65015" customFormat="false" ht="12.75" hidden="false" customHeight="true" outlineLevel="0" collapsed="false"/>
    <row r="65016" customFormat="false" ht="12.75" hidden="false" customHeight="true" outlineLevel="0" collapsed="false"/>
    <row r="65017" customFormat="false" ht="12.75" hidden="false" customHeight="true" outlineLevel="0" collapsed="false"/>
    <row r="65018" customFormat="false" ht="12.75" hidden="false" customHeight="true" outlineLevel="0" collapsed="false"/>
    <row r="65019" customFormat="false" ht="12.75" hidden="false" customHeight="true" outlineLevel="0" collapsed="false"/>
    <row r="65020" customFormat="false" ht="12.75" hidden="false" customHeight="true" outlineLevel="0" collapsed="false"/>
    <row r="65021" customFormat="false" ht="12.75" hidden="false" customHeight="true" outlineLevel="0" collapsed="false"/>
    <row r="65022" customFormat="false" ht="12.75" hidden="false" customHeight="true" outlineLevel="0" collapsed="false"/>
    <row r="65023" customFormat="false" ht="12.75" hidden="false" customHeight="true" outlineLevel="0" collapsed="false"/>
    <row r="65024" customFormat="false" ht="12.75" hidden="false" customHeight="true" outlineLevel="0" collapsed="false"/>
    <row r="65025" customFormat="false" ht="12.75" hidden="false" customHeight="true" outlineLevel="0" collapsed="false"/>
    <row r="65026" customFormat="false" ht="12.75" hidden="false" customHeight="true" outlineLevel="0" collapsed="false"/>
    <row r="65027" customFormat="false" ht="12.75" hidden="false" customHeight="true" outlineLevel="0" collapsed="false"/>
    <row r="65028" customFormat="false" ht="12.75" hidden="false" customHeight="true" outlineLevel="0" collapsed="false"/>
    <row r="65029" customFormat="false" ht="12.75" hidden="false" customHeight="true" outlineLevel="0" collapsed="false"/>
    <row r="65030" customFormat="false" ht="12.75" hidden="false" customHeight="true" outlineLevel="0" collapsed="false"/>
    <row r="65031" customFormat="false" ht="12.75" hidden="false" customHeight="true" outlineLevel="0" collapsed="false"/>
    <row r="65032" customFormat="false" ht="12.75" hidden="false" customHeight="true" outlineLevel="0" collapsed="false"/>
    <row r="65033" customFormat="false" ht="12.75" hidden="false" customHeight="true" outlineLevel="0" collapsed="false"/>
    <row r="65034" customFormat="false" ht="12.75" hidden="false" customHeight="true" outlineLevel="0" collapsed="false"/>
    <row r="65035" customFormat="false" ht="12.75" hidden="false" customHeight="true" outlineLevel="0" collapsed="false"/>
    <row r="65036" customFormat="false" ht="12.75" hidden="false" customHeight="true" outlineLevel="0" collapsed="false"/>
    <row r="65037" customFormat="false" ht="12.75" hidden="false" customHeight="true" outlineLevel="0" collapsed="false"/>
    <row r="65038" customFormat="false" ht="12.75" hidden="false" customHeight="true" outlineLevel="0" collapsed="false"/>
    <row r="65039" customFormat="false" ht="12.75" hidden="false" customHeight="true" outlineLevel="0" collapsed="false"/>
    <row r="65040" customFormat="false" ht="12.75" hidden="false" customHeight="true" outlineLevel="0" collapsed="false"/>
    <row r="65041" customFormat="false" ht="12.75" hidden="false" customHeight="true" outlineLevel="0" collapsed="false"/>
    <row r="65042" customFormat="false" ht="12.75" hidden="false" customHeight="true" outlineLevel="0" collapsed="false"/>
    <row r="65043" customFormat="false" ht="12.75" hidden="false" customHeight="true" outlineLevel="0" collapsed="false"/>
    <row r="65044" customFormat="false" ht="12.75" hidden="false" customHeight="true" outlineLevel="0" collapsed="false"/>
    <row r="65045" customFormat="false" ht="12.75" hidden="false" customHeight="true" outlineLevel="0" collapsed="false"/>
    <row r="65046" customFormat="false" ht="12.75" hidden="false" customHeight="true" outlineLevel="0" collapsed="false"/>
    <row r="65047" customFormat="false" ht="12.75" hidden="false" customHeight="true" outlineLevel="0" collapsed="false"/>
    <row r="65048" customFormat="false" ht="12.75" hidden="false" customHeight="true" outlineLevel="0" collapsed="false"/>
    <row r="65049" customFormat="false" ht="12.75" hidden="false" customHeight="true" outlineLevel="0" collapsed="false"/>
    <row r="65050" customFormat="false" ht="12.75" hidden="false" customHeight="true" outlineLevel="0" collapsed="false"/>
    <row r="65051" customFormat="false" ht="12.75" hidden="false" customHeight="true" outlineLevel="0" collapsed="false"/>
    <row r="65052" customFormat="false" ht="12.75" hidden="false" customHeight="true" outlineLevel="0" collapsed="false"/>
    <row r="65053" customFormat="false" ht="12.75" hidden="false" customHeight="true" outlineLevel="0" collapsed="false"/>
    <row r="65054" customFormat="false" ht="12.75" hidden="false" customHeight="true" outlineLevel="0" collapsed="false"/>
    <row r="65055" customFormat="false" ht="12.75" hidden="false" customHeight="true" outlineLevel="0" collapsed="false"/>
    <row r="65056" customFormat="false" ht="12.75" hidden="false" customHeight="true" outlineLevel="0" collapsed="false"/>
    <row r="65057" customFormat="false" ht="12.75" hidden="false" customHeight="true" outlineLevel="0" collapsed="false"/>
    <row r="65058" customFormat="false" ht="12.75" hidden="false" customHeight="true" outlineLevel="0" collapsed="false"/>
    <row r="65059" customFormat="false" ht="12.75" hidden="false" customHeight="true" outlineLevel="0" collapsed="false"/>
    <row r="65060" customFormat="false" ht="12.75" hidden="false" customHeight="true" outlineLevel="0" collapsed="false"/>
    <row r="65061" customFormat="false" ht="12.75" hidden="false" customHeight="true" outlineLevel="0" collapsed="false"/>
    <row r="65062" customFormat="false" ht="12.75" hidden="false" customHeight="true" outlineLevel="0" collapsed="false"/>
    <row r="65063" customFormat="false" ht="12.75" hidden="false" customHeight="true" outlineLevel="0" collapsed="false"/>
    <row r="65064" customFormat="false" ht="12.75" hidden="false" customHeight="true" outlineLevel="0" collapsed="false"/>
    <row r="65065" customFormat="false" ht="12.75" hidden="false" customHeight="true" outlineLevel="0" collapsed="false"/>
    <row r="65066" customFormat="false" ht="12.75" hidden="false" customHeight="true" outlineLevel="0" collapsed="false"/>
    <row r="65067" customFormat="false" ht="12.75" hidden="false" customHeight="true" outlineLevel="0" collapsed="false"/>
    <row r="65068" customFormat="false" ht="12.75" hidden="false" customHeight="true" outlineLevel="0" collapsed="false"/>
    <row r="65069" customFormat="false" ht="12.75" hidden="false" customHeight="true" outlineLevel="0" collapsed="false"/>
    <row r="65070" customFormat="false" ht="12.75" hidden="false" customHeight="true" outlineLevel="0" collapsed="false"/>
    <row r="65071" customFormat="false" ht="12.75" hidden="false" customHeight="true" outlineLevel="0" collapsed="false"/>
    <row r="65072" customFormat="false" ht="12.75" hidden="false" customHeight="true" outlineLevel="0" collapsed="false"/>
    <row r="65073" customFormat="false" ht="12.75" hidden="false" customHeight="true" outlineLevel="0" collapsed="false"/>
    <row r="65074" customFormat="false" ht="12.75" hidden="false" customHeight="true" outlineLevel="0" collapsed="false"/>
    <row r="65075" customFormat="false" ht="12.75" hidden="false" customHeight="true" outlineLevel="0" collapsed="false"/>
    <row r="65076" customFormat="false" ht="12.75" hidden="false" customHeight="true" outlineLevel="0" collapsed="false"/>
    <row r="65077" customFormat="false" ht="12.75" hidden="false" customHeight="true" outlineLevel="0" collapsed="false"/>
    <row r="65078" customFormat="false" ht="12.75" hidden="false" customHeight="true" outlineLevel="0" collapsed="false"/>
    <row r="65079" customFormat="false" ht="12.75" hidden="false" customHeight="true" outlineLevel="0" collapsed="false"/>
    <row r="65080" customFormat="false" ht="12.75" hidden="false" customHeight="true" outlineLevel="0" collapsed="false"/>
    <row r="65081" customFormat="false" ht="12.75" hidden="false" customHeight="true" outlineLevel="0" collapsed="false"/>
    <row r="65082" customFormat="false" ht="12.75" hidden="false" customHeight="true" outlineLevel="0" collapsed="false"/>
    <row r="65083" customFormat="false" ht="12.75" hidden="false" customHeight="true" outlineLevel="0" collapsed="false"/>
    <row r="65084" customFormat="false" ht="12.75" hidden="false" customHeight="true" outlineLevel="0" collapsed="false"/>
    <row r="65085" customFormat="false" ht="12.75" hidden="false" customHeight="true" outlineLevel="0" collapsed="false"/>
    <row r="65086" customFormat="false" ht="12.75" hidden="false" customHeight="true" outlineLevel="0" collapsed="false"/>
    <row r="65087" customFormat="false" ht="12.75" hidden="false" customHeight="true" outlineLevel="0" collapsed="false"/>
    <row r="65088" customFormat="false" ht="12.75" hidden="false" customHeight="true" outlineLevel="0" collapsed="false"/>
    <row r="65089" customFormat="false" ht="12.75" hidden="false" customHeight="true" outlineLevel="0" collapsed="false"/>
    <row r="65090" customFormat="false" ht="12.75" hidden="false" customHeight="true" outlineLevel="0" collapsed="false"/>
    <row r="65091" customFormat="false" ht="12.75" hidden="false" customHeight="true" outlineLevel="0" collapsed="false"/>
    <row r="65092" customFormat="false" ht="12.75" hidden="false" customHeight="true" outlineLevel="0" collapsed="false"/>
    <row r="65093" customFormat="false" ht="12.75" hidden="false" customHeight="true" outlineLevel="0" collapsed="false"/>
    <row r="65094" customFormat="false" ht="12.75" hidden="false" customHeight="true" outlineLevel="0" collapsed="false"/>
    <row r="65095" customFormat="false" ht="12.75" hidden="false" customHeight="true" outlineLevel="0" collapsed="false"/>
    <row r="65096" customFormat="false" ht="12.75" hidden="false" customHeight="true" outlineLevel="0" collapsed="false"/>
    <row r="65097" customFormat="false" ht="12.75" hidden="false" customHeight="true" outlineLevel="0" collapsed="false"/>
    <row r="65098" customFormat="false" ht="12.75" hidden="false" customHeight="true" outlineLevel="0" collapsed="false"/>
    <row r="65099" customFormat="false" ht="12.75" hidden="false" customHeight="true" outlineLevel="0" collapsed="false"/>
    <row r="65100" customFormat="false" ht="12.75" hidden="false" customHeight="true" outlineLevel="0" collapsed="false"/>
    <row r="65101" customFormat="false" ht="12.75" hidden="false" customHeight="true" outlineLevel="0" collapsed="false"/>
    <row r="65102" customFormat="false" ht="12.75" hidden="false" customHeight="true" outlineLevel="0" collapsed="false"/>
    <row r="65103" customFormat="false" ht="12.75" hidden="false" customHeight="true" outlineLevel="0" collapsed="false"/>
    <row r="65104" customFormat="false" ht="12.75" hidden="false" customHeight="true" outlineLevel="0" collapsed="false"/>
    <row r="65105" customFormat="false" ht="12.75" hidden="false" customHeight="true" outlineLevel="0" collapsed="false"/>
    <row r="65106" customFormat="false" ht="12.75" hidden="false" customHeight="true" outlineLevel="0" collapsed="false"/>
    <row r="65107" customFormat="false" ht="12.75" hidden="false" customHeight="true" outlineLevel="0" collapsed="false"/>
    <row r="65108" customFormat="false" ht="12.75" hidden="false" customHeight="true" outlineLevel="0" collapsed="false"/>
    <row r="65109" customFormat="false" ht="12.75" hidden="false" customHeight="true" outlineLevel="0" collapsed="false"/>
    <row r="65110" customFormat="false" ht="12.75" hidden="false" customHeight="true" outlineLevel="0" collapsed="false"/>
    <row r="65111" customFormat="false" ht="12.75" hidden="false" customHeight="true" outlineLevel="0" collapsed="false"/>
    <row r="65112" customFormat="false" ht="12.75" hidden="false" customHeight="true" outlineLevel="0" collapsed="false"/>
    <row r="65113" customFormat="false" ht="12.75" hidden="false" customHeight="true" outlineLevel="0" collapsed="false"/>
    <row r="65114" customFormat="false" ht="12.75" hidden="false" customHeight="true" outlineLevel="0" collapsed="false"/>
    <row r="65115" customFormat="false" ht="12.75" hidden="false" customHeight="true" outlineLevel="0" collapsed="false"/>
    <row r="65116" customFormat="false" ht="12.75" hidden="false" customHeight="true" outlineLevel="0" collapsed="false"/>
    <row r="65117" customFormat="false" ht="12.75" hidden="false" customHeight="true" outlineLevel="0" collapsed="false"/>
    <row r="65118" customFormat="false" ht="12.75" hidden="false" customHeight="true" outlineLevel="0" collapsed="false"/>
    <row r="65119" customFormat="false" ht="12.75" hidden="false" customHeight="true" outlineLevel="0" collapsed="false"/>
    <row r="65120" customFormat="false" ht="12.75" hidden="false" customHeight="true" outlineLevel="0" collapsed="false"/>
    <row r="65121" customFormat="false" ht="12.75" hidden="false" customHeight="true" outlineLevel="0" collapsed="false"/>
    <row r="65122" customFormat="false" ht="12.75" hidden="false" customHeight="true" outlineLevel="0" collapsed="false"/>
    <row r="65123" customFormat="false" ht="12.75" hidden="false" customHeight="true" outlineLevel="0" collapsed="false"/>
    <row r="65124" customFormat="false" ht="12.75" hidden="false" customHeight="true" outlineLevel="0" collapsed="false"/>
    <row r="65125" customFormat="false" ht="12.75" hidden="false" customHeight="true" outlineLevel="0" collapsed="false"/>
    <row r="65126" customFormat="false" ht="12.75" hidden="false" customHeight="true" outlineLevel="0" collapsed="false"/>
    <row r="65127" customFormat="false" ht="12.75" hidden="false" customHeight="true" outlineLevel="0" collapsed="false"/>
    <row r="65128" customFormat="false" ht="12.75" hidden="false" customHeight="true" outlineLevel="0" collapsed="false"/>
    <row r="65129" customFormat="false" ht="12.75" hidden="false" customHeight="true" outlineLevel="0" collapsed="false"/>
    <row r="65130" customFormat="false" ht="12.75" hidden="false" customHeight="true" outlineLevel="0" collapsed="false"/>
    <row r="65131" customFormat="false" ht="12.75" hidden="false" customHeight="true" outlineLevel="0" collapsed="false"/>
    <row r="65132" customFormat="false" ht="12.75" hidden="false" customHeight="true" outlineLevel="0" collapsed="false"/>
    <row r="65133" customFormat="false" ht="12.75" hidden="false" customHeight="true" outlineLevel="0" collapsed="false"/>
    <row r="65134" customFormat="false" ht="12.75" hidden="false" customHeight="true" outlineLevel="0" collapsed="false"/>
    <row r="65135" customFormat="false" ht="12.75" hidden="false" customHeight="true" outlineLevel="0" collapsed="false"/>
    <row r="65136" customFormat="false" ht="12.75" hidden="false" customHeight="true" outlineLevel="0" collapsed="false"/>
    <row r="65137" customFormat="false" ht="12.75" hidden="false" customHeight="true" outlineLevel="0" collapsed="false"/>
    <row r="65138" customFormat="false" ht="12.75" hidden="false" customHeight="true" outlineLevel="0" collapsed="false"/>
    <row r="65139" customFormat="false" ht="12.75" hidden="false" customHeight="true" outlineLevel="0" collapsed="false"/>
    <row r="65140" customFormat="false" ht="12.75" hidden="false" customHeight="true" outlineLevel="0" collapsed="false"/>
    <row r="65141" customFormat="false" ht="12.75" hidden="false" customHeight="true" outlineLevel="0" collapsed="false"/>
    <row r="65142" customFormat="false" ht="12.75" hidden="false" customHeight="true" outlineLevel="0" collapsed="false"/>
    <row r="65143" customFormat="false" ht="12.75" hidden="false" customHeight="true" outlineLevel="0" collapsed="false"/>
    <row r="65144" customFormat="false" ht="12.75" hidden="false" customHeight="true" outlineLevel="0" collapsed="false"/>
    <row r="65145" customFormat="false" ht="12.75" hidden="false" customHeight="true" outlineLevel="0" collapsed="false"/>
    <row r="65146" customFormat="false" ht="12.75" hidden="false" customHeight="true" outlineLevel="0" collapsed="false"/>
    <row r="65147" customFormat="false" ht="12.75" hidden="false" customHeight="true" outlineLevel="0" collapsed="false"/>
    <row r="65148" customFormat="false" ht="12.75" hidden="false" customHeight="true" outlineLevel="0" collapsed="false"/>
    <row r="65149" customFormat="false" ht="12.75" hidden="false" customHeight="true" outlineLevel="0" collapsed="false"/>
    <row r="65150" customFormat="false" ht="12.75" hidden="false" customHeight="true" outlineLevel="0" collapsed="false"/>
    <row r="65151" customFormat="false" ht="12.75" hidden="false" customHeight="true" outlineLevel="0" collapsed="false"/>
    <row r="65152" customFormat="false" ht="12.75" hidden="false" customHeight="true" outlineLevel="0" collapsed="false"/>
    <row r="65153" customFormat="false" ht="12.75" hidden="false" customHeight="true" outlineLevel="0" collapsed="false"/>
    <row r="65154" customFormat="false" ht="12.75" hidden="false" customHeight="true" outlineLevel="0" collapsed="false"/>
    <row r="65155" customFormat="false" ht="12.75" hidden="false" customHeight="true" outlineLevel="0" collapsed="false"/>
    <row r="65156" customFormat="false" ht="12.75" hidden="false" customHeight="true" outlineLevel="0" collapsed="false"/>
    <row r="65157" customFormat="false" ht="12.75" hidden="false" customHeight="true" outlineLevel="0" collapsed="false"/>
    <row r="65158" customFormat="false" ht="12.75" hidden="false" customHeight="true" outlineLevel="0" collapsed="false"/>
    <row r="65159" customFormat="false" ht="12.75" hidden="false" customHeight="true" outlineLevel="0" collapsed="false"/>
    <row r="65160" customFormat="false" ht="12.75" hidden="false" customHeight="true" outlineLevel="0" collapsed="false"/>
    <row r="65161" customFormat="false" ht="12.75" hidden="false" customHeight="true" outlineLevel="0" collapsed="false"/>
    <row r="65162" customFormat="false" ht="12.75" hidden="false" customHeight="true" outlineLevel="0" collapsed="false"/>
    <row r="65163" customFormat="false" ht="12.75" hidden="false" customHeight="true" outlineLevel="0" collapsed="false"/>
    <row r="65164" customFormat="false" ht="12.75" hidden="false" customHeight="true" outlineLevel="0" collapsed="false"/>
    <row r="65165" customFormat="false" ht="12.75" hidden="false" customHeight="true" outlineLevel="0" collapsed="false"/>
    <row r="65166" customFormat="false" ht="12.75" hidden="false" customHeight="true" outlineLevel="0" collapsed="false"/>
    <row r="65167" customFormat="false" ht="12.75" hidden="false" customHeight="true" outlineLevel="0" collapsed="false"/>
    <row r="65168" customFormat="false" ht="12.75" hidden="false" customHeight="true" outlineLevel="0" collapsed="false"/>
    <row r="65169" customFormat="false" ht="12.75" hidden="false" customHeight="true" outlineLevel="0" collapsed="false"/>
    <row r="65170" customFormat="false" ht="12.75" hidden="false" customHeight="true" outlineLevel="0" collapsed="false"/>
    <row r="65171" customFormat="false" ht="12.75" hidden="false" customHeight="true" outlineLevel="0" collapsed="false"/>
    <row r="65172" customFormat="false" ht="12.75" hidden="false" customHeight="true" outlineLevel="0" collapsed="false"/>
    <row r="65173" customFormat="false" ht="12.75" hidden="false" customHeight="true" outlineLevel="0" collapsed="false"/>
    <row r="65174" customFormat="false" ht="12.75" hidden="false" customHeight="true" outlineLevel="0" collapsed="false"/>
    <row r="65175" customFormat="false" ht="12.75" hidden="false" customHeight="true" outlineLevel="0" collapsed="false"/>
    <row r="65176" customFormat="false" ht="12.75" hidden="false" customHeight="true" outlineLevel="0" collapsed="false"/>
    <row r="65177" customFormat="false" ht="12.75" hidden="false" customHeight="true" outlineLevel="0" collapsed="false"/>
    <row r="65178" customFormat="false" ht="12.75" hidden="false" customHeight="true" outlineLevel="0" collapsed="false"/>
    <row r="65179" customFormat="false" ht="12.75" hidden="false" customHeight="true" outlineLevel="0" collapsed="false"/>
    <row r="65180" customFormat="false" ht="12.75" hidden="false" customHeight="true" outlineLevel="0" collapsed="false"/>
    <row r="65181" customFormat="false" ht="12.75" hidden="false" customHeight="true" outlineLevel="0" collapsed="false"/>
    <row r="65182" customFormat="false" ht="12.75" hidden="false" customHeight="true" outlineLevel="0" collapsed="false"/>
    <row r="65183" customFormat="false" ht="12.75" hidden="false" customHeight="true" outlineLevel="0" collapsed="false"/>
    <row r="65184" customFormat="false" ht="12.75" hidden="false" customHeight="true" outlineLevel="0" collapsed="false"/>
    <row r="65185" customFormat="false" ht="12.75" hidden="false" customHeight="true" outlineLevel="0" collapsed="false"/>
    <row r="65186" customFormat="false" ht="12.75" hidden="false" customHeight="true" outlineLevel="0" collapsed="false"/>
    <row r="65187" customFormat="false" ht="12.75" hidden="false" customHeight="true" outlineLevel="0" collapsed="false"/>
    <row r="65188" customFormat="false" ht="12.75" hidden="false" customHeight="true" outlineLevel="0" collapsed="false"/>
    <row r="65189" customFormat="false" ht="12.75" hidden="false" customHeight="true" outlineLevel="0" collapsed="false"/>
    <row r="65190" customFormat="false" ht="12.75" hidden="false" customHeight="true" outlineLevel="0" collapsed="false"/>
    <row r="65191" customFormat="false" ht="12.75" hidden="false" customHeight="true" outlineLevel="0" collapsed="false"/>
    <row r="65192" customFormat="false" ht="12.75" hidden="false" customHeight="true" outlineLevel="0" collapsed="false"/>
    <row r="65193" customFormat="false" ht="12.75" hidden="false" customHeight="true" outlineLevel="0" collapsed="false"/>
    <row r="65194" customFormat="false" ht="12.75" hidden="false" customHeight="true" outlineLevel="0" collapsed="false"/>
    <row r="65195" customFormat="false" ht="12.75" hidden="false" customHeight="true" outlineLevel="0" collapsed="false"/>
    <row r="65196" customFormat="false" ht="12.75" hidden="false" customHeight="true" outlineLevel="0" collapsed="false"/>
    <row r="65197" customFormat="false" ht="12.75" hidden="false" customHeight="true" outlineLevel="0" collapsed="false"/>
    <row r="65198" customFormat="false" ht="12.75" hidden="false" customHeight="true" outlineLevel="0" collapsed="false"/>
    <row r="65199" customFormat="false" ht="12.75" hidden="false" customHeight="true" outlineLevel="0" collapsed="false"/>
    <row r="65200" customFormat="false" ht="12.75" hidden="false" customHeight="true" outlineLevel="0" collapsed="false"/>
    <row r="65201" customFormat="false" ht="12.75" hidden="false" customHeight="true" outlineLevel="0" collapsed="false"/>
    <row r="65202" customFormat="false" ht="12.75" hidden="false" customHeight="true" outlineLevel="0" collapsed="false"/>
    <row r="65203" customFormat="false" ht="12.75" hidden="false" customHeight="true" outlineLevel="0" collapsed="false"/>
    <row r="65204" customFormat="false" ht="12.75" hidden="false" customHeight="true" outlineLevel="0" collapsed="false"/>
    <row r="65205" customFormat="false" ht="12.75" hidden="false" customHeight="true" outlineLevel="0" collapsed="false"/>
    <row r="65206" customFormat="false" ht="12.75" hidden="false" customHeight="true" outlineLevel="0" collapsed="false"/>
    <row r="65207" customFormat="false" ht="12.75" hidden="false" customHeight="true" outlineLevel="0" collapsed="false"/>
    <row r="65208" customFormat="false" ht="12.75" hidden="false" customHeight="true" outlineLevel="0" collapsed="false"/>
    <row r="65209" customFormat="false" ht="12.75" hidden="false" customHeight="true" outlineLevel="0" collapsed="false"/>
    <row r="65210" customFormat="false" ht="12.75" hidden="false" customHeight="true" outlineLevel="0" collapsed="false"/>
    <row r="65211" customFormat="false" ht="12.75" hidden="false" customHeight="true" outlineLevel="0" collapsed="false"/>
    <row r="65212" customFormat="false" ht="12.75" hidden="false" customHeight="true" outlineLevel="0" collapsed="false"/>
    <row r="65213" customFormat="false" ht="12.75" hidden="false" customHeight="true" outlineLevel="0" collapsed="false"/>
    <row r="65214" customFormat="false" ht="12.75" hidden="false" customHeight="true" outlineLevel="0" collapsed="false"/>
    <row r="65215" customFormat="false" ht="12.75" hidden="false" customHeight="true" outlineLevel="0" collapsed="false"/>
    <row r="65216" customFormat="false" ht="12.75" hidden="false" customHeight="true" outlineLevel="0" collapsed="false"/>
    <row r="65217" customFormat="false" ht="12.75" hidden="false" customHeight="true" outlineLevel="0" collapsed="false"/>
    <row r="65218" customFormat="false" ht="12.75" hidden="false" customHeight="true" outlineLevel="0" collapsed="false"/>
    <row r="65219" customFormat="false" ht="12.75" hidden="false" customHeight="true" outlineLevel="0" collapsed="false"/>
    <row r="65220" customFormat="false" ht="12.75" hidden="false" customHeight="true" outlineLevel="0" collapsed="false"/>
    <row r="65221" customFormat="false" ht="12.75" hidden="false" customHeight="true" outlineLevel="0" collapsed="false"/>
    <row r="65222" customFormat="false" ht="12.75" hidden="false" customHeight="true" outlineLevel="0" collapsed="false"/>
    <row r="65223" customFormat="false" ht="12.75" hidden="false" customHeight="true" outlineLevel="0" collapsed="false"/>
    <row r="65224" customFormat="false" ht="12.75" hidden="false" customHeight="true" outlineLevel="0" collapsed="false"/>
    <row r="65225" customFormat="false" ht="12.75" hidden="false" customHeight="true" outlineLevel="0" collapsed="false"/>
    <row r="65226" customFormat="false" ht="12.75" hidden="false" customHeight="true" outlineLevel="0" collapsed="false"/>
    <row r="65227" customFormat="false" ht="12.75" hidden="false" customHeight="true" outlineLevel="0" collapsed="false"/>
    <row r="65228" customFormat="false" ht="12.75" hidden="false" customHeight="true" outlineLevel="0" collapsed="false"/>
    <row r="65229" customFormat="false" ht="12.75" hidden="false" customHeight="true" outlineLevel="0" collapsed="false"/>
    <row r="65230" customFormat="false" ht="12.75" hidden="false" customHeight="true" outlineLevel="0" collapsed="false"/>
    <row r="65231" customFormat="false" ht="12.75" hidden="false" customHeight="true" outlineLevel="0" collapsed="false"/>
    <row r="65232" customFormat="false" ht="12.75" hidden="false" customHeight="true" outlineLevel="0" collapsed="false"/>
    <row r="65233" customFormat="false" ht="12.75" hidden="false" customHeight="true" outlineLevel="0" collapsed="false"/>
    <row r="65234" customFormat="false" ht="12.75" hidden="false" customHeight="true" outlineLevel="0" collapsed="false"/>
    <row r="65235" customFormat="false" ht="12.75" hidden="false" customHeight="true" outlineLevel="0" collapsed="false"/>
    <row r="65236" customFormat="false" ht="12.75" hidden="false" customHeight="true" outlineLevel="0" collapsed="false"/>
    <row r="65237" customFormat="false" ht="12.75" hidden="false" customHeight="true" outlineLevel="0" collapsed="false"/>
    <row r="65238" customFormat="false" ht="12.75" hidden="false" customHeight="true" outlineLevel="0" collapsed="false"/>
    <row r="65239" customFormat="false" ht="12.75" hidden="false" customHeight="true" outlineLevel="0" collapsed="false"/>
    <row r="65240" customFormat="false" ht="12.75" hidden="false" customHeight="true" outlineLevel="0" collapsed="false"/>
    <row r="65241" customFormat="false" ht="12.75" hidden="false" customHeight="true" outlineLevel="0" collapsed="false"/>
    <row r="65242" customFormat="false" ht="12.75" hidden="false" customHeight="true" outlineLevel="0" collapsed="false"/>
    <row r="65243" customFormat="false" ht="12.75" hidden="false" customHeight="true" outlineLevel="0" collapsed="false"/>
    <row r="65244" customFormat="false" ht="12.75" hidden="false" customHeight="true" outlineLevel="0" collapsed="false"/>
    <row r="65245" customFormat="false" ht="12.75" hidden="false" customHeight="true" outlineLevel="0" collapsed="false"/>
    <row r="65246" customFormat="false" ht="12.75" hidden="false" customHeight="true" outlineLevel="0" collapsed="false"/>
    <row r="65247" customFormat="false" ht="12.75" hidden="false" customHeight="true" outlineLevel="0" collapsed="false"/>
    <row r="65248" customFormat="false" ht="12.75" hidden="false" customHeight="true" outlineLevel="0" collapsed="false"/>
    <row r="65249" customFormat="false" ht="12.75" hidden="false" customHeight="true" outlineLevel="0" collapsed="false"/>
    <row r="65250" customFormat="false" ht="12.75" hidden="false" customHeight="true" outlineLevel="0" collapsed="false"/>
    <row r="65251" customFormat="false" ht="12.75" hidden="false" customHeight="true" outlineLevel="0" collapsed="false"/>
    <row r="65252" customFormat="false" ht="12.75" hidden="false" customHeight="true" outlineLevel="0" collapsed="false"/>
    <row r="65253" customFormat="false" ht="12.75" hidden="false" customHeight="true" outlineLevel="0" collapsed="false"/>
    <row r="65254" customFormat="false" ht="12.75" hidden="false" customHeight="true" outlineLevel="0" collapsed="false"/>
    <row r="65255" customFormat="false" ht="12.75" hidden="false" customHeight="true" outlineLevel="0" collapsed="false"/>
    <row r="65256" customFormat="false" ht="12.75" hidden="false" customHeight="true" outlineLevel="0" collapsed="false"/>
    <row r="65257" customFormat="false" ht="12.75" hidden="false" customHeight="true" outlineLevel="0" collapsed="false"/>
    <row r="65258" customFormat="false" ht="12.75" hidden="false" customHeight="true" outlineLevel="0" collapsed="false"/>
    <row r="65259" customFormat="false" ht="12.75" hidden="false" customHeight="true" outlineLevel="0" collapsed="false"/>
    <row r="65260" customFormat="false" ht="12.75" hidden="false" customHeight="true" outlineLevel="0" collapsed="false"/>
    <row r="65261" customFormat="false" ht="12.75" hidden="false" customHeight="true" outlineLevel="0" collapsed="false"/>
    <row r="65262" customFormat="false" ht="12.75" hidden="false" customHeight="true" outlineLevel="0" collapsed="false"/>
    <row r="65263" customFormat="false" ht="12.75" hidden="false" customHeight="true" outlineLevel="0" collapsed="false"/>
    <row r="65264" customFormat="false" ht="12.75" hidden="false" customHeight="true" outlineLevel="0" collapsed="false"/>
    <row r="65265" customFormat="false" ht="12.75" hidden="false" customHeight="true" outlineLevel="0" collapsed="false"/>
    <row r="65266" customFormat="false" ht="12.75" hidden="false" customHeight="true" outlineLevel="0" collapsed="false"/>
    <row r="65267" customFormat="false" ht="12.75" hidden="false" customHeight="true" outlineLevel="0" collapsed="false"/>
    <row r="65268" customFormat="false" ht="12.75" hidden="false" customHeight="true" outlineLevel="0" collapsed="false"/>
    <row r="65269" customFormat="false" ht="12.75" hidden="false" customHeight="true" outlineLevel="0" collapsed="false"/>
    <row r="65270" customFormat="false" ht="12.75" hidden="false" customHeight="true" outlineLevel="0" collapsed="false"/>
    <row r="65271" customFormat="false" ht="12.75" hidden="false" customHeight="true" outlineLevel="0" collapsed="false"/>
    <row r="65272" customFormat="false" ht="12.75" hidden="false" customHeight="true" outlineLevel="0" collapsed="false"/>
    <row r="65273" customFormat="false" ht="12.75" hidden="false" customHeight="true" outlineLevel="0" collapsed="false"/>
    <row r="65274" customFormat="false" ht="12.75" hidden="false" customHeight="true" outlineLevel="0" collapsed="false"/>
    <row r="65275" customFormat="false" ht="12.75" hidden="false" customHeight="true" outlineLevel="0" collapsed="false"/>
    <row r="65276" customFormat="false" ht="12.75" hidden="false" customHeight="true" outlineLevel="0" collapsed="false"/>
    <row r="65277" customFormat="false" ht="12.75" hidden="false" customHeight="true" outlineLevel="0" collapsed="false"/>
    <row r="65278" customFormat="false" ht="12.75" hidden="false" customHeight="true" outlineLevel="0" collapsed="false"/>
    <row r="65279" customFormat="false" ht="12.75" hidden="false" customHeight="true" outlineLevel="0" collapsed="false"/>
    <row r="65280" customFormat="false" ht="12.75" hidden="false" customHeight="true" outlineLevel="0" collapsed="false"/>
    <row r="65281" customFormat="false" ht="12.75" hidden="false" customHeight="true" outlineLevel="0" collapsed="false"/>
    <row r="65282" customFormat="false" ht="12.75" hidden="false" customHeight="true" outlineLevel="0" collapsed="false"/>
    <row r="65283" customFormat="false" ht="12.75" hidden="false" customHeight="true" outlineLevel="0" collapsed="false"/>
    <row r="65284" customFormat="false" ht="12.75" hidden="false" customHeight="true" outlineLevel="0" collapsed="false"/>
    <row r="65285" customFormat="false" ht="12.75" hidden="false" customHeight="true" outlineLevel="0" collapsed="false"/>
    <row r="65286" customFormat="false" ht="12.75" hidden="false" customHeight="true" outlineLevel="0" collapsed="false"/>
    <row r="65287" customFormat="false" ht="12.75" hidden="false" customHeight="true" outlineLevel="0" collapsed="false"/>
    <row r="65288" customFormat="false" ht="12.75" hidden="false" customHeight="true" outlineLevel="0" collapsed="false"/>
    <row r="65289" customFormat="false" ht="12.75" hidden="false" customHeight="true" outlineLevel="0" collapsed="false"/>
    <row r="65290" customFormat="false" ht="12.75" hidden="false" customHeight="true" outlineLevel="0" collapsed="false"/>
    <row r="65291" customFormat="false" ht="12.75" hidden="false" customHeight="true" outlineLevel="0" collapsed="false"/>
    <row r="65292" customFormat="false" ht="12.75" hidden="false" customHeight="true" outlineLevel="0" collapsed="false"/>
    <row r="65293" customFormat="false" ht="12.75" hidden="false" customHeight="true" outlineLevel="0" collapsed="false"/>
    <row r="65294" customFormat="false" ht="12.75" hidden="false" customHeight="true" outlineLevel="0" collapsed="false"/>
    <row r="65295" customFormat="false" ht="12.75" hidden="false" customHeight="true" outlineLevel="0" collapsed="false"/>
    <row r="65296" customFormat="false" ht="12.75" hidden="false" customHeight="true" outlineLevel="0" collapsed="false"/>
    <row r="65297" customFormat="false" ht="12.75" hidden="false" customHeight="true" outlineLevel="0" collapsed="false"/>
    <row r="65298" customFormat="false" ht="12.75" hidden="false" customHeight="true" outlineLevel="0" collapsed="false"/>
    <row r="65299" customFormat="false" ht="12.75" hidden="false" customHeight="true" outlineLevel="0" collapsed="false"/>
    <row r="65300" customFormat="false" ht="12.75" hidden="false" customHeight="true" outlineLevel="0" collapsed="false"/>
    <row r="65301" customFormat="false" ht="12.75" hidden="false" customHeight="true" outlineLevel="0" collapsed="false"/>
    <row r="65302" customFormat="false" ht="12.75" hidden="false" customHeight="true" outlineLevel="0" collapsed="false"/>
    <row r="65303" customFormat="false" ht="12.75" hidden="false" customHeight="true" outlineLevel="0" collapsed="false"/>
    <row r="65304" customFormat="false" ht="12.75" hidden="false" customHeight="true" outlineLevel="0" collapsed="false"/>
    <row r="65305" customFormat="false" ht="12.75" hidden="false" customHeight="true" outlineLevel="0" collapsed="false"/>
    <row r="65306" customFormat="false" ht="12.75" hidden="false" customHeight="true" outlineLevel="0" collapsed="false"/>
    <row r="65307" customFormat="false" ht="12.75" hidden="false" customHeight="true" outlineLevel="0" collapsed="false"/>
    <row r="65308" customFormat="false" ht="12.75" hidden="false" customHeight="true" outlineLevel="0" collapsed="false"/>
    <row r="65309" customFormat="false" ht="12.75" hidden="false" customHeight="true" outlineLevel="0" collapsed="false"/>
    <row r="65310" customFormat="false" ht="12.75" hidden="false" customHeight="true" outlineLevel="0" collapsed="false"/>
    <row r="65311" customFormat="false" ht="12.75" hidden="false" customHeight="true" outlineLevel="0" collapsed="false"/>
    <row r="65312" customFormat="false" ht="12.75" hidden="false" customHeight="true" outlineLevel="0" collapsed="false"/>
    <row r="65313" customFormat="false" ht="12.75" hidden="false" customHeight="true" outlineLevel="0" collapsed="false"/>
    <row r="65314" customFormat="false" ht="12.75" hidden="false" customHeight="true" outlineLevel="0" collapsed="false"/>
    <row r="65315" customFormat="false" ht="12.75" hidden="false" customHeight="true" outlineLevel="0" collapsed="false"/>
    <row r="65316" customFormat="false" ht="12.75" hidden="false" customHeight="true" outlineLevel="0" collapsed="false"/>
    <row r="65317" customFormat="false" ht="12.75" hidden="false" customHeight="true" outlineLevel="0" collapsed="false"/>
    <row r="65318" customFormat="false" ht="12.75" hidden="false" customHeight="true" outlineLevel="0" collapsed="false"/>
    <row r="65319" customFormat="false" ht="12.75" hidden="false" customHeight="true" outlineLevel="0" collapsed="false"/>
    <row r="65320" customFormat="false" ht="12.75" hidden="false" customHeight="true" outlineLevel="0" collapsed="false"/>
    <row r="65321" customFormat="false" ht="12.75" hidden="false" customHeight="true" outlineLevel="0" collapsed="false"/>
    <row r="65322" customFormat="false" ht="12.75" hidden="false" customHeight="true" outlineLevel="0" collapsed="false"/>
    <row r="65323" customFormat="false" ht="12.75" hidden="false" customHeight="true" outlineLevel="0" collapsed="false"/>
    <row r="65324" customFormat="false" ht="12.75" hidden="false" customHeight="true" outlineLevel="0" collapsed="false"/>
    <row r="65325" customFormat="false" ht="12.75" hidden="false" customHeight="true" outlineLevel="0" collapsed="false"/>
    <row r="65326" customFormat="false" ht="12.75" hidden="false" customHeight="true" outlineLevel="0" collapsed="false"/>
    <row r="65327" customFormat="false" ht="12.75" hidden="false" customHeight="true" outlineLevel="0" collapsed="false"/>
  </sheetData>
  <sheetProtection algorithmName="SHA-512" hashValue="es1X5PRBil1/R6wj5yRPpb4e+1sy/61bG2fblAvOMThmzvJcuKTSju2mK4WSHIofGXdCnH6YKxOha4KniWTteg==" saltValue="tQiv8PUM7IDy1YFblDweVw==" spinCount="100000" sheet="true" objects="true" scenarios="true" autoFilter="false"/>
  <autoFilter ref="C15:C59">
    <filterColumn colId="0">
      <filters>
        <filter val="F"/>
      </filters>
    </filterColumn>
  </autoFilter>
  <mergeCells count="15">
    <mergeCell ref="F1:H1"/>
    <mergeCell ref="Q1:R1"/>
    <mergeCell ref="Y1:Z1"/>
    <mergeCell ref="F2:H2"/>
    <mergeCell ref="Q2:R2"/>
    <mergeCell ref="Y2:Z2"/>
    <mergeCell ref="E4:F4"/>
    <mergeCell ref="G4:H4"/>
    <mergeCell ref="S4:T4"/>
    <mergeCell ref="U4:Z4"/>
    <mergeCell ref="E5:F5"/>
    <mergeCell ref="G5:H5"/>
    <mergeCell ref="S5:T5"/>
    <mergeCell ref="U5:Z5"/>
    <mergeCell ref="E15:H15"/>
  </mergeCells>
  <conditionalFormatting sqref="D29:I30">
    <cfRule type="expression" priority="2" aboveAverage="0" equalAverage="0" bottom="0" percent="0" rank="0" text="" dxfId="203">
      <formula>$B29=1</formula>
    </cfRule>
    <cfRule type="expression" priority="3" aboveAverage="0" equalAverage="0" bottom="0" percent="0" rank="0" text="" dxfId="204">
      <formula>OR($B29=0,$B29=2,$B29=3,$B29=4)</formula>
    </cfRule>
  </conditionalFormatting>
  <conditionalFormatting sqref="M29:N30">
    <cfRule type="expression" priority="4" aboveAverage="0" equalAverage="0" bottom="0" percent="0" rank="0" text="" dxfId="205">
      <formula>ACOMPANHAMENTO="BM"</formula>
    </cfRule>
    <cfRule type="expression" priority="5" aboveAverage="0" equalAverage="0" bottom="0" percent="0" rank="0" text="" dxfId="206">
      <formula>OR($B29=0,$B29=2,$B29=3,$B29=4)</formula>
    </cfRule>
    <cfRule type="expression" priority="6" aboveAverage="0" equalAverage="0" bottom="0" percent="0" rank="0" text="" dxfId="207">
      <formula>$B29=1</formula>
    </cfRule>
  </conditionalFormatting>
  <conditionalFormatting sqref="D40:I40">
    <cfRule type="expression" priority="7" aboveAverage="0" equalAverage="0" bottom="0" percent="0" rank="0" text="" dxfId="208">
      <formula>$B40=1</formula>
    </cfRule>
    <cfRule type="expression" priority="8" aboveAverage="0" equalAverage="0" bottom="0" percent="0" rank="0" text="" dxfId="209">
      <formula>OR($B40=0,$B40=2,$B40=3,$B40=4)</formula>
    </cfRule>
  </conditionalFormatting>
  <conditionalFormatting sqref="M40:N40">
    <cfRule type="expression" priority="9" aboveAverage="0" equalAverage="0" bottom="0" percent="0" rank="0" text="" dxfId="210">
      <formula>ACOMPANHAMENTO="BM"</formula>
    </cfRule>
    <cfRule type="expression" priority="10" aboveAverage="0" equalAverage="0" bottom="0" percent="0" rank="0" text="" dxfId="211">
      <formula>OR($B40=0,$B40=2,$B40=3,$B40=4)</formula>
    </cfRule>
    <cfRule type="expression" priority="11" aboveAverage="0" equalAverage="0" bottom="0" percent="0" rank="0" text="" dxfId="212">
      <formula>$B40=1</formula>
    </cfRule>
  </conditionalFormatting>
  <conditionalFormatting sqref="D37:I37">
    <cfRule type="expression" priority="12" aboveAverage="0" equalAverage="0" bottom="0" percent="0" rank="0" text="" dxfId="213">
      <formula>$B37=1</formula>
    </cfRule>
    <cfRule type="expression" priority="13" aboveAverage="0" equalAverage="0" bottom="0" percent="0" rank="0" text="" dxfId="214">
      <formula>OR($B37=0,$B37=2,$B37=3,$B37=4)</formula>
    </cfRule>
  </conditionalFormatting>
  <conditionalFormatting sqref="M37:N37">
    <cfRule type="expression" priority="14" aboveAverage="0" equalAverage="0" bottom="0" percent="0" rank="0" text="" dxfId="215">
      <formula>ACOMPANHAMENTO="BM"</formula>
    </cfRule>
    <cfRule type="expression" priority="15" aboveAverage="0" equalAverage="0" bottom="0" percent="0" rank="0" text="" dxfId="216">
      <formula>OR($B37=0,$B37=2,$B37=3,$B37=4)</formula>
    </cfRule>
    <cfRule type="expression" priority="16" aboveAverage="0" equalAverage="0" bottom="0" percent="0" rank="0" text="" dxfId="217">
      <formula>$B37=1</formula>
    </cfRule>
  </conditionalFormatting>
  <conditionalFormatting sqref="D19:I20">
    <cfRule type="expression" priority="17" aboveAverage="0" equalAverage="0" bottom="0" percent="0" rank="0" text="" dxfId="218">
      <formula>$B19=1</formula>
    </cfRule>
    <cfRule type="expression" priority="18" aboveAverage="0" equalAverage="0" bottom="0" percent="0" rank="0" text="" dxfId="219">
      <formula>OR($B19=0,$B19=2,$B19=3,$B19=4)</formula>
    </cfRule>
  </conditionalFormatting>
  <conditionalFormatting sqref="M19:N20">
    <cfRule type="expression" priority="19" aboveAverage="0" equalAverage="0" bottom="0" percent="0" rank="0" text="" dxfId="220">
      <formula>ACOMPANHAMENTO="BM"</formula>
    </cfRule>
    <cfRule type="expression" priority="20" aboveAverage="0" equalAverage="0" bottom="0" percent="0" rank="0" text="" dxfId="221">
      <formula>OR($B19=0,$B19=2,$B19=3,$B19=4)</formula>
    </cfRule>
    <cfRule type="expression" priority="21" aboveAverage="0" equalAverage="0" bottom="0" percent="0" rank="0" text="" dxfId="222">
      <formula>$B19=1</formula>
    </cfRule>
  </conditionalFormatting>
  <conditionalFormatting sqref="K19:K20">
    <cfRule type="expression" priority="22" aboveAverage="0" equalAverage="0" bottom="0" percent="0" rank="0" text="" dxfId="223">
      <formula>OR(ACOMPANHAMENTO="BM",$A$12&lt;&gt;"Manual")</formula>
    </cfRule>
    <cfRule type="expression" priority="23" aboveAverage="0" equalAverage="0" bottom="0" percent="0" rank="0" text="" dxfId="224">
      <formula>$B19=1</formula>
    </cfRule>
    <cfRule type="expression" priority="24" aboveAverage="0" equalAverage="0" bottom="0" percent="0" rank="0" text="" dxfId="225">
      <formula>OR($B19=2,$B19=3,$B19=4,$B19=0)</formula>
    </cfRule>
  </conditionalFormatting>
  <conditionalFormatting sqref="O19:AA20">
    <cfRule type="expression" priority="25" aboveAverage="0" equalAverage="0" bottom="0" percent="0" rank="0" text="" dxfId="226">
      <formula>ACOMPANHAMENTO="BM"</formula>
    </cfRule>
    <cfRule type="expression" priority="26" aboveAverage="0" equalAverage="0" bottom="0" percent="0" rank="0" text="" dxfId="227">
      <formula>AND(O$12&lt;&gt;".",OR($B19=0,$B19=2,$B19=3,$B19=4,AND(O$12="",$B19&lt;&gt;"Empty"),OFFSET(O$12,0,-1)=""))</formula>
    </cfRule>
    <cfRule type="expression" priority="27" aboveAverage="0" equalAverage="0" bottom="0" percent="0" rank="0" text="" dxfId="228">
      <formula>AND($B19=1,O$12&lt;&gt;".")</formula>
    </cfRule>
  </conditionalFormatting>
  <conditionalFormatting sqref="D54:I57">
    <cfRule type="expression" priority="28" aboveAverage="0" equalAverage="0" bottom="0" percent="0" rank="0" text="" dxfId="229">
      <formula>$B54=1</formula>
    </cfRule>
    <cfRule type="expression" priority="29" aboveAverage="0" equalAverage="0" bottom="0" percent="0" rank="0" text="" dxfId="230">
      <formula>OR($B54=0,$B54=2,$B54=3,$B54=4)</formula>
    </cfRule>
  </conditionalFormatting>
  <conditionalFormatting sqref="M54:N57">
    <cfRule type="expression" priority="30" aboveAverage="0" equalAverage="0" bottom="0" percent="0" rank="0" text="" dxfId="231">
      <formula>ACOMPANHAMENTO="BM"</formula>
    </cfRule>
    <cfRule type="expression" priority="31" aboveAverage="0" equalAverage="0" bottom="0" percent="0" rank="0" text="" dxfId="232">
      <formula>OR($B54=0,$B54=2,$B54=3,$B54=4)</formula>
    </cfRule>
    <cfRule type="expression" priority="32" aboveAverage="0" equalAverage="0" bottom="0" percent="0" rank="0" text="" dxfId="233">
      <formula>$B54=1</formula>
    </cfRule>
  </conditionalFormatting>
  <conditionalFormatting sqref="D41:I44">
    <cfRule type="expression" priority="33" aboveAverage="0" equalAverage="0" bottom="0" percent="0" rank="0" text="" dxfId="234">
      <formula>$B41=1</formula>
    </cfRule>
    <cfRule type="expression" priority="34" aboveAverage="0" equalAverage="0" bottom="0" percent="0" rank="0" text="" dxfId="235">
      <formula>OR($B41=0,$B41=2,$B41=3,$B41=4)</formula>
    </cfRule>
  </conditionalFormatting>
  <conditionalFormatting sqref="M41:N44">
    <cfRule type="expression" priority="35" aboveAverage="0" equalAverage="0" bottom="0" percent="0" rank="0" text="" dxfId="236">
      <formula>ACOMPANHAMENTO="BM"</formula>
    </cfRule>
    <cfRule type="expression" priority="36" aboveAverage="0" equalAverage="0" bottom="0" percent="0" rank="0" text="" dxfId="237">
      <formula>OR($B41=0,$B41=2,$B41=3,$B41=4)</formula>
    </cfRule>
    <cfRule type="expression" priority="37" aboveAverage="0" equalAverage="0" bottom="0" percent="0" rank="0" text="" dxfId="238">
      <formula>$B41=1</formula>
    </cfRule>
  </conditionalFormatting>
  <conditionalFormatting sqref="D45:I46">
    <cfRule type="expression" priority="38" aboveAverage="0" equalAverage="0" bottom="0" percent="0" rank="0" text="" dxfId="239">
      <formula>$B45=1</formula>
    </cfRule>
    <cfRule type="expression" priority="39" aboveAverage="0" equalAverage="0" bottom="0" percent="0" rank="0" text="" dxfId="240">
      <formula>OR($B45=0,$B45=2,$B45=3,$B45=4)</formula>
    </cfRule>
  </conditionalFormatting>
  <conditionalFormatting sqref="M45:N46">
    <cfRule type="expression" priority="40" aboveAverage="0" equalAverage="0" bottom="0" percent="0" rank="0" text="" dxfId="241">
      <formula>ACOMPANHAMENTO="BM"</formula>
    </cfRule>
    <cfRule type="expression" priority="41" aboveAverage="0" equalAverage="0" bottom="0" percent="0" rank="0" text="" dxfId="242">
      <formula>OR($B45=0,$B45=2,$B45=3,$B45=4)</formula>
    </cfRule>
    <cfRule type="expression" priority="42" aboveAverage="0" equalAverage="0" bottom="0" percent="0" rank="0" text="" dxfId="243">
      <formula>$B45=1</formula>
    </cfRule>
  </conditionalFormatting>
  <conditionalFormatting sqref="D48:I50">
    <cfRule type="expression" priority="43" aboveAverage="0" equalAverage="0" bottom="0" percent="0" rank="0" text="" dxfId="244">
      <formula>$B48=1</formula>
    </cfRule>
    <cfRule type="expression" priority="44" aboveAverage="0" equalAverage="0" bottom="0" percent="0" rank="0" text="" dxfId="245">
      <formula>OR($B48=0,$B48=2,$B48=3,$B48=4)</formula>
    </cfRule>
  </conditionalFormatting>
  <conditionalFormatting sqref="M48:N50">
    <cfRule type="expression" priority="45" aboveAverage="0" equalAverage="0" bottom="0" percent="0" rank="0" text="" dxfId="246">
      <formula>ACOMPANHAMENTO="BM"</formula>
    </cfRule>
    <cfRule type="expression" priority="46" aboveAverage="0" equalAverage="0" bottom="0" percent="0" rank="0" text="" dxfId="247">
      <formula>OR($B48=0,$B48=2,$B48=3,$B48=4)</formula>
    </cfRule>
    <cfRule type="expression" priority="47" aboveAverage="0" equalAverage="0" bottom="0" percent="0" rank="0" text="" dxfId="248">
      <formula>$B48=1</formula>
    </cfRule>
  </conditionalFormatting>
  <conditionalFormatting sqref="D33:I36 D47:I47 D38:I39">
    <cfRule type="expression" priority="48" aboveAverage="0" equalAverage="0" bottom="0" percent="0" rank="0" text="" dxfId="249">
      <formula>$B33=1</formula>
    </cfRule>
    <cfRule type="expression" priority="49" aboveAverage="0" equalAverage="0" bottom="0" percent="0" rank="0" text="" dxfId="250">
      <formula>OR($B33=0,$B33=2,$B33=3,$B33=4)</formula>
    </cfRule>
  </conditionalFormatting>
  <conditionalFormatting sqref="M33:N36 M47:N47 M38:N39">
    <cfRule type="expression" priority="50" aboveAverage="0" equalAverage="0" bottom="0" percent="0" rank="0" text="" dxfId="251">
      <formula>ACOMPANHAMENTO="BM"</formula>
    </cfRule>
    <cfRule type="expression" priority="51" aboveAverage="0" equalAverage="0" bottom="0" percent="0" rank="0" text="" dxfId="252">
      <formula>OR($B33=0,$B33=2,$B33=3,$B33=4)</formula>
    </cfRule>
    <cfRule type="expression" priority="52" aboveAverage="0" equalAverage="0" bottom="0" percent="0" rank="0" text="" dxfId="253">
      <formula>$B33=1</formula>
    </cfRule>
  </conditionalFormatting>
  <conditionalFormatting sqref="D16:I18 D31:I31">
    <cfRule type="expression" priority="53" aboveAverage="0" equalAverage="0" bottom="0" percent="0" rank="0" text="" dxfId="254">
      <formula>$B16=1</formula>
    </cfRule>
    <cfRule type="expression" priority="54" aboveAverage="0" equalAverage="0" bottom="0" percent="0" rank="0" text="" dxfId="255">
      <formula>OR($B16=0,$B16=2,$B16=3,$B16=4)</formula>
    </cfRule>
  </conditionalFormatting>
  <conditionalFormatting sqref="M16:N18 M31:N31">
    <cfRule type="expression" priority="55" aboveAverage="0" equalAverage="0" bottom="0" percent="0" rank="0" text="" dxfId="256">
      <formula>ACOMPANHAMENTO="BM"</formula>
    </cfRule>
    <cfRule type="expression" priority="56" aboveAverage="0" equalAverage="0" bottom="0" percent="0" rank="0" text="" dxfId="257">
      <formula>OR($B16=0,$B16=2,$B16=3,$B16=4)</formula>
    </cfRule>
    <cfRule type="expression" priority="57" aboveAverage="0" equalAverage="0" bottom="0" percent="0" rank="0" text="" dxfId="258">
      <formula>$B16=1</formula>
    </cfRule>
  </conditionalFormatting>
  <conditionalFormatting sqref="K16:K18">
    <cfRule type="expression" priority="58" aboveAverage="0" equalAverage="0" bottom="0" percent="0" rank="0" text="" dxfId="259">
      <formula>OR(ACOMPANHAMENTO="BM",$A$12&lt;&gt;"Manual")</formula>
    </cfRule>
    <cfRule type="expression" priority="59" aboveAverage="0" equalAverage="0" bottom="0" percent="0" rank="0" text="" dxfId="260">
      <formula>$B16=1</formula>
    </cfRule>
    <cfRule type="expression" priority="60" aboveAverage="0" equalAverage="0" bottom="0" percent="0" rank="0" text="" dxfId="261">
      <formula>OR($B16=2,$B16=3,$B16=4,$B16=0)</formula>
    </cfRule>
  </conditionalFormatting>
  <conditionalFormatting sqref="O16:AA18">
    <cfRule type="expression" priority="61" aboveAverage="0" equalAverage="0" bottom="0" percent="0" rank="0" text="" dxfId="262">
      <formula>ACOMPANHAMENTO="BM"</formula>
    </cfRule>
    <cfRule type="expression" priority="62" aboveAverage="0" equalAverage="0" bottom="0" percent="0" rank="0" text="" dxfId="263">
      <formula>AND(O$12&lt;&gt;".",OR($B16=0,$B16=2,$B16=3,$B16=4,AND(O$12="",$B16&lt;&gt;"Empty"),OFFSET(O$12,0,-1)=""))</formula>
    </cfRule>
    <cfRule type="expression" priority="63" aboveAverage="0" equalAverage="0" bottom="0" percent="0" rank="0" text="" dxfId="264">
      <formula>AND($B16=1,O$12&lt;&gt;".")</formula>
    </cfRule>
  </conditionalFormatting>
  <conditionalFormatting sqref="D14:I14 D32:I32 D51:I53 D58:I58 D21:I28">
    <cfRule type="expression" priority="64" aboveAverage="0" equalAverage="0" bottom="0" percent="0" rank="0" text="" dxfId="265">
      <formula>$B14=1</formula>
    </cfRule>
    <cfRule type="expression" priority="65" aboveAverage="0" equalAverage="0" bottom="0" percent="0" rank="0" text="" dxfId="266">
      <formula>OR($B14=0,$B14=2,$B14=3,$B14=4)</formula>
    </cfRule>
  </conditionalFormatting>
  <conditionalFormatting sqref="M12:N15 M32:N32 M51:N53 M58:N59 M21:N28">
    <cfRule type="expression" priority="66" aboveAverage="0" equalAverage="0" bottom="0" percent="0" rank="0" text="" dxfId="267">
      <formula>ACOMPANHAMENTO="BM"</formula>
    </cfRule>
    <cfRule type="expression" priority="67" aboveAverage="0" equalAverage="0" bottom="0" percent="0" rank="0" text="" dxfId="268">
      <formula>OR($B12=0,$B12=2,$B12=3,$B12=4)</formula>
    </cfRule>
    <cfRule type="expression" priority="68" aboveAverage="0" equalAverage="0" bottom="0" percent="0" rank="0" text="" dxfId="269">
      <formula>$B12=1</formula>
    </cfRule>
  </conditionalFormatting>
  <conditionalFormatting sqref="K12:K15 K21:K59">
    <cfRule type="expression" priority="69" aboveAverage="0" equalAverage="0" bottom="0" percent="0" rank="0" text="" dxfId="270">
      <formula>OR(ACOMPANHAMENTO="BM",$A$12&lt;&gt;"Manual")</formula>
    </cfRule>
    <cfRule type="expression" priority="70" aboveAverage="0" equalAverage="0" bottom="0" percent="0" rank="0" text="" dxfId="271">
      <formula>$B12=1</formula>
    </cfRule>
    <cfRule type="expression" priority="71" aboveAverage="0" equalAverage="0" bottom="0" percent="0" rank="0" text="" dxfId="272">
      <formula>OR($B12=2,$B12=3,$B12=4,$B12=0)</formula>
    </cfRule>
  </conditionalFormatting>
  <conditionalFormatting sqref="O12:AA15 O21:AA59">
    <cfRule type="expression" priority="72" aboveAverage="0" equalAverage="0" bottom="0" percent="0" rank="0" text="" dxfId="273">
      <formula>ACOMPANHAMENTO="BM"</formula>
    </cfRule>
    <cfRule type="expression" priority="73" aboveAverage="0" equalAverage="0" bottom="0" percent="0" rank="0" text="" dxfId="274">
      <formula>AND(O$12&lt;&gt;".",OR($B12=0,$B12=2,$B12=3,$B12=4,AND(O$12="",$B12&lt;&gt;"Empty"),OFFSET(O$12,0,-1)=""))</formula>
    </cfRule>
    <cfRule type="expression" priority="74" aboveAverage="0" equalAverage="0" bottom="0" percent="0" rank="0" text="" dxfId="275">
      <formula>AND($B12=1,O$12&lt;&gt;".")</formula>
    </cfRule>
  </conditionalFormatting>
  <dataValidations count="4">
    <dataValidation allowBlank="true" error="Apenas números decimais maiores que zero." errorStyle="stop" operator="greaterThan" showDropDown="false" showErrorMessage="true" showInputMessage="false" sqref="O14 Q14:Z14 O16:O58 Q16:Z58" type="decimal">
      <formula1>0</formula1>
      <formula2>0</formula2>
    </dataValidation>
    <dataValidation allowBlank="true" errorStyle="stop" operator="between" showDropDown="false" showErrorMessage="true" showInputMessage="false" sqref="K14 K16:K58" type="list">
      <formula1>EVENTOS.ListaValidacao</formula1>
      <formula2>0</formula2>
    </dataValidation>
    <dataValidation allowBlank="true" errorStyle="stop" operator="between" prompt="A quantidade é digitada nas colunas Q em diante, após preencher o nome das frentes de obra na célula Q12 em diante" showDropDown="false" showErrorMessage="true" showInputMessage="true" sqref="H14 H16:H58" type="none">
      <formula1>0</formula1>
      <formula2>0</formula2>
    </dataValidation>
    <dataValidation allowBlank="true" errorStyle="stop" operator="between" prompt="A frente de obra é uma porção física da obra. Exemplos: Única; Rua A; Rua B; Trecho 01; Trecho 02; 1º Andar; 2º Andar; Copa; Banheiro" showDropDown="false" showErrorMessage="true" showInputMessage="true" sqref="Q12" type="none">
      <formula1>0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65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&amp;C&amp;14I</oddHeader>
    <oddFooter>&amp;LPMv3.0.6&amp;R&amp;P / &amp;N</oddFooter>
  </headerFooter>
  <colBreaks count="1" manualBreakCount="1">
    <brk id="27" man="true" max="65535" min="0"/>
  </col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2:F65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0" ySplit="14" topLeftCell="A15" activePane="bottomLeft" state="frozen"/>
      <selection pane="topLeft" activeCell="A1" activeCellId="0" sqref="A1"/>
      <selection pane="bottomLeft" activeCell="D25" activeCellId="0" sqref="D25"/>
    </sheetView>
  </sheetViews>
  <sheetFormatPr defaultColWidth="8.6796875" defaultRowHeight="12.75" customHeight="true" zeroHeight="false" outlineLevelRow="0" outlineLevelCol="0"/>
  <cols>
    <col collapsed="false" customWidth="true" hidden="true" outlineLevel="0" max="2" min="2" style="0" width="11.53"/>
    <col collapsed="false" customWidth="true" hidden="false" outlineLevel="0" max="3" min="3" style="0" width="12.71"/>
    <col collapsed="false" customWidth="true" hidden="false" outlineLevel="0" max="4" min="4" style="0" width="30.71"/>
    <col collapsed="false" customWidth="true" hidden="false" outlineLevel="0" max="6" min="6" style="0" width="25.71"/>
  </cols>
  <sheetData>
    <row r="2" customFormat="false" ht="15" hidden="false" customHeight="false" outlineLevel="0" collapsed="false">
      <c r="C2" s="142" t="s">
        <v>389</v>
      </c>
    </row>
    <row r="4" customFormat="false" ht="12.75" hidden="false" customHeight="false" outlineLevel="0" collapsed="false">
      <c r="C4" s="0" t="s">
        <v>390</v>
      </c>
    </row>
    <row r="6" customFormat="false" ht="12.75" hidden="false" customHeight="false" outlineLevel="0" collapsed="false">
      <c r="C6" s="309" t="s">
        <v>391</v>
      </c>
      <c r="D6" s="309"/>
      <c r="E6" s="309"/>
      <c r="F6" s="309"/>
    </row>
    <row r="8" customFormat="false" ht="33.75" hidden="false" customHeight="true" outlineLevel="0" collapsed="false"/>
    <row r="9" customFormat="false" ht="12" hidden="false" customHeight="true" outlineLevel="0" collapsed="false">
      <c r="C9" s="310" t="str">
        <f aca="false">IF(ACOMPANHAMENTO="BM","Foi selecionado na aba 'MENU' o acompanhamento por BM. Não há necessidade de definição de Eventos.","")</f>
        <v/>
      </c>
      <c r="D9" s="310"/>
      <c r="E9" s="310"/>
      <c r="F9" s="310"/>
    </row>
    <row r="10" customFormat="false" ht="12" hidden="false" customHeight="true" outlineLevel="0" collapsed="false">
      <c r="C10" s="310"/>
      <c r="D10" s="310"/>
      <c r="E10" s="310"/>
      <c r="F10" s="310"/>
    </row>
    <row r="11" customFormat="false" ht="12" hidden="false" customHeight="true" outlineLevel="0" collapsed="false">
      <c r="C11" s="310"/>
      <c r="D11" s="310"/>
      <c r="E11" s="310"/>
      <c r="F11" s="310"/>
    </row>
    <row r="12" customFormat="false" ht="12" hidden="false" customHeight="true" outlineLevel="0" collapsed="false"/>
    <row r="13" customFormat="false" ht="13.8" hidden="false" customHeight="false" outlineLevel="0" collapsed="false">
      <c r="C13" s="311" t="s">
        <v>392</v>
      </c>
      <c r="D13" s="311" t="s">
        <v>393</v>
      </c>
      <c r="E13" s="311"/>
      <c r="F13" s="312" t="s">
        <v>394</v>
      </c>
    </row>
    <row r="14" customFormat="false" ht="12.75" hidden="true" customHeight="false" outlineLevel="0" collapsed="false">
      <c r="B14" s="0" t="e">
        <f aca="false">CONCATENATE(C14,".",D14)</f>
        <v>#VALUE!</v>
      </c>
      <c r="C14" s="313" t="e">
        <f aca="true">OFFSET(C14,-1,0)+1</f>
        <v>#VALUE!</v>
      </c>
      <c r="D14" s="314"/>
      <c r="E14" s="314"/>
      <c r="F14" s="315" t="e">
        <f aca="true">IF(AUTOEVENTO="Manual",ROUND(SUMPRODUCT((CÁLCULO!$M$15:$M$59=EVENTOS!$C14)*(OFFSET(CÁLCULO!$AA$15,0,1):OFFSET(CÁLCULO!$AL$59,0,-1))),2),0)</f>
        <v>#VALUE!</v>
      </c>
    </row>
    <row r="15" customFormat="false" ht="12.75" hidden="false" customHeight="false" outlineLevel="0" collapsed="false">
      <c r="B15" s="0" t="str">
        <f aca="false">CONCATENATE(C15,".",D15)</f>
        <v>1.Administração Local</v>
      </c>
      <c r="C15" s="316" t="n">
        <v>1</v>
      </c>
      <c r="D15" s="317" t="s">
        <v>395</v>
      </c>
      <c r="E15" s="317"/>
      <c r="F15" s="318" t="n">
        <f aca="false">IF(AUTOEVENTO="Manual",ROUND(SUMIF(CÁLCULO!$M$15:$M$59,1,ORÇAMENTO!$X$15:$X$59),2),0)</f>
        <v>0</v>
      </c>
    </row>
    <row r="16" customFormat="false" ht="12.75" hidden="false" customHeight="false" outlineLevel="0" collapsed="false">
      <c r="B16" s="0" t="str">
        <f aca="false">CONCATENATE(C16,".",D16)</f>
        <v>2.Serviços Iniciais</v>
      </c>
      <c r="C16" s="313" t="n">
        <f aca="true">OFFSET(C16,-1,0)+1</f>
        <v>2</v>
      </c>
      <c r="D16" s="314" t="str">
        <f aca="false">[1]planilha1!$e$6</f>
        <v>Serviços Iniciais</v>
      </c>
      <c r="E16" s="314"/>
      <c r="F16" s="315" t="n">
        <f aca="true">IF(AUTOEVENTO="Manual",ROUND(SUMPRODUCT((CÁLCULO!$M$15:$M$59=EVENTOS!$C16)*(OFFSET(CÁLCULO!$AA$15,0,1):OFFSET(CÁLCULO!$AL$59,0,-1))),2),0)</f>
        <v>0</v>
      </c>
    </row>
    <row r="17" customFormat="false" ht="12.75" hidden="false" customHeight="false" outlineLevel="0" collapsed="false">
      <c r="B17" s="0" t="str">
        <f aca="false">CONCATENATE(C17,".",D17)</f>
        <v>3.Canteiro</v>
      </c>
      <c r="C17" s="313" t="n">
        <f aca="true">OFFSET(C17,-1,0)+1</f>
        <v>3</v>
      </c>
      <c r="D17" s="314" t="s">
        <v>306</v>
      </c>
      <c r="E17" s="314"/>
      <c r="F17" s="315" t="n">
        <f aca="true">IF(AUTOEVENTO="Manual",ROUND(SUMPRODUCT((CÁLCULO!$M$15:$M$59=EVENTOS!$C17)*(OFFSET(CÁLCULO!$AA$15,0,1):OFFSET(CÁLCULO!$AL$59,0,-1))),2),0)</f>
        <v>0</v>
      </c>
    </row>
    <row r="18" customFormat="false" ht="12.75" hidden="false" customHeight="false" outlineLevel="0" collapsed="false">
      <c r="B18" s="0" t="str">
        <f aca="false">CONCATENATE(C18,".",D18)</f>
        <v>4.Mobilização e Desmobilização</v>
      </c>
      <c r="C18" s="313" t="n">
        <f aca="true">OFFSET(C18,-1,0)+1</f>
        <v>4</v>
      </c>
      <c r="D18" s="314" t="s">
        <v>396</v>
      </c>
      <c r="E18" s="314"/>
      <c r="F18" s="315" t="n">
        <f aca="true">IF(AUTOEVENTO="Manual",ROUND(SUMPRODUCT((CÁLCULO!$M$15:$M$59=EVENTOS!$C18)*(OFFSET(CÁLCULO!$AA$15,0,1):OFFSET(CÁLCULO!$AL$59,0,-1))),2),0)</f>
        <v>0</v>
      </c>
    </row>
    <row r="19" customFormat="false" ht="12.75" hidden="false" customHeight="false" outlineLevel="0" collapsed="false">
      <c r="B19" s="0" t="str">
        <f aca="false">CONCATENATE(C19,".",D19)</f>
        <v>5.Terraplanagem</v>
      </c>
      <c r="C19" s="313" t="n">
        <f aca="true">OFFSET(C19,-1,0)+1</f>
        <v>5</v>
      </c>
      <c r="D19" s="314" t="s">
        <v>316</v>
      </c>
      <c r="E19" s="314"/>
      <c r="F19" s="315" t="n">
        <f aca="true">IF(AUTOEVENTO="Manual",ROUND(SUMPRODUCT((CÁLCULO!$M$15:$M$59=EVENTOS!$C19)*(OFFSET(CÁLCULO!$AA$15,0,1):OFFSET(CÁLCULO!$AL$59,0,-1))),2),0)</f>
        <v>0</v>
      </c>
    </row>
    <row r="20" customFormat="false" ht="12.75" hidden="false" customHeight="false" outlineLevel="0" collapsed="false">
      <c r="B20" s="0" t="str">
        <f aca="false">CONCATENATE(C20,".",D20)</f>
        <v>6.Subbase</v>
      </c>
      <c r="C20" s="313" t="n">
        <f aca="true">OFFSET(C20,-1,0)+1</f>
        <v>6</v>
      </c>
      <c r="D20" s="314" t="s">
        <v>321</v>
      </c>
      <c r="E20" s="314"/>
      <c r="F20" s="315" t="n">
        <f aca="true">IF(AUTOEVENTO="Manual",ROUND(SUMPRODUCT((CÁLCULO!$M$15:$M$59=EVENTOS!$C20)*(OFFSET(CÁLCULO!$AA$15,0,1):OFFSET(CÁLCULO!$AL$59,0,-1))),2),0)</f>
        <v>0</v>
      </c>
    </row>
    <row r="21" customFormat="false" ht="12.75" hidden="false" customHeight="false" outlineLevel="0" collapsed="false">
      <c r="B21" s="0" t="str">
        <f aca="false">CONCATENATE(C21,".",D21)</f>
        <v>7.Base</v>
      </c>
      <c r="C21" s="313" t="n">
        <f aca="true">OFFSET(C21,-1,0)+1</f>
        <v>7</v>
      </c>
      <c r="D21" s="314" t="s">
        <v>397</v>
      </c>
      <c r="E21" s="314"/>
      <c r="F21" s="315" t="n">
        <f aca="true">IF(AUTOEVENTO="Manual",ROUND(SUMPRODUCT((CÁLCULO!$M$15:$M$59=EVENTOS!$C21)*(OFFSET(CÁLCULO!$AA$15,0,1):OFFSET(CÁLCULO!$AL$59,0,-1))),2),0)</f>
        <v>0</v>
      </c>
    </row>
    <row r="22" customFormat="false" ht="12.75" hidden="false" customHeight="false" outlineLevel="0" collapsed="false">
      <c r="B22" s="0" t="str">
        <f aca="false">CONCATENATE(C22,".",D22)</f>
        <v>8.Concreto Asfáltico</v>
      </c>
      <c r="C22" s="313" t="n">
        <f aca="true">OFFSET(C22,-1,0)+1</f>
        <v>8</v>
      </c>
      <c r="D22" s="314" t="s">
        <v>329</v>
      </c>
      <c r="E22" s="314"/>
      <c r="F22" s="315" t="n">
        <f aca="true">IF(AUTOEVENTO="Manual",ROUND(SUMPRODUCT((CÁLCULO!$M$15:$M$59=EVENTOS!$C22)*(OFFSET(CÁLCULO!$AA$15,0,1):OFFSET(CÁLCULO!$AL$59,0,-1))),2),0)</f>
        <v>0</v>
      </c>
    </row>
    <row r="23" customFormat="false" ht="12.75" hidden="false" customHeight="false" outlineLevel="0" collapsed="false">
      <c r="B23" s="0" t="str">
        <f aca="false">CONCATENATE(C23,".",D23)</f>
        <v>9.Drenagem</v>
      </c>
      <c r="C23" s="313" t="n">
        <f aca="true">OFFSET(C23,-1,0)+1</f>
        <v>9</v>
      </c>
      <c r="D23" s="314" t="s">
        <v>333</v>
      </c>
      <c r="E23" s="314"/>
      <c r="F23" s="315" t="n">
        <f aca="true">IF(AUTOEVENTO="Manual",ROUND(SUMPRODUCT((CÁLCULO!$M$15:$M$59=EVENTOS!$C23)*(OFFSET(CÁLCULO!$AA$15,0,1):OFFSET(CÁLCULO!$AL$59,0,-1))),2),0)</f>
        <v>0</v>
      </c>
    </row>
    <row r="24" customFormat="false" ht="12.75" hidden="false" customHeight="false" outlineLevel="0" collapsed="false">
      <c r="B24" s="0" t="str">
        <f aca="false">CONCATENATE(C24,".",D24)</f>
        <v>10.Sinalização</v>
      </c>
      <c r="C24" s="313" t="n">
        <f aca="true">OFFSET(C24,-1,0)+1</f>
        <v>10</v>
      </c>
      <c r="D24" s="314" t="s">
        <v>100</v>
      </c>
      <c r="E24" s="314"/>
      <c r="F24" s="315" t="n">
        <f aca="true">IF(AUTOEVENTO="Manual",ROUND(SUMPRODUCT((CÁLCULO!$M$15:$M$59=EVENTOS!$C24)*(OFFSET(CÁLCULO!$AA$15,0,1):OFFSET(CÁLCULO!$AL$59,0,-1))),2),0)</f>
        <v>0</v>
      </c>
    </row>
    <row r="25" customFormat="false" ht="12.75" hidden="false" customHeight="false" outlineLevel="0" collapsed="false">
      <c r="B25" s="0" t="str">
        <f aca="false">CONCATENATE(C25,".",D25)</f>
        <v>11.</v>
      </c>
      <c r="C25" s="313" t="n">
        <f aca="true">OFFSET(C25,-1,0)+1</f>
        <v>11</v>
      </c>
      <c r="D25" s="314"/>
      <c r="E25" s="314"/>
      <c r="F25" s="315" t="n">
        <f aca="true">IF(AUTOEVENTO="Manual",ROUND(SUMPRODUCT((CÁLCULO!$M$15:$M$59=EVENTOS!$C25)*(OFFSET(CÁLCULO!$AA$15,0,1):OFFSET(CÁLCULO!$AL$59,0,-1))),2),0)</f>
        <v>0</v>
      </c>
    </row>
    <row r="26" customFormat="false" ht="12.75" hidden="false" customHeight="false" outlineLevel="0" collapsed="false">
      <c r="B26" s="0" t="str">
        <f aca="false">CONCATENATE(C26,".",D26)</f>
        <v>12.</v>
      </c>
      <c r="C26" s="313" t="n">
        <f aca="true">OFFSET(C26,-1,0)+1</f>
        <v>12</v>
      </c>
      <c r="D26" s="314"/>
      <c r="E26" s="314"/>
      <c r="F26" s="315" t="n">
        <f aca="true">IF(AUTOEVENTO="Manual",ROUND(SUMPRODUCT((CÁLCULO!$M$15:$M$59=EVENTOS!$C26)*(OFFSET(CÁLCULO!$AA$15,0,1):OFFSET(CÁLCULO!$AL$59,0,-1))),2),0)</f>
        <v>0</v>
      </c>
    </row>
    <row r="27" customFormat="false" ht="12.75" hidden="false" customHeight="false" outlineLevel="0" collapsed="false">
      <c r="B27" s="0" t="str">
        <f aca="false">CONCATENATE(C27,".",D27)</f>
        <v>13.</v>
      </c>
      <c r="C27" s="313" t="n">
        <f aca="true">OFFSET(C27,-1,0)+1</f>
        <v>13</v>
      </c>
      <c r="D27" s="314"/>
      <c r="E27" s="314"/>
      <c r="F27" s="315" t="n">
        <f aca="true">IF(AUTOEVENTO="Manual",ROUND(SUMPRODUCT((CÁLCULO!$M$15:$M$59=EVENTOS!$C27)*(OFFSET(CÁLCULO!$AA$15,0,1):OFFSET(CÁLCULO!$AL$59,0,-1))),2),0)</f>
        <v>0</v>
      </c>
    </row>
    <row r="28" customFormat="false" ht="12.75" hidden="false" customHeight="false" outlineLevel="0" collapsed="false">
      <c r="B28" s="0" t="str">
        <f aca="false">CONCATENATE(C28,".",D28)</f>
        <v>14.</v>
      </c>
      <c r="C28" s="313" t="n">
        <f aca="true">OFFSET(C28,-1,0)+1</f>
        <v>14</v>
      </c>
      <c r="D28" s="314"/>
      <c r="E28" s="314"/>
      <c r="F28" s="315" t="n">
        <f aca="true">IF(AUTOEVENTO="Manual",ROUND(SUMPRODUCT((CÁLCULO!$M$15:$M$59=EVENTOS!$C28)*(OFFSET(CÁLCULO!$AA$15,0,1):OFFSET(CÁLCULO!$AL$59,0,-1))),2),0)</f>
        <v>0</v>
      </c>
    </row>
    <row r="29" customFormat="false" ht="12.75" hidden="false" customHeight="false" outlineLevel="0" collapsed="false">
      <c r="B29" s="0" t="str">
        <f aca="false">CONCATENATE(C29,".",D29)</f>
        <v>15.</v>
      </c>
      <c r="C29" s="313" t="n">
        <f aca="true">OFFSET(C29,-1,0)+1</f>
        <v>15</v>
      </c>
      <c r="D29" s="314"/>
      <c r="E29" s="314"/>
      <c r="F29" s="315" t="n">
        <f aca="true">IF(AUTOEVENTO="Manual",ROUND(SUMPRODUCT((CÁLCULO!$M$15:$M$59=EVENTOS!$C29)*(OFFSET(CÁLCULO!$AA$15,0,1):OFFSET(CÁLCULO!$AL$59,0,-1))),2),0)</f>
        <v>0</v>
      </c>
    </row>
    <row r="30" customFormat="false" ht="12.75" hidden="false" customHeight="false" outlineLevel="0" collapsed="false">
      <c r="B30" s="0" t="str">
        <f aca="false">CONCATENATE(C30,".",D30)</f>
        <v>16.</v>
      </c>
      <c r="C30" s="313" t="n">
        <f aca="true">OFFSET(C30,-1,0)+1</f>
        <v>16</v>
      </c>
      <c r="D30" s="314"/>
      <c r="E30" s="314"/>
      <c r="F30" s="315" t="n">
        <f aca="true">IF(AUTOEVENTO="Manual",ROUND(SUMPRODUCT((CÁLCULO!$M$15:$M$59=EVENTOS!$C30)*(OFFSET(CÁLCULO!$AA$15,0,1):OFFSET(CÁLCULO!$AL$59,0,-1))),2),0)</f>
        <v>0</v>
      </c>
    </row>
    <row r="31" customFormat="false" ht="12.75" hidden="false" customHeight="false" outlineLevel="0" collapsed="false">
      <c r="B31" s="0" t="str">
        <f aca="false">CONCATENATE(C31,".",D31)</f>
        <v>17.</v>
      </c>
      <c r="C31" s="313" t="n">
        <f aca="true">OFFSET(C31,-1,0)+1</f>
        <v>17</v>
      </c>
      <c r="D31" s="314"/>
      <c r="E31" s="314"/>
      <c r="F31" s="315" t="n">
        <f aca="true">IF(AUTOEVENTO="Manual",ROUND(SUMPRODUCT((CÁLCULO!$M$15:$M$59=EVENTOS!$C31)*(OFFSET(CÁLCULO!$AA$15,0,1):OFFSET(CÁLCULO!$AL$59,0,-1))),2),0)</f>
        <v>0</v>
      </c>
    </row>
    <row r="32" customFormat="false" ht="12.75" hidden="false" customHeight="false" outlineLevel="0" collapsed="false">
      <c r="B32" s="0" t="str">
        <f aca="false">CONCATENATE(C32,".",D32)</f>
        <v>18.</v>
      </c>
      <c r="C32" s="313" t="n">
        <f aca="true">OFFSET(C32,-1,0)+1</f>
        <v>18</v>
      </c>
      <c r="D32" s="314"/>
      <c r="E32" s="314"/>
      <c r="F32" s="315" t="n">
        <f aca="true">IF(AUTOEVENTO="Manual",ROUND(SUMPRODUCT((CÁLCULO!$M$15:$M$59=EVENTOS!$C32)*(OFFSET(CÁLCULO!$AA$15,0,1):OFFSET(CÁLCULO!$AL$59,0,-1))),2),0)</f>
        <v>0</v>
      </c>
    </row>
    <row r="33" customFormat="false" ht="12.75" hidden="false" customHeight="false" outlineLevel="0" collapsed="false">
      <c r="B33" s="0" t="str">
        <f aca="false">CONCATENATE(C33,".",D33)</f>
        <v>19.</v>
      </c>
      <c r="C33" s="313" t="n">
        <f aca="true">OFFSET(C33,-1,0)+1</f>
        <v>19</v>
      </c>
      <c r="D33" s="314"/>
      <c r="E33" s="314"/>
      <c r="F33" s="315" t="n">
        <f aca="true">IF(AUTOEVENTO="Manual",ROUND(SUMPRODUCT((CÁLCULO!$M$15:$M$59=EVENTOS!$C33)*(OFFSET(CÁLCULO!$AA$15,0,1):OFFSET(CÁLCULO!$AL$59,0,-1))),2),0)</f>
        <v>0</v>
      </c>
    </row>
    <row r="34" customFormat="false" ht="12.75" hidden="false" customHeight="false" outlineLevel="0" collapsed="false">
      <c r="B34" s="0" t="str">
        <f aca="false">CONCATENATE(C34,".",D34)</f>
        <v>20.</v>
      </c>
      <c r="C34" s="313" t="n">
        <f aca="true">OFFSET(C34,-1,0)+1</f>
        <v>20</v>
      </c>
      <c r="D34" s="314"/>
      <c r="E34" s="314"/>
      <c r="F34" s="315" t="n">
        <f aca="true">IF(AUTOEVENTO="Manual",ROUND(SUMPRODUCT((CÁLCULO!$M$15:$M$59=EVENTOS!$C34)*(OFFSET(CÁLCULO!$AA$15,0,1):OFFSET(CÁLCULO!$AL$59,0,-1))),2),0)</f>
        <v>0</v>
      </c>
    </row>
    <row r="35" customFormat="false" ht="12.75" hidden="false" customHeight="false" outlineLevel="0" collapsed="false">
      <c r="B35" s="0" t="str">
        <f aca="false">CONCATENATE(C35,".",D35)</f>
        <v>21.</v>
      </c>
      <c r="C35" s="313" t="n">
        <f aca="true">OFFSET(C35,-1,0)+1</f>
        <v>21</v>
      </c>
      <c r="D35" s="314"/>
      <c r="E35" s="314"/>
      <c r="F35" s="315" t="n">
        <f aca="true">IF(AUTOEVENTO="Manual",ROUND(SUMPRODUCT((CÁLCULO!$M$15:$M$59=EVENTOS!$C35)*(OFFSET(CÁLCULO!$AA$15,0,1):OFFSET(CÁLCULO!$AL$59,0,-1))),2),0)</f>
        <v>0</v>
      </c>
    </row>
    <row r="36" customFormat="false" ht="12.75" hidden="false" customHeight="false" outlineLevel="0" collapsed="false">
      <c r="B36" s="0" t="str">
        <f aca="false">CONCATENATE(C36,".",D36)</f>
        <v>22.</v>
      </c>
      <c r="C36" s="313" t="n">
        <f aca="true">OFFSET(C36,-1,0)+1</f>
        <v>22</v>
      </c>
      <c r="D36" s="314"/>
      <c r="E36" s="314"/>
      <c r="F36" s="315" t="n">
        <f aca="true">IF(AUTOEVENTO="Manual",ROUND(SUMPRODUCT((CÁLCULO!$M$15:$M$59=EVENTOS!$C36)*(OFFSET(CÁLCULO!$AA$15,0,1):OFFSET(CÁLCULO!$AL$59,0,-1))),2),0)</f>
        <v>0</v>
      </c>
    </row>
    <row r="37" customFormat="false" ht="12.75" hidden="false" customHeight="false" outlineLevel="0" collapsed="false">
      <c r="B37" s="0" t="str">
        <f aca="false">CONCATENATE(C37,".",D37)</f>
        <v>23.</v>
      </c>
      <c r="C37" s="313" t="n">
        <f aca="true">OFFSET(C37,-1,0)+1</f>
        <v>23</v>
      </c>
      <c r="D37" s="314"/>
      <c r="E37" s="314"/>
      <c r="F37" s="315" t="n">
        <f aca="true">IF(AUTOEVENTO="Manual",ROUND(SUMPRODUCT((CÁLCULO!$M$15:$M$59=EVENTOS!$C37)*(OFFSET(CÁLCULO!$AA$15,0,1):OFFSET(CÁLCULO!$AL$59,0,-1))),2),0)</f>
        <v>0</v>
      </c>
    </row>
    <row r="38" customFormat="false" ht="12.75" hidden="false" customHeight="false" outlineLevel="0" collapsed="false">
      <c r="B38" s="0" t="str">
        <f aca="false">CONCATENATE(C38,".",D38)</f>
        <v>24.</v>
      </c>
      <c r="C38" s="313" t="n">
        <f aca="true">OFFSET(C38,-1,0)+1</f>
        <v>24</v>
      </c>
      <c r="D38" s="314"/>
      <c r="E38" s="314"/>
      <c r="F38" s="315" t="n">
        <f aca="true">IF(AUTOEVENTO="Manual",ROUND(SUMPRODUCT((CÁLCULO!$M$15:$M$59=EVENTOS!$C38)*(OFFSET(CÁLCULO!$AA$15,0,1):OFFSET(CÁLCULO!$AL$59,0,-1))),2),0)</f>
        <v>0</v>
      </c>
    </row>
    <row r="39" customFormat="false" ht="12.75" hidden="false" customHeight="false" outlineLevel="0" collapsed="false">
      <c r="B39" s="0" t="str">
        <f aca="false">CONCATENATE(C39,".",D39)</f>
        <v>25.</v>
      </c>
      <c r="C39" s="313" t="n">
        <f aca="true">OFFSET(C39,-1,0)+1</f>
        <v>25</v>
      </c>
      <c r="D39" s="314"/>
      <c r="E39" s="314"/>
      <c r="F39" s="315" t="n">
        <f aca="true">IF(AUTOEVENTO="Manual",ROUND(SUMPRODUCT((CÁLCULO!$M$15:$M$59=EVENTOS!$C39)*(OFFSET(CÁLCULO!$AA$15,0,1):OFFSET(CÁLCULO!$AL$59,0,-1))),2),0)</f>
        <v>0</v>
      </c>
    </row>
    <row r="40" customFormat="false" ht="12.75" hidden="false" customHeight="false" outlineLevel="0" collapsed="false">
      <c r="B40" s="0" t="str">
        <f aca="false">CONCATENATE(C40,".",D40)</f>
        <v>26.</v>
      </c>
      <c r="C40" s="313" t="n">
        <f aca="true">OFFSET(C40,-1,0)+1</f>
        <v>26</v>
      </c>
      <c r="D40" s="314"/>
      <c r="E40" s="314"/>
      <c r="F40" s="315" t="n">
        <f aca="true">IF(AUTOEVENTO="Manual",ROUND(SUMPRODUCT((CÁLCULO!$M$15:$M$59=EVENTOS!$C40)*(OFFSET(CÁLCULO!$AA$15,0,1):OFFSET(CÁLCULO!$AL$59,0,-1))),2),0)</f>
        <v>0</v>
      </c>
    </row>
    <row r="41" customFormat="false" ht="12.75" hidden="false" customHeight="false" outlineLevel="0" collapsed="false">
      <c r="B41" s="0" t="str">
        <f aca="false">CONCATENATE(C41,".",D41)</f>
        <v>27.</v>
      </c>
      <c r="C41" s="313" t="n">
        <f aca="true">OFFSET(C41,-1,0)+1</f>
        <v>27</v>
      </c>
      <c r="D41" s="314"/>
      <c r="E41" s="314"/>
      <c r="F41" s="315" t="n">
        <f aca="true">IF(AUTOEVENTO="Manual",ROUND(SUMPRODUCT((CÁLCULO!$M$15:$M$59=EVENTOS!$C41)*(OFFSET(CÁLCULO!$AA$15,0,1):OFFSET(CÁLCULO!$AL$59,0,-1))),2),0)</f>
        <v>0</v>
      </c>
    </row>
    <row r="42" customFormat="false" ht="12.75" hidden="false" customHeight="false" outlineLevel="0" collapsed="false">
      <c r="B42" s="0" t="str">
        <f aca="false">CONCATENATE(C42,".",D42)</f>
        <v>28.</v>
      </c>
      <c r="C42" s="313" t="n">
        <f aca="true">OFFSET(C42,-1,0)+1</f>
        <v>28</v>
      </c>
      <c r="D42" s="314"/>
      <c r="E42" s="314"/>
      <c r="F42" s="315" t="n">
        <f aca="true">IF(AUTOEVENTO="Manual",ROUND(SUMPRODUCT((CÁLCULO!$M$15:$M$59=EVENTOS!$C42)*(OFFSET(CÁLCULO!$AA$15,0,1):OFFSET(CÁLCULO!$AL$59,0,-1))),2),0)</f>
        <v>0</v>
      </c>
    </row>
    <row r="43" customFormat="false" ht="12.75" hidden="false" customHeight="false" outlineLevel="0" collapsed="false">
      <c r="B43" s="0" t="str">
        <f aca="false">CONCATENATE(C43,".",D43)</f>
        <v>29.</v>
      </c>
      <c r="C43" s="313" t="n">
        <f aca="true">OFFSET(C43,-1,0)+1</f>
        <v>29</v>
      </c>
      <c r="D43" s="314"/>
      <c r="E43" s="314"/>
      <c r="F43" s="315" t="n">
        <f aca="true">IF(AUTOEVENTO="Manual",ROUND(SUMPRODUCT((CÁLCULO!$M$15:$M$59=EVENTOS!$C43)*(OFFSET(CÁLCULO!$AA$15,0,1):OFFSET(CÁLCULO!$AL$59,0,-1))),2),0)</f>
        <v>0</v>
      </c>
    </row>
    <row r="44" customFormat="false" ht="12.75" hidden="false" customHeight="false" outlineLevel="0" collapsed="false">
      <c r="B44" s="0" t="str">
        <f aca="false">CONCATENATE(C44,".",D44)</f>
        <v>30.</v>
      </c>
      <c r="C44" s="313" t="n">
        <f aca="true">OFFSET(C44,-1,0)+1</f>
        <v>30</v>
      </c>
      <c r="D44" s="314"/>
      <c r="E44" s="314"/>
      <c r="F44" s="315" t="n">
        <f aca="true">IF(AUTOEVENTO="Manual",ROUND(SUMPRODUCT((CÁLCULO!$M$15:$M$59=EVENTOS!$C44)*(OFFSET(CÁLCULO!$AA$15,0,1):OFFSET(CÁLCULO!$AL$59,0,-1))),2),0)</f>
        <v>0</v>
      </c>
    </row>
    <row r="45" customFormat="false" ht="12.75" hidden="false" customHeight="false" outlineLevel="0" collapsed="false">
      <c r="B45" s="0" t="str">
        <f aca="false">CONCATENATE(C45,".",D45)</f>
        <v>31.</v>
      </c>
      <c r="C45" s="313" t="n">
        <f aca="true">OFFSET(C45,-1,0)+1</f>
        <v>31</v>
      </c>
      <c r="D45" s="314"/>
      <c r="E45" s="314"/>
      <c r="F45" s="315" t="n">
        <f aca="true">IF(AUTOEVENTO="Manual",ROUND(SUMPRODUCT((CÁLCULO!$M$15:$M$59=EVENTOS!$C45)*(OFFSET(CÁLCULO!$AA$15,0,1):OFFSET(CÁLCULO!$AL$59,0,-1))),2),0)</f>
        <v>0</v>
      </c>
    </row>
    <row r="46" customFormat="false" ht="12.75" hidden="false" customHeight="false" outlineLevel="0" collapsed="false">
      <c r="B46" s="0" t="str">
        <f aca="false">CONCATENATE(C46,".",D46)</f>
        <v>32.</v>
      </c>
      <c r="C46" s="313" t="n">
        <f aca="true">OFFSET(C46,-1,0)+1</f>
        <v>32</v>
      </c>
      <c r="D46" s="314"/>
      <c r="E46" s="314"/>
      <c r="F46" s="315" t="n">
        <f aca="true">IF(AUTOEVENTO="Manual",ROUND(SUMPRODUCT((CÁLCULO!$M$15:$M$59=EVENTOS!$C46)*(OFFSET(CÁLCULO!$AA$15,0,1):OFFSET(CÁLCULO!$AL$59,0,-1))),2),0)</f>
        <v>0</v>
      </c>
    </row>
    <row r="47" customFormat="false" ht="12.75" hidden="false" customHeight="false" outlineLevel="0" collapsed="false">
      <c r="B47" s="0" t="str">
        <f aca="false">CONCATENATE(C47,".",D47)</f>
        <v>33.</v>
      </c>
      <c r="C47" s="313" t="n">
        <f aca="true">OFFSET(C47,-1,0)+1</f>
        <v>33</v>
      </c>
      <c r="D47" s="314"/>
      <c r="E47" s="314"/>
      <c r="F47" s="315" t="n">
        <f aca="true">IF(AUTOEVENTO="Manual",ROUND(SUMPRODUCT((CÁLCULO!$M$15:$M$59=EVENTOS!$C47)*(OFFSET(CÁLCULO!$AA$15,0,1):OFFSET(CÁLCULO!$AL$59,0,-1))),2),0)</f>
        <v>0</v>
      </c>
    </row>
    <row r="48" customFormat="false" ht="12.75" hidden="false" customHeight="false" outlineLevel="0" collapsed="false">
      <c r="B48" s="0" t="str">
        <f aca="false">CONCATENATE(C48,".",D48)</f>
        <v>34.</v>
      </c>
      <c r="C48" s="313" t="n">
        <f aca="true">OFFSET(C48,-1,0)+1</f>
        <v>34</v>
      </c>
      <c r="D48" s="314"/>
      <c r="E48" s="314"/>
      <c r="F48" s="315" t="n">
        <f aca="true">IF(AUTOEVENTO="Manual",ROUND(SUMPRODUCT((CÁLCULO!$M$15:$M$59=EVENTOS!$C48)*(OFFSET(CÁLCULO!$AA$15,0,1):OFFSET(CÁLCULO!$AL$59,0,-1))),2),0)</f>
        <v>0</v>
      </c>
    </row>
    <row r="49" customFormat="false" ht="12.75" hidden="false" customHeight="false" outlineLevel="0" collapsed="false">
      <c r="B49" s="0" t="str">
        <f aca="false">CONCATENATE(C49,".",D49)</f>
        <v>35.</v>
      </c>
      <c r="C49" s="313" t="n">
        <f aca="true">OFFSET(C49,-1,0)+1</f>
        <v>35</v>
      </c>
      <c r="D49" s="314"/>
      <c r="E49" s="314"/>
      <c r="F49" s="315" t="n">
        <f aca="true">IF(AUTOEVENTO="Manual",ROUND(SUMPRODUCT((CÁLCULO!$M$15:$M$59=EVENTOS!$C49)*(OFFSET(CÁLCULO!$AA$15,0,1):OFFSET(CÁLCULO!$AL$59,0,-1))),2),0)</f>
        <v>0</v>
      </c>
    </row>
    <row r="50" customFormat="false" ht="12.75" hidden="false" customHeight="false" outlineLevel="0" collapsed="false">
      <c r="B50" s="0" t="str">
        <f aca="false">CONCATENATE(C50,".",D50)</f>
        <v>36.</v>
      </c>
      <c r="C50" s="313" t="n">
        <f aca="true">OFFSET(C50,-1,0)+1</f>
        <v>36</v>
      </c>
      <c r="D50" s="314"/>
      <c r="E50" s="314"/>
      <c r="F50" s="315" t="n">
        <f aca="true">IF(AUTOEVENTO="Manual",ROUND(SUMPRODUCT((CÁLCULO!$M$15:$M$59=EVENTOS!$C50)*(OFFSET(CÁLCULO!$AA$15,0,1):OFFSET(CÁLCULO!$AL$59,0,-1))),2),0)</f>
        <v>0</v>
      </c>
    </row>
    <row r="51" customFormat="false" ht="12.75" hidden="false" customHeight="false" outlineLevel="0" collapsed="false">
      <c r="B51" s="0" t="str">
        <f aca="false">CONCATENATE(C51,".",D51)</f>
        <v>37.</v>
      </c>
      <c r="C51" s="313" t="n">
        <f aca="true">OFFSET(C51,-1,0)+1</f>
        <v>37</v>
      </c>
      <c r="D51" s="314"/>
      <c r="E51" s="314"/>
      <c r="F51" s="315" t="n">
        <f aca="true">IF(AUTOEVENTO="Manual",ROUND(SUMPRODUCT((CÁLCULO!$M$15:$M$59=EVENTOS!$C51)*(OFFSET(CÁLCULO!$AA$15,0,1):OFFSET(CÁLCULO!$AL$59,0,-1))),2),0)</f>
        <v>0</v>
      </c>
    </row>
    <row r="52" customFormat="false" ht="12.75" hidden="false" customHeight="false" outlineLevel="0" collapsed="false">
      <c r="B52" s="0" t="str">
        <f aca="false">CONCATENATE(C52,".",D52)</f>
        <v>38.</v>
      </c>
      <c r="C52" s="313" t="n">
        <f aca="true">OFFSET(C52,-1,0)+1</f>
        <v>38</v>
      </c>
      <c r="D52" s="314"/>
      <c r="E52" s="314"/>
      <c r="F52" s="315" t="n">
        <f aca="true">IF(AUTOEVENTO="Manual",ROUND(SUMPRODUCT((CÁLCULO!$M$15:$M$59=EVENTOS!$C52)*(OFFSET(CÁLCULO!$AA$15,0,1):OFFSET(CÁLCULO!$AL$59,0,-1))),2),0)</f>
        <v>0</v>
      </c>
    </row>
    <row r="53" customFormat="false" ht="12.75" hidden="false" customHeight="false" outlineLevel="0" collapsed="false">
      <c r="B53" s="0" t="str">
        <f aca="false">CONCATENATE(C53,".",D53)</f>
        <v>39.</v>
      </c>
      <c r="C53" s="313" t="n">
        <f aca="true">OFFSET(C53,-1,0)+1</f>
        <v>39</v>
      </c>
      <c r="D53" s="314"/>
      <c r="E53" s="314"/>
      <c r="F53" s="315" t="n">
        <f aca="true">IF(AUTOEVENTO="Manual",ROUND(SUMPRODUCT((CÁLCULO!$M$15:$M$59=EVENTOS!$C53)*(OFFSET(CÁLCULO!$AA$15,0,1):OFFSET(CÁLCULO!$AL$59,0,-1))),2),0)</f>
        <v>0</v>
      </c>
    </row>
    <row r="54" customFormat="false" ht="12.75" hidden="false" customHeight="false" outlineLevel="0" collapsed="false">
      <c r="B54" s="0" t="str">
        <f aca="false">CONCATENATE(C54,".",D54)</f>
        <v>40.</v>
      </c>
      <c r="C54" s="313" t="n">
        <f aca="true">OFFSET(C54,-1,0)+1</f>
        <v>40</v>
      </c>
      <c r="D54" s="314"/>
      <c r="E54" s="314"/>
      <c r="F54" s="315" t="n">
        <f aca="true">IF(AUTOEVENTO="Manual",ROUND(SUMPRODUCT((CÁLCULO!$M$15:$M$59=EVENTOS!$C54)*(OFFSET(CÁLCULO!$AA$15,0,1):OFFSET(CÁLCULO!$AL$59,0,-1))),2),0)</f>
        <v>0</v>
      </c>
    </row>
    <row r="55" customFormat="false" ht="12.75" hidden="false" customHeight="false" outlineLevel="0" collapsed="false">
      <c r="B55" s="0" t="str">
        <f aca="false">CONCATENATE(C55,".",D55)</f>
        <v>41.</v>
      </c>
      <c r="C55" s="313" t="n">
        <f aca="true">OFFSET(C55,-1,0)+1</f>
        <v>41</v>
      </c>
      <c r="D55" s="314"/>
      <c r="E55" s="314"/>
      <c r="F55" s="315" t="n">
        <f aca="true">IF(AUTOEVENTO="Manual",ROUND(SUMPRODUCT((CÁLCULO!$M$15:$M$59=EVENTOS!$C55)*(OFFSET(CÁLCULO!$AA$15,0,1):OFFSET(CÁLCULO!$AL$59,0,-1))),2),0)</f>
        <v>0</v>
      </c>
    </row>
    <row r="56" customFormat="false" ht="12.75" hidden="false" customHeight="false" outlineLevel="0" collapsed="false">
      <c r="B56" s="0" t="str">
        <f aca="false">CONCATENATE(C56,".",D56)</f>
        <v>42.</v>
      </c>
      <c r="C56" s="313" t="n">
        <f aca="true">OFFSET(C56,-1,0)+1</f>
        <v>42</v>
      </c>
      <c r="D56" s="314"/>
      <c r="E56" s="314"/>
      <c r="F56" s="315" t="n">
        <f aca="true">IF(AUTOEVENTO="Manual",ROUND(SUMPRODUCT((CÁLCULO!$M$15:$M$59=EVENTOS!$C56)*(OFFSET(CÁLCULO!$AA$15,0,1):OFFSET(CÁLCULO!$AL$59,0,-1))),2),0)</f>
        <v>0</v>
      </c>
    </row>
    <row r="57" customFormat="false" ht="12.75" hidden="false" customHeight="false" outlineLevel="0" collapsed="false">
      <c r="B57" s="0" t="str">
        <f aca="false">CONCATENATE(C57,".",D57)</f>
        <v>43.</v>
      </c>
      <c r="C57" s="313" t="n">
        <f aca="true">OFFSET(C57,-1,0)+1</f>
        <v>43</v>
      </c>
      <c r="D57" s="314"/>
      <c r="E57" s="314"/>
      <c r="F57" s="315" t="n">
        <f aca="true">IF(AUTOEVENTO="Manual",ROUND(SUMPRODUCT((CÁLCULO!$M$15:$M$59=EVENTOS!$C57)*(OFFSET(CÁLCULO!$AA$15,0,1):OFFSET(CÁLCULO!$AL$59,0,-1))),2),0)</f>
        <v>0</v>
      </c>
    </row>
    <row r="58" customFormat="false" ht="12.75" hidden="false" customHeight="false" outlineLevel="0" collapsed="false">
      <c r="B58" s="0" t="str">
        <f aca="false">CONCATENATE(C58,".",D58)</f>
        <v>44.</v>
      </c>
      <c r="C58" s="313" t="n">
        <f aca="true">OFFSET(C58,-1,0)+1</f>
        <v>44</v>
      </c>
      <c r="D58" s="314"/>
      <c r="E58" s="314"/>
      <c r="F58" s="315" t="n">
        <f aca="true">IF(AUTOEVENTO="Manual",ROUND(SUMPRODUCT((CÁLCULO!$M$15:$M$59=EVENTOS!$C58)*(OFFSET(CÁLCULO!$AA$15,0,1):OFFSET(CÁLCULO!$AL$59,0,-1))),2),0)</f>
        <v>0</v>
      </c>
    </row>
    <row r="59" customFormat="false" ht="12.75" hidden="false" customHeight="false" outlineLevel="0" collapsed="false">
      <c r="B59" s="0" t="str">
        <f aca="false">CONCATENATE(C59,".",D59)</f>
        <v>45.</v>
      </c>
      <c r="C59" s="313" t="n">
        <f aca="true">OFFSET(C59,-1,0)+1</f>
        <v>45</v>
      </c>
      <c r="D59" s="314"/>
      <c r="E59" s="314"/>
      <c r="F59" s="315" t="n">
        <f aca="true">IF(AUTOEVENTO="Manual",ROUND(SUMPRODUCT((CÁLCULO!$M$15:$M$59=EVENTOS!$C59)*(OFFSET(CÁLCULO!$AA$15,0,1):OFFSET(CÁLCULO!$AL$59,0,-1))),2),0)</f>
        <v>0</v>
      </c>
    </row>
    <row r="60" customFormat="false" ht="12.75" hidden="false" customHeight="false" outlineLevel="0" collapsed="false">
      <c r="B60" s="0" t="str">
        <f aca="false">CONCATENATE(C60,".",D60)</f>
        <v>46.</v>
      </c>
      <c r="C60" s="313" t="n">
        <f aca="true">OFFSET(C60,-1,0)+1</f>
        <v>46</v>
      </c>
      <c r="D60" s="314"/>
      <c r="E60" s="314"/>
      <c r="F60" s="315" t="n">
        <f aca="true">IF(AUTOEVENTO="Manual",ROUND(SUMPRODUCT((CÁLCULO!$M$15:$M$59=EVENTOS!$C60)*(OFFSET(CÁLCULO!$AA$15,0,1):OFFSET(CÁLCULO!$AL$59,0,-1))),2),0)</f>
        <v>0</v>
      </c>
    </row>
    <row r="61" customFormat="false" ht="12.75" hidden="false" customHeight="false" outlineLevel="0" collapsed="false">
      <c r="B61" s="0" t="str">
        <f aca="false">CONCATENATE(C61,".",D61)</f>
        <v>47.</v>
      </c>
      <c r="C61" s="313" t="n">
        <f aca="true">OFFSET(C61,-1,0)+1</f>
        <v>47</v>
      </c>
      <c r="D61" s="314"/>
      <c r="E61" s="314"/>
      <c r="F61" s="315" t="n">
        <f aca="true">IF(AUTOEVENTO="Manual",ROUND(SUMPRODUCT((CÁLCULO!$M$15:$M$59=EVENTOS!$C61)*(OFFSET(CÁLCULO!$AA$15,0,1):OFFSET(CÁLCULO!$AL$59,0,-1))),2),0)</f>
        <v>0</v>
      </c>
    </row>
    <row r="62" customFormat="false" ht="12.75" hidden="false" customHeight="false" outlineLevel="0" collapsed="false">
      <c r="B62" s="0" t="str">
        <f aca="false">CONCATENATE(C62,".",D62)</f>
        <v>48.</v>
      </c>
      <c r="C62" s="313" t="n">
        <f aca="true">OFFSET(C62,-1,0)+1</f>
        <v>48</v>
      </c>
      <c r="D62" s="314"/>
      <c r="E62" s="314"/>
      <c r="F62" s="315" t="n">
        <f aca="true">IF(AUTOEVENTO="Manual",ROUND(SUMPRODUCT((CÁLCULO!$M$15:$M$59=EVENTOS!$C62)*(OFFSET(CÁLCULO!$AA$15,0,1):OFFSET(CÁLCULO!$AL$59,0,-1))),2),0)</f>
        <v>0</v>
      </c>
    </row>
    <row r="63" customFormat="false" ht="12.75" hidden="false" customHeight="false" outlineLevel="0" collapsed="false">
      <c r="B63" s="0" t="str">
        <f aca="false">CONCATENATE(C63,".",D63)</f>
        <v>49.</v>
      </c>
      <c r="C63" s="313" t="n">
        <f aca="true">OFFSET(C63,-1,0)+1</f>
        <v>49</v>
      </c>
      <c r="D63" s="314"/>
      <c r="E63" s="314"/>
      <c r="F63" s="315" t="n">
        <f aca="true">IF(AUTOEVENTO="Manual",ROUND(SUMPRODUCT((CÁLCULO!$M$15:$M$59=EVENTOS!$C63)*(OFFSET(CÁLCULO!$AA$15,0,1):OFFSET(CÁLCULO!$AL$59,0,-1))),2),0)</f>
        <v>0</v>
      </c>
    </row>
    <row r="64" customFormat="false" ht="12.75" hidden="false" customHeight="false" outlineLevel="0" collapsed="false">
      <c r="B64" s="0" t="str">
        <f aca="false">CONCATENATE(C64,".",D64)</f>
        <v>50.</v>
      </c>
      <c r="C64" s="313" t="n">
        <f aca="true">OFFSET(C64,-1,0)+1</f>
        <v>50</v>
      </c>
      <c r="D64" s="314"/>
      <c r="E64" s="314"/>
      <c r="F64" s="315" t="n">
        <f aca="true">IF(AUTOEVENTO="Manual",ROUND(SUMPRODUCT((CÁLCULO!$M$15:$M$59=EVENTOS!$C64)*(OFFSET(CÁLCULO!$AA$15,0,1):OFFSET(CÁLCULO!$AL$59,0,-1))),2),0)</f>
        <v>0</v>
      </c>
    </row>
    <row r="65" customFormat="false" ht="4.5" hidden="false" customHeight="true" outlineLevel="0" collapsed="false">
      <c r="C65" s="319"/>
      <c r="D65" s="320"/>
      <c r="E65" s="320"/>
      <c r="F65" s="321"/>
    </row>
  </sheetData>
  <sheetProtection algorithmName="SHA-512" hashValue="ZgL7kARA2cJOGv+gJe6Z3EZ6JMUHTovamIojrPBuKEXng10SJVTzgW5TPK1KuMxzAcLzEC+yEIEfD7K9ZKWyDA==" saltValue="eaUCOfEWXc9dL0JA29s+EQ==" spinCount="100000" sheet="true" objects="true" scenarios="true" autoFilter="false"/>
  <mergeCells count="54">
    <mergeCell ref="C6:F6"/>
    <mergeCell ref="C9:F11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</mergeCells>
  <conditionalFormatting sqref="C61:F64">
    <cfRule type="expression" priority="2" aboveAverage="0" equalAverage="0" bottom="0" percent="0" rank="0" text="" dxfId="276">
      <formula>OR(AUTOEVENTO&lt;&gt;"Manual",ACOMPANHAMENTO="BM")</formula>
    </cfRule>
  </conditionalFormatting>
  <conditionalFormatting sqref="C52:F60">
    <cfRule type="expression" priority="3" aboveAverage="0" equalAverage="0" bottom="0" percent="0" rank="0" text="" dxfId="277">
      <formula>OR(AUTOEVENTO&lt;&gt;"Manual",ACOMPANHAMENTO="BM")</formula>
    </cfRule>
  </conditionalFormatting>
  <conditionalFormatting sqref="C43:F51">
    <cfRule type="expression" priority="4" aboveAverage="0" equalAverage="0" bottom="0" percent="0" rank="0" text="" dxfId="278">
      <formula>OR(AUTOEVENTO&lt;&gt;"Manual",ACOMPANHAMENTO="BM")</formula>
    </cfRule>
  </conditionalFormatting>
  <conditionalFormatting sqref="C34:F42">
    <cfRule type="expression" priority="5" aboveAverage="0" equalAverage="0" bottom="0" percent="0" rank="0" text="" dxfId="279">
      <formula>OR(AUTOEVENTO&lt;&gt;"Manual",ACOMPANHAMENTO="BM")</formula>
    </cfRule>
  </conditionalFormatting>
  <conditionalFormatting sqref="C25:F33">
    <cfRule type="expression" priority="6" aboveAverage="0" equalAverage="0" bottom="0" percent="0" rank="0" text="" dxfId="280">
      <formula>OR(AUTOEVENTO&lt;&gt;"Manual",ACOMPANHAMENTO="BM")</formula>
    </cfRule>
  </conditionalFormatting>
  <conditionalFormatting sqref="C16:F24">
    <cfRule type="expression" priority="7" aboveAverage="0" equalAverage="0" bottom="0" percent="0" rank="0" text="" dxfId="281">
      <formula>OR(AUTOEVENTO&lt;&gt;"Manual",ACOMPANHAMENTO="BM")</formula>
    </cfRule>
  </conditionalFormatting>
  <conditionalFormatting sqref="C13:F15 C65:F65">
    <cfRule type="expression" priority="8" aboveAverage="0" equalAverage="0" bottom="0" percent="0" rank="0" text="" dxfId="282">
      <formula>OR(AUTOEVENTO&lt;&gt;"Manual",ACOMPANHAMENTO="BM")</formula>
    </cfRule>
  </conditionalFormatting>
  <dataValidations count="1">
    <dataValidation allowBlank="true" errorStyle="stop" operator="between" showDropDown="false" showErrorMessage="true" showInputMessage="false" sqref="C6" type="list">
      <mc:AlternateContent xmlns:x12ac="http://schemas.microsoft.com/office/spreadsheetml/2011/1/ac" xmlns:mc="http://schemas.openxmlformats.org/markup-compatibility/2006">
        <mc:Choice Requires="x12ac">
          <x12ac:list>"Automática, conforme os agrupadores Nível 2 do Orçamento","Automática, conforme os agrupadores Nível 3 do Orçamento","Automática, conforme os agrupadores Nível 4 do Orçamento",Definir Manualmente</x12ac:list>
        </mc:Choice>
        <mc:Fallback>
          <formula1>"Automática, conforme os agrupadores Nível 2 do Orçamento,Automática, conforme os agrupadores Nível 3 do Orçamento,Automática, conforme os agrupadores Nível 4 do Orçamento,Definir Manualmente"</formula1>
        </mc:Fallback>
      </mc:AlternateContent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&amp;LPMv3.0.6&amp;R&amp;P / &amp;N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true">
    <pageSetUpPr fitToPage="false"/>
  </sheetPr>
  <dimension ref="A1:AF63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90" workbookViewId="0">
      <pane xSplit="19" ySplit="13" topLeftCell="T14" activePane="bottomRight" state="frozen"/>
      <selection pane="topLeft" activeCell="A1" activeCellId="0" sqref="A1"/>
      <selection pane="topRight" activeCell="T1" activeCellId="0" sqref="T1"/>
      <selection pane="bottomLeft" activeCell="A14" activeCellId="0" sqref="A14"/>
      <selection pane="bottomRight" activeCell="V47" activeCellId="0" sqref="V47"/>
    </sheetView>
  </sheetViews>
  <sheetFormatPr defaultColWidth="9.1484375" defaultRowHeight="12.75" customHeight="true" zeroHeight="false" outlineLevelRow="0" outlineLevelCol="0"/>
  <cols>
    <col collapsed="false" customWidth="false" hidden="true" outlineLevel="0" max="3" min="1" style="322" width="9.14"/>
    <col collapsed="false" customWidth="true" hidden="true" outlineLevel="0" max="4" min="4" style="323" width="11"/>
    <col collapsed="false" customWidth="true" hidden="true" outlineLevel="0" max="5" min="5" style="322" width="19"/>
    <col collapsed="false" customWidth="true" hidden="false" outlineLevel="0" max="6" min="6" style="323" width="3.71"/>
    <col collapsed="false" customWidth="true" hidden="false" outlineLevel="0" max="7" min="7" style="322" width="12.71"/>
    <col collapsed="false" customWidth="true" hidden="false" outlineLevel="0" max="8" min="8" style="323" width="7.15"/>
    <col collapsed="false" customWidth="true" hidden="false" outlineLevel="0" max="9" min="9" style="323" width="14.57"/>
    <col collapsed="false" customWidth="true" hidden="false" outlineLevel="0" max="10" min="10" style="323" width="12"/>
    <col collapsed="false" customWidth="true" hidden="false" outlineLevel="0" max="11" min="11" style="323" width="11"/>
    <col collapsed="false" customWidth="true" hidden="true" outlineLevel="0" max="17" min="12" style="322" width="11.53"/>
    <col collapsed="false" customWidth="true" hidden="false" outlineLevel="0" max="18" min="18" style="324" width="11.43"/>
    <col collapsed="false" customWidth="true" hidden="false" outlineLevel="0" max="19" min="19" style="324" width="10.71"/>
    <col collapsed="false" customWidth="true" hidden="false" outlineLevel="0" max="31" min="20" style="323" width="11"/>
    <col collapsed="false" customWidth="true" hidden="false" outlineLevel="0" max="32" min="32" style="323" width="0.14"/>
    <col collapsed="false" customWidth="false" hidden="false" outlineLevel="0" max="16384" min="33" style="323" width="9.14"/>
  </cols>
  <sheetData>
    <row r="1" customFormat="false" ht="12.75" hidden="true" customHeight="false" outlineLevel="0" collapsed="false">
      <c r="A1" s="322" t="e">
        <f aca="true">OFFSET(A1,-3,0)+1</f>
        <v>#VALUE!</v>
      </c>
      <c r="B1" s="322" t="e">
        <f aca="true">IF($Q1&lt;&gt;2,0,IF($R1=0,1,IF(E2&gt;0,OFFSET(QCI!$M$13,SUBSTITUTE(E2,".",""),0),OFFSET(ORÇAMENTO!$AA$15,CRONO!$E1,0))/$R1))</f>
        <v>#VALUE!</v>
      </c>
      <c r="C1" s="322" t="e">
        <f aca="true">IF($Q1&lt;&gt;2,0,IF($R1=0,1,IF(E2&gt;0,OFFSET(QCI!$N$13,SUBSTITUTE(E2,".",""),0),OFFSET(ORÇAMENTO!$AB$15,CRONO!$E1,0))/$R1))</f>
        <v>#VALUE!</v>
      </c>
      <c r="D1" s="325" t="e">
        <f aca="false">IF(AND($Q1=2,ACOMPANHAMENTO="BM"),D2,D3/$R1)</f>
        <v>#VALUE!</v>
      </c>
      <c r="E1" s="322" t="e">
        <f aca="true">IF(A1&lt;=ORÇAMENTO.MáximoListaCrono,MATCH(A1,ORÇAMENTO.ListaCrono,0),NA())</f>
        <v>#VALUE!</v>
      </c>
      <c r="F1" s="322" t="e">
        <f aca="false">IF(AND($E2&lt;&gt;-1,$R1&gt;0),"F","")</f>
        <v>#VALUE!</v>
      </c>
      <c r="G1" s="326" t="e">
        <f aca="false">IF(OR(R1=0,R1=""),"Linha",IF(AND(OR(ACOMPANHAMENTO="PLE",$Q1&lt;&gt;2),$E2=0),"Linha",1-SUM(T1:AF1)))</f>
        <v>#VALUE!</v>
      </c>
      <c r="H1" s="327" t="e">
        <f aca="true">IF($E2=0,OFFSET(ORÇAMENTO!O$15,$E1,0),IF($E2&lt;&gt;-1,OFFSET(QCI!$D$13,$E2,0),""))</f>
        <v>#VALUE!</v>
      </c>
      <c r="I1" s="328" t="e">
        <f aca="true">IF($E2=0,OFFSET(ORÇAMENTO!R$15,$E1,0),IF($E2&lt;&gt;-1,OFFSET(QCI!$G$13,$E2,0),""))</f>
        <v>#VALUE!</v>
      </c>
      <c r="J1" s="328"/>
      <c r="K1" s="328"/>
      <c r="L1" s="329" t="e">
        <f aca="true">IF($E2=0,OFFSET(ORÇAMENTO!C$15,$E1,0),1)</f>
        <v>#VALUE!</v>
      </c>
      <c r="M1" s="330" t="e">
        <f aca="true">IF($E2=-1,0,IF(M$13&lt;=$L1,IF(ISERROR(MATCH(M$13,OFFSET($L1,1,0,ROW($L$47)-ROW($L1)-1),0)),ROW($L$47)-ROW($L1)-1,MATCH(M$13,OFFSET($L1,1,0,ROW($L$47)-ROW($L1)-1),0)-1),0))</f>
        <v>#VALUE!</v>
      </c>
      <c r="N1" s="330" t="e">
        <f aca="true">IF($E2=-1,0,IF(N$13&lt;=$L1,IF(ISERROR(MATCH(N$13,OFFSET($L1,1,0,ROW($L$47)-ROW($L1)-1),0)),ROW($L$47)-ROW($L1)-1,MATCH(N$13,OFFSET($L1,1,0,ROW($L$47)-ROW($L1)-1),0)-1),0))</f>
        <v>#VALUE!</v>
      </c>
      <c r="O1" s="330" t="e">
        <f aca="true">IF($E2=-1,0,IF(O$13&lt;=$L1,IF(ISERROR(MATCH(O$13,OFFSET($L1,1,0,ROW($L$47)-ROW($L1)-1),0)),ROW($L$47)-ROW($L1)-1,MATCH(O$13,OFFSET($L1,1,0,ROW($L$47)-ROW($L1)-1),0)-1),0))</f>
        <v>#VALUE!</v>
      </c>
      <c r="P1" s="330" t="e">
        <f aca="true">IF($E2=-1,0,IF(P$13&lt;=$L1,IF(ISERROR(MATCH(P$13,OFFSET($L1,1,0,ROW($L$47)-ROW($L1)-1),0)),ROW($L$47)-ROW($L1)-1,MATCH(P$13,OFFSET($L1,1,0,ROW($L$47)-ROW($L1)-1),0)-1),0))</f>
        <v>#VALUE!</v>
      </c>
      <c r="Q1" s="330" t="e">
        <f aca="true">MIN(OFFSET(L1,0,1,,L1))</f>
        <v>#VALUE!</v>
      </c>
      <c r="R1" s="331" t="e">
        <f aca="true">IF($E2=0,OFFSET(ORÇAMENTO!X$15,$E1,0),IF($E2&lt;&gt;-1,OFFSET(QCI!$O$13,$E2,0),""))</f>
        <v>#VALUE!</v>
      </c>
      <c r="S1" s="332" t="s">
        <v>398</v>
      </c>
      <c r="T1" s="333" t="e">
        <f aca="false">IF(AND($Q1=2,ACOMPANHAMENTO="BM"),T2,T3/$R1)</f>
        <v>#VALUE!</v>
      </c>
      <c r="U1" s="325" t="e">
        <f aca="false">IF(AND($Q1=2,ACOMPANHAMENTO="BM"),U2,U3/$R1)</f>
        <v>#VALUE!</v>
      </c>
      <c r="V1" s="325" t="e">
        <f aca="false">IF(AND($Q1=2,ACOMPANHAMENTO="BM"),V2,V3/$R1)</f>
        <v>#VALUE!</v>
      </c>
      <c r="W1" s="325" t="e">
        <f aca="false">IF(AND($Q1=2,ACOMPANHAMENTO="BM"),W2,W3/$R1)</f>
        <v>#VALUE!</v>
      </c>
      <c r="X1" s="325" t="e">
        <f aca="false">IF(AND($Q1=2,ACOMPANHAMENTO="BM"),X2,X3/$R1)</f>
        <v>#VALUE!</v>
      </c>
      <c r="Y1" s="325" t="e">
        <f aca="false">IF(AND($Q1=2,ACOMPANHAMENTO="BM"),Y2,Y3/$R1)</f>
        <v>#VALUE!</v>
      </c>
      <c r="Z1" s="325" t="e">
        <f aca="false">IF(AND($Q1=2,ACOMPANHAMENTO="BM"),Z2,Z3/$R1)</f>
        <v>#VALUE!</v>
      </c>
      <c r="AA1" s="325" t="e">
        <f aca="false">IF(AND($Q1=2,ACOMPANHAMENTO="BM"),AA2,AA3/$R1)</f>
        <v>#VALUE!</v>
      </c>
      <c r="AB1" s="325" t="e">
        <f aca="false">IF(AND($Q1=2,ACOMPANHAMENTO="BM"),AB2,AB3/$R1)</f>
        <v>#VALUE!</v>
      </c>
      <c r="AC1" s="325" t="e">
        <f aca="false">IF(AND($Q1=2,ACOMPANHAMENTO="BM"),AC2,AC3/$R1)</f>
        <v>#VALUE!</v>
      </c>
      <c r="AD1" s="325" t="e">
        <f aca="false">IF(AND($Q1=2,ACOMPANHAMENTO="BM"),AD2,AD3/$R1)</f>
        <v>#VALUE!</v>
      </c>
      <c r="AE1" s="334" t="e">
        <f aca="false">IF(AND($Q1=2,ACOMPANHAMENTO="BM"),AE2,AE3/$R1)</f>
        <v>#VALUE!</v>
      </c>
    </row>
    <row r="2" customFormat="false" ht="12.75" hidden="true" customHeight="true" outlineLevel="0" collapsed="false">
      <c r="D2" s="335"/>
      <c r="E2" s="322" t="e">
        <f aca="true">IF(ISERROR(E1),IF(1+COUNTIF($L$13:OFFSET(L1,-1,0),1)&lt;=MAX(QCI!$D$13:$D$24),1+COUNTIF($L$13:OFFSET(L1,-1,0),1),-1),0)</f>
        <v>#VALUE!</v>
      </c>
      <c r="F2" s="322" t="e">
        <f aca="false">IF(AND($E2&lt;&gt;-1,$R1&gt;0),"F","")</f>
        <v>#VALUE!</v>
      </c>
      <c r="G2" s="336" t="e">
        <f aca="false">IF(OR(R1=0,R1=""),"vazia",IF(AND(OR(ACOMPANHAMENTO="PLE",$Q1&lt;&gt;2),$E2=0),"calculada","--&gt;"))</f>
        <v>#VALUE!</v>
      </c>
      <c r="H2" s="337"/>
      <c r="I2" s="338" t="e">
        <f aca="false">IF(AND(G1&lt;&gt;0,ISNUMBER(G1)),"PREENCHA ESTA LINHA --&gt;","")</f>
        <v>#VALUE!</v>
      </c>
      <c r="J2" s="338"/>
      <c r="K2" s="338"/>
      <c r="L2" s="339"/>
      <c r="M2" s="339"/>
      <c r="N2" s="339"/>
      <c r="O2" s="339"/>
      <c r="P2" s="339"/>
      <c r="Q2" s="339"/>
      <c r="R2" s="340"/>
      <c r="S2" s="341"/>
      <c r="T2" s="342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43"/>
      <c r="AF2" s="344"/>
    </row>
    <row r="3" customFormat="false" ht="12.8" hidden="true" customHeight="false" outlineLevel="0" collapsed="false">
      <c r="D3" s="345" t="e">
        <f aca="true">IF($Q1=2,IF(AND(ACOMPANHAMENTO="PLE",ISNUMBER($E1)),SUMIF((OFFSET(CÁLCULO!$AM$15:$AW$15,$E1,0,OFFSET(ORÇAMENTO!$D$15,CRONO!$E1,0))),"="&amp;CRONO!D$12,OFFSET(CÁLCULO!$AB$15:$AL$15,$E1,0,OFFSET(ORÇAMENTO!$D$15,CRONO!$E1,0)))+IF(AND($E3&lt;&gt;"",$E3&lt;&gt;0),SUMIF(CÁLCULO!$AM$15:$AW$59,"="&amp;CRONO!D$12,CÁLCULO!$AB$15:$AL$59)/(ORÇAMENTO!$X$15-CÁLCULO.TotalAdmLocal)*CRONO!$E3,0),D2*$R1),SUMIF(OFFSET($R3,1,0,$Q1-2),($L1+1)&amp;"$",OFFSET(D3,1,0,$Q1-2)))</f>
        <v>#VALUE!</v>
      </c>
      <c r="E3" s="322" t="e">
        <f aca="true">IF(OR($Q1&lt;&gt;2,AUTOEVENTO&lt;&gt;"manual",$E2&gt;0),"",SUMIF(OFFSET(CÁLCULO!$M$15,CRONO!$E1,0,OFFSET(ORÇAMENTO!$D$15,CRONO!$E1,0)),1,OFFSET(ORÇAMENTO!$X$15,CRONO!$E1,0,OFFSET(ORÇAMENTO!$D$15,CRONO!$E1,0))))</f>
        <v>#VALUE!</v>
      </c>
      <c r="G3" s="346"/>
      <c r="R3" s="347" t="e">
        <f aca="false">L1&amp;"$"</f>
        <v>#VALUE!</v>
      </c>
      <c r="S3" s="348"/>
      <c r="T3" s="349" t="e">
        <f aca="true">IF($Q1=2,IF(AND(ACOMPANHAMENTO="PLE",ISNUMBER($E1)),SUMIF((OFFSET(CÁLCULO!$AM$15:$AW$15,$E1,0,OFFSET(ORÇAMENTO!$D$15,CRONO!$E1,0))),"&lt;="&amp;CRONO!T$12,OFFSET(CÁLCULO!$AB$15:$AL$15,$E1,0,OFFSET(ORÇAMENTO!$D$15,CRONO!$E1,0)))+IF(AND($E3&lt;&gt;"",$E3&lt;&gt;0),SUMIF(CÁLCULO!$AM$15:$AW$59,"&lt;="&amp;CRONO!T$12,CÁLCULO!$AB$15:$AL$59)/(ORÇAMENTO!$X$15-CÁLCULO.TotalAdmLocal)*CRONO!$E3,0),T2*$R1),SUMIF(OFFSET($R3,1,0,$Q1-2),($L1+1)&amp;"$",OFFSET(T3,1,0,$Q1-2)))</f>
        <v>#VALUE!</v>
      </c>
      <c r="U3" s="345" t="e">
        <f aca="true">IF($Q1=2,IF(AND(ACOMPANHAMENTO="PLE",ISNUMBER($E1)),SUMIF((OFFSET(CÁLCULO!$AM$15:$AW$15,$E1,0,OFFSET(ORÇAMENTO!$D$15,CRONO!$E1,0))),"="&amp;CRONO!U$12,OFFSET(CÁLCULO!$AB$15:$AL$15,$E1,0,OFFSET(ORÇAMENTO!$D$15,CRONO!$E1,0)))+IF(AND($E3&lt;&gt;"",$E3&lt;&gt;0),SUMIF(CÁLCULO!$AM$15:$AW$59,"="&amp;CRONO!U$12,CÁLCULO!$AB$15:$AL$59)/(ORÇAMENTO!$X$15-CÁLCULO.TotalAdmLocal)*CRONO!$E3,0),U2*$R1),SUMIF(OFFSET($R3,1,0,$Q1-2),($L1+1)&amp;"$",OFFSET(U3,1,0,$Q1-2)))</f>
        <v>#VALUE!</v>
      </c>
      <c r="V3" s="345" t="e">
        <f aca="true">IF($Q1=2,IF(AND(ACOMPANHAMENTO="PLE",ISNUMBER($E1)),SUMIF((OFFSET(CÁLCULO!$AM$15:$AW$15,$E1,0,OFFSET(ORÇAMENTO!$D$15,CRONO!$E1,0))),"="&amp;CRONO!V$12,OFFSET(CÁLCULO!$AB$15:$AL$15,$E1,0,OFFSET(ORÇAMENTO!$D$15,CRONO!$E1,0)))+IF(AND($E3&lt;&gt;"",$E3&lt;&gt;0),SUMIF(CÁLCULO!$AM$15:$AW$59,"="&amp;CRONO!V$12,CÁLCULO!$AB$15:$AL$59)/(ORÇAMENTO!$X$15-CÁLCULO.TotalAdmLocal)*CRONO!$E3,0),V2*$R1),SUMIF(OFFSET($R3,1,0,$Q1-2),($L1+1)&amp;"$",OFFSET(V3,1,0,$Q1-2)))</f>
        <v>#VALUE!</v>
      </c>
      <c r="W3" s="345" t="e">
        <f aca="true">IF($Q1=2,IF(AND(ACOMPANHAMENTO="PLE",ISNUMBER($E1)),SUMIF((OFFSET(CÁLCULO!$AM$15:$AW$15,$E1,0,OFFSET(ORÇAMENTO!$D$15,CRONO!$E1,0))),"="&amp;CRONO!W$12,OFFSET(CÁLCULO!$AB$15:$AL$15,$E1,0,OFFSET(ORÇAMENTO!$D$15,CRONO!$E1,0)))+IF(AND($E3&lt;&gt;"",$E3&lt;&gt;0),SUMIF(CÁLCULO!$AM$15:$AW$59,"="&amp;CRONO!W$12,CÁLCULO!$AB$15:$AL$59)/(ORÇAMENTO!$X$15-CÁLCULO.TotalAdmLocal)*CRONO!$E3,0),W2*$R1),SUMIF(OFFSET($R3,1,0,$Q1-2),($L1+1)&amp;"$",OFFSET(W3,1,0,$Q1-2)))</f>
        <v>#VALUE!</v>
      </c>
      <c r="X3" s="345" t="e">
        <f aca="true">IF($Q1=2,IF(AND(ACOMPANHAMENTO="PLE",ISNUMBER($E1)),SUMIF((OFFSET(CÁLCULO!$AM$15:$AW$15,$E1,0,OFFSET(ORÇAMENTO!$D$15,CRONO!$E1,0))),"="&amp;CRONO!X$12,OFFSET(CÁLCULO!$AB$15:$AL$15,$E1,0,OFFSET(ORÇAMENTO!$D$15,CRONO!$E1,0)))+IF(AND($E3&lt;&gt;"",$E3&lt;&gt;0),SUMIF(CÁLCULO!$AM$15:$AW$59,"="&amp;CRONO!X$12,CÁLCULO!$AB$15:$AL$59)/(ORÇAMENTO!$X$15-CÁLCULO.TotalAdmLocal)*CRONO!$E3,0),X2*$R1),SUMIF(OFFSET($R3,1,0,$Q1-2),($L1+1)&amp;"$",OFFSET(X3,1,0,$Q1-2)))</f>
        <v>#VALUE!</v>
      </c>
      <c r="Y3" s="345" t="e">
        <f aca="true">IF($Q1=2,IF(AND(ACOMPANHAMENTO="PLE",ISNUMBER($E1)),SUMIF((OFFSET(CÁLCULO!$AM$15:$AW$15,$E1,0,OFFSET(ORÇAMENTO!$D$15,CRONO!$E1,0))),"="&amp;CRONO!Y$12,OFFSET(CÁLCULO!$AB$15:$AL$15,$E1,0,OFFSET(ORÇAMENTO!$D$15,CRONO!$E1,0)))+IF(AND($E3&lt;&gt;"",$E3&lt;&gt;0),SUMIF(CÁLCULO!$AM$15:$AW$59,"="&amp;CRONO!Y$12,CÁLCULO!$AB$15:$AL$59)/(ORÇAMENTO!$X$15-CÁLCULO.TotalAdmLocal)*CRONO!$E3,0),Y2*$R1),SUMIF(OFFSET($R3,1,0,$Q1-2),($L1+1)&amp;"$",OFFSET(Y3,1,0,$Q1-2)))</f>
        <v>#VALUE!</v>
      </c>
      <c r="Z3" s="345" t="e">
        <f aca="true">IF($Q1=2,IF(AND(ACOMPANHAMENTO="PLE",ISNUMBER($E1)),SUMIF((OFFSET(CÁLCULO!$AM$15:$AW$15,$E1,0,OFFSET(ORÇAMENTO!$D$15,CRONO!$E1,0))),"="&amp;CRONO!Z$12,OFFSET(CÁLCULO!$AB$15:$AL$15,$E1,0,OFFSET(ORÇAMENTO!$D$15,CRONO!$E1,0)))+IF(AND($E3&lt;&gt;"",$E3&lt;&gt;0),SUMIF(CÁLCULO!$AM$15:$AW$59,"="&amp;CRONO!Z$12,CÁLCULO!$AB$15:$AL$59)/(ORÇAMENTO!$X$15-CÁLCULO.TotalAdmLocal)*CRONO!$E3,0),Z2*$R1),SUMIF(OFFSET($R3,1,0,$Q1-2),($L1+1)&amp;"$",OFFSET(Z3,1,0,$Q1-2)))</f>
        <v>#VALUE!</v>
      </c>
      <c r="AA3" s="345" t="e">
        <f aca="true">IF($Q1=2,IF(AND(ACOMPANHAMENTO="PLE",ISNUMBER($E1)),SUMIF((OFFSET(CÁLCULO!$AM$15:$AW$15,$E1,0,OFFSET(ORÇAMENTO!$D$15,CRONO!$E1,0))),"="&amp;CRONO!AA$12,OFFSET(CÁLCULO!$AB$15:$AL$15,$E1,0,OFFSET(ORÇAMENTO!$D$15,CRONO!$E1,0)))+IF(AND($E3&lt;&gt;"",$E3&lt;&gt;0),SUMIF(CÁLCULO!$AM$15:$AW$59,"="&amp;CRONO!AA$12,CÁLCULO!$AB$15:$AL$59)/(ORÇAMENTO!$X$15-CÁLCULO.TotalAdmLocal)*CRONO!$E3,0),AA2*$R1),SUMIF(OFFSET($R3,1,0,$Q1-2),($L1+1)&amp;"$",OFFSET(AA3,1,0,$Q1-2)))</f>
        <v>#VALUE!</v>
      </c>
      <c r="AB3" s="345" t="e">
        <f aca="true">IF($Q1=2,IF(AND(ACOMPANHAMENTO="PLE",ISNUMBER($E1)),SUMIF((OFFSET(CÁLCULO!$AM$15:$AW$15,$E1,0,OFFSET(ORÇAMENTO!$D$15,CRONO!$E1,0))),"="&amp;CRONO!AB$12,OFFSET(CÁLCULO!$AB$15:$AL$15,$E1,0,OFFSET(ORÇAMENTO!$D$15,CRONO!$E1,0)))+IF(AND($E3&lt;&gt;"",$E3&lt;&gt;0),SUMIF(CÁLCULO!$AM$15:$AW$59,"="&amp;CRONO!AB$12,CÁLCULO!$AB$15:$AL$59)/(ORÇAMENTO!$X$15-CÁLCULO.TotalAdmLocal)*CRONO!$E3,0),AB2*$R1),SUMIF(OFFSET($R3,1,0,$Q1-2),($L1+1)&amp;"$",OFFSET(AB3,1,0,$Q1-2)))</f>
        <v>#VALUE!</v>
      </c>
      <c r="AC3" s="345" t="e">
        <f aca="true">IF($Q1=2,IF(AND(ACOMPANHAMENTO="PLE",ISNUMBER($E1)),SUMIF((OFFSET(CÁLCULO!$AM$15:$AW$15,$E1,0,OFFSET(ORÇAMENTO!$D$15,CRONO!$E1,0))),"="&amp;CRONO!AC$12,OFFSET(CÁLCULO!$AB$15:$AL$15,$E1,0,OFFSET(ORÇAMENTO!$D$15,CRONO!$E1,0)))+IF(AND($E3&lt;&gt;"",$E3&lt;&gt;0),SUMIF(CÁLCULO!$AM$15:$AW$59,"="&amp;CRONO!AC$12,CÁLCULO!$AB$15:$AL$59)/(ORÇAMENTO!$X$15-CÁLCULO.TotalAdmLocal)*CRONO!$E3,0),AC2*$R1),SUMIF(OFFSET($R3,1,0,$Q1-2),($L1+1)&amp;"$",OFFSET(AC3,1,0,$Q1-2)))</f>
        <v>#VALUE!</v>
      </c>
      <c r="AD3" s="345" t="e">
        <f aca="true">IF($Q1=2,IF(AND(ACOMPANHAMENTO="PLE",ISNUMBER($E1)),SUMIF((OFFSET(CÁLCULO!$AM$15:$AW$15,$E1,0,OFFSET(ORÇAMENTO!$D$15,CRONO!$E1,0))),"="&amp;CRONO!AD$12,OFFSET(CÁLCULO!$AB$15:$AL$15,$E1,0,OFFSET(ORÇAMENTO!$D$15,CRONO!$E1,0)))+IF(AND($E3&lt;&gt;"",$E3&lt;&gt;0),SUMIF(CÁLCULO!$AM$15:$AW$59,"="&amp;CRONO!AD$12,CÁLCULO!$AB$15:$AL$59)/(ORÇAMENTO!$X$15-CÁLCULO.TotalAdmLocal)*CRONO!$E3,0),AD2*$R1),SUMIF(OFFSET($R3,1,0,$Q1-2),($L1+1)&amp;"$",OFFSET(AD3,1,0,$Q1-2)))</f>
        <v>#VALUE!</v>
      </c>
      <c r="AE3" s="350" t="e">
        <f aca="true">IF($Q1=2,IF(AND(ACOMPANHAMENTO="PLE",ISNUMBER($E1)),SUMIF((OFFSET(CÁLCULO!$AM$15:$AW$15,$E1,0,OFFSET(ORÇAMENTO!$D$15,CRONO!$E1,0))),"="&amp;CRONO!AE$12,OFFSET(CÁLCULO!$AB$15:$AL$15,$E1,0,OFFSET(ORÇAMENTO!$D$15,CRONO!$E1,0)))+IF(AND($E3&lt;&gt;"",$E3&lt;&gt;0),SUMIF(CÁLCULO!$AM$15:$AW$59,"="&amp;CRONO!AE$12,CÁLCULO!$AB$15:$AL$59)/(ORÇAMENTO!$X$15-CÁLCULO.TotalAdmLocal)*CRONO!$E3,0),AE2*$R1),SUMIF(OFFSET($R3,1,0,$Q1-2),($L1+1)&amp;"$",OFFSET(AE3,1,0,$Q1-2)))</f>
        <v>#VALUE!</v>
      </c>
    </row>
    <row r="4" customFormat="false" ht="15" hidden="false" customHeight="true" outlineLevel="0" collapsed="false">
      <c r="R4" s="351" t="str">
        <f aca="false">IF(TIPOORCAMENTO="licitado","CRONOGRAMA FÍSICO-FINANCEIRO LICITADO","CRONOGRAMA FÍSICO-FINANCEIRO")</f>
        <v>CRONOGRAMA FÍSICO-FINANCEIRO</v>
      </c>
      <c r="AD4" s="86" t="s">
        <v>188</v>
      </c>
      <c r="AE4" s="86"/>
    </row>
    <row r="5" customFormat="false" ht="15" hidden="false" customHeight="false" outlineLevel="0" collapsed="false">
      <c r="R5" s="143" t="str">
        <f aca="false">import.recurso</f>
        <v>OGU</v>
      </c>
      <c r="AD5" s="40" t="s">
        <v>191</v>
      </c>
      <c r="AE5" s="40"/>
    </row>
    <row r="6" customFormat="false" ht="12.75" hidden="false" customHeight="true" outlineLevel="0" collapsed="false"/>
    <row r="7" customFormat="false" ht="12.75" hidden="false" customHeight="true" outlineLevel="0" collapsed="false">
      <c r="E7" s="352"/>
      <c r="G7" s="353" t="s">
        <v>399</v>
      </c>
      <c r="H7" s="354" t="s">
        <v>194</v>
      </c>
      <c r="I7" s="355"/>
      <c r="J7" s="356" t="s">
        <v>400</v>
      </c>
      <c r="K7" s="357" t="s">
        <v>401</v>
      </c>
      <c r="L7" s="323"/>
      <c r="M7" s="323"/>
      <c r="N7" s="323"/>
      <c r="S7" s="358"/>
      <c r="T7" s="354" t="s">
        <v>402</v>
      </c>
      <c r="X7" s="355"/>
      <c r="Y7" s="354" t="str">
        <f aca="false">IF(TIPOORCAMENTO="Licitado","NOME DA EMPRESA","DESCRIÇÃO DO LOTE")</f>
        <v>DESCRIÇÃO DO LOTE</v>
      </c>
      <c r="AE7" s="359" t="str">
        <f aca="false">IF(TIPOORCAMENTO="Licitado","Nº CTEF","")</f>
        <v/>
      </c>
    </row>
    <row r="8" customFormat="false" ht="12.75" hidden="false" customHeight="false" outlineLevel="0" collapsed="false">
      <c r="D8" s="322"/>
      <c r="E8" s="185"/>
      <c r="F8" s="91" t="s">
        <v>199</v>
      </c>
      <c r="G8" s="353"/>
      <c r="H8" s="360" t="n">
        <f aca="false">Import.CR</f>
        <v>0</v>
      </c>
      <c r="I8" s="360"/>
      <c r="J8" s="361" t="n">
        <f aca="false">Import.TransfereGOV</f>
        <v>0</v>
      </c>
      <c r="K8" s="362" t="n">
        <f aca="false">Import.Proponente</f>
        <v>0</v>
      </c>
      <c r="L8" s="362"/>
      <c r="M8" s="362"/>
      <c r="N8" s="362"/>
      <c r="O8" s="362"/>
      <c r="P8" s="362"/>
      <c r="Q8" s="362"/>
      <c r="R8" s="362"/>
      <c r="S8" s="362"/>
      <c r="T8" s="360" t="str">
        <f aca="false">Import.Apelido</f>
        <v>Pavimentação MG-446</v>
      </c>
      <c r="U8" s="360"/>
      <c r="V8" s="360"/>
      <c r="W8" s="360"/>
      <c r="X8" s="360"/>
      <c r="Y8" s="363" t="str">
        <f aca="false">IF(TIPOORCAMENTO="Licitado",Import.empresa,Import.DescLote)</f>
        <v>Pavimentação MG-446</v>
      </c>
      <c r="Z8" s="363"/>
      <c r="AA8" s="363"/>
      <c r="AB8" s="363"/>
      <c r="AC8" s="363"/>
      <c r="AD8" s="363"/>
      <c r="AE8" s="346" t="str">
        <f aca="false">IF(TIPOORCAMENTO="Licitado",Import.CTEF,"")</f>
        <v/>
      </c>
    </row>
    <row r="9" customFormat="false" ht="12.75" hidden="false" customHeight="false" outlineLevel="0" collapsed="false">
      <c r="E9" s="185"/>
      <c r="F9" s="91"/>
      <c r="G9" s="353"/>
    </row>
    <row r="10" customFormat="false" ht="12.75" hidden="false" customHeight="false" outlineLevel="0" collapsed="false">
      <c r="E10" s="352"/>
      <c r="F10" s="91"/>
      <c r="G10" s="364" t="n">
        <v>2</v>
      </c>
      <c r="J10" s="365" t="str">
        <f aca="true">IF(MAX($A$13:$A$47)&lt;CRONO.LinhasNecessarias,"ERRO: NÚMERO DE LINHAS DO CRONOGRAMA INSUFICIENTE. CLIQUE EM ATUALIZAR LINHAS.",IF(AND(ACOMPANHAMENTO="PLE",ROUND(OFFSET($AF$57,0,-1),2)=0),"CRONOGRAMA DEVE SER PREENCHIDO POR EVENTOS",IF(ROUND(OFFSET($AF$57,0,-1),2)&lt;&gt;$Q$48,"ERRO: CRONOGRAMA NÃO FECHA 100%","")))</f>
        <v>CRONOGRAMA DEVE SER PREENCHIDO POR EVENTOS</v>
      </c>
      <c r="K10" s="365"/>
      <c r="L10" s="365"/>
      <c r="M10" s="365"/>
      <c r="N10" s="365"/>
      <c r="O10" s="365"/>
      <c r="P10" s="365"/>
      <c r="Q10" s="365"/>
      <c r="R10" s="365"/>
      <c r="S10" s="365"/>
    </row>
    <row r="11" customFormat="false" ht="12.75" hidden="false" customHeight="true" outlineLevel="0" collapsed="false">
      <c r="F11" s="91"/>
      <c r="H11" s="366"/>
      <c r="I11" s="366"/>
      <c r="J11" s="365"/>
      <c r="K11" s="365"/>
      <c r="L11" s="365"/>
      <c r="M11" s="365"/>
      <c r="N11" s="365"/>
      <c r="O11" s="365"/>
      <c r="P11" s="365"/>
      <c r="Q11" s="365"/>
      <c r="R11" s="365"/>
      <c r="S11" s="365"/>
    </row>
    <row r="12" customFormat="false" ht="12.75" hidden="false" customHeight="true" outlineLevel="0" collapsed="false">
      <c r="D12" s="367" t="n">
        <f aca="true">OFFSET(D12,0,-1)+1</f>
        <v>1</v>
      </c>
      <c r="F12" s="97" t="s">
        <v>204</v>
      </c>
      <c r="G12" s="368" t="s">
        <v>403</v>
      </c>
      <c r="H12" s="369" t="s">
        <v>281</v>
      </c>
      <c r="I12" s="370" t="s">
        <v>284</v>
      </c>
      <c r="J12" s="371"/>
      <c r="K12" s="371"/>
      <c r="L12" s="372"/>
      <c r="M12" s="372"/>
      <c r="N12" s="372"/>
      <c r="O12" s="372"/>
      <c r="P12" s="372"/>
      <c r="Q12" s="372"/>
      <c r="R12" s="373" t="s">
        <v>404</v>
      </c>
      <c r="S12" s="374" t="s">
        <v>405</v>
      </c>
      <c r="T12" s="375" t="n">
        <v>1</v>
      </c>
      <c r="U12" s="367" t="n">
        <f aca="true">OFFSET(U12,0,-1)+1</f>
        <v>2</v>
      </c>
      <c r="V12" s="367" t="n">
        <f aca="true">OFFSET(V12,0,-1)+1</f>
        <v>3</v>
      </c>
      <c r="W12" s="367" t="n">
        <f aca="true">OFFSET(W12,0,-1)+1</f>
        <v>4</v>
      </c>
      <c r="X12" s="367" t="n">
        <f aca="true">OFFSET(X12,0,-1)+1</f>
        <v>5</v>
      </c>
      <c r="Y12" s="367" t="n">
        <f aca="true">OFFSET(Y12,0,-1)+1</f>
        <v>6</v>
      </c>
      <c r="Z12" s="367" t="n">
        <f aca="true">OFFSET(Z12,0,-1)+1</f>
        <v>7</v>
      </c>
      <c r="AA12" s="367" t="n">
        <f aca="true">OFFSET(AA12,0,-1)+1</f>
        <v>8</v>
      </c>
      <c r="AB12" s="367" t="n">
        <f aca="true">OFFSET(AB12,0,-1)+1</f>
        <v>9</v>
      </c>
      <c r="AC12" s="367" t="n">
        <f aca="true">OFFSET(AC12,0,-1)+1</f>
        <v>10</v>
      </c>
      <c r="AD12" s="367" t="n">
        <f aca="true">OFFSET(AD12,0,-1)+1</f>
        <v>11</v>
      </c>
      <c r="AE12" s="376" t="n">
        <f aca="true">OFFSET(AE12,0,-1)+1</f>
        <v>12</v>
      </c>
    </row>
    <row r="13" customFormat="false" ht="24.75" hidden="false" customHeight="true" outlineLevel="0" collapsed="false">
      <c r="A13" s="377" t="s">
        <v>406</v>
      </c>
      <c r="B13" s="377" t="s">
        <v>221</v>
      </c>
      <c r="C13" s="377" t="s">
        <v>407</v>
      </c>
      <c r="D13" s="378" t="e">
        <f aca="true">OFFSET(D13,0,-1)+41-DAY(OFFSET(D13,0,-1)+40)</f>
        <v>#VALUE!</v>
      </c>
      <c r="E13" s="377" t="s">
        <v>408</v>
      </c>
      <c r="G13" s="368"/>
      <c r="H13" s="369"/>
      <c r="I13" s="370"/>
      <c r="J13" s="379"/>
      <c r="K13" s="379"/>
      <c r="L13" s="380" t="s">
        <v>279</v>
      </c>
      <c r="M13" s="380" t="n">
        <v>1</v>
      </c>
      <c r="N13" s="380" t="n">
        <v>2</v>
      </c>
      <c r="O13" s="380" t="n">
        <v>3</v>
      </c>
      <c r="P13" s="380" t="n">
        <v>4</v>
      </c>
      <c r="Q13" s="381" t="s">
        <v>409</v>
      </c>
      <c r="R13" s="373"/>
      <c r="S13" s="374"/>
      <c r="T13" s="382" t="n">
        <v>45566</v>
      </c>
      <c r="U13" s="378" t="n">
        <f aca="true">OFFSET(U13,0,-1)+41-DAY(OFFSET(U13,0,-1)+40)</f>
        <v>45597</v>
      </c>
      <c r="V13" s="378" t="n">
        <f aca="true">OFFSET(V13,0,-1)+41-DAY(OFFSET(V13,0,-1)+40)</f>
        <v>45627</v>
      </c>
      <c r="W13" s="378" t="n">
        <f aca="true">OFFSET(W13,0,-1)+41-DAY(OFFSET(W13,0,-1)+40)</f>
        <v>45658</v>
      </c>
      <c r="X13" s="378" t="n">
        <f aca="true">OFFSET(X13,0,-1)+41-DAY(OFFSET(X13,0,-1)+40)</f>
        <v>45689</v>
      </c>
      <c r="Y13" s="378" t="n">
        <f aca="true">OFFSET(Y13,0,-1)+41-DAY(OFFSET(Y13,0,-1)+40)</f>
        <v>45717</v>
      </c>
      <c r="Z13" s="378" t="n">
        <f aca="true">OFFSET(Z13,0,-1)+41-DAY(OFFSET(Z13,0,-1)+40)</f>
        <v>45748</v>
      </c>
      <c r="AA13" s="378" t="n">
        <f aca="true">OFFSET(AA13,0,-1)+41-DAY(OFFSET(AA13,0,-1)+40)</f>
        <v>45778</v>
      </c>
      <c r="AB13" s="378" t="n">
        <f aca="true">OFFSET(AB13,0,-1)+41-DAY(OFFSET(AB13,0,-1)+40)</f>
        <v>45809</v>
      </c>
      <c r="AC13" s="378" t="n">
        <f aca="true">OFFSET(AC13,0,-1)+41-DAY(OFFSET(AC13,0,-1)+40)</f>
        <v>45839</v>
      </c>
      <c r="AD13" s="378" t="n">
        <f aca="true">OFFSET(AD13,0,-1)+41-DAY(OFFSET(AD13,0,-1)+40)</f>
        <v>45870</v>
      </c>
      <c r="AE13" s="383" t="n">
        <f aca="true">OFFSET(AE13,0,-1)+41-DAY(OFFSET(AE13,0,-1)+40)</f>
        <v>45901</v>
      </c>
    </row>
    <row r="14" customFormat="false" ht="12.75" hidden="false" customHeight="false" outlineLevel="0" collapsed="false">
      <c r="A14" s="322" t="n">
        <f aca="true">OFFSET(A14,-3,0)+1</f>
        <v>1</v>
      </c>
      <c r="B14" s="322" t="n">
        <f aca="true">IF($Q14&lt;&gt;2,0,IF($R14=0,1,IF(E15&gt;0,OFFSET(QCI!$M$13,SUBSTITUTE(E15,".",""),0),OFFSET(ORÇAMENTO!$AA$15,CRONO!$E14,0))/$R14))</f>
        <v>0</v>
      </c>
      <c r="C14" s="322" t="n">
        <f aca="true">IF($Q14&lt;&gt;2,0,IF($R14=0,1,IF(E15&gt;0,OFFSET(QCI!$N$13,SUBSTITUTE(E15,".",""),0),OFFSET(ORÇAMENTO!$AB$15,CRONO!$E14,0))/$R14))</f>
        <v>0</v>
      </c>
      <c r="D14" s="325" t="e">
        <f aca="false">IF(AND($Q14=2,ACOMPANHAMENTO="BM"),D15,D16/$R14)</f>
        <v>#DIV/0!</v>
      </c>
      <c r="E14" s="322" t="n">
        <f aca="true">IF(A14&lt;=ORÇAMENTO.MáximoListaCrono,MATCH(A14,ORÇAMENTO.ListaCrono,0),NA())</f>
        <v>1</v>
      </c>
      <c r="F14" s="322" t="str">
        <f aca="false">IF(AND($E15&lt;&gt;-1,$R14&gt;0),"F","")</f>
        <v/>
      </c>
      <c r="G14" s="326" t="str">
        <f aca="false">IF(OR(R14=0,R14=""),"Linha",IF(AND(OR(ACOMPANHAMENTO="PLE",$Q14&lt;&gt;2),$E15=0),"Linha",1-SUM(T14:AF14)))</f>
        <v>Linha</v>
      </c>
      <c r="H14" s="327" t="str">
        <f aca="true">IF($E15=0,OFFSET(ORÇAMENTO!O$15,$E14,0),IF($E15&lt;&gt;-1,OFFSET(QCI!$D$13,$E15,0),""))</f>
        <v>1.</v>
      </c>
      <c r="I14" s="328" t="str">
        <f aca="true">IF($E15=0,OFFSET(ORÇAMENTO!R$15,$E14,0),IF($E15&lt;&gt;-1,OFFSET(QCI!$G$13,$E15,0),""))</f>
        <v>Pavimentação MG-446 - Trecho 2 (Est.70 a Est. 95)</v>
      </c>
      <c r="J14" s="328"/>
      <c r="K14" s="328"/>
      <c r="L14" s="329" t="n">
        <f aca="true">IF($E15=0,OFFSET(ORÇAMENTO!C$15,$E14,0),1)</f>
        <v>1</v>
      </c>
      <c r="M14" s="330" t="n">
        <f aca="true">IF($E15=-1,0,IF(M$13&lt;=$L14,IF(ISERROR(MATCH(M$13,OFFSET($L14,1,0,ROW($L$47)-ROW($L14)-1),0)),ROW($L$47)-ROW($L14)-1,MATCH(M$13,OFFSET($L14,1,0,ROW($L$47)-ROW($L14)-1),0)-1),0))</f>
        <v>32</v>
      </c>
      <c r="N14" s="330" t="n">
        <f aca="true">IF($E15=-1,0,IF(N$13&lt;=$L14,IF(ISERROR(MATCH(N$13,OFFSET($L14,1,0,ROW($L$47)-ROW($L14)-1),0)),ROW($L$47)-ROW($L14)-1,MATCH(N$13,OFFSET($L14,1,0,ROW($L$47)-ROW($L14)-1),0)-1),0))</f>
        <v>0</v>
      </c>
      <c r="O14" s="330" t="n">
        <f aca="true">IF($E15=-1,0,IF(O$13&lt;=$L14,IF(ISERROR(MATCH(O$13,OFFSET($L14,1,0,ROW($L$47)-ROW($L14)-1),0)),ROW($L$47)-ROW($L14)-1,MATCH(O$13,OFFSET($L14,1,0,ROW($L$47)-ROW($L14)-1),0)-1),0))</f>
        <v>0</v>
      </c>
      <c r="P14" s="330" t="n">
        <f aca="true">IF($E15=-1,0,IF(P$13&lt;=$L14,IF(ISERROR(MATCH(P$13,OFFSET($L14,1,0,ROW($L$47)-ROW($L14)-1),0)),ROW($L$47)-ROW($L14)-1,MATCH(P$13,OFFSET($L14,1,0,ROW($L$47)-ROW($L14)-1),0)-1),0))</f>
        <v>0</v>
      </c>
      <c r="Q14" s="330" t="n">
        <f aca="true">MIN(OFFSET(L14,0,1,,L14))</f>
        <v>32</v>
      </c>
      <c r="R14" s="331" t="n">
        <f aca="true">IF($E15=0,OFFSET(ORÇAMENTO!X$15,$E14,0),IF($E15&lt;&gt;-1,OFFSET(QCI!$O$13,$E15,0),""))</f>
        <v>0</v>
      </c>
      <c r="S14" s="332" t="s">
        <v>398</v>
      </c>
      <c r="T14" s="333" t="e">
        <f aca="false">IF(AND($Q14=2,ACOMPANHAMENTO="BM"),T15,T16/$R14)</f>
        <v>#DIV/0!</v>
      </c>
      <c r="U14" s="325" t="e">
        <f aca="false">IF(AND($Q14=2,ACOMPANHAMENTO="BM"),U15,U16/$R14)</f>
        <v>#DIV/0!</v>
      </c>
      <c r="V14" s="325" t="e">
        <f aca="false">IF(AND($Q14=2,ACOMPANHAMENTO="BM"),V15,V16/$R14)</f>
        <v>#DIV/0!</v>
      </c>
      <c r="W14" s="325" t="e">
        <f aca="false">IF(AND($Q14=2,ACOMPANHAMENTO="BM"),W15,W16/$R14)</f>
        <v>#DIV/0!</v>
      </c>
      <c r="X14" s="325" t="e">
        <f aca="false">IF(AND($Q14=2,ACOMPANHAMENTO="BM"),X15,X16/$R14)</f>
        <v>#DIV/0!</v>
      </c>
      <c r="Y14" s="325" t="e">
        <f aca="false">IF(AND($Q14=2,ACOMPANHAMENTO="BM"),Y15,Y16/$R14)</f>
        <v>#DIV/0!</v>
      </c>
      <c r="Z14" s="325" t="e">
        <f aca="false">IF(AND($Q14=2,ACOMPANHAMENTO="BM"),Z15,Z16/$R14)</f>
        <v>#DIV/0!</v>
      </c>
      <c r="AA14" s="325" t="e">
        <f aca="false">IF(AND($Q14=2,ACOMPANHAMENTO="BM"),AA15,AA16/$R14)</f>
        <v>#DIV/0!</v>
      </c>
      <c r="AB14" s="325" t="e">
        <f aca="false">IF(AND($Q14=2,ACOMPANHAMENTO="BM"),AB15,AB16/$R14)</f>
        <v>#DIV/0!</v>
      </c>
      <c r="AC14" s="325" t="e">
        <f aca="false">IF(AND($Q14=2,ACOMPANHAMENTO="BM"),AC15,AC16/$R14)</f>
        <v>#DIV/0!</v>
      </c>
      <c r="AD14" s="325" t="e">
        <f aca="false">IF(AND($Q14=2,ACOMPANHAMENTO="BM"),AD15,AD16/$R14)</f>
        <v>#DIV/0!</v>
      </c>
      <c r="AE14" s="334" t="e">
        <f aca="false">IF(AND($Q14=2,ACOMPANHAMENTO="BM"),AE15,AE16/$R14)</f>
        <v>#DIV/0!</v>
      </c>
    </row>
    <row r="15" customFormat="false" ht="12.75" hidden="false" customHeight="true" outlineLevel="0" collapsed="false">
      <c r="D15" s="335"/>
      <c r="E15" s="322" t="n">
        <f aca="true">IF(ISERROR(E14),IF(1+COUNTIF($L$13:OFFSET(L14,-1,0),1)&lt;=MAX(QCI!$D$13:$D$24),1+COUNTIF($L$13:OFFSET(L14,-1,0),1),-1),0)</f>
        <v>0</v>
      </c>
      <c r="F15" s="322" t="str">
        <f aca="false">IF(AND($E15&lt;&gt;-1,$R14&gt;0),"F","")</f>
        <v/>
      </c>
      <c r="G15" s="336" t="str">
        <f aca="false">IF(OR(R14=0,R14=""),"vazia",IF(AND(OR(ACOMPANHAMENTO="PLE",$Q14&lt;&gt;2),$E15=0),"calculada","--&gt;"))</f>
        <v>vazia</v>
      </c>
      <c r="H15" s="337"/>
      <c r="I15" s="338" t="str">
        <f aca="false">IF(AND(G14&lt;&gt;0,ISNUMBER(G14)),"PREENCHA ESTA LINHA --&gt;","")</f>
        <v/>
      </c>
      <c r="J15" s="338"/>
      <c r="K15" s="338"/>
      <c r="L15" s="339"/>
      <c r="M15" s="339"/>
      <c r="N15" s="339"/>
      <c r="O15" s="339"/>
      <c r="P15" s="339"/>
      <c r="Q15" s="339"/>
      <c r="R15" s="340"/>
      <c r="S15" s="341"/>
      <c r="T15" s="342"/>
      <c r="U15" s="335"/>
      <c r="V15" s="335"/>
      <c r="W15" s="335"/>
      <c r="X15" s="335"/>
      <c r="Y15" s="335"/>
      <c r="Z15" s="335"/>
      <c r="AA15" s="335"/>
      <c r="AB15" s="335"/>
      <c r="AC15" s="335"/>
      <c r="AD15" s="335"/>
      <c r="AE15" s="343"/>
      <c r="AF15" s="344"/>
    </row>
    <row r="16" customFormat="false" ht="12.8" hidden="true" customHeight="false" outlineLevel="0" collapsed="false">
      <c r="D16" s="345" t="n">
        <f aca="true">IF($Q14=2,IF(AND(ACOMPANHAMENTO="PLE",ISNUMBER($E14)),SUMIF((OFFSET(CÁLCULO!$AM$15:$AW$15,$E14,0,OFFSET(ORÇAMENTO!$D$15,CRONO!$E14,0))),"="&amp;CRONO!D$12,OFFSET(CÁLCULO!$AB$15:$AL$15,$E14,0,OFFSET(ORÇAMENTO!$D$15,CRONO!$E14,0)))+IF(AND($E16&lt;&gt;"",$E16&lt;&gt;0),SUMIF(CÁLCULO!$AM$15:$AW$59,"="&amp;CRONO!D$12,CÁLCULO!$AB$15:$AL$59)/(ORÇAMENTO!$X$15-CÁLCULO.TotalAdmLocal)*CRONO!$E16,0),D15*$R14),SUMIF(OFFSET($R16,1,0,$Q14-2),($L14+1)&amp;"$",OFFSET(D16,1,0,$Q14-2)))</f>
        <v>0</v>
      </c>
      <c r="E16" s="322" t="str">
        <f aca="true">IF(OR($Q14&lt;&gt;2,AUTOEVENTO&lt;&gt;"manual",$E15&gt;0),"",SUMIF(OFFSET(CÁLCULO!$M$15,CRONO!$E14,0,OFFSET(ORÇAMENTO!$D$15,CRONO!$E14,0)),1,OFFSET(ORÇAMENTO!$X$15,CRONO!$E14,0,OFFSET(ORÇAMENTO!$D$15,CRONO!$E14,0))))</f>
        <v/>
      </c>
      <c r="G16" s="346"/>
      <c r="R16" s="347" t="str">
        <f aca="false">L14&amp;"$"</f>
        <v>1$</v>
      </c>
      <c r="S16" s="348"/>
      <c r="T16" s="349" t="n">
        <f aca="true">IF($Q14=2,IF(AND(ACOMPANHAMENTO="PLE",ISNUMBER($E14)),SUMIF((OFFSET(CÁLCULO!$AM$15:$AW$15,$E14,0,OFFSET(ORÇAMENTO!$D$15,CRONO!$E14,0))),"&lt;="&amp;CRONO!T$12,OFFSET(CÁLCULO!$AB$15:$AL$15,$E14,0,OFFSET(ORÇAMENTO!$D$15,CRONO!$E14,0)))+IF(AND($E16&lt;&gt;"",$E16&lt;&gt;0),SUMIF(CÁLCULO!$AM$15:$AW$59,"&lt;="&amp;CRONO!T$12,CÁLCULO!$AB$15:$AL$59)/(ORÇAMENTO!$X$15-CÁLCULO.TotalAdmLocal)*CRONO!$E16,0),T15*$R14),SUMIF(OFFSET($R16,1,0,$Q14-2),($L14+1)&amp;"$",OFFSET(T16,1,0,$Q14-2)))</f>
        <v>0</v>
      </c>
      <c r="U16" s="345" t="n">
        <f aca="true">IF($Q14=2,IF(AND(ACOMPANHAMENTO="PLE",ISNUMBER($E14)),SUMIF((OFFSET(CÁLCULO!$AM$15:$AW$15,$E14,0,OFFSET(ORÇAMENTO!$D$15,CRONO!$E14,0))),"="&amp;CRONO!U$12,OFFSET(CÁLCULO!$AB$15:$AL$15,$E14,0,OFFSET(ORÇAMENTO!$D$15,CRONO!$E14,0)))+IF(AND($E16&lt;&gt;"",$E16&lt;&gt;0),SUMIF(CÁLCULO!$AM$15:$AW$59,"="&amp;CRONO!U$12,CÁLCULO!$AB$15:$AL$59)/(ORÇAMENTO!$X$15-CÁLCULO.TotalAdmLocal)*CRONO!$E16,0),U15*$R14),SUMIF(OFFSET($R16,1,0,$Q14-2),($L14+1)&amp;"$",OFFSET(U16,1,0,$Q14-2)))</f>
        <v>0</v>
      </c>
      <c r="V16" s="345" t="n">
        <f aca="true">IF($Q14=2,IF(AND(ACOMPANHAMENTO="PLE",ISNUMBER($E14)),SUMIF((OFFSET(CÁLCULO!$AM$15:$AW$15,$E14,0,OFFSET(ORÇAMENTO!$D$15,CRONO!$E14,0))),"="&amp;CRONO!V$12,OFFSET(CÁLCULO!$AB$15:$AL$15,$E14,0,OFFSET(ORÇAMENTO!$D$15,CRONO!$E14,0)))+IF(AND($E16&lt;&gt;"",$E16&lt;&gt;0),SUMIF(CÁLCULO!$AM$15:$AW$59,"="&amp;CRONO!V$12,CÁLCULO!$AB$15:$AL$59)/(ORÇAMENTO!$X$15-CÁLCULO.TotalAdmLocal)*CRONO!$E16,0),V15*$R14),SUMIF(OFFSET($R16,1,0,$Q14-2),($L14+1)&amp;"$",OFFSET(V16,1,0,$Q14-2)))</f>
        <v>0</v>
      </c>
      <c r="W16" s="345" t="n">
        <f aca="true">IF($Q14=2,IF(AND(ACOMPANHAMENTO="PLE",ISNUMBER($E14)),SUMIF((OFFSET(CÁLCULO!$AM$15:$AW$15,$E14,0,OFFSET(ORÇAMENTO!$D$15,CRONO!$E14,0))),"="&amp;CRONO!W$12,OFFSET(CÁLCULO!$AB$15:$AL$15,$E14,0,OFFSET(ORÇAMENTO!$D$15,CRONO!$E14,0)))+IF(AND($E16&lt;&gt;"",$E16&lt;&gt;0),SUMIF(CÁLCULO!$AM$15:$AW$59,"="&amp;CRONO!W$12,CÁLCULO!$AB$15:$AL$59)/(ORÇAMENTO!$X$15-CÁLCULO.TotalAdmLocal)*CRONO!$E16,0),W15*$R14),SUMIF(OFFSET($R16,1,0,$Q14-2),($L14+1)&amp;"$",OFFSET(W16,1,0,$Q14-2)))</f>
        <v>0</v>
      </c>
      <c r="X16" s="345" t="n">
        <f aca="true">IF($Q14=2,IF(AND(ACOMPANHAMENTO="PLE",ISNUMBER($E14)),SUMIF((OFFSET(CÁLCULO!$AM$15:$AW$15,$E14,0,OFFSET(ORÇAMENTO!$D$15,CRONO!$E14,0))),"="&amp;CRONO!X$12,OFFSET(CÁLCULO!$AB$15:$AL$15,$E14,0,OFFSET(ORÇAMENTO!$D$15,CRONO!$E14,0)))+IF(AND($E16&lt;&gt;"",$E16&lt;&gt;0),SUMIF(CÁLCULO!$AM$15:$AW$59,"="&amp;CRONO!X$12,CÁLCULO!$AB$15:$AL$59)/(ORÇAMENTO!$X$15-CÁLCULO.TotalAdmLocal)*CRONO!$E16,0),X15*$R14),SUMIF(OFFSET($R16,1,0,$Q14-2),($L14+1)&amp;"$",OFFSET(X16,1,0,$Q14-2)))</f>
        <v>0</v>
      </c>
      <c r="Y16" s="345" t="n">
        <f aca="true">IF($Q14=2,IF(AND(ACOMPANHAMENTO="PLE",ISNUMBER($E14)),SUMIF((OFFSET(CÁLCULO!$AM$15:$AW$15,$E14,0,OFFSET(ORÇAMENTO!$D$15,CRONO!$E14,0))),"="&amp;CRONO!Y$12,OFFSET(CÁLCULO!$AB$15:$AL$15,$E14,0,OFFSET(ORÇAMENTO!$D$15,CRONO!$E14,0)))+IF(AND($E16&lt;&gt;"",$E16&lt;&gt;0),SUMIF(CÁLCULO!$AM$15:$AW$59,"="&amp;CRONO!Y$12,CÁLCULO!$AB$15:$AL$59)/(ORÇAMENTO!$X$15-CÁLCULO.TotalAdmLocal)*CRONO!$E16,0),Y15*$R14),SUMIF(OFFSET($R16,1,0,$Q14-2),($L14+1)&amp;"$",OFFSET(Y16,1,0,$Q14-2)))</f>
        <v>0</v>
      </c>
      <c r="Z16" s="345" t="n">
        <f aca="true">IF($Q14=2,IF(AND(ACOMPANHAMENTO="PLE",ISNUMBER($E14)),SUMIF((OFFSET(CÁLCULO!$AM$15:$AW$15,$E14,0,OFFSET(ORÇAMENTO!$D$15,CRONO!$E14,0))),"="&amp;CRONO!Z$12,OFFSET(CÁLCULO!$AB$15:$AL$15,$E14,0,OFFSET(ORÇAMENTO!$D$15,CRONO!$E14,0)))+IF(AND($E16&lt;&gt;"",$E16&lt;&gt;0),SUMIF(CÁLCULO!$AM$15:$AW$59,"="&amp;CRONO!Z$12,CÁLCULO!$AB$15:$AL$59)/(ORÇAMENTO!$X$15-CÁLCULO.TotalAdmLocal)*CRONO!$E16,0),Z15*$R14),SUMIF(OFFSET($R16,1,0,$Q14-2),($L14+1)&amp;"$",OFFSET(Z16,1,0,$Q14-2)))</f>
        <v>0</v>
      </c>
      <c r="AA16" s="345" t="n">
        <f aca="true">IF($Q14=2,IF(AND(ACOMPANHAMENTO="PLE",ISNUMBER($E14)),SUMIF((OFFSET(CÁLCULO!$AM$15:$AW$15,$E14,0,OFFSET(ORÇAMENTO!$D$15,CRONO!$E14,0))),"="&amp;CRONO!AA$12,OFFSET(CÁLCULO!$AB$15:$AL$15,$E14,0,OFFSET(ORÇAMENTO!$D$15,CRONO!$E14,0)))+IF(AND($E16&lt;&gt;"",$E16&lt;&gt;0),SUMIF(CÁLCULO!$AM$15:$AW$59,"="&amp;CRONO!AA$12,CÁLCULO!$AB$15:$AL$59)/(ORÇAMENTO!$X$15-CÁLCULO.TotalAdmLocal)*CRONO!$E16,0),AA15*$R14),SUMIF(OFFSET($R16,1,0,$Q14-2),($L14+1)&amp;"$",OFFSET(AA16,1,0,$Q14-2)))</f>
        <v>0</v>
      </c>
      <c r="AB16" s="345" t="n">
        <f aca="true">IF($Q14=2,IF(AND(ACOMPANHAMENTO="PLE",ISNUMBER($E14)),SUMIF((OFFSET(CÁLCULO!$AM$15:$AW$15,$E14,0,OFFSET(ORÇAMENTO!$D$15,CRONO!$E14,0))),"="&amp;CRONO!AB$12,OFFSET(CÁLCULO!$AB$15:$AL$15,$E14,0,OFFSET(ORÇAMENTO!$D$15,CRONO!$E14,0)))+IF(AND($E16&lt;&gt;"",$E16&lt;&gt;0),SUMIF(CÁLCULO!$AM$15:$AW$59,"="&amp;CRONO!AB$12,CÁLCULO!$AB$15:$AL$59)/(ORÇAMENTO!$X$15-CÁLCULO.TotalAdmLocal)*CRONO!$E16,0),AB15*$R14),SUMIF(OFFSET($R16,1,0,$Q14-2),($L14+1)&amp;"$",OFFSET(AB16,1,0,$Q14-2)))</f>
        <v>0</v>
      </c>
      <c r="AC16" s="345" t="n">
        <f aca="true">IF($Q14=2,IF(AND(ACOMPANHAMENTO="PLE",ISNUMBER($E14)),SUMIF((OFFSET(CÁLCULO!$AM$15:$AW$15,$E14,0,OFFSET(ORÇAMENTO!$D$15,CRONO!$E14,0))),"="&amp;CRONO!AC$12,OFFSET(CÁLCULO!$AB$15:$AL$15,$E14,0,OFFSET(ORÇAMENTO!$D$15,CRONO!$E14,0)))+IF(AND($E16&lt;&gt;"",$E16&lt;&gt;0),SUMIF(CÁLCULO!$AM$15:$AW$59,"="&amp;CRONO!AC$12,CÁLCULO!$AB$15:$AL$59)/(ORÇAMENTO!$X$15-CÁLCULO.TotalAdmLocal)*CRONO!$E16,0),AC15*$R14),SUMIF(OFFSET($R16,1,0,$Q14-2),($L14+1)&amp;"$",OFFSET(AC16,1,0,$Q14-2)))</f>
        <v>0</v>
      </c>
      <c r="AD16" s="345" t="n">
        <f aca="true">IF($Q14=2,IF(AND(ACOMPANHAMENTO="PLE",ISNUMBER($E14)),SUMIF((OFFSET(CÁLCULO!$AM$15:$AW$15,$E14,0,OFFSET(ORÇAMENTO!$D$15,CRONO!$E14,0))),"="&amp;CRONO!AD$12,OFFSET(CÁLCULO!$AB$15:$AL$15,$E14,0,OFFSET(ORÇAMENTO!$D$15,CRONO!$E14,0)))+IF(AND($E16&lt;&gt;"",$E16&lt;&gt;0),SUMIF(CÁLCULO!$AM$15:$AW$59,"="&amp;CRONO!AD$12,CÁLCULO!$AB$15:$AL$59)/(ORÇAMENTO!$X$15-CÁLCULO.TotalAdmLocal)*CRONO!$E16,0),AD15*$R14),SUMIF(OFFSET($R16,1,0,$Q14-2),($L14+1)&amp;"$",OFFSET(AD16,1,0,$Q14-2)))</f>
        <v>0</v>
      </c>
      <c r="AE16" s="350" t="n">
        <f aca="true">IF($Q14=2,IF(AND(ACOMPANHAMENTO="PLE",ISNUMBER($E14)),SUMIF((OFFSET(CÁLCULO!$AM$15:$AW$15,$E14,0,OFFSET(ORÇAMENTO!$D$15,CRONO!$E14,0))),"="&amp;CRONO!AE$12,OFFSET(CÁLCULO!$AB$15:$AL$15,$E14,0,OFFSET(ORÇAMENTO!$D$15,CRONO!$E14,0)))+IF(AND($E16&lt;&gt;"",$E16&lt;&gt;0),SUMIF(CÁLCULO!$AM$15:$AW$59,"="&amp;CRONO!AE$12,CÁLCULO!$AB$15:$AL$59)/(ORÇAMENTO!$X$15-CÁLCULO.TotalAdmLocal)*CRONO!$E16,0),AE15*$R14),SUMIF(OFFSET($R16,1,0,$Q14-2),($L14+1)&amp;"$",OFFSET(AE16,1,0,$Q14-2)))</f>
        <v>0</v>
      </c>
    </row>
    <row r="17" customFormat="false" ht="12.75" hidden="false" customHeight="false" outlineLevel="0" collapsed="false">
      <c r="A17" s="322" t="n">
        <f aca="true">OFFSET(A17,-3,0)+1</f>
        <v>2</v>
      </c>
      <c r="B17" s="322" t="n">
        <f aca="true">IF($Q17&lt;&gt;2,0,IF($R17=0,1,IF(E18&gt;0,OFFSET(QCI!$M$13,SUBSTITUTE(E18,".",""),0),OFFSET(ORÇAMENTO!$AA$15,CRONO!$E17,0))/$R17))</f>
        <v>1</v>
      </c>
      <c r="C17" s="322" t="n">
        <f aca="true">IF($Q17&lt;&gt;2,0,IF($R17=0,1,IF(E18&gt;0,OFFSET(QCI!$N$13,SUBSTITUTE(E18,".",""),0),OFFSET(ORÇAMENTO!$AB$15,CRONO!$E17,0))/$R17))</f>
        <v>1</v>
      </c>
      <c r="D17" s="325" t="e">
        <f aca="false">IF(AND($Q17=2,ACOMPANHAMENTO="BM"),D18,D19/$R17)</f>
        <v>#DIV/0!</v>
      </c>
      <c r="E17" s="322" t="n">
        <f aca="true">IF(A17&lt;=ORÇAMENTO.MáximoListaCrono,MATCH(A17,ORÇAMENTO.ListaCrono,0),NA())</f>
        <v>2</v>
      </c>
      <c r="F17" s="322" t="str">
        <f aca="false">IF(AND($E18&lt;&gt;-1,$R17&gt;0),"F","")</f>
        <v/>
      </c>
      <c r="G17" s="326" t="str">
        <f aca="false">IF(OR(R17=0,R17=""),"Linha",IF(AND(OR(ACOMPANHAMENTO="PLE",$Q17&lt;&gt;2),$E18=0),"Linha",1-SUM(T17:AF17)))</f>
        <v>Linha</v>
      </c>
      <c r="H17" s="327" t="str">
        <f aca="true">IF($E18=0,OFFSET(ORÇAMENTO!O$15,$E17,0),IF($E18&lt;&gt;-1,OFFSET(QCI!$D$13,$E18,0),""))</f>
        <v>1.1.</v>
      </c>
      <c r="I17" s="328" t="str">
        <f aca="true">IF($E18=0,OFFSET(ORÇAMENTO!R$15,$E17,0),IF($E18&lt;&gt;-1,OFFSET(QCI!$G$13,$E18,0),""))</f>
        <v>Serviços Iniciais</v>
      </c>
      <c r="J17" s="328"/>
      <c r="K17" s="328"/>
      <c r="L17" s="329" t="n">
        <f aca="true">IF($E18=0,OFFSET(ORÇAMENTO!C$15,$E17,0),1)</f>
        <v>2</v>
      </c>
      <c r="M17" s="330" t="n">
        <f aca="true">IF($E18=-1,0,IF(M$13&lt;=$L17,IF(ISERROR(MATCH(M$13,OFFSET($L17,1,0,ROW($L$47)-ROW($L17)-1),0)),ROW($L$47)-ROW($L17)-1,MATCH(M$13,OFFSET($L17,1,0,ROW($L$47)-ROW($L17)-1),0)-1),0))</f>
        <v>29</v>
      </c>
      <c r="N17" s="330" t="n">
        <f aca="true">IF($E18=-1,0,IF(N$13&lt;=$L17,IF(ISERROR(MATCH(N$13,OFFSET($L17,1,0,ROW($L$47)-ROW($L17)-1),0)),ROW($L$47)-ROW($L17)-1,MATCH(N$13,OFFSET($L17,1,0,ROW($L$47)-ROW($L17)-1),0)-1),0))</f>
        <v>2</v>
      </c>
      <c r="O17" s="330" t="n">
        <f aca="true">IF($E18=-1,0,IF(O$13&lt;=$L17,IF(ISERROR(MATCH(O$13,OFFSET($L17,1,0,ROW($L$47)-ROW($L17)-1),0)),ROW($L$47)-ROW($L17)-1,MATCH(O$13,OFFSET($L17,1,0,ROW($L$47)-ROW($L17)-1),0)-1),0))</f>
        <v>0</v>
      </c>
      <c r="P17" s="330" t="n">
        <f aca="true">IF($E18=-1,0,IF(P$13&lt;=$L17,IF(ISERROR(MATCH(P$13,OFFSET($L17,1,0,ROW($L$47)-ROW($L17)-1),0)),ROW($L$47)-ROW($L17)-1,MATCH(P$13,OFFSET($L17,1,0,ROW($L$47)-ROW($L17)-1),0)-1),0))</f>
        <v>0</v>
      </c>
      <c r="Q17" s="330" t="n">
        <f aca="true">MIN(OFFSET(L17,0,1,,L17))</f>
        <v>2</v>
      </c>
      <c r="R17" s="331" t="n">
        <f aca="true">IF($E18=0,OFFSET(ORÇAMENTO!X$15,$E17,0),IF($E18&lt;&gt;-1,OFFSET(QCI!$O$13,$E18,0),""))</f>
        <v>0</v>
      </c>
      <c r="S17" s="332" t="s">
        <v>398</v>
      </c>
      <c r="T17" s="333" t="e">
        <f aca="false">IF(AND($Q17=2,ACOMPANHAMENTO="BM"),T18,T19/$R17)</f>
        <v>#DIV/0!</v>
      </c>
      <c r="U17" s="325" t="e">
        <f aca="false">IF(AND($Q17=2,ACOMPANHAMENTO="BM"),U18,U19/$R17)</f>
        <v>#DIV/0!</v>
      </c>
      <c r="V17" s="325" t="e">
        <f aca="false">IF(AND($Q17=2,ACOMPANHAMENTO="BM"),V18,V19/$R17)</f>
        <v>#DIV/0!</v>
      </c>
      <c r="W17" s="325" t="e">
        <f aca="false">IF(AND($Q17=2,ACOMPANHAMENTO="BM"),W18,W19/$R17)</f>
        <v>#DIV/0!</v>
      </c>
      <c r="X17" s="325" t="e">
        <f aca="false">IF(AND($Q17=2,ACOMPANHAMENTO="BM"),X18,X19/$R17)</f>
        <v>#DIV/0!</v>
      </c>
      <c r="Y17" s="325" t="e">
        <f aca="false">IF(AND($Q17=2,ACOMPANHAMENTO="BM"),Y18,Y19/$R17)</f>
        <v>#DIV/0!</v>
      </c>
      <c r="Z17" s="325" t="e">
        <f aca="false">IF(AND($Q17=2,ACOMPANHAMENTO="BM"),Z18,Z19/$R17)</f>
        <v>#DIV/0!</v>
      </c>
      <c r="AA17" s="325" t="e">
        <f aca="false">IF(AND($Q17=2,ACOMPANHAMENTO="BM"),AA18,AA19/$R17)</f>
        <v>#DIV/0!</v>
      </c>
      <c r="AB17" s="325" t="e">
        <f aca="false">IF(AND($Q17=2,ACOMPANHAMENTO="BM"),AB18,AB19/$R17)</f>
        <v>#DIV/0!</v>
      </c>
      <c r="AC17" s="325" t="e">
        <f aca="false">IF(AND($Q17=2,ACOMPANHAMENTO="BM"),AC18,AC19/$R17)</f>
        <v>#DIV/0!</v>
      </c>
      <c r="AD17" s="325" t="e">
        <f aca="false">IF(AND($Q17=2,ACOMPANHAMENTO="BM"),AD18,AD19/$R17)</f>
        <v>#DIV/0!</v>
      </c>
      <c r="AE17" s="334" t="e">
        <f aca="false">IF(AND($Q17=2,ACOMPANHAMENTO="BM"),AE18,AE19/$R17)</f>
        <v>#DIV/0!</v>
      </c>
    </row>
    <row r="18" customFormat="false" ht="12.75" hidden="false" customHeight="true" outlineLevel="0" collapsed="false">
      <c r="D18" s="335"/>
      <c r="E18" s="322" t="n">
        <f aca="true">IF(ISERROR(E17),IF(1+COUNTIF($L$13:OFFSET(L17,-1,0),1)&lt;=MAX(QCI!$D$13:$D$24),1+COUNTIF($L$13:OFFSET(L17,-1,0),1),-1),0)</f>
        <v>0</v>
      </c>
      <c r="F18" s="322" t="str">
        <f aca="false">IF(AND($E18&lt;&gt;-1,$R17&gt;0),"F","")</f>
        <v/>
      </c>
      <c r="G18" s="336" t="str">
        <f aca="false">IF(OR(R17=0,R17=""),"vazia",IF(AND(OR(ACOMPANHAMENTO="PLE",$Q17&lt;&gt;2),$E18=0),"calculada","--&gt;"))</f>
        <v>vazia</v>
      </c>
      <c r="H18" s="337"/>
      <c r="I18" s="338" t="str">
        <f aca="false">IF(AND(G17&lt;&gt;0,ISNUMBER(G17)),"PREENCHA ESTA LINHA --&gt;","")</f>
        <v/>
      </c>
      <c r="J18" s="338"/>
      <c r="K18" s="338"/>
      <c r="L18" s="339"/>
      <c r="M18" s="339"/>
      <c r="N18" s="339"/>
      <c r="O18" s="339"/>
      <c r="P18" s="339"/>
      <c r="Q18" s="339"/>
      <c r="R18" s="340"/>
      <c r="S18" s="341"/>
      <c r="T18" s="342" t="n">
        <v>1</v>
      </c>
      <c r="U18" s="335"/>
      <c r="V18" s="335"/>
      <c r="W18" s="335"/>
      <c r="X18" s="335"/>
      <c r="Y18" s="335"/>
      <c r="Z18" s="335"/>
      <c r="AA18" s="335"/>
      <c r="AB18" s="335"/>
      <c r="AC18" s="335"/>
      <c r="AD18" s="335"/>
      <c r="AE18" s="343"/>
      <c r="AF18" s="344"/>
    </row>
    <row r="19" customFormat="false" ht="12.8" hidden="true" customHeight="false" outlineLevel="0" collapsed="false">
      <c r="D19" s="345" t="n">
        <f aca="true">IF($Q17=2,IF(AND(ACOMPANHAMENTO="PLE",ISNUMBER($E17)),SUMIF((OFFSET(CÁLCULO!$AM$15:$AW$15,$E17,0,OFFSET(ORÇAMENTO!$D$15,CRONO!$E17,0))),"="&amp;CRONO!D$12,OFFSET(CÁLCULO!$AB$15:$AL$15,$E17,0,OFFSET(ORÇAMENTO!$D$15,CRONO!$E17,0)))+IF(AND($E19&lt;&gt;"",$E19&lt;&gt;0),SUMIF(CÁLCULO!$AM$15:$AW$59,"="&amp;CRONO!D$12,CÁLCULO!$AB$15:$AL$59)/(ORÇAMENTO!$X$15-CÁLCULO.TotalAdmLocal)*CRONO!$E19,0),D18*$R17),SUMIF(OFFSET($R19,1,0,$Q17-2),($L17+1)&amp;"$",OFFSET(D19,1,0,$Q17-2)))</f>
        <v>0</v>
      </c>
      <c r="E19" s="322" t="n">
        <f aca="true">IF(OR($Q17&lt;&gt;2,AUTOEVENTO&lt;&gt;"manual",$E18&gt;0),"",SUMIF(OFFSET(CÁLCULO!$M$15,CRONO!$E17,0,OFFSET(ORÇAMENTO!$D$15,CRONO!$E17,0)),1,OFFSET(ORÇAMENTO!$X$15,CRONO!$E17,0,OFFSET(ORÇAMENTO!$D$15,CRONO!$E17,0))))</f>
        <v>0</v>
      </c>
      <c r="G19" s="346"/>
      <c r="R19" s="347" t="str">
        <f aca="false">L17&amp;"$"</f>
        <v>2$</v>
      </c>
      <c r="S19" s="348"/>
      <c r="T19" s="349" t="n">
        <f aca="true">IF($Q17=2,IF(AND(ACOMPANHAMENTO="PLE",ISNUMBER($E17)),SUMIF((OFFSET(CÁLCULO!$AM$15:$AW$15,$E17,0,OFFSET(ORÇAMENTO!$D$15,CRONO!$E17,0))),"&lt;="&amp;CRONO!T$12,OFFSET(CÁLCULO!$AB$15:$AL$15,$E17,0,OFFSET(ORÇAMENTO!$D$15,CRONO!$E17,0)))+IF(AND($E19&lt;&gt;"",$E19&lt;&gt;0),SUMIF(CÁLCULO!$AM$15:$AW$59,"&lt;="&amp;CRONO!T$12,CÁLCULO!$AB$15:$AL$59)/(ORÇAMENTO!$X$15-CÁLCULO.TotalAdmLocal)*CRONO!$E19,0),T18*$R17),SUMIF(OFFSET($R19,1,0,$Q17-2),($L17+1)&amp;"$",OFFSET(T19,1,0,$Q17-2)))</f>
        <v>0</v>
      </c>
      <c r="U19" s="345" t="n">
        <f aca="true">IF($Q17=2,IF(AND(ACOMPANHAMENTO="PLE",ISNUMBER($E17)),SUMIF((OFFSET(CÁLCULO!$AM$15:$AW$15,$E17,0,OFFSET(ORÇAMENTO!$D$15,CRONO!$E17,0))),"="&amp;CRONO!U$12,OFFSET(CÁLCULO!$AB$15:$AL$15,$E17,0,OFFSET(ORÇAMENTO!$D$15,CRONO!$E17,0)))+IF(AND($E19&lt;&gt;"",$E19&lt;&gt;0),SUMIF(CÁLCULO!$AM$15:$AW$59,"="&amp;CRONO!U$12,CÁLCULO!$AB$15:$AL$59)/(ORÇAMENTO!$X$15-CÁLCULO.TotalAdmLocal)*CRONO!$E19,0),U18*$R17),SUMIF(OFFSET($R19,1,0,$Q17-2),($L17+1)&amp;"$",OFFSET(U19,1,0,$Q17-2)))</f>
        <v>0</v>
      </c>
      <c r="V19" s="345" t="n">
        <f aca="true">IF($Q17=2,IF(AND(ACOMPANHAMENTO="PLE",ISNUMBER($E17)),SUMIF((OFFSET(CÁLCULO!$AM$15:$AW$15,$E17,0,OFFSET(ORÇAMENTO!$D$15,CRONO!$E17,0))),"="&amp;CRONO!V$12,OFFSET(CÁLCULO!$AB$15:$AL$15,$E17,0,OFFSET(ORÇAMENTO!$D$15,CRONO!$E17,0)))+IF(AND($E19&lt;&gt;"",$E19&lt;&gt;0),SUMIF(CÁLCULO!$AM$15:$AW$59,"="&amp;CRONO!V$12,CÁLCULO!$AB$15:$AL$59)/(ORÇAMENTO!$X$15-CÁLCULO.TotalAdmLocal)*CRONO!$E19,0),V18*$R17),SUMIF(OFFSET($R19,1,0,$Q17-2),($L17+1)&amp;"$",OFFSET(V19,1,0,$Q17-2)))</f>
        <v>0</v>
      </c>
      <c r="W19" s="345" t="n">
        <f aca="true">IF($Q17=2,IF(AND(ACOMPANHAMENTO="PLE",ISNUMBER($E17)),SUMIF((OFFSET(CÁLCULO!$AM$15:$AW$15,$E17,0,OFFSET(ORÇAMENTO!$D$15,CRONO!$E17,0))),"="&amp;CRONO!W$12,OFFSET(CÁLCULO!$AB$15:$AL$15,$E17,0,OFFSET(ORÇAMENTO!$D$15,CRONO!$E17,0)))+IF(AND($E19&lt;&gt;"",$E19&lt;&gt;0),SUMIF(CÁLCULO!$AM$15:$AW$59,"="&amp;CRONO!W$12,CÁLCULO!$AB$15:$AL$59)/(ORÇAMENTO!$X$15-CÁLCULO.TotalAdmLocal)*CRONO!$E19,0),W18*$R17),SUMIF(OFFSET($R19,1,0,$Q17-2),($L17+1)&amp;"$",OFFSET(W19,1,0,$Q17-2)))</f>
        <v>0</v>
      </c>
      <c r="X19" s="345" t="n">
        <f aca="true">IF($Q17=2,IF(AND(ACOMPANHAMENTO="PLE",ISNUMBER($E17)),SUMIF((OFFSET(CÁLCULO!$AM$15:$AW$15,$E17,0,OFFSET(ORÇAMENTO!$D$15,CRONO!$E17,0))),"="&amp;CRONO!X$12,OFFSET(CÁLCULO!$AB$15:$AL$15,$E17,0,OFFSET(ORÇAMENTO!$D$15,CRONO!$E17,0)))+IF(AND($E19&lt;&gt;"",$E19&lt;&gt;0),SUMIF(CÁLCULO!$AM$15:$AW$59,"="&amp;CRONO!X$12,CÁLCULO!$AB$15:$AL$59)/(ORÇAMENTO!$X$15-CÁLCULO.TotalAdmLocal)*CRONO!$E19,0),X18*$R17),SUMIF(OFFSET($R19,1,0,$Q17-2),($L17+1)&amp;"$",OFFSET(X19,1,0,$Q17-2)))</f>
        <v>0</v>
      </c>
      <c r="Y19" s="345" t="n">
        <f aca="true">IF($Q17=2,IF(AND(ACOMPANHAMENTO="PLE",ISNUMBER($E17)),SUMIF((OFFSET(CÁLCULO!$AM$15:$AW$15,$E17,0,OFFSET(ORÇAMENTO!$D$15,CRONO!$E17,0))),"="&amp;CRONO!Y$12,OFFSET(CÁLCULO!$AB$15:$AL$15,$E17,0,OFFSET(ORÇAMENTO!$D$15,CRONO!$E17,0)))+IF(AND($E19&lt;&gt;"",$E19&lt;&gt;0),SUMIF(CÁLCULO!$AM$15:$AW$59,"="&amp;CRONO!Y$12,CÁLCULO!$AB$15:$AL$59)/(ORÇAMENTO!$X$15-CÁLCULO.TotalAdmLocal)*CRONO!$E19,0),Y18*$R17),SUMIF(OFFSET($R19,1,0,$Q17-2),($L17+1)&amp;"$",OFFSET(Y19,1,0,$Q17-2)))</f>
        <v>0</v>
      </c>
      <c r="Z19" s="345" t="n">
        <f aca="true">IF($Q17=2,IF(AND(ACOMPANHAMENTO="PLE",ISNUMBER($E17)),SUMIF((OFFSET(CÁLCULO!$AM$15:$AW$15,$E17,0,OFFSET(ORÇAMENTO!$D$15,CRONO!$E17,0))),"="&amp;CRONO!Z$12,OFFSET(CÁLCULO!$AB$15:$AL$15,$E17,0,OFFSET(ORÇAMENTO!$D$15,CRONO!$E17,0)))+IF(AND($E19&lt;&gt;"",$E19&lt;&gt;0),SUMIF(CÁLCULO!$AM$15:$AW$59,"="&amp;CRONO!Z$12,CÁLCULO!$AB$15:$AL$59)/(ORÇAMENTO!$X$15-CÁLCULO.TotalAdmLocal)*CRONO!$E19,0),Z18*$R17),SUMIF(OFFSET($R19,1,0,$Q17-2),($L17+1)&amp;"$",OFFSET(Z19,1,0,$Q17-2)))</f>
        <v>0</v>
      </c>
      <c r="AA19" s="345" t="n">
        <f aca="true">IF($Q17=2,IF(AND(ACOMPANHAMENTO="PLE",ISNUMBER($E17)),SUMIF((OFFSET(CÁLCULO!$AM$15:$AW$15,$E17,0,OFFSET(ORÇAMENTO!$D$15,CRONO!$E17,0))),"="&amp;CRONO!AA$12,OFFSET(CÁLCULO!$AB$15:$AL$15,$E17,0,OFFSET(ORÇAMENTO!$D$15,CRONO!$E17,0)))+IF(AND($E19&lt;&gt;"",$E19&lt;&gt;0),SUMIF(CÁLCULO!$AM$15:$AW$59,"="&amp;CRONO!AA$12,CÁLCULO!$AB$15:$AL$59)/(ORÇAMENTO!$X$15-CÁLCULO.TotalAdmLocal)*CRONO!$E19,0),AA18*$R17),SUMIF(OFFSET($R19,1,0,$Q17-2),($L17+1)&amp;"$",OFFSET(AA19,1,0,$Q17-2)))</f>
        <v>0</v>
      </c>
      <c r="AB19" s="345" t="n">
        <f aca="true">IF($Q17=2,IF(AND(ACOMPANHAMENTO="PLE",ISNUMBER($E17)),SUMIF((OFFSET(CÁLCULO!$AM$15:$AW$15,$E17,0,OFFSET(ORÇAMENTO!$D$15,CRONO!$E17,0))),"="&amp;CRONO!AB$12,OFFSET(CÁLCULO!$AB$15:$AL$15,$E17,0,OFFSET(ORÇAMENTO!$D$15,CRONO!$E17,0)))+IF(AND($E19&lt;&gt;"",$E19&lt;&gt;0),SUMIF(CÁLCULO!$AM$15:$AW$59,"="&amp;CRONO!AB$12,CÁLCULO!$AB$15:$AL$59)/(ORÇAMENTO!$X$15-CÁLCULO.TotalAdmLocal)*CRONO!$E19,0),AB18*$R17),SUMIF(OFFSET($R19,1,0,$Q17-2),($L17+1)&amp;"$",OFFSET(AB19,1,0,$Q17-2)))</f>
        <v>0</v>
      </c>
      <c r="AC19" s="345" t="n">
        <f aca="true">IF($Q17=2,IF(AND(ACOMPANHAMENTO="PLE",ISNUMBER($E17)),SUMIF((OFFSET(CÁLCULO!$AM$15:$AW$15,$E17,0,OFFSET(ORÇAMENTO!$D$15,CRONO!$E17,0))),"="&amp;CRONO!AC$12,OFFSET(CÁLCULO!$AB$15:$AL$15,$E17,0,OFFSET(ORÇAMENTO!$D$15,CRONO!$E17,0)))+IF(AND($E19&lt;&gt;"",$E19&lt;&gt;0),SUMIF(CÁLCULO!$AM$15:$AW$59,"="&amp;CRONO!AC$12,CÁLCULO!$AB$15:$AL$59)/(ORÇAMENTO!$X$15-CÁLCULO.TotalAdmLocal)*CRONO!$E19,0),AC18*$R17),SUMIF(OFFSET($R19,1,0,$Q17-2),($L17+1)&amp;"$",OFFSET(AC19,1,0,$Q17-2)))</f>
        <v>0</v>
      </c>
      <c r="AD19" s="345" t="n">
        <f aca="true">IF($Q17=2,IF(AND(ACOMPANHAMENTO="PLE",ISNUMBER($E17)),SUMIF((OFFSET(CÁLCULO!$AM$15:$AW$15,$E17,0,OFFSET(ORÇAMENTO!$D$15,CRONO!$E17,0))),"="&amp;CRONO!AD$12,OFFSET(CÁLCULO!$AB$15:$AL$15,$E17,0,OFFSET(ORÇAMENTO!$D$15,CRONO!$E17,0)))+IF(AND($E19&lt;&gt;"",$E19&lt;&gt;0),SUMIF(CÁLCULO!$AM$15:$AW$59,"="&amp;CRONO!AD$12,CÁLCULO!$AB$15:$AL$59)/(ORÇAMENTO!$X$15-CÁLCULO.TotalAdmLocal)*CRONO!$E19,0),AD18*$R17),SUMIF(OFFSET($R19,1,0,$Q17-2),($L17+1)&amp;"$",OFFSET(AD19,1,0,$Q17-2)))</f>
        <v>0</v>
      </c>
      <c r="AE19" s="350" t="n">
        <f aca="true">IF($Q17=2,IF(AND(ACOMPANHAMENTO="PLE",ISNUMBER($E17)),SUMIF((OFFSET(CÁLCULO!$AM$15:$AW$15,$E17,0,OFFSET(ORÇAMENTO!$D$15,CRONO!$E17,0))),"="&amp;CRONO!AE$12,OFFSET(CÁLCULO!$AB$15:$AL$15,$E17,0,OFFSET(ORÇAMENTO!$D$15,CRONO!$E17,0)))+IF(AND($E19&lt;&gt;"",$E19&lt;&gt;0),SUMIF(CÁLCULO!$AM$15:$AW$59,"="&amp;CRONO!AE$12,CÁLCULO!$AB$15:$AL$59)/(ORÇAMENTO!$X$15-CÁLCULO.TotalAdmLocal)*CRONO!$E19,0),AE18*$R17),SUMIF(OFFSET($R19,1,0,$Q17-2),($L17+1)&amp;"$",OFFSET(AE19,1,0,$Q17-2)))</f>
        <v>0</v>
      </c>
    </row>
    <row r="20" customFormat="false" ht="12.75" hidden="false" customHeight="false" outlineLevel="0" collapsed="false">
      <c r="A20" s="322" t="n">
        <f aca="true">OFFSET(A20,-3,0)+1</f>
        <v>3</v>
      </c>
      <c r="B20" s="322" t="n">
        <f aca="true">IF($Q20&lt;&gt;2,0,IF($R20=0,1,IF(E21&gt;0,OFFSET(QCI!$M$13,SUBSTITUTE(E21,".",""),0),OFFSET(ORÇAMENTO!$AA$15,CRONO!$E20,0))/$R20))</f>
        <v>1</v>
      </c>
      <c r="C20" s="322" t="n">
        <f aca="true">IF($Q20&lt;&gt;2,0,IF($R20=0,1,IF(E21&gt;0,OFFSET(QCI!$N$13,SUBSTITUTE(E21,".",""),0),OFFSET(ORÇAMENTO!$AB$15,CRONO!$E20,0))/$R20))</f>
        <v>1</v>
      </c>
      <c r="D20" s="325" t="e">
        <f aca="false">IF(AND($Q20=2,ACOMPANHAMENTO="BM"),D21,D22/$R20)</f>
        <v>#DIV/0!</v>
      </c>
      <c r="E20" s="322" t="n">
        <f aca="true">IF(A20&lt;=ORÇAMENTO.MáximoListaCrono,MATCH(A20,ORÇAMENTO.ListaCrono,0),NA())</f>
        <v>4</v>
      </c>
      <c r="F20" s="322" t="str">
        <f aca="false">IF(AND($E21&lt;&gt;-1,$R20&gt;0),"F","")</f>
        <v/>
      </c>
      <c r="G20" s="326" t="str">
        <f aca="false">IF(OR(R20=0,R20=""),"Linha",IF(AND(OR(ACOMPANHAMENTO="PLE",$Q20&lt;&gt;2),$E21=0),"Linha",1-SUM(T20:AF20)))</f>
        <v>Linha</v>
      </c>
      <c r="H20" s="327" t="str">
        <f aca="true">IF($E21=0,OFFSET(ORÇAMENTO!O$15,$E20,0),IF($E21&lt;&gt;-1,OFFSET(QCI!$D$13,$E21,0),""))</f>
        <v>1.2.</v>
      </c>
      <c r="I20" s="328" t="str">
        <f aca="true">IF($E21=0,OFFSET(ORÇAMENTO!R$15,$E20,0),IF($E21&lt;&gt;-1,OFFSET(QCI!$G$13,$E21,0),""))</f>
        <v>Acompanhamento de Obra</v>
      </c>
      <c r="J20" s="328"/>
      <c r="K20" s="328"/>
      <c r="L20" s="329" t="n">
        <f aca="true">IF($E21=0,OFFSET(ORÇAMENTO!C$15,$E20,0),1)</f>
        <v>2</v>
      </c>
      <c r="M20" s="330" t="n">
        <f aca="true">IF($E21=-1,0,IF(M$13&lt;=$L20,IF(ISERROR(MATCH(M$13,OFFSET($L20,1,0,ROW($L$47)-ROW($L20)-1),0)),ROW($L$47)-ROW($L20)-1,MATCH(M$13,OFFSET($L20,1,0,ROW($L$47)-ROW($L20)-1),0)-1),0))</f>
        <v>26</v>
      </c>
      <c r="N20" s="330" t="n">
        <f aca="true">IF($E21=-1,0,IF(N$13&lt;=$L20,IF(ISERROR(MATCH(N$13,OFFSET($L20,1,0,ROW($L$47)-ROW($L20)-1),0)),ROW($L$47)-ROW($L20)-1,MATCH(N$13,OFFSET($L20,1,0,ROW($L$47)-ROW($L20)-1),0)-1),0))</f>
        <v>2</v>
      </c>
      <c r="O20" s="330" t="n">
        <f aca="true">IF($E21=-1,0,IF(O$13&lt;=$L20,IF(ISERROR(MATCH(O$13,OFFSET($L20,1,0,ROW($L$47)-ROW($L20)-1),0)),ROW($L$47)-ROW($L20)-1,MATCH(O$13,OFFSET($L20,1,0,ROW($L$47)-ROW($L20)-1),0)-1),0))</f>
        <v>0</v>
      </c>
      <c r="P20" s="330" t="n">
        <f aca="true">IF($E21=-1,0,IF(P$13&lt;=$L20,IF(ISERROR(MATCH(P$13,OFFSET($L20,1,0,ROW($L$47)-ROW($L20)-1),0)),ROW($L$47)-ROW($L20)-1,MATCH(P$13,OFFSET($L20,1,0,ROW($L$47)-ROW($L20)-1),0)-1),0))</f>
        <v>0</v>
      </c>
      <c r="Q20" s="330" t="n">
        <f aca="true">MIN(OFFSET(L20,0,1,,L20))</f>
        <v>2</v>
      </c>
      <c r="R20" s="331" t="n">
        <f aca="true">IF($E21=0,OFFSET(ORÇAMENTO!X$15,$E20,0),IF($E21&lt;&gt;-1,OFFSET(QCI!$O$13,$E21,0),""))</f>
        <v>0</v>
      </c>
      <c r="S20" s="332" t="s">
        <v>398</v>
      </c>
      <c r="T20" s="333" t="e">
        <f aca="false">IF(AND($Q20=2,ACOMPANHAMENTO="BM"),T21,T22/$R20)</f>
        <v>#DIV/0!</v>
      </c>
      <c r="U20" s="325" t="e">
        <f aca="false">IF(AND($Q20=2,ACOMPANHAMENTO="BM"),U21,U22/$R20)</f>
        <v>#DIV/0!</v>
      </c>
      <c r="V20" s="325" t="e">
        <f aca="false">IF(AND($Q20=2,ACOMPANHAMENTO="BM"),V21,V22/$R20)</f>
        <v>#DIV/0!</v>
      </c>
      <c r="W20" s="325" t="e">
        <f aca="false">IF(AND($Q20=2,ACOMPANHAMENTO="BM"),W21,W22/$R20)</f>
        <v>#DIV/0!</v>
      </c>
      <c r="X20" s="325" t="e">
        <f aca="false">IF(AND($Q20=2,ACOMPANHAMENTO="BM"),X21,X22/$R20)</f>
        <v>#DIV/0!</v>
      </c>
      <c r="Y20" s="325" t="e">
        <f aca="false">IF(AND($Q20=2,ACOMPANHAMENTO="BM"),Y21,Y22/$R20)</f>
        <v>#DIV/0!</v>
      </c>
      <c r="Z20" s="325" t="e">
        <f aca="false">IF(AND($Q20=2,ACOMPANHAMENTO="BM"),Z21,Z22/$R20)</f>
        <v>#DIV/0!</v>
      </c>
      <c r="AA20" s="325" t="e">
        <f aca="false">IF(AND($Q20=2,ACOMPANHAMENTO="BM"),AA21,AA22/$R20)</f>
        <v>#DIV/0!</v>
      </c>
      <c r="AB20" s="325" t="e">
        <f aca="false">IF(AND($Q20=2,ACOMPANHAMENTO="BM"),AB21,AB22/$R20)</f>
        <v>#DIV/0!</v>
      </c>
      <c r="AC20" s="325" t="e">
        <f aca="false">IF(AND($Q20=2,ACOMPANHAMENTO="BM"),AC21,AC22/$R20)</f>
        <v>#DIV/0!</v>
      </c>
      <c r="AD20" s="325" t="e">
        <f aca="false">IF(AND($Q20=2,ACOMPANHAMENTO="BM"),AD21,AD22/$R20)</f>
        <v>#DIV/0!</v>
      </c>
      <c r="AE20" s="334" t="e">
        <f aca="false">IF(AND($Q20=2,ACOMPANHAMENTO="BM"),AE21,AE22/$R20)</f>
        <v>#DIV/0!</v>
      </c>
    </row>
    <row r="21" customFormat="false" ht="12.75" hidden="false" customHeight="true" outlineLevel="0" collapsed="false">
      <c r="D21" s="335"/>
      <c r="E21" s="322" t="n">
        <f aca="true">IF(ISERROR(E20),IF(1+COUNTIF($L$13:OFFSET(L20,-1,0),1)&lt;=MAX(QCI!$D$13:$D$24),1+COUNTIF($L$13:OFFSET(L20,-1,0),1),-1),0)</f>
        <v>0</v>
      </c>
      <c r="F21" s="322" t="str">
        <f aca="false">IF(AND($E21&lt;&gt;-1,$R20&gt;0),"F","")</f>
        <v/>
      </c>
      <c r="G21" s="336" t="str">
        <f aca="false">IF(OR(R20=0,R20=""),"vazia",IF(AND(OR(ACOMPANHAMENTO="PLE",$Q20&lt;&gt;2),$E21=0),"calculada","--&gt;"))</f>
        <v>vazia</v>
      </c>
      <c r="H21" s="337"/>
      <c r="I21" s="338" t="str">
        <f aca="false">IF(AND(G20&lt;&gt;0,ISNUMBER(G20)),"PREENCHA ESTA LINHA --&gt;","")</f>
        <v/>
      </c>
      <c r="J21" s="338"/>
      <c r="K21" s="338"/>
      <c r="L21" s="339"/>
      <c r="M21" s="339"/>
      <c r="N21" s="339"/>
      <c r="O21" s="339"/>
      <c r="P21" s="339"/>
      <c r="Q21" s="339"/>
      <c r="R21" s="340"/>
      <c r="S21" s="341"/>
      <c r="T21" s="342" t="n">
        <v>0.33</v>
      </c>
      <c r="U21" s="335" t="n">
        <v>0.33</v>
      </c>
      <c r="V21" s="335" t="n">
        <v>0.34</v>
      </c>
      <c r="W21" s="335"/>
      <c r="X21" s="335"/>
      <c r="Y21" s="335"/>
      <c r="Z21" s="335"/>
      <c r="AA21" s="335"/>
      <c r="AB21" s="335"/>
      <c r="AC21" s="335"/>
      <c r="AD21" s="335"/>
      <c r="AE21" s="343"/>
      <c r="AF21" s="344"/>
    </row>
    <row r="22" customFormat="false" ht="12.8" hidden="true" customHeight="false" outlineLevel="0" collapsed="false">
      <c r="D22" s="345" t="n">
        <f aca="true">IF($Q20=2,IF(AND(ACOMPANHAMENTO="PLE",ISNUMBER($E20)),SUMIF((OFFSET(CÁLCULO!$AM$15:$AW$15,$E20,0,OFFSET(ORÇAMENTO!$D$15,CRONO!$E20,0))),"="&amp;CRONO!D$12,OFFSET(CÁLCULO!$AB$15:$AL$15,$E20,0,OFFSET(ORÇAMENTO!$D$15,CRONO!$E20,0)))+IF(AND($E22&lt;&gt;"",$E22&lt;&gt;0),SUMIF(CÁLCULO!$AM$15:$AW$59,"="&amp;CRONO!D$12,CÁLCULO!$AB$15:$AL$59)/(ORÇAMENTO!$X$15-CÁLCULO.TotalAdmLocal)*CRONO!$E22,0),D21*$R20),SUMIF(OFFSET($R22,1,0,$Q20-2),($L20+1)&amp;"$",OFFSET(D22,1,0,$Q20-2)))</f>
        <v>0</v>
      </c>
      <c r="E22" s="322" t="n">
        <f aca="true">IF(OR($Q20&lt;&gt;2,AUTOEVENTO&lt;&gt;"manual",$E21&gt;0),"",SUMIF(OFFSET(CÁLCULO!$M$15,CRONO!$E20,0,OFFSET(ORÇAMENTO!$D$15,CRONO!$E20,0)),1,OFFSET(ORÇAMENTO!$X$15,CRONO!$E20,0,OFFSET(ORÇAMENTO!$D$15,CRONO!$E20,0))))</f>
        <v>0</v>
      </c>
      <c r="G22" s="346"/>
      <c r="R22" s="347" t="str">
        <f aca="false">L20&amp;"$"</f>
        <v>2$</v>
      </c>
      <c r="S22" s="348"/>
      <c r="T22" s="349" t="n">
        <f aca="true">IF($Q20=2,IF(AND(ACOMPANHAMENTO="PLE",ISNUMBER($E20)),SUMIF((OFFSET(CÁLCULO!$AM$15:$AW$15,$E20,0,OFFSET(ORÇAMENTO!$D$15,CRONO!$E20,0))),"&lt;="&amp;CRONO!T$12,OFFSET(CÁLCULO!$AB$15:$AL$15,$E20,0,OFFSET(ORÇAMENTO!$D$15,CRONO!$E20,0)))+IF(AND($E22&lt;&gt;"",$E22&lt;&gt;0),SUMIF(CÁLCULO!$AM$15:$AW$59,"&lt;="&amp;CRONO!T$12,CÁLCULO!$AB$15:$AL$59)/(ORÇAMENTO!$X$15-CÁLCULO.TotalAdmLocal)*CRONO!$E22,0),T21*$R20),SUMIF(OFFSET($R22,1,0,$Q20-2),($L20+1)&amp;"$",OFFSET(T22,1,0,$Q20-2)))</f>
        <v>0</v>
      </c>
      <c r="U22" s="345" t="n">
        <f aca="true">IF($Q20=2,IF(AND(ACOMPANHAMENTO="PLE",ISNUMBER($E20)),SUMIF((OFFSET(CÁLCULO!$AM$15:$AW$15,$E20,0,OFFSET(ORÇAMENTO!$D$15,CRONO!$E20,0))),"="&amp;CRONO!U$12,OFFSET(CÁLCULO!$AB$15:$AL$15,$E20,0,OFFSET(ORÇAMENTO!$D$15,CRONO!$E20,0)))+IF(AND($E22&lt;&gt;"",$E22&lt;&gt;0),SUMIF(CÁLCULO!$AM$15:$AW$59,"="&amp;CRONO!U$12,CÁLCULO!$AB$15:$AL$59)/(ORÇAMENTO!$X$15-CÁLCULO.TotalAdmLocal)*CRONO!$E22,0),U21*$R20),SUMIF(OFFSET($R22,1,0,$Q20-2),($L20+1)&amp;"$",OFFSET(U22,1,0,$Q20-2)))</f>
        <v>0</v>
      </c>
      <c r="V22" s="345" t="n">
        <f aca="true">IF($Q20=2,IF(AND(ACOMPANHAMENTO="PLE",ISNUMBER($E20)),SUMIF((OFFSET(CÁLCULO!$AM$15:$AW$15,$E20,0,OFFSET(ORÇAMENTO!$D$15,CRONO!$E20,0))),"="&amp;CRONO!V$12,OFFSET(CÁLCULO!$AB$15:$AL$15,$E20,0,OFFSET(ORÇAMENTO!$D$15,CRONO!$E20,0)))+IF(AND($E22&lt;&gt;"",$E22&lt;&gt;0),SUMIF(CÁLCULO!$AM$15:$AW$59,"="&amp;CRONO!V$12,CÁLCULO!$AB$15:$AL$59)/(ORÇAMENTO!$X$15-CÁLCULO.TotalAdmLocal)*CRONO!$E22,0),V21*$R20),SUMIF(OFFSET($R22,1,0,$Q20-2),($L20+1)&amp;"$",OFFSET(V22,1,0,$Q20-2)))</f>
        <v>0</v>
      </c>
      <c r="W22" s="345" t="n">
        <f aca="true">IF($Q20=2,IF(AND(ACOMPANHAMENTO="PLE",ISNUMBER($E20)),SUMIF((OFFSET(CÁLCULO!$AM$15:$AW$15,$E20,0,OFFSET(ORÇAMENTO!$D$15,CRONO!$E20,0))),"="&amp;CRONO!W$12,OFFSET(CÁLCULO!$AB$15:$AL$15,$E20,0,OFFSET(ORÇAMENTO!$D$15,CRONO!$E20,0)))+IF(AND($E22&lt;&gt;"",$E22&lt;&gt;0),SUMIF(CÁLCULO!$AM$15:$AW$59,"="&amp;CRONO!W$12,CÁLCULO!$AB$15:$AL$59)/(ORÇAMENTO!$X$15-CÁLCULO.TotalAdmLocal)*CRONO!$E22,0),W21*$R20),SUMIF(OFFSET($R22,1,0,$Q20-2),($L20+1)&amp;"$",OFFSET(W22,1,0,$Q20-2)))</f>
        <v>0</v>
      </c>
      <c r="X22" s="345" t="n">
        <f aca="true">IF($Q20=2,IF(AND(ACOMPANHAMENTO="PLE",ISNUMBER($E20)),SUMIF((OFFSET(CÁLCULO!$AM$15:$AW$15,$E20,0,OFFSET(ORÇAMENTO!$D$15,CRONO!$E20,0))),"="&amp;CRONO!X$12,OFFSET(CÁLCULO!$AB$15:$AL$15,$E20,0,OFFSET(ORÇAMENTO!$D$15,CRONO!$E20,0)))+IF(AND($E22&lt;&gt;"",$E22&lt;&gt;0),SUMIF(CÁLCULO!$AM$15:$AW$59,"="&amp;CRONO!X$12,CÁLCULO!$AB$15:$AL$59)/(ORÇAMENTO!$X$15-CÁLCULO.TotalAdmLocal)*CRONO!$E22,0),X21*$R20),SUMIF(OFFSET($R22,1,0,$Q20-2),($L20+1)&amp;"$",OFFSET(X22,1,0,$Q20-2)))</f>
        <v>0</v>
      </c>
      <c r="Y22" s="345" t="n">
        <f aca="true">IF($Q20=2,IF(AND(ACOMPANHAMENTO="PLE",ISNUMBER($E20)),SUMIF((OFFSET(CÁLCULO!$AM$15:$AW$15,$E20,0,OFFSET(ORÇAMENTO!$D$15,CRONO!$E20,0))),"="&amp;CRONO!Y$12,OFFSET(CÁLCULO!$AB$15:$AL$15,$E20,0,OFFSET(ORÇAMENTO!$D$15,CRONO!$E20,0)))+IF(AND($E22&lt;&gt;"",$E22&lt;&gt;0),SUMIF(CÁLCULO!$AM$15:$AW$59,"="&amp;CRONO!Y$12,CÁLCULO!$AB$15:$AL$59)/(ORÇAMENTO!$X$15-CÁLCULO.TotalAdmLocal)*CRONO!$E22,0),Y21*$R20),SUMIF(OFFSET($R22,1,0,$Q20-2),($L20+1)&amp;"$",OFFSET(Y22,1,0,$Q20-2)))</f>
        <v>0</v>
      </c>
      <c r="Z22" s="345" t="n">
        <f aca="true">IF($Q20=2,IF(AND(ACOMPANHAMENTO="PLE",ISNUMBER($E20)),SUMIF((OFFSET(CÁLCULO!$AM$15:$AW$15,$E20,0,OFFSET(ORÇAMENTO!$D$15,CRONO!$E20,0))),"="&amp;CRONO!Z$12,OFFSET(CÁLCULO!$AB$15:$AL$15,$E20,0,OFFSET(ORÇAMENTO!$D$15,CRONO!$E20,0)))+IF(AND($E22&lt;&gt;"",$E22&lt;&gt;0),SUMIF(CÁLCULO!$AM$15:$AW$59,"="&amp;CRONO!Z$12,CÁLCULO!$AB$15:$AL$59)/(ORÇAMENTO!$X$15-CÁLCULO.TotalAdmLocal)*CRONO!$E22,0),Z21*$R20),SUMIF(OFFSET($R22,1,0,$Q20-2),($L20+1)&amp;"$",OFFSET(Z22,1,0,$Q20-2)))</f>
        <v>0</v>
      </c>
      <c r="AA22" s="345" t="n">
        <f aca="true">IF($Q20=2,IF(AND(ACOMPANHAMENTO="PLE",ISNUMBER($E20)),SUMIF((OFFSET(CÁLCULO!$AM$15:$AW$15,$E20,0,OFFSET(ORÇAMENTO!$D$15,CRONO!$E20,0))),"="&amp;CRONO!AA$12,OFFSET(CÁLCULO!$AB$15:$AL$15,$E20,0,OFFSET(ORÇAMENTO!$D$15,CRONO!$E20,0)))+IF(AND($E22&lt;&gt;"",$E22&lt;&gt;0),SUMIF(CÁLCULO!$AM$15:$AW$59,"="&amp;CRONO!AA$12,CÁLCULO!$AB$15:$AL$59)/(ORÇAMENTO!$X$15-CÁLCULO.TotalAdmLocal)*CRONO!$E22,0),AA21*$R20),SUMIF(OFFSET($R22,1,0,$Q20-2),($L20+1)&amp;"$",OFFSET(AA22,1,0,$Q20-2)))</f>
        <v>0</v>
      </c>
      <c r="AB22" s="345" t="n">
        <f aca="true">IF($Q20=2,IF(AND(ACOMPANHAMENTO="PLE",ISNUMBER($E20)),SUMIF((OFFSET(CÁLCULO!$AM$15:$AW$15,$E20,0,OFFSET(ORÇAMENTO!$D$15,CRONO!$E20,0))),"="&amp;CRONO!AB$12,OFFSET(CÁLCULO!$AB$15:$AL$15,$E20,0,OFFSET(ORÇAMENTO!$D$15,CRONO!$E20,0)))+IF(AND($E22&lt;&gt;"",$E22&lt;&gt;0),SUMIF(CÁLCULO!$AM$15:$AW$59,"="&amp;CRONO!AB$12,CÁLCULO!$AB$15:$AL$59)/(ORÇAMENTO!$X$15-CÁLCULO.TotalAdmLocal)*CRONO!$E22,0),AB21*$R20),SUMIF(OFFSET($R22,1,0,$Q20-2),($L20+1)&amp;"$",OFFSET(AB22,1,0,$Q20-2)))</f>
        <v>0</v>
      </c>
      <c r="AC22" s="345" t="n">
        <f aca="true">IF($Q20=2,IF(AND(ACOMPANHAMENTO="PLE",ISNUMBER($E20)),SUMIF((OFFSET(CÁLCULO!$AM$15:$AW$15,$E20,0,OFFSET(ORÇAMENTO!$D$15,CRONO!$E20,0))),"="&amp;CRONO!AC$12,OFFSET(CÁLCULO!$AB$15:$AL$15,$E20,0,OFFSET(ORÇAMENTO!$D$15,CRONO!$E20,0)))+IF(AND($E22&lt;&gt;"",$E22&lt;&gt;0),SUMIF(CÁLCULO!$AM$15:$AW$59,"="&amp;CRONO!AC$12,CÁLCULO!$AB$15:$AL$59)/(ORÇAMENTO!$X$15-CÁLCULO.TotalAdmLocal)*CRONO!$E22,0),AC21*$R20),SUMIF(OFFSET($R22,1,0,$Q20-2),($L20+1)&amp;"$",OFFSET(AC22,1,0,$Q20-2)))</f>
        <v>0</v>
      </c>
      <c r="AD22" s="345" t="n">
        <f aca="true">IF($Q20=2,IF(AND(ACOMPANHAMENTO="PLE",ISNUMBER($E20)),SUMIF((OFFSET(CÁLCULO!$AM$15:$AW$15,$E20,0,OFFSET(ORÇAMENTO!$D$15,CRONO!$E20,0))),"="&amp;CRONO!AD$12,OFFSET(CÁLCULO!$AB$15:$AL$15,$E20,0,OFFSET(ORÇAMENTO!$D$15,CRONO!$E20,0)))+IF(AND($E22&lt;&gt;"",$E22&lt;&gt;0),SUMIF(CÁLCULO!$AM$15:$AW$59,"="&amp;CRONO!AD$12,CÁLCULO!$AB$15:$AL$59)/(ORÇAMENTO!$X$15-CÁLCULO.TotalAdmLocal)*CRONO!$E22,0),AD21*$R20),SUMIF(OFFSET($R22,1,0,$Q20-2),($L20+1)&amp;"$",OFFSET(AD22,1,0,$Q20-2)))</f>
        <v>0</v>
      </c>
      <c r="AE22" s="350" t="n">
        <f aca="true">IF($Q20=2,IF(AND(ACOMPANHAMENTO="PLE",ISNUMBER($E20)),SUMIF((OFFSET(CÁLCULO!$AM$15:$AW$15,$E20,0,OFFSET(ORÇAMENTO!$D$15,CRONO!$E20,0))),"="&amp;CRONO!AE$12,OFFSET(CÁLCULO!$AB$15:$AL$15,$E20,0,OFFSET(ORÇAMENTO!$D$15,CRONO!$E20,0)))+IF(AND($E22&lt;&gt;"",$E22&lt;&gt;0),SUMIF(CÁLCULO!$AM$15:$AW$59,"="&amp;CRONO!AE$12,CÁLCULO!$AB$15:$AL$59)/(ORÇAMENTO!$X$15-CÁLCULO.TotalAdmLocal)*CRONO!$E22,0),AE21*$R20),SUMIF(OFFSET($R22,1,0,$Q20-2),($L20+1)&amp;"$",OFFSET(AE22,1,0,$Q20-2)))</f>
        <v>0</v>
      </c>
    </row>
    <row r="23" customFormat="false" ht="12.75" hidden="false" customHeight="false" outlineLevel="0" collapsed="false">
      <c r="A23" s="322" t="n">
        <f aca="true">OFFSET(A23,-3,0)+1</f>
        <v>4</v>
      </c>
      <c r="B23" s="322" t="n">
        <f aca="true">IF($Q23&lt;&gt;2,0,IF($R23=0,1,IF(E24&gt;0,OFFSET(QCI!$M$13,SUBSTITUTE(E24,".",""),0),OFFSET(ORÇAMENTO!$AA$15,CRONO!$E23,0))/$R23))</f>
        <v>1</v>
      </c>
      <c r="C23" s="322" t="n">
        <f aca="true">IF($Q23&lt;&gt;2,0,IF($R23=0,1,IF(E24&gt;0,OFFSET(QCI!$N$13,SUBSTITUTE(E24,".",""),0),OFFSET(ORÇAMENTO!$AB$15,CRONO!$E23,0))/$R23))</f>
        <v>1</v>
      </c>
      <c r="D23" s="325" t="e">
        <f aca="false">IF(AND($Q23=2,ACOMPANHAMENTO="BM"),D24,D25/$R23)</f>
        <v>#DIV/0!</v>
      </c>
      <c r="E23" s="322" t="n">
        <f aca="true">IF(A23&lt;=ORÇAMENTO.MáximoListaCrono,MATCH(A23,ORÇAMENTO.ListaCrono,0),NA())</f>
        <v>6</v>
      </c>
      <c r="F23" s="322" t="str">
        <f aca="false">IF(AND($E24&lt;&gt;-1,$R23&gt;0),"F","")</f>
        <v/>
      </c>
      <c r="G23" s="326" t="str">
        <f aca="false">IF(OR(R23=0,R23=""),"Linha",IF(AND(OR(ACOMPANHAMENTO="PLE",$Q23&lt;&gt;2),$E24=0),"Linha",1-SUM(T23:AF23)))</f>
        <v>Linha</v>
      </c>
      <c r="H23" s="327" t="str">
        <f aca="true">IF($E24=0,OFFSET(ORÇAMENTO!O$15,$E23,0),IF($E24&lt;&gt;-1,OFFSET(QCI!$D$13,$E24,0),""))</f>
        <v>1.3.</v>
      </c>
      <c r="I23" s="328" t="str">
        <f aca="true">IF($E24=0,OFFSET(ORÇAMENTO!R$15,$E23,0),IF($E24&lt;&gt;-1,OFFSET(QCI!$G$13,$E24,0),""))</f>
        <v>Canteiro</v>
      </c>
      <c r="J23" s="328"/>
      <c r="K23" s="328"/>
      <c r="L23" s="329" t="n">
        <f aca="true">IF($E24=0,OFFSET(ORÇAMENTO!C$15,$E23,0),1)</f>
        <v>2</v>
      </c>
      <c r="M23" s="330" t="n">
        <f aca="true">IF($E24=-1,0,IF(M$13&lt;=$L23,IF(ISERROR(MATCH(M$13,OFFSET($L23,1,0,ROW($L$47)-ROW($L23)-1),0)),ROW($L$47)-ROW($L23)-1,MATCH(M$13,OFFSET($L23,1,0,ROW($L$47)-ROW($L23)-1),0)-1),0))</f>
        <v>23</v>
      </c>
      <c r="N23" s="330" t="n">
        <f aca="true">IF($E24=-1,0,IF(N$13&lt;=$L23,IF(ISERROR(MATCH(N$13,OFFSET($L23,1,0,ROW($L$47)-ROW($L23)-1),0)),ROW($L$47)-ROW($L23)-1,MATCH(N$13,OFFSET($L23,1,0,ROW($L$47)-ROW($L23)-1),0)-1),0))</f>
        <v>2</v>
      </c>
      <c r="O23" s="330" t="n">
        <f aca="true">IF($E24=-1,0,IF(O$13&lt;=$L23,IF(ISERROR(MATCH(O$13,OFFSET($L23,1,0,ROW($L$47)-ROW($L23)-1),0)),ROW($L$47)-ROW($L23)-1,MATCH(O$13,OFFSET($L23,1,0,ROW($L$47)-ROW($L23)-1),0)-1),0))</f>
        <v>0</v>
      </c>
      <c r="P23" s="330" t="n">
        <f aca="true">IF($E24=-1,0,IF(P$13&lt;=$L23,IF(ISERROR(MATCH(P$13,OFFSET($L23,1,0,ROW($L$47)-ROW($L23)-1),0)),ROW($L$47)-ROW($L23)-1,MATCH(P$13,OFFSET($L23,1,0,ROW($L$47)-ROW($L23)-1),0)-1),0))</f>
        <v>0</v>
      </c>
      <c r="Q23" s="330" t="n">
        <f aca="true">MIN(OFFSET(L23,0,1,,L23))</f>
        <v>2</v>
      </c>
      <c r="R23" s="331" t="n">
        <f aca="true">IF($E24=0,OFFSET(ORÇAMENTO!X$15,$E23,0),IF($E24&lt;&gt;-1,OFFSET(QCI!$O$13,$E24,0),""))</f>
        <v>0</v>
      </c>
      <c r="S23" s="332" t="s">
        <v>398</v>
      </c>
      <c r="T23" s="333" t="e">
        <f aca="false">IF(AND($Q23=2,ACOMPANHAMENTO="BM"),T24,T25/$R23)</f>
        <v>#DIV/0!</v>
      </c>
      <c r="U23" s="325" t="e">
        <f aca="false">IF(AND($Q23=2,ACOMPANHAMENTO="BM"),U24,U25/$R23)</f>
        <v>#DIV/0!</v>
      </c>
      <c r="V23" s="325" t="e">
        <f aca="false">IF(AND($Q23=2,ACOMPANHAMENTO="BM"),V24,V25/$R23)</f>
        <v>#DIV/0!</v>
      </c>
      <c r="W23" s="325" t="e">
        <f aca="false">IF(AND($Q23=2,ACOMPANHAMENTO="BM"),W24,W25/$R23)</f>
        <v>#DIV/0!</v>
      </c>
      <c r="X23" s="325" t="e">
        <f aca="false">IF(AND($Q23=2,ACOMPANHAMENTO="BM"),X24,X25/$R23)</f>
        <v>#DIV/0!</v>
      </c>
      <c r="Y23" s="325" t="e">
        <f aca="false">IF(AND($Q23=2,ACOMPANHAMENTO="BM"),Y24,Y25/$R23)</f>
        <v>#DIV/0!</v>
      </c>
      <c r="Z23" s="325" t="e">
        <f aca="false">IF(AND($Q23=2,ACOMPANHAMENTO="BM"),Z24,Z25/$R23)</f>
        <v>#DIV/0!</v>
      </c>
      <c r="AA23" s="325" t="e">
        <f aca="false">IF(AND($Q23=2,ACOMPANHAMENTO="BM"),AA24,AA25/$R23)</f>
        <v>#DIV/0!</v>
      </c>
      <c r="AB23" s="325" t="e">
        <f aca="false">IF(AND($Q23=2,ACOMPANHAMENTO="BM"),AB24,AB25/$R23)</f>
        <v>#DIV/0!</v>
      </c>
      <c r="AC23" s="325" t="e">
        <f aca="false">IF(AND($Q23=2,ACOMPANHAMENTO="BM"),AC24,AC25/$R23)</f>
        <v>#DIV/0!</v>
      </c>
      <c r="AD23" s="325" t="e">
        <f aca="false">IF(AND($Q23=2,ACOMPANHAMENTO="BM"),AD24,AD25/$R23)</f>
        <v>#DIV/0!</v>
      </c>
      <c r="AE23" s="334" t="e">
        <f aca="false">IF(AND($Q23=2,ACOMPANHAMENTO="BM"),AE24,AE25/$R23)</f>
        <v>#DIV/0!</v>
      </c>
    </row>
    <row r="24" customFormat="false" ht="12.75" hidden="false" customHeight="true" outlineLevel="0" collapsed="false">
      <c r="D24" s="335"/>
      <c r="E24" s="322" t="n">
        <f aca="true">IF(ISERROR(E23),IF(1+COUNTIF($L$13:OFFSET(L23,-1,0),1)&lt;=MAX(QCI!$D$13:$D$24),1+COUNTIF($L$13:OFFSET(L23,-1,0),1),-1),0)</f>
        <v>0</v>
      </c>
      <c r="F24" s="322" t="str">
        <f aca="false">IF(AND($E24&lt;&gt;-1,$R23&gt;0),"F","")</f>
        <v/>
      </c>
      <c r="G24" s="336" t="str">
        <f aca="false">IF(OR(R23=0,R23=""),"vazia",IF(AND(OR(ACOMPANHAMENTO="PLE",$Q23&lt;&gt;2),$E24=0),"calculada","--&gt;"))</f>
        <v>vazia</v>
      </c>
      <c r="H24" s="337"/>
      <c r="I24" s="338" t="str">
        <f aca="false">IF(AND(G23&lt;&gt;0,ISNUMBER(G23)),"PREENCHA ESTA LINHA --&gt;","")</f>
        <v/>
      </c>
      <c r="J24" s="338"/>
      <c r="K24" s="338"/>
      <c r="L24" s="339"/>
      <c r="M24" s="339"/>
      <c r="N24" s="339"/>
      <c r="O24" s="339"/>
      <c r="P24" s="339"/>
      <c r="Q24" s="339"/>
      <c r="R24" s="340"/>
      <c r="S24" s="341"/>
      <c r="T24" s="342" t="n">
        <v>0.33</v>
      </c>
      <c r="U24" s="335" t="n">
        <v>0.33</v>
      </c>
      <c r="V24" s="335" t="n">
        <v>0.34</v>
      </c>
      <c r="W24" s="335"/>
      <c r="X24" s="335"/>
      <c r="Y24" s="335"/>
      <c r="Z24" s="335"/>
      <c r="AA24" s="335"/>
      <c r="AB24" s="335"/>
      <c r="AC24" s="335"/>
      <c r="AD24" s="335"/>
      <c r="AE24" s="343"/>
      <c r="AF24" s="344"/>
    </row>
    <row r="25" customFormat="false" ht="12.8" hidden="true" customHeight="false" outlineLevel="0" collapsed="false">
      <c r="D25" s="345" t="n">
        <f aca="true">IF($Q23=2,IF(AND(ACOMPANHAMENTO="PLE",ISNUMBER($E23)),SUMIF((OFFSET(CÁLCULO!$AM$15:$AW$15,$E23,0,OFFSET(ORÇAMENTO!$D$15,CRONO!$E23,0))),"="&amp;CRONO!D$12,OFFSET(CÁLCULO!$AB$15:$AL$15,$E23,0,OFFSET(ORÇAMENTO!$D$15,CRONO!$E23,0)))+IF(AND($E25&lt;&gt;"",$E25&lt;&gt;0),SUMIF(CÁLCULO!$AM$15:$AW$59,"="&amp;CRONO!D$12,CÁLCULO!$AB$15:$AL$59)/(ORÇAMENTO!$X$15-CÁLCULO.TotalAdmLocal)*CRONO!$E25,0),D24*$R23),SUMIF(OFFSET($R25,1,0,$Q23-2),($L23+1)&amp;"$",OFFSET(D25,1,0,$Q23-2)))</f>
        <v>0</v>
      </c>
      <c r="E25" s="322" t="n">
        <f aca="true">IF(OR($Q23&lt;&gt;2,AUTOEVENTO&lt;&gt;"manual",$E24&gt;0),"",SUMIF(OFFSET(CÁLCULO!$M$15,CRONO!$E23,0,OFFSET(ORÇAMENTO!$D$15,CRONO!$E23,0)),1,OFFSET(ORÇAMENTO!$X$15,CRONO!$E23,0,OFFSET(ORÇAMENTO!$D$15,CRONO!$E23,0))))</f>
        <v>0</v>
      </c>
      <c r="G25" s="346"/>
      <c r="R25" s="347" t="str">
        <f aca="false">L23&amp;"$"</f>
        <v>2$</v>
      </c>
      <c r="S25" s="348"/>
      <c r="T25" s="349" t="n">
        <f aca="true">IF($Q23=2,IF(AND(ACOMPANHAMENTO="PLE",ISNUMBER($E23)),SUMIF((OFFSET(CÁLCULO!$AM$15:$AW$15,$E23,0,OFFSET(ORÇAMENTO!$D$15,CRONO!$E23,0))),"&lt;="&amp;CRONO!T$12,OFFSET(CÁLCULO!$AB$15:$AL$15,$E23,0,OFFSET(ORÇAMENTO!$D$15,CRONO!$E23,0)))+IF(AND($E25&lt;&gt;"",$E25&lt;&gt;0),SUMIF(CÁLCULO!$AM$15:$AW$59,"&lt;="&amp;CRONO!T$12,CÁLCULO!$AB$15:$AL$59)/(ORÇAMENTO!$X$15-CÁLCULO.TotalAdmLocal)*CRONO!$E25,0),T24*$R23),SUMIF(OFFSET($R25,1,0,$Q23-2),($L23+1)&amp;"$",OFFSET(T25,1,0,$Q23-2)))</f>
        <v>0</v>
      </c>
      <c r="U25" s="345" t="n">
        <f aca="true">IF($Q23=2,IF(AND(ACOMPANHAMENTO="PLE",ISNUMBER($E23)),SUMIF((OFFSET(CÁLCULO!$AM$15:$AW$15,$E23,0,OFFSET(ORÇAMENTO!$D$15,CRONO!$E23,0))),"="&amp;CRONO!U$12,OFFSET(CÁLCULO!$AB$15:$AL$15,$E23,0,OFFSET(ORÇAMENTO!$D$15,CRONO!$E23,0)))+IF(AND($E25&lt;&gt;"",$E25&lt;&gt;0),SUMIF(CÁLCULO!$AM$15:$AW$59,"="&amp;CRONO!U$12,CÁLCULO!$AB$15:$AL$59)/(ORÇAMENTO!$X$15-CÁLCULO.TotalAdmLocal)*CRONO!$E25,0),U24*$R23),SUMIF(OFFSET($R25,1,0,$Q23-2),($L23+1)&amp;"$",OFFSET(U25,1,0,$Q23-2)))</f>
        <v>0</v>
      </c>
      <c r="V25" s="345" t="n">
        <f aca="true">IF($Q23=2,IF(AND(ACOMPANHAMENTO="PLE",ISNUMBER($E23)),SUMIF((OFFSET(CÁLCULO!$AM$15:$AW$15,$E23,0,OFFSET(ORÇAMENTO!$D$15,CRONO!$E23,0))),"="&amp;CRONO!V$12,OFFSET(CÁLCULO!$AB$15:$AL$15,$E23,0,OFFSET(ORÇAMENTO!$D$15,CRONO!$E23,0)))+IF(AND($E25&lt;&gt;"",$E25&lt;&gt;0),SUMIF(CÁLCULO!$AM$15:$AW$59,"="&amp;CRONO!V$12,CÁLCULO!$AB$15:$AL$59)/(ORÇAMENTO!$X$15-CÁLCULO.TotalAdmLocal)*CRONO!$E25,0),V24*$R23),SUMIF(OFFSET($R25,1,0,$Q23-2),($L23+1)&amp;"$",OFFSET(V25,1,0,$Q23-2)))</f>
        <v>0</v>
      </c>
      <c r="W25" s="345" t="n">
        <f aca="true">IF($Q23=2,IF(AND(ACOMPANHAMENTO="PLE",ISNUMBER($E23)),SUMIF((OFFSET(CÁLCULO!$AM$15:$AW$15,$E23,0,OFFSET(ORÇAMENTO!$D$15,CRONO!$E23,0))),"="&amp;CRONO!W$12,OFFSET(CÁLCULO!$AB$15:$AL$15,$E23,0,OFFSET(ORÇAMENTO!$D$15,CRONO!$E23,0)))+IF(AND($E25&lt;&gt;"",$E25&lt;&gt;0),SUMIF(CÁLCULO!$AM$15:$AW$59,"="&amp;CRONO!W$12,CÁLCULO!$AB$15:$AL$59)/(ORÇAMENTO!$X$15-CÁLCULO.TotalAdmLocal)*CRONO!$E25,0),W24*$R23),SUMIF(OFFSET($R25,1,0,$Q23-2),($L23+1)&amp;"$",OFFSET(W25,1,0,$Q23-2)))</f>
        <v>0</v>
      </c>
      <c r="X25" s="345" t="n">
        <f aca="true">IF($Q23=2,IF(AND(ACOMPANHAMENTO="PLE",ISNUMBER($E23)),SUMIF((OFFSET(CÁLCULO!$AM$15:$AW$15,$E23,0,OFFSET(ORÇAMENTO!$D$15,CRONO!$E23,0))),"="&amp;CRONO!X$12,OFFSET(CÁLCULO!$AB$15:$AL$15,$E23,0,OFFSET(ORÇAMENTO!$D$15,CRONO!$E23,0)))+IF(AND($E25&lt;&gt;"",$E25&lt;&gt;0),SUMIF(CÁLCULO!$AM$15:$AW$59,"="&amp;CRONO!X$12,CÁLCULO!$AB$15:$AL$59)/(ORÇAMENTO!$X$15-CÁLCULO.TotalAdmLocal)*CRONO!$E25,0),X24*$R23),SUMIF(OFFSET($R25,1,0,$Q23-2),($L23+1)&amp;"$",OFFSET(X25,1,0,$Q23-2)))</f>
        <v>0</v>
      </c>
      <c r="Y25" s="345" t="n">
        <f aca="true">IF($Q23=2,IF(AND(ACOMPANHAMENTO="PLE",ISNUMBER($E23)),SUMIF((OFFSET(CÁLCULO!$AM$15:$AW$15,$E23,0,OFFSET(ORÇAMENTO!$D$15,CRONO!$E23,0))),"="&amp;CRONO!Y$12,OFFSET(CÁLCULO!$AB$15:$AL$15,$E23,0,OFFSET(ORÇAMENTO!$D$15,CRONO!$E23,0)))+IF(AND($E25&lt;&gt;"",$E25&lt;&gt;0),SUMIF(CÁLCULO!$AM$15:$AW$59,"="&amp;CRONO!Y$12,CÁLCULO!$AB$15:$AL$59)/(ORÇAMENTO!$X$15-CÁLCULO.TotalAdmLocal)*CRONO!$E25,0),Y24*$R23),SUMIF(OFFSET($R25,1,0,$Q23-2),($L23+1)&amp;"$",OFFSET(Y25,1,0,$Q23-2)))</f>
        <v>0</v>
      </c>
      <c r="Z25" s="345" t="n">
        <f aca="true">IF($Q23=2,IF(AND(ACOMPANHAMENTO="PLE",ISNUMBER($E23)),SUMIF((OFFSET(CÁLCULO!$AM$15:$AW$15,$E23,0,OFFSET(ORÇAMENTO!$D$15,CRONO!$E23,0))),"="&amp;CRONO!Z$12,OFFSET(CÁLCULO!$AB$15:$AL$15,$E23,0,OFFSET(ORÇAMENTO!$D$15,CRONO!$E23,0)))+IF(AND($E25&lt;&gt;"",$E25&lt;&gt;0),SUMIF(CÁLCULO!$AM$15:$AW$59,"="&amp;CRONO!Z$12,CÁLCULO!$AB$15:$AL$59)/(ORÇAMENTO!$X$15-CÁLCULO.TotalAdmLocal)*CRONO!$E25,0),Z24*$R23),SUMIF(OFFSET($R25,1,0,$Q23-2),($L23+1)&amp;"$",OFFSET(Z25,1,0,$Q23-2)))</f>
        <v>0</v>
      </c>
      <c r="AA25" s="345" t="n">
        <f aca="true">IF($Q23=2,IF(AND(ACOMPANHAMENTO="PLE",ISNUMBER($E23)),SUMIF((OFFSET(CÁLCULO!$AM$15:$AW$15,$E23,0,OFFSET(ORÇAMENTO!$D$15,CRONO!$E23,0))),"="&amp;CRONO!AA$12,OFFSET(CÁLCULO!$AB$15:$AL$15,$E23,0,OFFSET(ORÇAMENTO!$D$15,CRONO!$E23,0)))+IF(AND($E25&lt;&gt;"",$E25&lt;&gt;0),SUMIF(CÁLCULO!$AM$15:$AW$59,"="&amp;CRONO!AA$12,CÁLCULO!$AB$15:$AL$59)/(ORÇAMENTO!$X$15-CÁLCULO.TotalAdmLocal)*CRONO!$E25,0),AA24*$R23),SUMIF(OFFSET($R25,1,0,$Q23-2),($L23+1)&amp;"$",OFFSET(AA25,1,0,$Q23-2)))</f>
        <v>0</v>
      </c>
      <c r="AB25" s="345" t="n">
        <f aca="true">IF($Q23=2,IF(AND(ACOMPANHAMENTO="PLE",ISNUMBER($E23)),SUMIF((OFFSET(CÁLCULO!$AM$15:$AW$15,$E23,0,OFFSET(ORÇAMENTO!$D$15,CRONO!$E23,0))),"="&amp;CRONO!AB$12,OFFSET(CÁLCULO!$AB$15:$AL$15,$E23,0,OFFSET(ORÇAMENTO!$D$15,CRONO!$E23,0)))+IF(AND($E25&lt;&gt;"",$E25&lt;&gt;0),SUMIF(CÁLCULO!$AM$15:$AW$59,"="&amp;CRONO!AB$12,CÁLCULO!$AB$15:$AL$59)/(ORÇAMENTO!$X$15-CÁLCULO.TotalAdmLocal)*CRONO!$E25,0),AB24*$R23),SUMIF(OFFSET($R25,1,0,$Q23-2),($L23+1)&amp;"$",OFFSET(AB25,1,0,$Q23-2)))</f>
        <v>0</v>
      </c>
      <c r="AC25" s="345" t="n">
        <f aca="true">IF($Q23=2,IF(AND(ACOMPANHAMENTO="PLE",ISNUMBER($E23)),SUMIF((OFFSET(CÁLCULO!$AM$15:$AW$15,$E23,0,OFFSET(ORÇAMENTO!$D$15,CRONO!$E23,0))),"="&amp;CRONO!AC$12,OFFSET(CÁLCULO!$AB$15:$AL$15,$E23,0,OFFSET(ORÇAMENTO!$D$15,CRONO!$E23,0)))+IF(AND($E25&lt;&gt;"",$E25&lt;&gt;0),SUMIF(CÁLCULO!$AM$15:$AW$59,"="&amp;CRONO!AC$12,CÁLCULO!$AB$15:$AL$59)/(ORÇAMENTO!$X$15-CÁLCULO.TotalAdmLocal)*CRONO!$E25,0),AC24*$R23),SUMIF(OFFSET($R25,1,0,$Q23-2),($L23+1)&amp;"$",OFFSET(AC25,1,0,$Q23-2)))</f>
        <v>0</v>
      </c>
      <c r="AD25" s="345" t="n">
        <f aca="true">IF($Q23=2,IF(AND(ACOMPANHAMENTO="PLE",ISNUMBER($E23)),SUMIF((OFFSET(CÁLCULO!$AM$15:$AW$15,$E23,0,OFFSET(ORÇAMENTO!$D$15,CRONO!$E23,0))),"="&amp;CRONO!AD$12,OFFSET(CÁLCULO!$AB$15:$AL$15,$E23,0,OFFSET(ORÇAMENTO!$D$15,CRONO!$E23,0)))+IF(AND($E25&lt;&gt;"",$E25&lt;&gt;0),SUMIF(CÁLCULO!$AM$15:$AW$59,"="&amp;CRONO!AD$12,CÁLCULO!$AB$15:$AL$59)/(ORÇAMENTO!$X$15-CÁLCULO.TotalAdmLocal)*CRONO!$E25,0),AD24*$R23),SUMIF(OFFSET($R25,1,0,$Q23-2),($L23+1)&amp;"$",OFFSET(AD25,1,0,$Q23-2)))</f>
        <v>0</v>
      </c>
      <c r="AE25" s="350" t="n">
        <f aca="true">IF($Q23=2,IF(AND(ACOMPANHAMENTO="PLE",ISNUMBER($E23)),SUMIF((OFFSET(CÁLCULO!$AM$15:$AW$15,$E23,0,OFFSET(ORÇAMENTO!$D$15,CRONO!$E23,0))),"="&amp;CRONO!AE$12,OFFSET(CÁLCULO!$AB$15:$AL$15,$E23,0,OFFSET(ORÇAMENTO!$D$15,CRONO!$E23,0)))+IF(AND($E25&lt;&gt;"",$E25&lt;&gt;0),SUMIF(CÁLCULO!$AM$15:$AW$59,"="&amp;CRONO!AE$12,CÁLCULO!$AB$15:$AL$59)/(ORÇAMENTO!$X$15-CÁLCULO.TotalAdmLocal)*CRONO!$E25,0),AE24*$R23),SUMIF(OFFSET($R25,1,0,$Q23-2),($L23+1)&amp;"$",OFFSET(AE25,1,0,$Q23-2)))</f>
        <v>0</v>
      </c>
    </row>
    <row r="26" customFormat="false" ht="12.75" hidden="false" customHeight="false" outlineLevel="0" collapsed="false">
      <c r="A26" s="322" t="n">
        <f aca="true">OFFSET(A26,-3,0)+1</f>
        <v>5</v>
      </c>
      <c r="B26" s="322" t="n">
        <f aca="true">IF($Q26&lt;&gt;2,0,IF($R26=0,1,IF(E27&gt;0,OFFSET(QCI!$M$13,SUBSTITUTE(E27,".",""),0),OFFSET(ORÇAMENTO!$AA$15,CRONO!$E26,0))/$R26))</f>
        <v>1</v>
      </c>
      <c r="C26" s="322" t="n">
        <f aca="true">IF($Q26&lt;&gt;2,0,IF($R26=0,1,IF(E27&gt;0,OFFSET(QCI!$N$13,SUBSTITUTE(E27,".",""),0),OFFSET(ORÇAMENTO!$AB$15,CRONO!$E26,0))/$R26))</f>
        <v>1</v>
      </c>
      <c r="D26" s="325" t="e">
        <f aca="false">IF(AND($Q26=2,ACOMPANHAMENTO="BM"),D27,D28/$R26)</f>
        <v>#DIV/0!</v>
      </c>
      <c r="E26" s="322" t="n">
        <f aca="true">IF(A26&lt;=ORÇAMENTO.MáximoListaCrono,MATCH(A26,ORÇAMENTO.ListaCrono,0),NA())</f>
        <v>14</v>
      </c>
      <c r="F26" s="322" t="str">
        <f aca="false">IF(AND($E27&lt;&gt;-1,$R26&gt;0),"F","")</f>
        <v/>
      </c>
      <c r="G26" s="326" t="str">
        <f aca="false">IF(OR(R26=0,R26=""),"Linha",IF(AND(OR(ACOMPANHAMENTO="PLE",$Q26&lt;&gt;2),$E27=0),"Linha",1-SUM(T26:AF26)))</f>
        <v>Linha</v>
      </c>
      <c r="H26" s="327" t="str">
        <f aca="true">IF($E27=0,OFFSET(ORÇAMENTO!O$15,$E26,0),IF($E27&lt;&gt;-1,OFFSET(QCI!$D$13,$E27,0),""))</f>
        <v>1.4.</v>
      </c>
      <c r="I26" s="328" t="str">
        <f aca="true">IF($E27=0,OFFSET(ORÇAMENTO!R$15,$E26,0),IF($E27&lt;&gt;-1,OFFSET(QCI!$G$13,$E27,0),""))</f>
        <v>MOBILIZAÇÃO E DESMOBILIZAÇÃO</v>
      </c>
      <c r="J26" s="328"/>
      <c r="K26" s="328"/>
      <c r="L26" s="329" t="n">
        <f aca="true">IF($E27=0,OFFSET(ORÇAMENTO!C$15,$E26,0),1)</f>
        <v>2</v>
      </c>
      <c r="M26" s="330" t="n">
        <f aca="true">IF($E27=-1,0,IF(M$13&lt;=$L26,IF(ISERROR(MATCH(M$13,OFFSET($L26,1,0,ROW($L$47)-ROW($L26)-1),0)),ROW($L$47)-ROW($L26)-1,MATCH(M$13,OFFSET($L26,1,0,ROW($L$47)-ROW($L26)-1),0)-1),0))</f>
        <v>20</v>
      </c>
      <c r="N26" s="330" t="n">
        <f aca="true">IF($E27=-1,0,IF(N$13&lt;=$L26,IF(ISERROR(MATCH(N$13,OFFSET($L26,1,0,ROW($L$47)-ROW($L26)-1),0)),ROW($L$47)-ROW($L26)-1,MATCH(N$13,OFFSET($L26,1,0,ROW($L$47)-ROW($L26)-1),0)-1),0))</f>
        <v>2</v>
      </c>
      <c r="O26" s="330" t="n">
        <f aca="true">IF($E27=-1,0,IF(O$13&lt;=$L26,IF(ISERROR(MATCH(O$13,OFFSET($L26,1,0,ROW($L$47)-ROW($L26)-1),0)),ROW($L$47)-ROW($L26)-1,MATCH(O$13,OFFSET($L26,1,0,ROW($L$47)-ROW($L26)-1),0)-1),0))</f>
        <v>0</v>
      </c>
      <c r="P26" s="330" t="n">
        <f aca="true">IF($E27=-1,0,IF(P$13&lt;=$L26,IF(ISERROR(MATCH(P$13,OFFSET($L26,1,0,ROW($L$47)-ROW($L26)-1),0)),ROW($L$47)-ROW($L26)-1,MATCH(P$13,OFFSET($L26,1,0,ROW($L$47)-ROW($L26)-1),0)-1),0))</f>
        <v>0</v>
      </c>
      <c r="Q26" s="330" t="n">
        <f aca="true">MIN(OFFSET(L26,0,1,,L26))</f>
        <v>2</v>
      </c>
      <c r="R26" s="331" t="n">
        <f aca="true">IF($E27=0,OFFSET(ORÇAMENTO!X$15,$E26,0),IF($E27&lt;&gt;-1,OFFSET(QCI!$O$13,$E27,0),""))</f>
        <v>0</v>
      </c>
      <c r="S26" s="332" t="s">
        <v>398</v>
      </c>
      <c r="T26" s="333" t="e">
        <f aca="false">IF(AND($Q26=2,ACOMPANHAMENTO="BM"),T27,T28/$R26)</f>
        <v>#DIV/0!</v>
      </c>
      <c r="U26" s="325" t="e">
        <f aca="false">IF(AND($Q26=2,ACOMPANHAMENTO="BM"),U27,U28/$R26)</f>
        <v>#DIV/0!</v>
      </c>
      <c r="V26" s="325" t="e">
        <f aca="false">IF(AND($Q26=2,ACOMPANHAMENTO="BM"),V27,V28/$R26)</f>
        <v>#DIV/0!</v>
      </c>
      <c r="W26" s="325" t="e">
        <f aca="false">IF(AND($Q26=2,ACOMPANHAMENTO="BM"),W27,W28/$R26)</f>
        <v>#DIV/0!</v>
      </c>
      <c r="X26" s="325" t="e">
        <f aca="false">IF(AND($Q26=2,ACOMPANHAMENTO="BM"),X27,X28/$R26)</f>
        <v>#DIV/0!</v>
      </c>
      <c r="Y26" s="325" t="e">
        <f aca="false">IF(AND($Q26=2,ACOMPANHAMENTO="BM"),Y27,Y28/$R26)</f>
        <v>#DIV/0!</v>
      </c>
      <c r="Z26" s="325" t="e">
        <f aca="false">IF(AND($Q26=2,ACOMPANHAMENTO="BM"),Z27,Z28/$R26)</f>
        <v>#DIV/0!</v>
      </c>
      <c r="AA26" s="325" t="e">
        <f aca="false">IF(AND($Q26=2,ACOMPANHAMENTO="BM"),AA27,AA28/$R26)</f>
        <v>#DIV/0!</v>
      </c>
      <c r="AB26" s="325" t="e">
        <f aca="false">IF(AND($Q26=2,ACOMPANHAMENTO="BM"),AB27,AB28/$R26)</f>
        <v>#DIV/0!</v>
      </c>
      <c r="AC26" s="325" t="e">
        <f aca="false">IF(AND($Q26=2,ACOMPANHAMENTO="BM"),AC27,AC28/$R26)</f>
        <v>#DIV/0!</v>
      </c>
      <c r="AD26" s="325" t="e">
        <f aca="false">IF(AND($Q26=2,ACOMPANHAMENTO="BM"),AD27,AD28/$R26)</f>
        <v>#DIV/0!</v>
      </c>
      <c r="AE26" s="334" t="e">
        <f aca="false">IF(AND($Q26=2,ACOMPANHAMENTO="BM"),AE27,AE28/$R26)</f>
        <v>#DIV/0!</v>
      </c>
    </row>
    <row r="27" customFormat="false" ht="12.75" hidden="false" customHeight="true" outlineLevel="0" collapsed="false">
      <c r="D27" s="335"/>
      <c r="E27" s="322" t="n">
        <f aca="true">IF(ISERROR(E26),IF(1+COUNTIF($L$13:OFFSET(L26,-1,0),1)&lt;=MAX(QCI!$D$13:$D$24),1+COUNTIF($L$13:OFFSET(L26,-1,0),1),-1),0)</f>
        <v>0</v>
      </c>
      <c r="F27" s="322" t="str">
        <f aca="false">IF(AND($E27&lt;&gt;-1,$R26&gt;0),"F","")</f>
        <v/>
      </c>
      <c r="G27" s="336" t="str">
        <f aca="false">IF(OR(R26=0,R26=""),"vazia",IF(AND(OR(ACOMPANHAMENTO="PLE",$Q26&lt;&gt;2),$E27=0),"calculada","--&gt;"))</f>
        <v>vazia</v>
      </c>
      <c r="H27" s="337"/>
      <c r="I27" s="338" t="str">
        <f aca="false">IF(AND(G26&lt;&gt;0,ISNUMBER(G26)),"PREENCHA ESTA LINHA --&gt;","")</f>
        <v/>
      </c>
      <c r="J27" s="338"/>
      <c r="K27" s="338"/>
      <c r="L27" s="339"/>
      <c r="M27" s="339"/>
      <c r="N27" s="339"/>
      <c r="O27" s="339"/>
      <c r="P27" s="339"/>
      <c r="Q27" s="339"/>
      <c r="R27" s="340"/>
      <c r="S27" s="341"/>
      <c r="T27" s="342" t="n">
        <v>0.5</v>
      </c>
      <c r="U27" s="335"/>
      <c r="V27" s="335" t="n">
        <v>0.5</v>
      </c>
      <c r="W27" s="335"/>
      <c r="X27" s="335"/>
      <c r="Y27" s="335"/>
      <c r="Z27" s="335"/>
      <c r="AA27" s="335"/>
      <c r="AB27" s="335"/>
      <c r="AC27" s="335"/>
      <c r="AD27" s="335"/>
      <c r="AE27" s="343"/>
      <c r="AF27" s="344"/>
    </row>
    <row r="28" customFormat="false" ht="12.8" hidden="true" customHeight="false" outlineLevel="0" collapsed="false">
      <c r="D28" s="345" t="n">
        <f aca="true">IF($Q26=2,IF(AND(ACOMPANHAMENTO="PLE",ISNUMBER($E26)),SUMIF((OFFSET(CÁLCULO!$AM$15:$AW$15,$E26,0,OFFSET(ORÇAMENTO!$D$15,CRONO!$E26,0))),"="&amp;CRONO!D$12,OFFSET(CÁLCULO!$AB$15:$AL$15,$E26,0,OFFSET(ORÇAMENTO!$D$15,CRONO!$E26,0)))+IF(AND($E28&lt;&gt;"",$E28&lt;&gt;0),SUMIF(CÁLCULO!$AM$15:$AW$59,"="&amp;CRONO!D$12,CÁLCULO!$AB$15:$AL$59)/(ORÇAMENTO!$X$15-CÁLCULO.TotalAdmLocal)*CRONO!$E28,0),D27*$R26),SUMIF(OFFSET($R28,1,0,$Q26-2),($L26+1)&amp;"$",OFFSET(D28,1,0,$Q26-2)))</f>
        <v>0</v>
      </c>
      <c r="E28" s="322" t="n">
        <f aca="true">IF(OR($Q26&lt;&gt;2,AUTOEVENTO&lt;&gt;"manual",$E27&gt;0),"",SUMIF(OFFSET(CÁLCULO!$M$15,CRONO!$E26,0,OFFSET(ORÇAMENTO!$D$15,CRONO!$E26,0)),1,OFFSET(ORÇAMENTO!$X$15,CRONO!$E26,0,OFFSET(ORÇAMENTO!$D$15,CRONO!$E26,0))))</f>
        <v>0</v>
      </c>
      <c r="G28" s="346"/>
      <c r="R28" s="347" t="str">
        <f aca="false">L26&amp;"$"</f>
        <v>2$</v>
      </c>
      <c r="S28" s="348"/>
      <c r="T28" s="349" t="n">
        <f aca="true">IF($Q26=2,IF(AND(ACOMPANHAMENTO="PLE",ISNUMBER($E26)),SUMIF((OFFSET(CÁLCULO!$AM$15:$AW$15,$E26,0,OFFSET(ORÇAMENTO!$D$15,CRONO!$E26,0))),"&lt;="&amp;CRONO!T$12,OFFSET(CÁLCULO!$AB$15:$AL$15,$E26,0,OFFSET(ORÇAMENTO!$D$15,CRONO!$E26,0)))+IF(AND($E28&lt;&gt;"",$E28&lt;&gt;0),SUMIF(CÁLCULO!$AM$15:$AW$59,"&lt;="&amp;CRONO!T$12,CÁLCULO!$AB$15:$AL$59)/(ORÇAMENTO!$X$15-CÁLCULO.TotalAdmLocal)*CRONO!$E28,0),T27*$R26),SUMIF(OFFSET($R28,1,0,$Q26-2),($L26+1)&amp;"$",OFFSET(T28,1,0,$Q26-2)))</f>
        <v>0</v>
      </c>
      <c r="U28" s="345" t="n">
        <f aca="true">IF($Q26=2,IF(AND(ACOMPANHAMENTO="PLE",ISNUMBER($E26)),SUMIF((OFFSET(CÁLCULO!$AM$15:$AW$15,$E26,0,OFFSET(ORÇAMENTO!$D$15,CRONO!$E26,0))),"="&amp;CRONO!U$12,OFFSET(CÁLCULO!$AB$15:$AL$15,$E26,0,OFFSET(ORÇAMENTO!$D$15,CRONO!$E26,0)))+IF(AND($E28&lt;&gt;"",$E28&lt;&gt;0),SUMIF(CÁLCULO!$AM$15:$AW$59,"="&amp;CRONO!U$12,CÁLCULO!$AB$15:$AL$59)/(ORÇAMENTO!$X$15-CÁLCULO.TotalAdmLocal)*CRONO!$E28,0),U27*$R26),SUMIF(OFFSET($R28,1,0,$Q26-2),($L26+1)&amp;"$",OFFSET(U28,1,0,$Q26-2)))</f>
        <v>0</v>
      </c>
      <c r="V28" s="345" t="n">
        <f aca="true">IF($Q26=2,IF(AND(ACOMPANHAMENTO="PLE",ISNUMBER($E26)),SUMIF((OFFSET(CÁLCULO!$AM$15:$AW$15,$E26,0,OFFSET(ORÇAMENTO!$D$15,CRONO!$E26,0))),"="&amp;CRONO!V$12,OFFSET(CÁLCULO!$AB$15:$AL$15,$E26,0,OFFSET(ORÇAMENTO!$D$15,CRONO!$E26,0)))+IF(AND($E28&lt;&gt;"",$E28&lt;&gt;0),SUMIF(CÁLCULO!$AM$15:$AW$59,"="&amp;CRONO!V$12,CÁLCULO!$AB$15:$AL$59)/(ORÇAMENTO!$X$15-CÁLCULO.TotalAdmLocal)*CRONO!$E28,0),V27*$R26),SUMIF(OFFSET($R28,1,0,$Q26-2),($L26+1)&amp;"$",OFFSET(V28,1,0,$Q26-2)))</f>
        <v>0</v>
      </c>
      <c r="W28" s="345" t="n">
        <f aca="true">IF($Q26=2,IF(AND(ACOMPANHAMENTO="PLE",ISNUMBER($E26)),SUMIF((OFFSET(CÁLCULO!$AM$15:$AW$15,$E26,0,OFFSET(ORÇAMENTO!$D$15,CRONO!$E26,0))),"="&amp;CRONO!W$12,OFFSET(CÁLCULO!$AB$15:$AL$15,$E26,0,OFFSET(ORÇAMENTO!$D$15,CRONO!$E26,0)))+IF(AND($E28&lt;&gt;"",$E28&lt;&gt;0),SUMIF(CÁLCULO!$AM$15:$AW$59,"="&amp;CRONO!W$12,CÁLCULO!$AB$15:$AL$59)/(ORÇAMENTO!$X$15-CÁLCULO.TotalAdmLocal)*CRONO!$E28,0),W27*$R26),SUMIF(OFFSET($R28,1,0,$Q26-2),($L26+1)&amp;"$",OFFSET(W28,1,0,$Q26-2)))</f>
        <v>0</v>
      </c>
      <c r="X28" s="345" t="n">
        <f aca="true">IF($Q26=2,IF(AND(ACOMPANHAMENTO="PLE",ISNUMBER($E26)),SUMIF((OFFSET(CÁLCULO!$AM$15:$AW$15,$E26,0,OFFSET(ORÇAMENTO!$D$15,CRONO!$E26,0))),"="&amp;CRONO!X$12,OFFSET(CÁLCULO!$AB$15:$AL$15,$E26,0,OFFSET(ORÇAMENTO!$D$15,CRONO!$E26,0)))+IF(AND($E28&lt;&gt;"",$E28&lt;&gt;0),SUMIF(CÁLCULO!$AM$15:$AW$59,"="&amp;CRONO!X$12,CÁLCULO!$AB$15:$AL$59)/(ORÇAMENTO!$X$15-CÁLCULO.TotalAdmLocal)*CRONO!$E28,0),X27*$R26),SUMIF(OFFSET($R28,1,0,$Q26-2),($L26+1)&amp;"$",OFFSET(X28,1,0,$Q26-2)))</f>
        <v>0</v>
      </c>
      <c r="Y28" s="345" t="n">
        <f aca="true">IF($Q26=2,IF(AND(ACOMPANHAMENTO="PLE",ISNUMBER($E26)),SUMIF((OFFSET(CÁLCULO!$AM$15:$AW$15,$E26,0,OFFSET(ORÇAMENTO!$D$15,CRONO!$E26,0))),"="&amp;CRONO!Y$12,OFFSET(CÁLCULO!$AB$15:$AL$15,$E26,0,OFFSET(ORÇAMENTO!$D$15,CRONO!$E26,0)))+IF(AND($E28&lt;&gt;"",$E28&lt;&gt;0),SUMIF(CÁLCULO!$AM$15:$AW$59,"="&amp;CRONO!Y$12,CÁLCULO!$AB$15:$AL$59)/(ORÇAMENTO!$X$15-CÁLCULO.TotalAdmLocal)*CRONO!$E28,0),Y27*$R26),SUMIF(OFFSET($R28,1,0,$Q26-2),($L26+1)&amp;"$",OFFSET(Y28,1,0,$Q26-2)))</f>
        <v>0</v>
      </c>
      <c r="Z28" s="345" t="n">
        <f aca="true">IF($Q26=2,IF(AND(ACOMPANHAMENTO="PLE",ISNUMBER($E26)),SUMIF((OFFSET(CÁLCULO!$AM$15:$AW$15,$E26,0,OFFSET(ORÇAMENTO!$D$15,CRONO!$E26,0))),"="&amp;CRONO!Z$12,OFFSET(CÁLCULO!$AB$15:$AL$15,$E26,0,OFFSET(ORÇAMENTO!$D$15,CRONO!$E26,0)))+IF(AND($E28&lt;&gt;"",$E28&lt;&gt;0),SUMIF(CÁLCULO!$AM$15:$AW$59,"="&amp;CRONO!Z$12,CÁLCULO!$AB$15:$AL$59)/(ORÇAMENTO!$X$15-CÁLCULO.TotalAdmLocal)*CRONO!$E28,0),Z27*$R26),SUMIF(OFFSET($R28,1,0,$Q26-2),($L26+1)&amp;"$",OFFSET(Z28,1,0,$Q26-2)))</f>
        <v>0</v>
      </c>
      <c r="AA28" s="345" t="n">
        <f aca="true">IF($Q26=2,IF(AND(ACOMPANHAMENTO="PLE",ISNUMBER($E26)),SUMIF((OFFSET(CÁLCULO!$AM$15:$AW$15,$E26,0,OFFSET(ORÇAMENTO!$D$15,CRONO!$E26,0))),"="&amp;CRONO!AA$12,OFFSET(CÁLCULO!$AB$15:$AL$15,$E26,0,OFFSET(ORÇAMENTO!$D$15,CRONO!$E26,0)))+IF(AND($E28&lt;&gt;"",$E28&lt;&gt;0),SUMIF(CÁLCULO!$AM$15:$AW$59,"="&amp;CRONO!AA$12,CÁLCULO!$AB$15:$AL$59)/(ORÇAMENTO!$X$15-CÁLCULO.TotalAdmLocal)*CRONO!$E28,0),AA27*$R26),SUMIF(OFFSET($R28,1,0,$Q26-2),($L26+1)&amp;"$",OFFSET(AA28,1,0,$Q26-2)))</f>
        <v>0</v>
      </c>
      <c r="AB28" s="345" t="n">
        <f aca="true">IF($Q26=2,IF(AND(ACOMPANHAMENTO="PLE",ISNUMBER($E26)),SUMIF((OFFSET(CÁLCULO!$AM$15:$AW$15,$E26,0,OFFSET(ORÇAMENTO!$D$15,CRONO!$E26,0))),"="&amp;CRONO!AB$12,OFFSET(CÁLCULO!$AB$15:$AL$15,$E26,0,OFFSET(ORÇAMENTO!$D$15,CRONO!$E26,0)))+IF(AND($E28&lt;&gt;"",$E28&lt;&gt;0),SUMIF(CÁLCULO!$AM$15:$AW$59,"="&amp;CRONO!AB$12,CÁLCULO!$AB$15:$AL$59)/(ORÇAMENTO!$X$15-CÁLCULO.TotalAdmLocal)*CRONO!$E28,0),AB27*$R26),SUMIF(OFFSET($R28,1,0,$Q26-2),($L26+1)&amp;"$",OFFSET(AB28,1,0,$Q26-2)))</f>
        <v>0</v>
      </c>
      <c r="AC28" s="345" t="n">
        <f aca="true">IF($Q26=2,IF(AND(ACOMPANHAMENTO="PLE",ISNUMBER($E26)),SUMIF((OFFSET(CÁLCULO!$AM$15:$AW$15,$E26,0,OFFSET(ORÇAMENTO!$D$15,CRONO!$E26,0))),"="&amp;CRONO!AC$12,OFFSET(CÁLCULO!$AB$15:$AL$15,$E26,0,OFFSET(ORÇAMENTO!$D$15,CRONO!$E26,0)))+IF(AND($E28&lt;&gt;"",$E28&lt;&gt;0),SUMIF(CÁLCULO!$AM$15:$AW$59,"="&amp;CRONO!AC$12,CÁLCULO!$AB$15:$AL$59)/(ORÇAMENTO!$X$15-CÁLCULO.TotalAdmLocal)*CRONO!$E28,0),AC27*$R26),SUMIF(OFFSET($R28,1,0,$Q26-2),($L26+1)&amp;"$",OFFSET(AC28,1,0,$Q26-2)))</f>
        <v>0</v>
      </c>
      <c r="AD28" s="345" t="n">
        <f aca="true">IF($Q26=2,IF(AND(ACOMPANHAMENTO="PLE",ISNUMBER($E26)),SUMIF((OFFSET(CÁLCULO!$AM$15:$AW$15,$E26,0,OFFSET(ORÇAMENTO!$D$15,CRONO!$E26,0))),"="&amp;CRONO!AD$12,OFFSET(CÁLCULO!$AB$15:$AL$15,$E26,0,OFFSET(ORÇAMENTO!$D$15,CRONO!$E26,0)))+IF(AND($E28&lt;&gt;"",$E28&lt;&gt;0),SUMIF(CÁLCULO!$AM$15:$AW$59,"="&amp;CRONO!AD$12,CÁLCULO!$AB$15:$AL$59)/(ORÇAMENTO!$X$15-CÁLCULO.TotalAdmLocal)*CRONO!$E28,0),AD27*$R26),SUMIF(OFFSET($R28,1,0,$Q26-2),($L26+1)&amp;"$",OFFSET(AD28,1,0,$Q26-2)))</f>
        <v>0</v>
      </c>
      <c r="AE28" s="350" t="n">
        <f aca="true">IF($Q26=2,IF(AND(ACOMPANHAMENTO="PLE",ISNUMBER($E26)),SUMIF((OFFSET(CÁLCULO!$AM$15:$AW$15,$E26,0,OFFSET(ORÇAMENTO!$D$15,CRONO!$E26,0))),"="&amp;CRONO!AE$12,OFFSET(CÁLCULO!$AB$15:$AL$15,$E26,0,OFFSET(ORÇAMENTO!$D$15,CRONO!$E26,0)))+IF(AND($E28&lt;&gt;"",$E28&lt;&gt;0),SUMIF(CÁLCULO!$AM$15:$AW$59,"="&amp;CRONO!AE$12,CÁLCULO!$AB$15:$AL$59)/(ORÇAMENTO!$X$15-CÁLCULO.TotalAdmLocal)*CRONO!$E28,0),AE27*$R26),SUMIF(OFFSET($R28,1,0,$Q26-2),($L26+1)&amp;"$",OFFSET(AE28,1,0,$Q26-2)))</f>
        <v>0</v>
      </c>
    </row>
    <row r="29" customFormat="false" ht="12.75" hidden="false" customHeight="false" outlineLevel="0" collapsed="false">
      <c r="A29" s="322" t="n">
        <f aca="true">OFFSET(A29,-3,0)+1</f>
        <v>6</v>
      </c>
      <c r="B29" s="322" t="n">
        <f aca="true">IF($Q29&lt;&gt;2,0,IF($R29=0,1,IF(E30&gt;0,OFFSET(QCI!$M$13,SUBSTITUTE(E30,".",""),0),OFFSET(ORÇAMENTO!$AA$15,CRONO!$E29,0))/$R29))</f>
        <v>1</v>
      </c>
      <c r="C29" s="322" t="n">
        <f aca="true">IF($Q29&lt;&gt;2,0,IF($R29=0,1,IF(E30&gt;0,OFFSET(QCI!$N$13,SUBSTITUTE(E30,".",""),0),OFFSET(ORÇAMENTO!$AB$15,CRONO!$E29,0))/$R29))</f>
        <v>1</v>
      </c>
      <c r="D29" s="325" t="e">
        <f aca="false">IF(AND($Q29=2,ACOMPANHAMENTO="BM"),D30,D31/$R29)</f>
        <v>#DIV/0!</v>
      </c>
      <c r="E29" s="322" t="n">
        <f aca="true">IF(A29&lt;=ORÇAMENTO.MáximoListaCrono,MATCH(A29,ORÇAMENTO.ListaCrono,0),NA())</f>
        <v>16</v>
      </c>
      <c r="F29" s="322" t="str">
        <f aca="false">IF(AND($E30&lt;&gt;-1,$R29&gt;0),"F","")</f>
        <v/>
      </c>
      <c r="G29" s="326" t="str">
        <f aca="false">IF(OR(R29=0,R29=""),"Linha",IF(AND(OR(ACOMPANHAMENTO="PLE",$Q29&lt;&gt;2),$E30=0),"Linha",1-SUM(T29:AF29)))</f>
        <v>Linha</v>
      </c>
      <c r="H29" s="327" t="str">
        <f aca="true">IF($E30=0,OFFSET(ORÇAMENTO!O$15,$E29,0),IF($E30&lt;&gt;-1,OFFSET(QCI!$D$13,$E30,0),""))</f>
        <v>1.5.</v>
      </c>
      <c r="I29" s="328" t="str">
        <f aca="true">IF($E30=0,OFFSET(ORÇAMENTO!R$15,$E29,0),IF($E30&lt;&gt;-1,OFFSET(QCI!$G$13,$E30,0),""))</f>
        <v>Terraplanagem</v>
      </c>
      <c r="J29" s="328"/>
      <c r="K29" s="328"/>
      <c r="L29" s="329" t="n">
        <f aca="true">IF($E30=0,OFFSET(ORÇAMENTO!C$15,$E29,0),1)</f>
        <v>2</v>
      </c>
      <c r="M29" s="330" t="n">
        <f aca="true">IF($E30=-1,0,IF(M$13&lt;=$L29,IF(ISERROR(MATCH(M$13,OFFSET($L29,1,0,ROW($L$47)-ROW($L29)-1),0)),ROW($L$47)-ROW($L29)-1,MATCH(M$13,OFFSET($L29,1,0,ROW($L$47)-ROW($L29)-1),0)-1),0))</f>
        <v>17</v>
      </c>
      <c r="N29" s="330" t="n">
        <f aca="true">IF($E30=-1,0,IF(N$13&lt;=$L29,IF(ISERROR(MATCH(N$13,OFFSET($L29,1,0,ROW($L$47)-ROW($L29)-1),0)),ROW($L$47)-ROW($L29)-1,MATCH(N$13,OFFSET($L29,1,0,ROW($L$47)-ROW($L29)-1),0)-1),0))</f>
        <v>2</v>
      </c>
      <c r="O29" s="330" t="n">
        <f aca="true">IF($E30=-1,0,IF(O$13&lt;=$L29,IF(ISERROR(MATCH(O$13,OFFSET($L29,1,0,ROW($L$47)-ROW($L29)-1),0)),ROW($L$47)-ROW($L29)-1,MATCH(O$13,OFFSET($L29,1,0,ROW($L$47)-ROW($L29)-1),0)-1),0))</f>
        <v>0</v>
      </c>
      <c r="P29" s="330" t="n">
        <f aca="true">IF($E30=-1,0,IF(P$13&lt;=$L29,IF(ISERROR(MATCH(P$13,OFFSET($L29,1,0,ROW($L$47)-ROW($L29)-1),0)),ROW($L$47)-ROW($L29)-1,MATCH(P$13,OFFSET($L29,1,0,ROW($L$47)-ROW($L29)-1),0)-1),0))</f>
        <v>0</v>
      </c>
      <c r="Q29" s="330" t="n">
        <f aca="true">MIN(OFFSET(L29,0,1,,L29))</f>
        <v>2</v>
      </c>
      <c r="R29" s="331" t="n">
        <f aca="true">IF($E30=0,OFFSET(ORÇAMENTO!X$15,$E29,0),IF($E30&lt;&gt;-1,OFFSET(QCI!$O$13,$E30,0),""))</f>
        <v>0</v>
      </c>
      <c r="S29" s="332" t="s">
        <v>398</v>
      </c>
      <c r="T29" s="333" t="e">
        <f aca="false">IF(AND($Q29=2,ACOMPANHAMENTO="BM"),T30,T31/$R29)</f>
        <v>#DIV/0!</v>
      </c>
      <c r="U29" s="325" t="e">
        <f aca="false">IF(AND($Q29=2,ACOMPANHAMENTO="BM"),U30,U31/$R29)</f>
        <v>#DIV/0!</v>
      </c>
      <c r="V29" s="325" t="e">
        <f aca="false">IF(AND($Q29=2,ACOMPANHAMENTO="BM"),V30,V31/$R29)</f>
        <v>#DIV/0!</v>
      </c>
      <c r="W29" s="325" t="e">
        <f aca="false">IF(AND($Q29=2,ACOMPANHAMENTO="BM"),W30,W31/$R29)</f>
        <v>#DIV/0!</v>
      </c>
      <c r="X29" s="325" t="e">
        <f aca="false">IF(AND($Q29=2,ACOMPANHAMENTO="BM"),X30,X31/$R29)</f>
        <v>#DIV/0!</v>
      </c>
      <c r="Y29" s="325" t="e">
        <f aca="false">IF(AND($Q29=2,ACOMPANHAMENTO="BM"),Y30,Y31/$R29)</f>
        <v>#DIV/0!</v>
      </c>
      <c r="Z29" s="325" t="e">
        <f aca="false">IF(AND($Q29=2,ACOMPANHAMENTO="BM"),Z30,Z31/$R29)</f>
        <v>#DIV/0!</v>
      </c>
      <c r="AA29" s="325" t="e">
        <f aca="false">IF(AND($Q29=2,ACOMPANHAMENTO="BM"),AA30,AA31/$R29)</f>
        <v>#DIV/0!</v>
      </c>
      <c r="AB29" s="325" t="e">
        <f aca="false">IF(AND($Q29=2,ACOMPANHAMENTO="BM"),AB30,AB31/$R29)</f>
        <v>#DIV/0!</v>
      </c>
      <c r="AC29" s="325" t="e">
        <f aca="false">IF(AND($Q29=2,ACOMPANHAMENTO="BM"),AC30,AC31/$R29)</f>
        <v>#DIV/0!</v>
      </c>
      <c r="AD29" s="325" t="e">
        <f aca="false">IF(AND($Q29=2,ACOMPANHAMENTO="BM"),AD30,AD31/$R29)</f>
        <v>#DIV/0!</v>
      </c>
      <c r="AE29" s="334" t="e">
        <f aca="false">IF(AND($Q29=2,ACOMPANHAMENTO="BM"),AE30,AE31/$R29)</f>
        <v>#DIV/0!</v>
      </c>
    </row>
    <row r="30" customFormat="false" ht="12.75" hidden="false" customHeight="true" outlineLevel="0" collapsed="false">
      <c r="D30" s="335"/>
      <c r="E30" s="322" t="n">
        <f aca="true">IF(ISERROR(E29),IF(1+COUNTIF($L$13:OFFSET(L29,-1,0),1)&lt;=MAX(QCI!$D$13:$D$24),1+COUNTIF($L$13:OFFSET(L29,-1,0),1),-1),0)</f>
        <v>0</v>
      </c>
      <c r="F30" s="322" t="str">
        <f aca="false">IF(AND($E30&lt;&gt;-1,$R29&gt;0),"F","")</f>
        <v/>
      </c>
      <c r="G30" s="336" t="str">
        <f aca="false">IF(OR(R29=0,R29=""),"vazia",IF(AND(OR(ACOMPANHAMENTO="PLE",$Q29&lt;&gt;2),$E30=0),"calculada","--&gt;"))</f>
        <v>vazia</v>
      </c>
      <c r="H30" s="337"/>
      <c r="I30" s="338" t="str">
        <f aca="false">IF(AND(G29&lt;&gt;0,ISNUMBER(G29)),"PREENCHA ESTA LINHA --&gt;","")</f>
        <v/>
      </c>
      <c r="J30" s="338"/>
      <c r="K30" s="338"/>
      <c r="L30" s="339"/>
      <c r="M30" s="339"/>
      <c r="N30" s="339"/>
      <c r="O30" s="339"/>
      <c r="P30" s="339"/>
      <c r="Q30" s="339"/>
      <c r="R30" s="340"/>
      <c r="S30" s="341"/>
      <c r="T30" s="342" t="n">
        <v>1</v>
      </c>
      <c r="U30" s="335"/>
      <c r="V30" s="335"/>
      <c r="W30" s="335"/>
      <c r="X30" s="335"/>
      <c r="Y30" s="335"/>
      <c r="Z30" s="335"/>
      <c r="AA30" s="335"/>
      <c r="AB30" s="335"/>
      <c r="AC30" s="335"/>
      <c r="AD30" s="335"/>
      <c r="AE30" s="343"/>
      <c r="AF30" s="344"/>
    </row>
    <row r="31" customFormat="false" ht="12.8" hidden="true" customHeight="false" outlineLevel="0" collapsed="false">
      <c r="D31" s="345" t="n">
        <f aca="true">IF($Q29=2,IF(AND(ACOMPANHAMENTO="PLE",ISNUMBER($E29)),SUMIF((OFFSET(CÁLCULO!$AM$15:$AW$15,$E29,0,OFFSET(ORÇAMENTO!$D$15,CRONO!$E29,0))),"="&amp;CRONO!D$12,OFFSET(CÁLCULO!$AB$15:$AL$15,$E29,0,OFFSET(ORÇAMENTO!$D$15,CRONO!$E29,0)))+IF(AND($E31&lt;&gt;"",$E31&lt;&gt;0),SUMIF(CÁLCULO!$AM$15:$AW$59,"="&amp;CRONO!D$12,CÁLCULO!$AB$15:$AL$59)/(ORÇAMENTO!$X$15-CÁLCULO.TotalAdmLocal)*CRONO!$E31,0),D30*$R29),SUMIF(OFFSET($R31,1,0,$Q29-2),($L29+1)&amp;"$",OFFSET(D31,1,0,$Q29-2)))</f>
        <v>0</v>
      </c>
      <c r="E31" s="322" t="n">
        <f aca="true">IF(OR($Q29&lt;&gt;2,AUTOEVENTO&lt;&gt;"manual",$E30&gt;0),"",SUMIF(OFFSET(CÁLCULO!$M$15,CRONO!$E29,0,OFFSET(ORÇAMENTO!$D$15,CRONO!$E29,0)),1,OFFSET(ORÇAMENTO!$X$15,CRONO!$E29,0,OFFSET(ORÇAMENTO!$D$15,CRONO!$E29,0))))</f>
        <v>0</v>
      </c>
      <c r="G31" s="346"/>
      <c r="R31" s="347" t="str">
        <f aca="false">L29&amp;"$"</f>
        <v>2$</v>
      </c>
      <c r="S31" s="348"/>
      <c r="T31" s="349" t="n">
        <f aca="true">IF($Q29=2,IF(AND(ACOMPANHAMENTO="PLE",ISNUMBER($E29)),SUMIF((OFFSET(CÁLCULO!$AM$15:$AW$15,$E29,0,OFFSET(ORÇAMENTO!$D$15,CRONO!$E29,0))),"&lt;="&amp;CRONO!T$12,OFFSET(CÁLCULO!$AB$15:$AL$15,$E29,0,OFFSET(ORÇAMENTO!$D$15,CRONO!$E29,0)))+IF(AND($E31&lt;&gt;"",$E31&lt;&gt;0),SUMIF(CÁLCULO!$AM$15:$AW$59,"&lt;="&amp;CRONO!T$12,CÁLCULO!$AB$15:$AL$59)/(ORÇAMENTO!$X$15-CÁLCULO.TotalAdmLocal)*CRONO!$E31,0),T30*$R29),SUMIF(OFFSET($R31,1,0,$Q29-2),($L29+1)&amp;"$",OFFSET(T31,1,0,$Q29-2)))</f>
        <v>0</v>
      </c>
      <c r="U31" s="345" t="n">
        <f aca="true">IF($Q29=2,IF(AND(ACOMPANHAMENTO="PLE",ISNUMBER($E29)),SUMIF((OFFSET(CÁLCULO!$AM$15:$AW$15,$E29,0,OFFSET(ORÇAMENTO!$D$15,CRONO!$E29,0))),"="&amp;CRONO!U$12,OFFSET(CÁLCULO!$AB$15:$AL$15,$E29,0,OFFSET(ORÇAMENTO!$D$15,CRONO!$E29,0)))+IF(AND($E31&lt;&gt;"",$E31&lt;&gt;0),SUMIF(CÁLCULO!$AM$15:$AW$59,"="&amp;CRONO!U$12,CÁLCULO!$AB$15:$AL$59)/(ORÇAMENTO!$X$15-CÁLCULO.TotalAdmLocal)*CRONO!$E31,0),U30*$R29),SUMIF(OFFSET($R31,1,0,$Q29-2),($L29+1)&amp;"$",OFFSET(U31,1,0,$Q29-2)))</f>
        <v>0</v>
      </c>
      <c r="V31" s="345" t="n">
        <f aca="true">IF($Q29=2,IF(AND(ACOMPANHAMENTO="PLE",ISNUMBER($E29)),SUMIF((OFFSET(CÁLCULO!$AM$15:$AW$15,$E29,0,OFFSET(ORÇAMENTO!$D$15,CRONO!$E29,0))),"="&amp;CRONO!V$12,OFFSET(CÁLCULO!$AB$15:$AL$15,$E29,0,OFFSET(ORÇAMENTO!$D$15,CRONO!$E29,0)))+IF(AND($E31&lt;&gt;"",$E31&lt;&gt;0),SUMIF(CÁLCULO!$AM$15:$AW$59,"="&amp;CRONO!V$12,CÁLCULO!$AB$15:$AL$59)/(ORÇAMENTO!$X$15-CÁLCULO.TotalAdmLocal)*CRONO!$E31,0),V30*$R29),SUMIF(OFFSET($R31,1,0,$Q29-2),($L29+1)&amp;"$",OFFSET(V31,1,0,$Q29-2)))</f>
        <v>0</v>
      </c>
      <c r="W31" s="345" t="n">
        <f aca="true">IF($Q29=2,IF(AND(ACOMPANHAMENTO="PLE",ISNUMBER($E29)),SUMIF((OFFSET(CÁLCULO!$AM$15:$AW$15,$E29,0,OFFSET(ORÇAMENTO!$D$15,CRONO!$E29,0))),"="&amp;CRONO!W$12,OFFSET(CÁLCULO!$AB$15:$AL$15,$E29,0,OFFSET(ORÇAMENTO!$D$15,CRONO!$E29,0)))+IF(AND($E31&lt;&gt;"",$E31&lt;&gt;0),SUMIF(CÁLCULO!$AM$15:$AW$59,"="&amp;CRONO!W$12,CÁLCULO!$AB$15:$AL$59)/(ORÇAMENTO!$X$15-CÁLCULO.TotalAdmLocal)*CRONO!$E31,0),W30*$R29),SUMIF(OFFSET($R31,1,0,$Q29-2),($L29+1)&amp;"$",OFFSET(W31,1,0,$Q29-2)))</f>
        <v>0</v>
      </c>
      <c r="X31" s="345" t="n">
        <f aca="true">IF($Q29=2,IF(AND(ACOMPANHAMENTO="PLE",ISNUMBER($E29)),SUMIF((OFFSET(CÁLCULO!$AM$15:$AW$15,$E29,0,OFFSET(ORÇAMENTO!$D$15,CRONO!$E29,0))),"="&amp;CRONO!X$12,OFFSET(CÁLCULO!$AB$15:$AL$15,$E29,0,OFFSET(ORÇAMENTO!$D$15,CRONO!$E29,0)))+IF(AND($E31&lt;&gt;"",$E31&lt;&gt;0),SUMIF(CÁLCULO!$AM$15:$AW$59,"="&amp;CRONO!X$12,CÁLCULO!$AB$15:$AL$59)/(ORÇAMENTO!$X$15-CÁLCULO.TotalAdmLocal)*CRONO!$E31,0),X30*$R29),SUMIF(OFFSET($R31,1,0,$Q29-2),($L29+1)&amp;"$",OFFSET(X31,1,0,$Q29-2)))</f>
        <v>0</v>
      </c>
      <c r="Y31" s="345" t="n">
        <f aca="true">IF($Q29=2,IF(AND(ACOMPANHAMENTO="PLE",ISNUMBER($E29)),SUMIF((OFFSET(CÁLCULO!$AM$15:$AW$15,$E29,0,OFFSET(ORÇAMENTO!$D$15,CRONO!$E29,0))),"="&amp;CRONO!Y$12,OFFSET(CÁLCULO!$AB$15:$AL$15,$E29,0,OFFSET(ORÇAMENTO!$D$15,CRONO!$E29,0)))+IF(AND($E31&lt;&gt;"",$E31&lt;&gt;0),SUMIF(CÁLCULO!$AM$15:$AW$59,"="&amp;CRONO!Y$12,CÁLCULO!$AB$15:$AL$59)/(ORÇAMENTO!$X$15-CÁLCULO.TotalAdmLocal)*CRONO!$E31,0),Y30*$R29),SUMIF(OFFSET($R31,1,0,$Q29-2),($L29+1)&amp;"$",OFFSET(Y31,1,0,$Q29-2)))</f>
        <v>0</v>
      </c>
      <c r="Z31" s="345" t="n">
        <f aca="true">IF($Q29=2,IF(AND(ACOMPANHAMENTO="PLE",ISNUMBER($E29)),SUMIF((OFFSET(CÁLCULO!$AM$15:$AW$15,$E29,0,OFFSET(ORÇAMENTO!$D$15,CRONO!$E29,0))),"="&amp;CRONO!Z$12,OFFSET(CÁLCULO!$AB$15:$AL$15,$E29,0,OFFSET(ORÇAMENTO!$D$15,CRONO!$E29,0)))+IF(AND($E31&lt;&gt;"",$E31&lt;&gt;0),SUMIF(CÁLCULO!$AM$15:$AW$59,"="&amp;CRONO!Z$12,CÁLCULO!$AB$15:$AL$59)/(ORÇAMENTO!$X$15-CÁLCULO.TotalAdmLocal)*CRONO!$E31,0),Z30*$R29),SUMIF(OFFSET($R31,1,0,$Q29-2),($L29+1)&amp;"$",OFFSET(Z31,1,0,$Q29-2)))</f>
        <v>0</v>
      </c>
      <c r="AA31" s="345" t="n">
        <f aca="true">IF($Q29=2,IF(AND(ACOMPANHAMENTO="PLE",ISNUMBER($E29)),SUMIF((OFFSET(CÁLCULO!$AM$15:$AW$15,$E29,0,OFFSET(ORÇAMENTO!$D$15,CRONO!$E29,0))),"="&amp;CRONO!AA$12,OFFSET(CÁLCULO!$AB$15:$AL$15,$E29,0,OFFSET(ORÇAMENTO!$D$15,CRONO!$E29,0)))+IF(AND($E31&lt;&gt;"",$E31&lt;&gt;0),SUMIF(CÁLCULO!$AM$15:$AW$59,"="&amp;CRONO!AA$12,CÁLCULO!$AB$15:$AL$59)/(ORÇAMENTO!$X$15-CÁLCULO.TotalAdmLocal)*CRONO!$E31,0),AA30*$R29),SUMIF(OFFSET($R31,1,0,$Q29-2),($L29+1)&amp;"$",OFFSET(AA31,1,0,$Q29-2)))</f>
        <v>0</v>
      </c>
      <c r="AB31" s="345" t="n">
        <f aca="true">IF($Q29=2,IF(AND(ACOMPANHAMENTO="PLE",ISNUMBER($E29)),SUMIF((OFFSET(CÁLCULO!$AM$15:$AW$15,$E29,0,OFFSET(ORÇAMENTO!$D$15,CRONO!$E29,0))),"="&amp;CRONO!AB$12,OFFSET(CÁLCULO!$AB$15:$AL$15,$E29,0,OFFSET(ORÇAMENTO!$D$15,CRONO!$E29,0)))+IF(AND($E31&lt;&gt;"",$E31&lt;&gt;0),SUMIF(CÁLCULO!$AM$15:$AW$59,"="&amp;CRONO!AB$12,CÁLCULO!$AB$15:$AL$59)/(ORÇAMENTO!$X$15-CÁLCULO.TotalAdmLocal)*CRONO!$E31,0),AB30*$R29),SUMIF(OFFSET($R31,1,0,$Q29-2),($L29+1)&amp;"$",OFFSET(AB31,1,0,$Q29-2)))</f>
        <v>0</v>
      </c>
      <c r="AC31" s="345" t="n">
        <f aca="true">IF($Q29=2,IF(AND(ACOMPANHAMENTO="PLE",ISNUMBER($E29)),SUMIF((OFFSET(CÁLCULO!$AM$15:$AW$15,$E29,0,OFFSET(ORÇAMENTO!$D$15,CRONO!$E29,0))),"="&amp;CRONO!AC$12,OFFSET(CÁLCULO!$AB$15:$AL$15,$E29,0,OFFSET(ORÇAMENTO!$D$15,CRONO!$E29,0)))+IF(AND($E31&lt;&gt;"",$E31&lt;&gt;0),SUMIF(CÁLCULO!$AM$15:$AW$59,"="&amp;CRONO!AC$12,CÁLCULO!$AB$15:$AL$59)/(ORÇAMENTO!$X$15-CÁLCULO.TotalAdmLocal)*CRONO!$E31,0),AC30*$R29),SUMIF(OFFSET($R31,1,0,$Q29-2),($L29+1)&amp;"$",OFFSET(AC31,1,0,$Q29-2)))</f>
        <v>0</v>
      </c>
      <c r="AD31" s="345" t="n">
        <f aca="true">IF($Q29=2,IF(AND(ACOMPANHAMENTO="PLE",ISNUMBER($E29)),SUMIF((OFFSET(CÁLCULO!$AM$15:$AW$15,$E29,0,OFFSET(ORÇAMENTO!$D$15,CRONO!$E29,0))),"="&amp;CRONO!AD$12,OFFSET(CÁLCULO!$AB$15:$AL$15,$E29,0,OFFSET(ORÇAMENTO!$D$15,CRONO!$E29,0)))+IF(AND($E31&lt;&gt;"",$E31&lt;&gt;0),SUMIF(CÁLCULO!$AM$15:$AW$59,"="&amp;CRONO!AD$12,CÁLCULO!$AB$15:$AL$59)/(ORÇAMENTO!$X$15-CÁLCULO.TotalAdmLocal)*CRONO!$E31,0),AD30*$R29),SUMIF(OFFSET($R31,1,0,$Q29-2),($L29+1)&amp;"$",OFFSET(AD31,1,0,$Q29-2)))</f>
        <v>0</v>
      </c>
      <c r="AE31" s="350" t="n">
        <f aca="true">IF($Q29=2,IF(AND(ACOMPANHAMENTO="PLE",ISNUMBER($E29)),SUMIF((OFFSET(CÁLCULO!$AM$15:$AW$15,$E29,0,OFFSET(ORÇAMENTO!$D$15,CRONO!$E29,0))),"="&amp;CRONO!AE$12,OFFSET(CÁLCULO!$AB$15:$AL$15,$E29,0,OFFSET(ORÇAMENTO!$D$15,CRONO!$E29,0)))+IF(AND($E31&lt;&gt;"",$E31&lt;&gt;0),SUMIF(CÁLCULO!$AM$15:$AW$59,"="&amp;CRONO!AE$12,CÁLCULO!$AB$15:$AL$59)/(ORÇAMENTO!$X$15-CÁLCULO.TotalAdmLocal)*CRONO!$E31,0),AE30*$R29),SUMIF(OFFSET($R31,1,0,$Q29-2),($L29+1)&amp;"$",OFFSET(AE31,1,0,$Q29-2)))</f>
        <v>0</v>
      </c>
    </row>
    <row r="32" customFormat="false" ht="12.75" hidden="false" customHeight="false" outlineLevel="0" collapsed="false">
      <c r="A32" s="322" t="n">
        <f aca="true">OFFSET(A32,-3,0)+1</f>
        <v>7</v>
      </c>
      <c r="B32" s="322" t="n">
        <f aca="true">IF($Q32&lt;&gt;2,0,IF($R32=0,1,IF(E33&gt;0,OFFSET(QCI!$M$13,SUBSTITUTE(E33,".",""),0),OFFSET(ORÇAMENTO!$AA$15,CRONO!$E32,0))/$R32))</f>
        <v>1</v>
      </c>
      <c r="C32" s="322" t="n">
        <f aca="true">IF($Q32&lt;&gt;2,0,IF($R32=0,1,IF(E33&gt;0,OFFSET(QCI!$N$13,SUBSTITUTE(E33,".",""),0),OFFSET(ORÇAMENTO!$AB$15,CRONO!$E32,0))/$R32))</f>
        <v>1</v>
      </c>
      <c r="D32" s="325" t="e">
        <f aca="false">IF(AND($Q32=2,ACOMPANHAMENTO="BM"),D33,D34/$R32)</f>
        <v>#DIV/0!</v>
      </c>
      <c r="E32" s="322" t="n">
        <f aca="true">IF(A32&lt;=ORÇAMENTO.MáximoListaCrono,MATCH(A32,ORÇAMENTO.ListaCrono,0),NA())</f>
        <v>20</v>
      </c>
      <c r="F32" s="322" t="str">
        <f aca="false">IF(AND($E33&lt;&gt;-1,$R32&gt;0),"F","")</f>
        <v/>
      </c>
      <c r="G32" s="326" t="str">
        <f aca="false">IF(OR(R32=0,R32=""),"Linha",IF(AND(OR(ACOMPANHAMENTO="PLE",$Q32&lt;&gt;2),$E33=0),"Linha",1-SUM(T32:AF32)))</f>
        <v>Linha</v>
      </c>
      <c r="H32" s="327" t="str">
        <f aca="true">IF($E33=0,OFFSET(ORÇAMENTO!O$15,$E32,0),IF($E33&lt;&gt;-1,OFFSET(QCI!$D$13,$E33,0),""))</f>
        <v>1.6.</v>
      </c>
      <c r="I32" s="328" t="str">
        <f aca="true">IF($E33=0,OFFSET(ORÇAMENTO!R$15,$E32,0),IF($E33&lt;&gt;-1,OFFSET(QCI!$G$13,$E33,0),""))</f>
        <v>Subbase</v>
      </c>
      <c r="J32" s="328"/>
      <c r="K32" s="328"/>
      <c r="L32" s="329" t="n">
        <f aca="true">IF($E33=0,OFFSET(ORÇAMENTO!C$15,$E32,0),1)</f>
        <v>2</v>
      </c>
      <c r="M32" s="330" t="n">
        <f aca="true">IF($E33=-1,0,IF(M$13&lt;=$L32,IF(ISERROR(MATCH(M$13,OFFSET($L32,1,0,ROW($L$47)-ROW($L32)-1),0)),ROW($L$47)-ROW($L32)-1,MATCH(M$13,OFFSET($L32,1,0,ROW($L$47)-ROW($L32)-1),0)-1),0))</f>
        <v>14</v>
      </c>
      <c r="N32" s="330" t="n">
        <f aca="true">IF($E33=-1,0,IF(N$13&lt;=$L32,IF(ISERROR(MATCH(N$13,OFFSET($L32,1,0,ROW($L$47)-ROW($L32)-1),0)),ROW($L$47)-ROW($L32)-1,MATCH(N$13,OFFSET($L32,1,0,ROW($L$47)-ROW($L32)-1),0)-1),0))</f>
        <v>2</v>
      </c>
      <c r="O32" s="330" t="n">
        <f aca="true">IF($E33=-1,0,IF(O$13&lt;=$L32,IF(ISERROR(MATCH(O$13,OFFSET($L32,1,0,ROW($L$47)-ROW($L32)-1),0)),ROW($L$47)-ROW($L32)-1,MATCH(O$13,OFFSET($L32,1,0,ROW($L$47)-ROW($L32)-1),0)-1),0))</f>
        <v>0</v>
      </c>
      <c r="P32" s="330" t="n">
        <f aca="true">IF($E33=-1,0,IF(P$13&lt;=$L32,IF(ISERROR(MATCH(P$13,OFFSET($L32,1,0,ROW($L$47)-ROW($L32)-1),0)),ROW($L$47)-ROW($L32)-1,MATCH(P$13,OFFSET($L32,1,0,ROW($L$47)-ROW($L32)-1),0)-1),0))</f>
        <v>0</v>
      </c>
      <c r="Q32" s="330" t="n">
        <f aca="true">MIN(OFFSET(L32,0,1,,L32))</f>
        <v>2</v>
      </c>
      <c r="R32" s="331" t="n">
        <f aca="true">IF($E33=0,OFFSET(ORÇAMENTO!X$15,$E32,0),IF($E33&lt;&gt;-1,OFFSET(QCI!$O$13,$E33,0),""))</f>
        <v>0</v>
      </c>
      <c r="S32" s="332" t="s">
        <v>398</v>
      </c>
      <c r="T32" s="333" t="e">
        <f aca="false">IF(AND($Q32=2,ACOMPANHAMENTO="BM"),T33,T34/$R32)</f>
        <v>#DIV/0!</v>
      </c>
      <c r="U32" s="325" t="e">
        <f aca="false">IF(AND($Q32=2,ACOMPANHAMENTO="BM"),U33,U34/$R32)</f>
        <v>#DIV/0!</v>
      </c>
      <c r="V32" s="325" t="e">
        <f aca="false">IF(AND($Q32=2,ACOMPANHAMENTO="BM"),V33,V34/$R32)</f>
        <v>#DIV/0!</v>
      </c>
      <c r="W32" s="325" t="e">
        <f aca="false">IF(AND($Q32=2,ACOMPANHAMENTO="BM"),W33,W34/$R32)</f>
        <v>#DIV/0!</v>
      </c>
      <c r="X32" s="325" t="e">
        <f aca="false">IF(AND($Q32=2,ACOMPANHAMENTO="BM"),X33,X34/$R32)</f>
        <v>#DIV/0!</v>
      </c>
      <c r="Y32" s="325" t="e">
        <f aca="false">IF(AND($Q32=2,ACOMPANHAMENTO="BM"),Y33,Y34/$R32)</f>
        <v>#DIV/0!</v>
      </c>
      <c r="Z32" s="325" t="e">
        <f aca="false">IF(AND($Q32=2,ACOMPANHAMENTO="BM"),Z33,Z34/$R32)</f>
        <v>#DIV/0!</v>
      </c>
      <c r="AA32" s="325" t="e">
        <f aca="false">IF(AND($Q32=2,ACOMPANHAMENTO="BM"),AA33,AA34/$R32)</f>
        <v>#DIV/0!</v>
      </c>
      <c r="AB32" s="325" t="e">
        <f aca="false">IF(AND($Q32=2,ACOMPANHAMENTO="BM"),AB33,AB34/$R32)</f>
        <v>#DIV/0!</v>
      </c>
      <c r="AC32" s="325" t="e">
        <f aca="false">IF(AND($Q32=2,ACOMPANHAMENTO="BM"),AC33,AC34/$R32)</f>
        <v>#DIV/0!</v>
      </c>
      <c r="AD32" s="325" t="e">
        <f aca="false">IF(AND($Q32=2,ACOMPANHAMENTO="BM"),AD33,AD34/$R32)</f>
        <v>#DIV/0!</v>
      </c>
      <c r="AE32" s="334" t="e">
        <f aca="false">IF(AND($Q32=2,ACOMPANHAMENTO="BM"),AE33,AE34/$R32)</f>
        <v>#DIV/0!</v>
      </c>
    </row>
    <row r="33" customFormat="false" ht="12.75" hidden="false" customHeight="true" outlineLevel="0" collapsed="false">
      <c r="D33" s="335"/>
      <c r="E33" s="322" t="n">
        <f aca="true">IF(ISERROR(E32),IF(1+COUNTIF($L$13:OFFSET(L32,-1,0),1)&lt;=MAX(QCI!$D$13:$D$24),1+COUNTIF($L$13:OFFSET(L32,-1,0),1),-1),0)</f>
        <v>0</v>
      </c>
      <c r="F33" s="322" t="str">
        <f aca="false">IF(AND($E33&lt;&gt;-1,$R32&gt;0),"F","")</f>
        <v/>
      </c>
      <c r="G33" s="336" t="str">
        <f aca="false">IF(OR(R32=0,R32=""),"vazia",IF(AND(OR(ACOMPANHAMENTO="PLE",$Q32&lt;&gt;2),$E33=0),"calculada","--&gt;"))</f>
        <v>vazia</v>
      </c>
      <c r="H33" s="337"/>
      <c r="I33" s="338" t="str">
        <f aca="false">IF(AND(G32&lt;&gt;0,ISNUMBER(G32)),"PREENCHA ESTA LINHA --&gt;","")</f>
        <v/>
      </c>
      <c r="J33" s="338"/>
      <c r="K33" s="338"/>
      <c r="L33" s="339"/>
      <c r="M33" s="339"/>
      <c r="N33" s="339"/>
      <c r="O33" s="339"/>
      <c r="P33" s="339"/>
      <c r="Q33" s="339"/>
      <c r="R33" s="340"/>
      <c r="S33" s="341"/>
      <c r="T33" s="342" t="n">
        <v>0.5</v>
      </c>
      <c r="U33" s="335" t="n">
        <v>0.5</v>
      </c>
      <c r="V33" s="335"/>
      <c r="W33" s="335"/>
      <c r="X33" s="335"/>
      <c r="Y33" s="335"/>
      <c r="Z33" s="335"/>
      <c r="AA33" s="335"/>
      <c r="AB33" s="335"/>
      <c r="AC33" s="335"/>
      <c r="AD33" s="335"/>
      <c r="AE33" s="343"/>
      <c r="AF33" s="344"/>
    </row>
    <row r="34" customFormat="false" ht="12.8" hidden="true" customHeight="false" outlineLevel="0" collapsed="false">
      <c r="D34" s="345" t="n">
        <f aca="true">IF($Q32=2,IF(AND(ACOMPANHAMENTO="PLE",ISNUMBER($E32)),SUMIF((OFFSET(CÁLCULO!$AM$15:$AW$15,$E32,0,OFFSET(ORÇAMENTO!$D$15,CRONO!$E32,0))),"="&amp;CRONO!D$12,OFFSET(CÁLCULO!$AB$15:$AL$15,$E32,0,OFFSET(ORÇAMENTO!$D$15,CRONO!$E32,0)))+IF(AND($E34&lt;&gt;"",$E34&lt;&gt;0),SUMIF(CÁLCULO!$AM$15:$AW$59,"="&amp;CRONO!D$12,CÁLCULO!$AB$15:$AL$59)/(ORÇAMENTO!$X$15-CÁLCULO.TotalAdmLocal)*CRONO!$E34,0),D33*$R32),SUMIF(OFFSET($R34,1,0,$Q32-2),($L32+1)&amp;"$",OFFSET(D34,1,0,$Q32-2)))</f>
        <v>0</v>
      </c>
      <c r="E34" s="322" t="n">
        <f aca="true">IF(OR($Q32&lt;&gt;2,AUTOEVENTO&lt;&gt;"manual",$E33&gt;0),"",SUMIF(OFFSET(CÁLCULO!$M$15,CRONO!$E32,0,OFFSET(ORÇAMENTO!$D$15,CRONO!$E32,0)),1,OFFSET(ORÇAMENTO!$X$15,CRONO!$E32,0,OFFSET(ORÇAMENTO!$D$15,CRONO!$E32,0))))</f>
        <v>0</v>
      </c>
      <c r="G34" s="346"/>
      <c r="R34" s="347" t="str">
        <f aca="false">L32&amp;"$"</f>
        <v>2$</v>
      </c>
      <c r="S34" s="348"/>
      <c r="T34" s="349" t="n">
        <f aca="true">IF($Q32=2,IF(AND(ACOMPANHAMENTO="PLE",ISNUMBER($E32)),SUMIF((OFFSET(CÁLCULO!$AM$15:$AW$15,$E32,0,OFFSET(ORÇAMENTO!$D$15,CRONO!$E32,0))),"&lt;="&amp;CRONO!T$12,OFFSET(CÁLCULO!$AB$15:$AL$15,$E32,0,OFFSET(ORÇAMENTO!$D$15,CRONO!$E32,0)))+IF(AND($E34&lt;&gt;"",$E34&lt;&gt;0),SUMIF(CÁLCULO!$AM$15:$AW$59,"&lt;="&amp;CRONO!T$12,CÁLCULO!$AB$15:$AL$59)/(ORÇAMENTO!$X$15-CÁLCULO.TotalAdmLocal)*CRONO!$E34,0),T33*$R32),SUMIF(OFFSET($R34,1,0,$Q32-2),($L32+1)&amp;"$",OFFSET(T34,1,0,$Q32-2)))</f>
        <v>0</v>
      </c>
      <c r="U34" s="345" t="n">
        <f aca="true">IF($Q32=2,IF(AND(ACOMPANHAMENTO="PLE",ISNUMBER($E32)),SUMIF((OFFSET(CÁLCULO!$AM$15:$AW$15,$E32,0,OFFSET(ORÇAMENTO!$D$15,CRONO!$E32,0))),"="&amp;CRONO!U$12,OFFSET(CÁLCULO!$AB$15:$AL$15,$E32,0,OFFSET(ORÇAMENTO!$D$15,CRONO!$E32,0)))+IF(AND($E34&lt;&gt;"",$E34&lt;&gt;0),SUMIF(CÁLCULO!$AM$15:$AW$59,"="&amp;CRONO!U$12,CÁLCULO!$AB$15:$AL$59)/(ORÇAMENTO!$X$15-CÁLCULO.TotalAdmLocal)*CRONO!$E34,0),U33*$R32),SUMIF(OFFSET($R34,1,0,$Q32-2),($L32+1)&amp;"$",OFFSET(U34,1,0,$Q32-2)))</f>
        <v>0</v>
      </c>
      <c r="V34" s="345" t="n">
        <f aca="true">IF($Q32=2,IF(AND(ACOMPANHAMENTO="PLE",ISNUMBER($E32)),SUMIF((OFFSET(CÁLCULO!$AM$15:$AW$15,$E32,0,OFFSET(ORÇAMENTO!$D$15,CRONO!$E32,0))),"="&amp;CRONO!V$12,OFFSET(CÁLCULO!$AB$15:$AL$15,$E32,0,OFFSET(ORÇAMENTO!$D$15,CRONO!$E32,0)))+IF(AND($E34&lt;&gt;"",$E34&lt;&gt;0),SUMIF(CÁLCULO!$AM$15:$AW$59,"="&amp;CRONO!V$12,CÁLCULO!$AB$15:$AL$59)/(ORÇAMENTO!$X$15-CÁLCULO.TotalAdmLocal)*CRONO!$E34,0),V33*$R32),SUMIF(OFFSET($R34,1,0,$Q32-2),($L32+1)&amp;"$",OFFSET(V34,1,0,$Q32-2)))</f>
        <v>0</v>
      </c>
      <c r="W34" s="345" t="n">
        <f aca="true">IF($Q32=2,IF(AND(ACOMPANHAMENTO="PLE",ISNUMBER($E32)),SUMIF((OFFSET(CÁLCULO!$AM$15:$AW$15,$E32,0,OFFSET(ORÇAMENTO!$D$15,CRONO!$E32,0))),"="&amp;CRONO!W$12,OFFSET(CÁLCULO!$AB$15:$AL$15,$E32,0,OFFSET(ORÇAMENTO!$D$15,CRONO!$E32,0)))+IF(AND($E34&lt;&gt;"",$E34&lt;&gt;0),SUMIF(CÁLCULO!$AM$15:$AW$59,"="&amp;CRONO!W$12,CÁLCULO!$AB$15:$AL$59)/(ORÇAMENTO!$X$15-CÁLCULO.TotalAdmLocal)*CRONO!$E34,0),W33*$R32),SUMIF(OFFSET($R34,1,0,$Q32-2),($L32+1)&amp;"$",OFFSET(W34,1,0,$Q32-2)))</f>
        <v>0</v>
      </c>
      <c r="X34" s="345" t="n">
        <f aca="true">IF($Q32=2,IF(AND(ACOMPANHAMENTO="PLE",ISNUMBER($E32)),SUMIF((OFFSET(CÁLCULO!$AM$15:$AW$15,$E32,0,OFFSET(ORÇAMENTO!$D$15,CRONO!$E32,0))),"="&amp;CRONO!X$12,OFFSET(CÁLCULO!$AB$15:$AL$15,$E32,0,OFFSET(ORÇAMENTO!$D$15,CRONO!$E32,0)))+IF(AND($E34&lt;&gt;"",$E34&lt;&gt;0),SUMIF(CÁLCULO!$AM$15:$AW$59,"="&amp;CRONO!X$12,CÁLCULO!$AB$15:$AL$59)/(ORÇAMENTO!$X$15-CÁLCULO.TotalAdmLocal)*CRONO!$E34,0),X33*$R32),SUMIF(OFFSET($R34,1,0,$Q32-2),($L32+1)&amp;"$",OFFSET(X34,1,0,$Q32-2)))</f>
        <v>0</v>
      </c>
      <c r="Y34" s="345" t="n">
        <f aca="true">IF($Q32=2,IF(AND(ACOMPANHAMENTO="PLE",ISNUMBER($E32)),SUMIF((OFFSET(CÁLCULO!$AM$15:$AW$15,$E32,0,OFFSET(ORÇAMENTO!$D$15,CRONO!$E32,0))),"="&amp;CRONO!Y$12,OFFSET(CÁLCULO!$AB$15:$AL$15,$E32,0,OFFSET(ORÇAMENTO!$D$15,CRONO!$E32,0)))+IF(AND($E34&lt;&gt;"",$E34&lt;&gt;0),SUMIF(CÁLCULO!$AM$15:$AW$59,"="&amp;CRONO!Y$12,CÁLCULO!$AB$15:$AL$59)/(ORÇAMENTO!$X$15-CÁLCULO.TotalAdmLocal)*CRONO!$E34,0),Y33*$R32),SUMIF(OFFSET($R34,1,0,$Q32-2),($L32+1)&amp;"$",OFFSET(Y34,1,0,$Q32-2)))</f>
        <v>0</v>
      </c>
      <c r="Z34" s="345" t="n">
        <f aca="true">IF($Q32=2,IF(AND(ACOMPANHAMENTO="PLE",ISNUMBER($E32)),SUMIF((OFFSET(CÁLCULO!$AM$15:$AW$15,$E32,0,OFFSET(ORÇAMENTO!$D$15,CRONO!$E32,0))),"="&amp;CRONO!Z$12,OFFSET(CÁLCULO!$AB$15:$AL$15,$E32,0,OFFSET(ORÇAMENTO!$D$15,CRONO!$E32,0)))+IF(AND($E34&lt;&gt;"",$E34&lt;&gt;0),SUMIF(CÁLCULO!$AM$15:$AW$59,"="&amp;CRONO!Z$12,CÁLCULO!$AB$15:$AL$59)/(ORÇAMENTO!$X$15-CÁLCULO.TotalAdmLocal)*CRONO!$E34,0),Z33*$R32),SUMIF(OFFSET($R34,1,0,$Q32-2),($L32+1)&amp;"$",OFFSET(Z34,1,0,$Q32-2)))</f>
        <v>0</v>
      </c>
      <c r="AA34" s="345" t="n">
        <f aca="true">IF($Q32=2,IF(AND(ACOMPANHAMENTO="PLE",ISNUMBER($E32)),SUMIF((OFFSET(CÁLCULO!$AM$15:$AW$15,$E32,0,OFFSET(ORÇAMENTO!$D$15,CRONO!$E32,0))),"="&amp;CRONO!AA$12,OFFSET(CÁLCULO!$AB$15:$AL$15,$E32,0,OFFSET(ORÇAMENTO!$D$15,CRONO!$E32,0)))+IF(AND($E34&lt;&gt;"",$E34&lt;&gt;0),SUMIF(CÁLCULO!$AM$15:$AW$59,"="&amp;CRONO!AA$12,CÁLCULO!$AB$15:$AL$59)/(ORÇAMENTO!$X$15-CÁLCULO.TotalAdmLocal)*CRONO!$E34,0),AA33*$R32),SUMIF(OFFSET($R34,1,0,$Q32-2),($L32+1)&amp;"$",OFFSET(AA34,1,0,$Q32-2)))</f>
        <v>0</v>
      </c>
      <c r="AB34" s="345" t="n">
        <f aca="true">IF($Q32=2,IF(AND(ACOMPANHAMENTO="PLE",ISNUMBER($E32)),SUMIF((OFFSET(CÁLCULO!$AM$15:$AW$15,$E32,0,OFFSET(ORÇAMENTO!$D$15,CRONO!$E32,0))),"="&amp;CRONO!AB$12,OFFSET(CÁLCULO!$AB$15:$AL$15,$E32,0,OFFSET(ORÇAMENTO!$D$15,CRONO!$E32,0)))+IF(AND($E34&lt;&gt;"",$E34&lt;&gt;0),SUMIF(CÁLCULO!$AM$15:$AW$59,"="&amp;CRONO!AB$12,CÁLCULO!$AB$15:$AL$59)/(ORÇAMENTO!$X$15-CÁLCULO.TotalAdmLocal)*CRONO!$E34,0),AB33*$R32),SUMIF(OFFSET($R34,1,0,$Q32-2),($L32+1)&amp;"$",OFFSET(AB34,1,0,$Q32-2)))</f>
        <v>0</v>
      </c>
      <c r="AC34" s="345" t="n">
        <f aca="true">IF($Q32=2,IF(AND(ACOMPANHAMENTO="PLE",ISNUMBER($E32)),SUMIF((OFFSET(CÁLCULO!$AM$15:$AW$15,$E32,0,OFFSET(ORÇAMENTO!$D$15,CRONO!$E32,0))),"="&amp;CRONO!AC$12,OFFSET(CÁLCULO!$AB$15:$AL$15,$E32,0,OFFSET(ORÇAMENTO!$D$15,CRONO!$E32,0)))+IF(AND($E34&lt;&gt;"",$E34&lt;&gt;0),SUMIF(CÁLCULO!$AM$15:$AW$59,"="&amp;CRONO!AC$12,CÁLCULO!$AB$15:$AL$59)/(ORÇAMENTO!$X$15-CÁLCULO.TotalAdmLocal)*CRONO!$E34,0),AC33*$R32),SUMIF(OFFSET($R34,1,0,$Q32-2),($L32+1)&amp;"$",OFFSET(AC34,1,0,$Q32-2)))</f>
        <v>0</v>
      </c>
      <c r="AD34" s="345" t="n">
        <f aca="true">IF($Q32=2,IF(AND(ACOMPANHAMENTO="PLE",ISNUMBER($E32)),SUMIF((OFFSET(CÁLCULO!$AM$15:$AW$15,$E32,0,OFFSET(ORÇAMENTO!$D$15,CRONO!$E32,0))),"="&amp;CRONO!AD$12,OFFSET(CÁLCULO!$AB$15:$AL$15,$E32,0,OFFSET(ORÇAMENTO!$D$15,CRONO!$E32,0)))+IF(AND($E34&lt;&gt;"",$E34&lt;&gt;0),SUMIF(CÁLCULO!$AM$15:$AW$59,"="&amp;CRONO!AD$12,CÁLCULO!$AB$15:$AL$59)/(ORÇAMENTO!$X$15-CÁLCULO.TotalAdmLocal)*CRONO!$E34,0),AD33*$R32),SUMIF(OFFSET($R34,1,0,$Q32-2),($L32+1)&amp;"$",OFFSET(AD34,1,0,$Q32-2)))</f>
        <v>0</v>
      </c>
      <c r="AE34" s="350" t="n">
        <f aca="true">IF($Q32=2,IF(AND(ACOMPANHAMENTO="PLE",ISNUMBER($E32)),SUMIF((OFFSET(CÁLCULO!$AM$15:$AW$15,$E32,0,OFFSET(ORÇAMENTO!$D$15,CRONO!$E32,0))),"="&amp;CRONO!AE$12,OFFSET(CÁLCULO!$AB$15:$AL$15,$E32,0,OFFSET(ORÇAMENTO!$D$15,CRONO!$E32,0)))+IF(AND($E34&lt;&gt;"",$E34&lt;&gt;0),SUMIF(CÁLCULO!$AM$15:$AW$59,"="&amp;CRONO!AE$12,CÁLCULO!$AB$15:$AL$59)/(ORÇAMENTO!$X$15-CÁLCULO.TotalAdmLocal)*CRONO!$E34,0),AE33*$R32),SUMIF(OFFSET($R34,1,0,$Q32-2),($L32+1)&amp;"$",OFFSET(AE34,1,0,$Q32-2)))</f>
        <v>0</v>
      </c>
    </row>
    <row r="35" customFormat="false" ht="12.75" hidden="false" customHeight="false" outlineLevel="0" collapsed="false">
      <c r="A35" s="322" t="n">
        <f aca="true">OFFSET(A35,-3,0)+1</f>
        <v>8</v>
      </c>
      <c r="B35" s="322" t="n">
        <f aca="true">IF($Q35&lt;&gt;2,0,IF($R35=0,1,IF(E36&gt;0,OFFSET(QCI!$M$13,SUBSTITUTE(E36,".",""),0),OFFSET(ORÇAMENTO!$AA$15,CRONO!$E35,0))/$R35))</f>
        <v>1</v>
      </c>
      <c r="C35" s="322" t="n">
        <f aca="true">IF($Q35&lt;&gt;2,0,IF($R35=0,1,IF(E36&gt;0,OFFSET(QCI!$N$13,SUBSTITUTE(E36,".",""),0),OFFSET(ORÇAMENTO!$AB$15,CRONO!$E35,0))/$R35))</f>
        <v>1</v>
      </c>
      <c r="D35" s="325" t="e">
        <f aca="false">IF(AND($Q35=2,ACOMPANHAMENTO="BM"),D36,D37/$R35)</f>
        <v>#DIV/0!</v>
      </c>
      <c r="E35" s="322" t="n">
        <f aca="true">IF(A35&lt;=ORÇAMENTO.MáximoListaCrono,MATCH(A35,ORÇAMENTO.ListaCrono,0),NA())</f>
        <v>23</v>
      </c>
      <c r="F35" s="322" t="str">
        <f aca="false">IF(AND($E36&lt;&gt;-1,$R35&gt;0),"F","")</f>
        <v/>
      </c>
      <c r="G35" s="326" t="str">
        <f aca="false">IF(OR(R35=0,R35=""),"Linha",IF(AND(OR(ACOMPANHAMENTO="PLE",$Q35&lt;&gt;2),$E36=0),"Linha",1-SUM(T35:AF35)))</f>
        <v>Linha</v>
      </c>
      <c r="H35" s="327" t="str">
        <f aca="true">IF($E36=0,OFFSET(ORÇAMENTO!O$15,$E35,0),IF($E36&lt;&gt;-1,OFFSET(QCI!$D$13,$E36,0),""))</f>
        <v>1.7.</v>
      </c>
      <c r="I35" s="328" t="str">
        <f aca="true">IF($E36=0,OFFSET(ORÇAMENTO!R$15,$E35,0),IF($E36&lt;&gt;-1,OFFSET(QCI!$G$13,$E36,0),""))</f>
        <v>Base  </v>
      </c>
      <c r="J35" s="328"/>
      <c r="K35" s="328"/>
      <c r="L35" s="329" t="n">
        <f aca="true">IF($E36=0,OFFSET(ORÇAMENTO!C$15,$E35,0),1)</f>
        <v>2</v>
      </c>
      <c r="M35" s="330" t="n">
        <f aca="true">IF($E36=-1,0,IF(M$13&lt;=$L35,IF(ISERROR(MATCH(M$13,OFFSET($L35,1,0,ROW($L$47)-ROW($L35)-1),0)),ROW($L$47)-ROW($L35)-1,MATCH(M$13,OFFSET($L35,1,0,ROW($L$47)-ROW($L35)-1),0)-1),0))</f>
        <v>11</v>
      </c>
      <c r="N35" s="330" t="n">
        <f aca="true">IF($E36=-1,0,IF(N$13&lt;=$L35,IF(ISERROR(MATCH(N$13,OFFSET($L35,1,0,ROW($L$47)-ROW($L35)-1),0)),ROW($L$47)-ROW($L35)-1,MATCH(N$13,OFFSET($L35,1,0,ROW($L$47)-ROW($L35)-1),0)-1),0))</f>
        <v>2</v>
      </c>
      <c r="O35" s="330" t="n">
        <f aca="true">IF($E36=-1,0,IF(O$13&lt;=$L35,IF(ISERROR(MATCH(O$13,OFFSET($L35,1,0,ROW($L$47)-ROW($L35)-1),0)),ROW($L$47)-ROW($L35)-1,MATCH(O$13,OFFSET($L35,1,0,ROW($L$47)-ROW($L35)-1),0)-1),0))</f>
        <v>0</v>
      </c>
      <c r="P35" s="330" t="n">
        <f aca="true">IF($E36=-1,0,IF(P$13&lt;=$L35,IF(ISERROR(MATCH(P$13,OFFSET($L35,1,0,ROW($L$47)-ROW($L35)-1),0)),ROW($L$47)-ROW($L35)-1,MATCH(P$13,OFFSET($L35,1,0,ROW($L$47)-ROW($L35)-1),0)-1),0))</f>
        <v>0</v>
      </c>
      <c r="Q35" s="330" t="n">
        <f aca="true">MIN(OFFSET(L35,0,1,,L35))</f>
        <v>2</v>
      </c>
      <c r="R35" s="331" t="n">
        <f aca="true">IF($E36=0,OFFSET(ORÇAMENTO!X$15,$E35,0),IF($E36&lt;&gt;-1,OFFSET(QCI!$O$13,$E36,0),""))</f>
        <v>0</v>
      </c>
      <c r="S35" s="332" t="s">
        <v>398</v>
      </c>
      <c r="T35" s="333" t="e">
        <f aca="false">IF(AND($Q35=2,ACOMPANHAMENTO="BM"),T36,T37/$R35)</f>
        <v>#DIV/0!</v>
      </c>
      <c r="U35" s="325" t="e">
        <f aca="false">IF(AND($Q35=2,ACOMPANHAMENTO="BM"),U36,U37/$R35)</f>
        <v>#DIV/0!</v>
      </c>
      <c r="V35" s="325" t="e">
        <f aca="false">IF(AND($Q35=2,ACOMPANHAMENTO="BM"),V36,V37/$R35)</f>
        <v>#DIV/0!</v>
      </c>
      <c r="W35" s="325" t="e">
        <f aca="false">IF(AND($Q35=2,ACOMPANHAMENTO="BM"),W36,W37/$R35)</f>
        <v>#DIV/0!</v>
      </c>
      <c r="X35" s="325" t="e">
        <f aca="false">IF(AND($Q35=2,ACOMPANHAMENTO="BM"),X36,X37/$R35)</f>
        <v>#DIV/0!</v>
      </c>
      <c r="Y35" s="325" t="e">
        <f aca="false">IF(AND($Q35=2,ACOMPANHAMENTO="BM"),Y36,Y37/$R35)</f>
        <v>#DIV/0!</v>
      </c>
      <c r="Z35" s="325" t="e">
        <f aca="false">IF(AND($Q35=2,ACOMPANHAMENTO="BM"),Z36,Z37/$R35)</f>
        <v>#DIV/0!</v>
      </c>
      <c r="AA35" s="325" t="e">
        <f aca="false">IF(AND($Q35=2,ACOMPANHAMENTO="BM"),AA36,AA37/$R35)</f>
        <v>#DIV/0!</v>
      </c>
      <c r="AB35" s="325" t="e">
        <f aca="false">IF(AND($Q35=2,ACOMPANHAMENTO="BM"),AB36,AB37/$R35)</f>
        <v>#DIV/0!</v>
      </c>
      <c r="AC35" s="325" t="e">
        <f aca="false">IF(AND($Q35=2,ACOMPANHAMENTO="BM"),AC36,AC37/$R35)</f>
        <v>#DIV/0!</v>
      </c>
      <c r="AD35" s="325" t="e">
        <f aca="false">IF(AND($Q35=2,ACOMPANHAMENTO="BM"),AD36,AD37/$R35)</f>
        <v>#DIV/0!</v>
      </c>
      <c r="AE35" s="334" t="e">
        <f aca="false">IF(AND($Q35=2,ACOMPANHAMENTO="BM"),AE36,AE37/$R35)</f>
        <v>#DIV/0!</v>
      </c>
    </row>
    <row r="36" customFormat="false" ht="12.75" hidden="false" customHeight="true" outlineLevel="0" collapsed="false">
      <c r="D36" s="335"/>
      <c r="E36" s="322" t="n">
        <f aca="true">IF(ISERROR(E35),IF(1+COUNTIF($L$13:OFFSET(L35,-1,0),1)&lt;=MAX(QCI!$D$13:$D$24),1+COUNTIF($L$13:OFFSET(L35,-1,0),1),-1),0)</f>
        <v>0</v>
      </c>
      <c r="F36" s="322" t="str">
        <f aca="false">IF(AND($E36&lt;&gt;-1,$R35&gt;0),"F","")</f>
        <v/>
      </c>
      <c r="G36" s="336" t="str">
        <f aca="false">IF(OR(R35=0,R35=""),"vazia",IF(AND(OR(ACOMPANHAMENTO="PLE",$Q35&lt;&gt;2),$E36=0),"calculada","--&gt;"))</f>
        <v>vazia</v>
      </c>
      <c r="H36" s="337"/>
      <c r="I36" s="338" t="str">
        <f aca="false">IF(AND(G35&lt;&gt;0,ISNUMBER(G35)),"PREENCHA ESTA LINHA --&gt;","")</f>
        <v/>
      </c>
      <c r="J36" s="338"/>
      <c r="K36" s="338"/>
      <c r="L36" s="339"/>
      <c r="M36" s="339"/>
      <c r="N36" s="339"/>
      <c r="O36" s="339"/>
      <c r="P36" s="339"/>
      <c r="Q36" s="339"/>
      <c r="R36" s="340"/>
      <c r="S36" s="341"/>
      <c r="T36" s="342"/>
      <c r="U36" s="335" t="n">
        <v>0.5</v>
      </c>
      <c r="V36" s="335" t="n">
        <v>0.5</v>
      </c>
      <c r="W36" s="335"/>
      <c r="X36" s="335"/>
      <c r="Y36" s="335"/>
      <c r="Z36" s="335"/>
      <c r="AA36" s="335"/>
      <c r="AB36" s="335"/>
      <c r="AC36" s="335"/>
      <c r="AD36" s="335"/>
      <c r="AE36" s="343"/>
      <c r="AF36" s="344"/>
    </row>
    <row r="37" customFormat="false" ht="12.8" hidden="true" customHeight="false" outlineLevel="0" collapsed="false">
      <c r="D37" s="345" t="n">
        <f aca="true">IF($Q35=2,IF(AND(ACOMPANHAMENTO="PLE",ISNUMBER($E35)),SUMIF((OFFSET(CÁLCULO!$AM$15:$AW$15,$E35,0,OFFSET(ORÇAMENTO!$D$15,CRONO!$E35,0))),"="&amp;CRONO!D$12,OFFSET(CÁLCULO!$AB$15:$AL$15,$E35,0,OFFSET(ORÇAMENTO!$D$15,CRONO!$E35,0)))+IF(AND($E37&lt;&gt;"",$E37&lt;&gt;0),SUMIF(CÁLCULO!$AM$15:$AW$59,"="&amp;CRONO!D$12,CÁLCULO!$AB$15:$AL$59)/(ORÇAMENTO!$X$15-CÁLCULO.TotalAdmLocal)*CRONO!$E37,0),D36*$R35),SUMIF(OFFSET($R37,1,0,$Q35-2),($L35+1)&amp;"$",OFFSET(D37,1,0,$Q35-2)))</f>
        <v>0</v>
      </c>
      <c r="E37" s="322" t="n">
        <f aca="true">IF(OR($Q35&lt;&gt;2,AUTOEVENTO&lt;&gt;"manual",$E36&gt;0),"",SUMIF(OFFSET(CÁLCULO!$M$15,CRONO!$E35,0,OFFSET(ORÇAMENTO!$D$15,CRONO!$E35,0)),1,OFFSET(ORÇAMENTO!$X$15,CRONO!$E35,0,OFFSET(ORÇAMENTO!$D$15,CRONO!$E35,0))))</f>
        <v>0</v>
      </c>
      <c r="G37" s="346"/>
      <c r="R37" s="347" t="str">
        <f aca="false">L35&amp;"$"</f>
        <v>2$</v>
      </c>
      <c r="S37" s="348"/>
      <c r="T37" s="349" t="n">
        <f aca="true">IF($Q35=2,IF(AND(ACOMPANHAMENTO="PLE",ISNUMBER($E35)),SUMIF((OFFSET(CÁLCULO!$AM$15:$AW$15,$E35,0,OFFSET(ORÇAMENTO!$D$15,CRONO!$E35,0))),"&lt;="&amp;CRONO!T$12,OFFSET(CÁLCULO!$AB$15:$AL$15,$E35,0,OFFSET(ORÇAMENTO!$D$15,CRONO!$E35,0)))+IF(AND($E37&lt;&gt;"",$E37&lt;&gt;0),SUMIF(CÁLCULO!$AM$15:$AW$59,"&lt;="&amp;CRONO!T$12,CÁLCULO!$AB$15:$AL$59)/(ORÇAMENTO!$X$15-CÁLCULO.TotalAdmLocal)*CRONO!$E37,0),T36*$R35),SUMIF(OFFSET($R37,1,0,$Q35-2),($L35+1)&amp;"$",OFFSET(T37,1,0,$Q35-2)))</f>
        <v>0</v>
      </c>
      <c r="U37" s="345" t="n">
        <f aca="true">IF($Q35=2,IF(AND(ACOMPANHAMENTO="PLE",ISNUMBER($E35)),SUMIF((OFFSET(CÁLCULO!$AM$15:$AW$15,$E35,0,OFFSET(ORÇAMENTO!$D$15,CRONO!$E35,0))),"="&amp;CRONO!U$12,OFFSET(CÁLCULO!$AB$15:$AL$15,$E35,0,OFFSET(ORÇAMENTO!$D$15,CRONO!$E35,0)))+IF(AND($E37&lt;&gt;"",$E37&lt;&gt;0),SUMIF(CÁLCULO!$AM$15:$AW$59,"="&amp;CRONO!U$12,CÁLCULO!$AB$15:$AL$59)/(ORÇAMENTO!$X$15-CÁLCULO.TotalAdmLocal)*CRONO!$E37,0),U36*$R35),SUMIF(OFFSET($R37,1,0,$Q35-2),($L35+1)&amp;"$",OFFSET(U37,1,0,$Q35-2)))</f>
        <v>0</v>
      </c>
      <c r="V37" s="345" t="n">
        <f aca="true">IF($Q35=2,IF(AND(ACOMPANHAMENTO="PLE",ISNUMBER($E35)),SUMIF((OFFSET(CÁLCULO!$AM$15:$AW$15,$E35,0,OFFSET(ORÇAMENTO!$D$15,CRONO!$E35,0))),"="&amp;CRONO!V$12,OFFSET(CÁLCULO!$AB$15:$AL$15,$E35,0,OFFSET(ORÇAMENTO!$D$15,CRONO!$E35,0)))+IF(AND($E37&lt;&gt;"",$E37&lt;&gt;0),SUMIF(CÁLCULO!$AM$15:$AW$59,"="&amp;CRONO!V$12,CÁLCULO!$AB$15:$AL$59)/(ORÇAMENTO!$X$15-CÁLCULO.TotalAdmLocal)*CRONO!$E37,0),V36*$R35),SUMIF(OFFSET($R37,1,0,$Q35-2),($L35+1)&amp;"$",OFFSET(V37,1,0,$Q35-2)))</f>
        <v>0</v>
      </c>
      <c r="W37" s="345" t="n">
        <f aca="true">IF($Q35=2,IF(AND(ACOMPANHAMENTO="PLE",ISNUMBER($E35)),SUMIF((OFFSET(CÁLCULO!$AM$15:$AW$15,$E35,0,OFFSET(ORÇAMENTO!$D$15,CRONO!$E35,0))),"="&amp;CRONO!W$12,OFFSET(CÁLCULO!$AB$15:$AL$15,$E35,0,OFFSET(ORÇAMENTO!$D$15,CRONO!$E35,0)))+IF(AND($E37&lt;&gt;"",$E37&lt;&gt;0),SUMIF(CÁLCULO!$AM$15:$AW$59,"="&amp;CRONO!W$12,CÁLCULO!$AB$15:$AL$59)/(ORÇAMENTO!$X$15-CÁLCULO.TotalAdmLocal)*CRONO!$E37,0),W36*$R35),SUMIF(OFFSET($R37,1,0,$Q35-2),($L35+1)&amp;"$",OFFSET(W37,1,0,$Q35-2)))</f>
        <v>0</v>
      </c>
      <c r="X37" s="345" t="n">
        <f aca="true">IF($Q35=2,IF(AND(ACOMPANHAMENTO="PLE",ISNUMBER($E35)),SUMIF((OFFSET(CÁLCULO!$AM$15:$AW$15,$E35,0,OFFSET(ORÇAMENTO!$D$15,CRONO!$E35,0))),"="&amp;CRONO!X$12,OFFSET(CÁLCULO!$AB$15:$AL$15,$E35,0,OFFSET(ORÇAMENTO!$D$15,CRONO!$E35,0)))+IF(AND($E37&lt;&gt;"",$E37&lt;&gt;0),SUMIF(CÁLCULO!$AM$15:$AW$59,"="&amp;CRONO!X$12,CÁLCULO!$AB$15:$AL$59)/(ORÇAMENTO!$X$15-CÁLCULO.TotalAdmLocal)*CRONO!$E37,0),X36*$R35),SUMIF(OFFSET($R37,1,0,$Q35-2),($L35+1)&amp;"$",OFFSET(X37,1,0,$Q35-2)))</f>
        <v>0</v>
      </c>
      <c r="Y37" s="345" t="n">
        <f aca="true">IF($Q35=2,IF(AND(ACOMPANHAMENTO="PLE",ISNUMBER($E35)),SUMIF((OFFSET(CÁLCULO!$AM$15:$AW$15,$E35,0,OFFSET(ORÇAMENTO!$D$15,CRONO!$E35,0))),"="&amp;CRONO!Y$12,OFFSET(CÁLCULO!$AB$15:$AL$15,$E35,0,OFFSET(ORÇAMENTO!$D$15,CRONO!$E35,0)))+IF(AND($E37&lt;&gt;"",$E37&lt;&gt;0),SUMIF(CÁLCULO!$AM$15:$AW$59,"="&amp;CRONO!Y$12,CÁLCULO!$AB$15:$AL$59)/(ORÇAMENTO!$X$15-CÁLCULO.TotalAdmLocal)*CRONO!$E37,0),Y36*$R35),SUMIF(OFFSET($R37,1,0,$Q35-2),($L35+1)&amp;"$",OFFSET(Y37,1,0,$Q35-2)))</f>
        <v>0</v>
      </c>
      <c r="Z37" s="345" t="n">
        <f aca="true">IF($Q35=2,IF(AND(ACOMPANHAMENTO="PLE",ISNUMBER($E35)),SUMIF((OFFSET(CÁLCULO!$AM$15:$AW$15,$E35,0,OFFSET(ORÇAMENTO!$D$15,CRONO!$E35,0))),"="&amp;CRONO!Z$12,OFFSET(CÁLCULO!$AB$15:$AL$15,$E35,0,OFFSET(ORÇAMENTO!$D$15,CRONO!$E35,0)))+IF(AND($E37&lt;&gt;"",$E37&lt;&gt;0),SUMIF(CÁLCULO!$AM$15:$AW$59,"="&amp;CRONO!Z$12,CÁLCULO!$AB$15:$AL$59)/(ORÇAMENTO!$X$15-CÁLCULO.TotalAdmLocal)*CRONO!$E37,0),Z36*$R35),SUMIF(OFFSET($R37,1,0,$Q35-2),($L35+1)&amp;"$",OFFSET(Z37,1,0,$Q35-2)))</f>
        <v>0</v>
      </c>
      <c r="AA37" s="345" t="n">
        <f aca="true">IF($Q35=2,IF(AND(ACOMPANHAMENTO="PLE",ISNUMBER($E35)),SUMIF((OFFSET(CÁLCULO!$AM$15:$AW$15,$E35,0,OFFSET(ORÇAMENTO!$D$15,CRONO!$E35,0))),"="&amp;CRONO!AA$12,OFFSET(CÁLCULO!$AB$15:$AL$15,$E35,0,OFFSET(ORÇAMENTO!$D$15,CRONO!$E35,0)))+IF(AND($E37&lt;&gt;"",$E37&lt;&gt;0),SUMIF(CÁLCULO!$AM$15:$AW$59,"="&amp;CRONO!AA$12,CÁLCULO!$AB$15:$AL$59)/(ORÇAMENTO!$X$15-CÁLCULO.TotalAdmLocal)*CRONO!$E37,0),AA36*$R35),SUMIF(OFFSET($R37,1,0,$Q35-2),($L35+1)&amp;"$",OFFSET(AA37,1,0,$Q35-2)))</f>
        <v>0</v>
      </c>
      <c r="AB37" s="345" t="n">
        <f aca="true">IF($Q35=2,IF(AND(ACOMPANHAMENTO="PLE",ISNUMBER($E35)),SUMIF((OFFSET(CÁLCULO!$AM$15:$AW$15,$E35,0,OFFSET(ORÇAMENTO!$D$15,CRONO!$E35,0))),"="&amp;CRONO!AB$12,OFFSET(CÁLCULO!$AB$15:$AL$15,$E35,0,OFFSET(ORÇAMENTO!$D$15,CRONO!$E35,0)))+IF(AND($E37&lt;&gt;"",$E37&lt;&gt;0),SUMIF(CÁLCULO!$AM$15:$AW$59,"="&amp;CRONO!AB$12,CÁLCULO!$AB$15:$AL$59)/(ORÇAMENTO!$X$15-CÁLCULO.TotalAdmLocal)*CRONO!$E37,0),AB36*$R35),SUMIF(OFFSET($R37,1,0,$Q35-2),($L35+1)&amp;"$",OFFSET(AB37,1,0,$Q35-2)))</f>
        <v>0</v>
      </c>
      <c r="AC37" s="345" t="n">
        <f aca="true">IF($Q35=2,IF(AND(ACOMPANHAMENTO="PLE",ISNUMBER($E35)),SUMIF((OFFSET(CÁLCULO!$AM$15:$AW$15,$E35,0,OFFSET(ORÇAMENTO!$D$15,CRONO!$E35,0))),"="&amp;CRONO!AC$12,OFFSET(CÁLCULO!$AB$15:$AL$15,$E35,0,OFFSET(ORÇAMENTO!$D$15,CRONO!$E35,0)))+IF(AND($E37&lt;&gt;"",$E37&lt;&gt;0),SUMIF(CÁLCULO!$AM$15:$AW$59,"="&amp;CRONO!AC$12,CÁLCULO!$AB$15:$AL$59)/(ORÇAMENTO!$X$15-CÁLCULO.TotalAdmLocal)*CRONO!$E37,0),AC36*$R35),SUMIF(OFFSET($R37,1,0,$Q35-2),($L35+1)&amp;"$",OFFSET(AC37,1,0,$Q35-2)))</f>
        <v>0</v>
      </c>
      <c r="AD37" s="345" t="n">
        <f aca="true">IF($Q35=2,IF(AND(ACOMPANHAMENTO="PLE",ISNUMBER($E35)),SUMIF((OFFSET(CÁLCULO!$AM$15:$AW$15,$E35,0,OFFSET(ORÇAMENTO!$D$15,CRONO!$E35,0))),"="&amp;CRONO!AD$12,OFFSET(CÁLCULO!$AB$15:$AL$15,$E35,0,OFFSET(ORÇAMENTO!$D$15,CRONO!$E35,0)))+IF(AND($E37&lt;&gt;"",$E37&lt;&gt;0),SUMIF(CÁLCULO!$AM$15:$AW$59,"="&amp;CRONO!AD$12,CÁLCULO!$AB$15:$AL$59)/(ORÇAMENTO!$X$15-CÁLCULO.TotalAdmLocal)*CRONO!$E37,0),AD36*$R35),SUMIF(OFFSET($R37,1,0,$Q35-2),($L35+1)&amp;"$",OFFSET(AD37,1,0,$Q35-2)))</f>
        <v>0</v>
      </c>
      <c r="AE37" s="350" t="n">
        <f aca="true">IF($Q35=2,IF(AND(ACOMPANHAMENTO="PLE",ISNUMBER($E35)),SUMIF((OFFSET(CÁLCULO!$AM$15:$AW$15,$E35,0,OFFSET(ORÇAMENTO!$D$15,CRONO!$E35,0))),"="&amp;CRONO!AE$12,OFFSET(CÁLCULO!$AB$15:$AL$15,$E35,0,OFFSET(ORÇAMENTO!$D$15,CRONO!$E35,0)))+IF(AND($E37&lt;&gt;"",$E37&lt;&gt;0),SUMIF(CÁLCULO!$AM$15:$AW$59,"="&amp;CRONO!AE$12,CÁLCULO!$AB$15:$AL$59)/(ORÇAMENTO!$X$15-CÁLCULO.TotalAdmLocal)*CRONO!$E37,0),AE36*$R35),SUMIF(OFFSET($R37,1,0,$Q35-2),($L35+1)&amp;"$",OFFSET(AE37,1,0,$Q35-2)))</f>
        <v>0</v>
      </c>
    </row>
    <row r="38" customFormat="false" ht="12.75" hidden="false" customHeight="false" outlineLevel="0" collapsed="false">
      <c r="A38" s="322" t="n">
        <f aca="true">OFFSET(A38,-3,0)+1</f>
        <v>9</v>
      </c>
      <c r="B38" s="322" t="n">
        <f aca="true">IF($Q38&lt;&gt;2,0,IF($R38=0,1,IF(E39&gt;0,OFFSET(QCI!$M$13,SUBSTITUTE(E39,".",""),0),OFFSET(ORÇAMENTO!$AA$15,CRONO!$E38,0))/$R38))</f>
        <v>1</v>
      </c>
      <c r="C38" s="322" t="n">
        <f aca="true">IF($Q38&lt;&gt;2,0,IF($R38=0,1,IF(E39&gt;0,OFFSET(QCI!$N$13,SUBSTITUTE(E39,".",""),0),OFFSET(ORÇAMENTO!$AB$15,CRONO!$E38,0))/$R38))</f>
        <v>1</v>
      </c>
      <c r="D38" s="325" t="e">
        <f aca="false">IF(AND($Q38=2,ACOMPANHAMENTO="BM"),D39,D40/$R38)</f>
        <v>#DIV/0!</v>
      </c>
      <c r="E38" s="322" t="n">
        <f aca="true">IF(A38&lt;=ORÇAMENTO.MáximoListaCrono,MATCH(A38,ORÇAMENTO.ListaCrono,0),NA())</f>
        <v>32</v>
      </c>
      <c r="F38" s="322" t="str">
        <f aca="false">IF(AND($E39&lt;&gt;-1,$R38&gt;0),"F","")</f>
        <v/>
      </c>
      <c r="G38" s="326" t="str">
        <f aca="false">IF(OR(R38=0,R38=""),"Linha",IF(AND(OR(ACOMPANHAMENTO="PLE",$Q38&lt;&gt;2),$E39=0),"Linha",1-SUM(T38:AF38)))</f>
        <v>Linha</v>
      </c>
      <c r="H38" s="327" t="str">
        <f aca="true">IF($E39=0,OFFSET(ORÇAMENTO!O$15,$E38,0),IF($E39&lt;&gt;-1,OFFSET(QCI!$D$13,$E39,0),""))</f>
        <v>1.8.</v>
      </c>
      <c r="I38" s="328" t="str">
        <f aca="true">IF($E39=0,OFFSET(ORÇAMENTO!R$15,$E38,0),IF($E39&lt;&gt;-1,OFFSET(QCI!$G$13,$E39,0),""))</f>
        <v>Concreto Asfáltico</v>
      </c>
      <c r="J38" s="328"/>
      <c r="K38" s="328"/>
      <c r="L38" s="329" t="n">
        <f aca="true">IF($E39=0,OFFSET(ORÇAMENTO!C$15,$E38,0),1)</f>
        <v>2</v>
      </c>
      <c r="M38" s="330" t="n">
        <f aca="true">IF($E39=-1,0,IF(M$13&lt;=$L38,IF(ISERROR(MATCH(M$13,OFFSET($L38,1,0,ROW($L$47)-ROW($L38)-1),0)),ROW($L$47)-ROW($L38)-1,MATCH(M$13,OFFSET($L38,1,0,ROW($L$47)-ROW($L38)-1),0)-1),0))</f>
        <v>8</v>
      </c>
      <c r="N38" s="330" t="n">
        <f aca="true">IF($E39=-1,0,IF(N$13&lt;=$L38,IF(ISERROR(MATCH(N$13,OFFSET($L38,1,0,ROW($L$47)-ROW($L38)-1),0)),ROW($L$47)-ROW($L38)-1,MATCH(N$13,OFFSET($L38,1,0,ROW($L$47)-ROW($L38)-1),0)-1),0))</f>
        <v>2</v>
      </c>
      <c r="O38" s="330" t="n">
        <f aca="true">IF($E39=-1,0,IF(O$13&lt;=$L38,IF(ISERROR(MATCH(O$13,OFFSET($L38,1,0,ROW($L$47)-ROW($L38)-1),0)),ROW($L$47)-ROW($L38)-1,MATCH(O$13,OFFSET($L38,1,0,ROW($L$47)-ROW($L38)-1),0)-1),0))</f>
        <v>0</v>
      </c>
      <c r="P38" s="330" t="n">
        <f aca="true">IF($E39=-1,0,IF(P$13&lt;=$L38,IF(ISERROR(MATCH(P$13,OFFSET($L38,1,0,ROW($L$47)-ROW($L38)-1),0)),ROW($L$47)-ROW($L38)-1,MATCH(P$13,OFFSET($L38,1,0,ROW($L$47)-ROW($L38)-1),0)-1),0))</f>
        <v>0</v>
      </c>
      <c r="Q38" s="330" t="n">
        <f aca="true">MIN(OFFSET(L38,0,1,,L38))</f>
        <v>2</v>
      </c>
      <c r="R38" s="331" t="n">
        <f aca="true">IF($E39=0,OFFSET(ORÇAMENTO!X$15,$E38,0),IF($E39&lt;&gt;-1,OFFSET(QCI!$O$13,$E39,0),""))</f>
        <v>0</v>
      </c>
      <c r="S38" s="332" t="s">
        <v>398</v>
      </c>
      <c r="T38" s="333" t="e">
        <f aca="false">IF(AND($Q38=2,ACOMPANHAMENTO="BM"),T39,T40/$R38)</f>
        <v>#DIV/0!</v>
      </c>
      <c r="U38" s="325" t="e">
        <f aca="false">IF(AND($Q38=2,ACOMPANHAMENTO="BM"),U39,U40/$R38)</f>
        <v>#DIV/0!</v>
      </c>
      <c r="V38" s="325" t="e">
        <f aca="false">IF(AND($Q38=2,ACOMPANHAMENTO="BM"),V39,V40/$R38)</f>
        <v>#DIV/0!</v>
      </c>
      <c r="W38" s="325" t="e">
        <f aca="false">IF(AND($Q38=2,ACOMPANHAMENTO="BM"),W39,W40/$R38)</f>
        <v>#DIV/0!</v>
      </c>
      <c r="X38" s="325" t="e">
        <f aca="false">IF(AND($Q38=2,ACOMPANHAMENTO="BM"),X39,X40/$R38)</f>
        <v>#DIV/0!</v>
      </c>
      <c r="Y38" s="325" t="e">
        <f aca="false">IF(AND($Q38=2,ACOMPANHAMENTO="BM"),Y39,Y40/$R38)</f>
        <v>#DIV/0!</v>
      </c>
      <c r="Z38" s="325" t="e">
        <f aca="false">IF(AND($Q38=2,ACOMPANHAMENTO="BM"),Z39,Z40/$R38)</f>
        <v>#DIV/0!</v>
      </c>
      <c r="AA38" s="325" t="e">
        <f aca="false">IF(AND($Q38=2,ACOMPANHAMENTO="BM"),AA39,AA40/$R38)</f>
        <v>#DIV/0!</v>
      </c>
      <c r="AB38" s="325" t="e">
        <f aca="false">IF(AND($Q38=2,ACOMPANHAMENTO="BM"),AB39,AB40/$R38)</f>
        <v>#DIV/0!</v>
      </c>
      <c r="AC38" s="325" t="e">
        <f aca="false">IF(AND($Q38=2,ACOMPANHAMENTO="BM"),AC39,AC40/$R38)</f>
        <v>#DIV/0!</v>
      </c>
      <c r="AD38" s="325" t="e">
        <f aca="false">IF(AND($Q38=2,ACOMPANHAMENTO="BM"),AD39,AD40/$R38)</f>
        <v>#DIV/0!</v>
      </c>
      <c r="AE38" s="334" t="e">
        <f aca="false">IF(AND($Q38=2,ACOMPANHAMENTO="BM"),AE39,AE40/$R38)</f>
        <v>#DIV/0!</v>
      </c>
    </row>
    <row r="39" customFormat="false" ht="12.75" hidden="false" customHeight="true" outlineLevel="0" collapsed="false">
      <c r="D39" s="335"/>
      <c r="E39" s="322" t="n">
        <f aca="true">IF(ISERROR(E38),IF(1+COUNTIF($L$13:OFFSET(L38,-1,0),1)&lt;=MAX(QCI!$D$13:$D$24),1+COUNTIF($L$13:OFFSET(L38,-1,0),1),-1),0)</f>
        <v>0</v>
      </c>
      <c r="F39" s="322" t="str">
        <f aca="false">IF(AND($E39&lt;&gt;-1,$R38&gt;0),"F","")</f>
        <v/>
      </c>
      <c r="G39" s="336" t="str">
        <f aca="false">IF(OR(R38=0,R38=""),"vazia",IF(AND(OR(ACOMPANHAMENTO="PLE",$Q38&lt;&gt;2),$E39=0),"calculada","--&gt;"))</f>
        <v>vazia</v>
      </c>
      <c r="H39" s="337"/>
      <c r="I39" s="338" t="str">
        <f aca="false">IF(AND(G38&lt;&gt;0,ISNUMBER(G38)),"PREENCHA ESTA LINHA --&gt;","")</f>
        <v/>
      </c>
      <c r="J39" s="338"/>
      <c r="K39" s="338"/>
      <c r="L39" s="339"/>
      <c r="M39" s="339"/>
      <c r="N39" s="339"/>
      <c r="O39" s="339"/>
      <c r="P39" s="339"/>
      <c r="Q39" s="339"/>
      <c r="R39" s="340"/>
      <c r="S39" s="341"/>
      <c r="T39" s="342"/>
      <c r="U39" s="335"/>
      <c r="V39" s="335" t="n">
        <v>1</v>
      </c>
      <c r="W39" s="335"/>
      <c r="X39" s="335"/>
      <c r="Y39" s="335"/>
      <c r="Z39" s="335"/>
      <c r="AA39" s="335"/>
      <c r="AB39" s="335"/>
      <c r="AC39" s="335"/>
      <c r="AD39" s="335"/>
      <c r="AE39" s="343"/>
      <c r="AF39" s="344"/>
    </row>
    <row r="40" customFormat="false" ht="12.8" hidden="true" customHeight="false" outlineLevel="0" collapsed="false">
      <c r="D40" s="345" t="n">
        <f aca="true">IF($Q38=2,IF(AND(ACOMPANHAMENTO="PLE",ISNUMBER($E38)),SUMIF((OFFSET(CÁLCULO!$AM$15:$AW$15,$E38,0,OFFSET(ORÇAMENTO!$D$15,CRONO!$E38,0))),"="&amp;CRONO!D$12,OFFSET(CÁLCULO!$AB$15:$AL$15,$E38,0,OFFSET(ORÇAMENTO!$D$15,CRONO!$E38,0)))+IF(AND($E40&lt;&gt;"",$E40&lt;&gt;0),SUMIF(CÁLCULO!$AM$15:$AW$59,"="&amp;CRONO!D$12,CÁLCULO!$AB$15:$AL$59)/(ORÇAMENTO!$X$15-CÁLCULO.TotalAdmLocal)*CRONO!$E40,0),D39*$R38),SUMIF(OFFSET($R40,1,0,$Q38-2),($L38+1)&amp;"$",OFFSET(D40,1,0,$Q38-2)))</f>
        <v>0</v>
      </c>
      <c r="E40" s="322" t="n">
        <f aca="true">IF(OR($Q38&lt;&gt;2,AUTOEVENTO&lt;&gt;"manual",$E39&gt;0),"",SUMIF(OFFSET(CÁLCULO!$M$15,CRONO!$E38,0,OFFSET(ORÇAMENTO!$D$15,CRONO!$E38,0)),1,OFFSET(ORÇAMENTO!$X$15,CRONO!$E38,0,OFFSET(ORÇAMENTO!$D$15,CRONO!$E38,0))))</f>
        <v>0</v>
      </c>
      <c r="G40" s="346"/>
      <c r="R40" s="347" t="str">
        <f aca="false">L38&amp;"$"</f>
        <v>2$</v>
      </c>
      <c r="S40" s="348"/>
      <c r="T40" s="349" t="n">
        <f aca="true">IF($Q38=2,IF(AND(ACOMPANHAMENTO="PLE",ISNUMBER($E38)),SUMIF((OFFSET(CÁLCULO!$AM$15:$AW$15,$E38,0,OFFSET(ORÇAMENTO!$D$15,CRONO!$E38,0))),"&lt;="&amp;CRONO!T$12,OFFSET(CÁLCULO!$AB$15:$AL$15,$E38,0,OFFSET(ORÇAMENTO!$D$15,CRONO!$E38,0)))+IF(AND($E40&lt;&gt;"",$E40&lt;&gt;0),SUMIF(CÁLCULO!$AM$15:$AW$59,"&lt;="&amp;CRONO!T$12,CÁLCULO!$AB$15:$AL$59)/(ORÇAMENTO!$X$15-CÁLCULO.TotalAdmLocal)*CRONO!$E40,0),T39*$R38),SUMIF(OFFSET($R40,1,0,$Q38-2),($L38+1)&amp;"$",OFFSET(T40,1,0,$Q38-2)))</f>
        <v>0</v>
      </c>
      <c r="U40" s="345" t="n">
        <f aca="true">IF($Q38=2,IF(AND(ACOMPANHAMENTO="PLE",ISNUMBER($E38)),SUMIF((OFFSET(CÁLCULO!$AM$15:$AW$15,$E38,0,OFFSET(ORÇAMENTO!$D$15,CRONO!$E38,0))),"="&amp;CRONO!U$12,OFFSET(CÁLCULO!$AB$15:$AL$15,$E38,0,OFFSET(ORÇAMENTO!$D$15,CRONO!$E38,0)))+IF(AND($E40&lt;&gt;"",$E40&lt;&gt;0),SUMIF(CÁLCULO!$AM$15:$AW$59,"="&amp;CRONO!U$12,CÁLCULO!$AB$15:$AL$59)/(ORÇAMENTO!$X$15-CÁLCULO.TotalAdmLocal)*CRONO!$E40,0),U39*$R38),SUMIF(OFFSET($R40,1,0,$Q38-2),($L38+1)&amp;"$",OFFSET(U40,1,0,$Q38-2)))</f>
        <v>0</v>
      </c>
      <c r="V40" s="345" t="n">
        <f aca="true">IF($Q38=2,IF(AND(ACOMPANHAMENTO="PLE",ISNUMBER($E38)),SUMIF((OFFSET(CÁLCULO!$AM$15:$AW$15,$E38,0,OFFSET(ORÇAMENTO!$D$15,CRONO!$E38,0))),"="&amp;CRONO!V$12,OFFSET(CÁLCULO!$AB$15:$AL$15,$E38,0,OFFSET(ORÇAMENTO!$D$15,CRONO!$E38,0)))+IF(AND($E40&lt;&gt;"",$E40&lt;&gt;0),SUMIF(CÁLCULO!$AM$15:$AW$59,"="&amp;CRONO!V$12,CÁLCULO!$AB$15:$AL$59)/(ORÇAMENTO!$X$15-CÁLCULO.TotalAdmLocal)*CRONO!$E40,0),V39*$R38),SUMIF(OFFSET($R40,1,0,$Q38-2),($L38+1)&amp;"$",OFFSET(V40,1,0,$Q38-2)))</f>
        <v>0</v>
      </c>
      <c r="W40" s="345" t="n">
        <f aca="true">IF($Q38=2,IF(AND(ACOMPANHAMENTO="PLE",ISNUMBER($E38)),SUMIF((OFFSET(CÁLCULO!$AM$15:$AW$15,$E38,0,OFFSET(ORÇAMENTO!$D$15,CRONO!$E38,0))),"="&amp;CRONO!W$12,OFFSET(CÁLCULO!$AB$15:$AL$15,$E38,0,OFFSET(ORÇAMENTO!$D$15,CRONO!$E38,0)))+IF(AND($E40&lt;&gt;"",$E40&lt;&gt;0),SUMIF(CÁLCULO!$AM$15:$AW$59,"="&amp;CRONO!W$12,CÁLCULO!$AB$15:$AL$59)/(ORÇAMENTO!$X$15-CÁLCULO.TotalAdmLocal)*CRONO!$E40,0),W39*$R38),SUMIF(OFFSET($R40,1,0,$Q38-2),($L38+1)&amp;"$",OFFSET(W40,1,0,$Q38-2)))</f>
        <v>0</v>
      </c>
      <c r="X40" s="345" t="n">
        <f aca="true">IF($Q38=2,IF(AND(ACOMPANHAMENTO="PLE",ISNUMBER($E38)),SUMIF((OFFSET(CÁLCULO!$AM$15:$AW$15,$E38,0,OFFSET(ORÇAMENTO!$D$15,CRONO!$E38,0))),"="&amp;CRONO!X$12,OFFSET(CÁLCULO!$AB$15:$AL$15,$E38,0,OFFSET(ORÇAMENTO!$D$15,CRONO!$E38,0)))+IF(AND($E40&lt;&gt;"",$E40&lt;&gt;0),SUMIF(CÁLCULO!$AM$15:$AW$59,"="&amp;CRONO!X$12,CÁLCULO!$AB$15:$AL$59)/(ORÇAMENTO!$X$15-CÁLCULO.TotalAdmLocal)*CRONO!$E40,0),X39*$R38),SUMIF(OFFSET($R40,1,0,$Q38-2),($L38+1)&amp;"$",OFFSET(X40,1,0,$Q38-2)))</f>
        <v>0</v>
      </c>
      <c r="Y40" s="345" t="n">
        <f aca="true">IF($Q38=2,IF(AND(ACOMPANHAMENTO="PLE",ISNUMBER($E38)),SUMIF((OFFSET(CÁLCULO!$AM$15:$AW$15,$E38,0,OFFSET(ORÇAMENTO!$D$15,CRONO!$E38,0))),"="&amp;CRONO!Y$12,OFFSET(CÁLCULO!$AB$15:$AL$15,$E38,0,OFFSET(ORÇAMENTO!$D$15,CRONO!$E38,0)))+IF(AND($E40&lt;&gt;"",$E40&lt;&gt;0),SUMIF(CÁLCULO!$AM$15:$AW$59,"="&amp;CRONO!Y$12,CÁLCULO!$AB$15:$AL$59)/(ORÇAMENTO!$X$15-CÁLCULO.TotalAdmLocal)*CRONO!$E40,0),Y39*$R38),SUMIF(OFFSET($R40,1,0,$Q38-2),($L38+1)&amp;"$",OFFSET(Y40,1,0,$Q38-2)))</f>
        <v>0</v>
      </c>
      <c r="Z40" s="345" t="n">
        <f aca="true">IF($Q38=2,IF(AND(ACOMPANHAMENTO="PLE",ISNUMBER($E38)),SUMIF((OFFSET(CÁLCULO!$AM$15:$AW$15,$E38,0,OFFSET(ORÇAMENTO!$D$15,CRONO!$E38,0))),"="&amp;CRONO!Z$12,OFFSET(CÁLCULO!$AB$15:$AL$15,$E38,0,OFFSET(ORÇAMENTO!$D$15,CRONO!$E38,0)))+IF(AND($E40&lt;&gt;"",$E40&lt;&gt;0),SUMIF(CÁLCULO!$AM$15:$AW$59,"="&amp;CRONO!Z$12,CÁLCULO!$AB$15:$AL$59)/(ORÇAMENTO!$X$15-CÁLCULO.TotalAdmLocal)*CRONO!$E40,0),Z39*$R38),SUMIF(OFFSET($R40,1,0,$Q38-2),($L38+1)&amp;"$",OFFSET(Z40,1,0,$Q38-2)))</f>
        <v>0</v>
      </c>
      <c r="AA40" s="345" t="n">
        <f aca="true">IF($Q38=2,IF(AND(ACOMPANHAMENTO="PLE",ISNUMBER($E38)),SUMIF((OFFSET(CÁLCULO!$AM$15:$AW$15,$E38,0,OFFSET(ORÇAMENTO!$D$15,CRONO!$E38,0))),"="&amp;CRONO!AA$12,OFFSET(CÁLCULO!$AB$15:$AL$15,$E38,0,OFFSET(ORÇAMENTO!$D$15,CRONO!$E38,0)))+IF(AND($E40&lt;&gt;"",$E40&lt;&gt;0),SUMIF(CÁLCULO!$AM$15:$AW$59,"="&amp;CRONO!AA$12,CÁLCULO!$AB$15:$AL$59)/(ORÇAMENTO!$X$15-CÁLCULO.TotalAdmLocal)*CRONO!$E40,0),AA39*$R38),SUMIF(OFFSET($R40,1,0,$Q38-2),($L38+1)&amp;"$",OFFSET(AA40,1,0,$Q38-2)))</f>
        <v>0</v>
      </c>
      <c r="AB40" s="345" t="n">
        <f aca="true">IF($Q38=2,IF(AND(ACOMPANHAMENTO="PLE",ISNUMBER($E38)),SUMIF((OFFSET(CÁLCULO!$AM$15:$AW$15,$E38,0,OFFSET(ORÇAMENTO!$D$15,CRONO!$E38,0))),"="&amp;CRONO!AB$12,OFFSET(CÁLCULO!$AB$15:$AL$15,$E38,0,OFFSET(ORÇAMENTO!$D$15,CRONO!$E38,0)))+IF(AND($E40&lt;&gt;"",$E40&lt;&gt;0),SUMIF(CÁLCULO!$AM$15:$AW$59,"="&amp;CRONO!AB$12,CÁLCULO!$AB$15:$AL$59)/(ORÇAMENTO!$X$15-CÁLCULO.TotalAdmLocal)*CRONO!$E40,0),AB39*$R38),SUMIF(OFFSET($R40,1,0,$Q38-2),($L38+1)&amp;"$",OFFSET(AB40,1,0,$Q38-2)))</f>
        <v>0</v>
      </c>
      <c r="AC40" s="345" t="n">
        <f aca="true">IF($Q38=2,IF(AND(ACOMPANHAMENTO="PLE",ISNUMBER($E38)),SUMIF((OFFSET(CÁLCULO!$AM$15:$AW$15,$E38,0,OFFSET(ORÇAMENTO!$D$15,CRONO!$E38,0))),"="&amp;CRONO!AC$12,OFFSET(CÁLCULO!$AB$15:$AL$15,$E38,0,OFFSET(ORÇAMENTO!$D$15,CRONO!$E38,0)))+IF(AND($E40&lt;&gt;"",$E40&lt;&gt;0),SUMIF(CÁLCULO!$AM$15:$AW$59,"="&amp;CRONO!AC$12,CÁLCULO!$AB$15:$AL$59)/(ORÇAMENTO!$X$15-CÁLCULO.TotalAdmLocal)*CRONO!$E40,0),AC39*$R38),SUMIF(OFFSET($R40,1,0,$Q38-2),($L38+1)&amp;"$",OFFSET(AC40,1,0,$Q38-2)))</f>
        <v>0</v>
      </c>
      <c r="AD40" s="345" t="n">
        <f aca="true">IF($Q38=2,IF(AND(ACOMPANHAMENTO="PLE",ISNUMBER($E38)),SUMIF((OFFSET(CÁLCULO!$AM$15:$AW$15,$E38,0,OFFSET(ORÇAMENTO!$D$15,CRONO!$E38,0))),"="&amp;CRONO!AD$12,OFFSET(CÁLCULO!$AB$15:$AL$15,$E38,0,OFFSET(ORÇAMENTO!$D$15,CRONO!$E38,0)))+IF(AND($E40&lt;&gt;"",$E40&lt;&gt;0),SUMIF(CÁLCULO!$AM$15:$AW$59,"="&amp;CRONO!AD$12,CÁLCULO!$AB$15:$AL$59)/(ORÇAMENTO!$X$15-CÁLCULO.TotalAdmLocal)*CRONO!$E40,0),AD39*$R38),SUMIF(OFFSET($R40,1,0,$Q38-2),($L38+1)&amp;"$",OFFSET(AD40,1,0,$Q38-2)))</f>
        <v>0</v>
      </c>
      <c r="AE40" s="350" t="n">
        <f aca="true">IF($Q38=2,IF(AND(ACOMPANHAMENTO="PLE",ISNUMBER($E38)),SUMIF((OFFSET(CÁLCULO!$AM$15:$AW$15,$E38,0,OFFSET(ORÇAMENTO!$D$15,CRONO!$E38,0))),"="&amp;CRONO!AE$12,OFFSET(CÁLCULO!$AB$15:$AL$15,$E38,0,OFFSET(ORÇAMENTO!$D$15,CRONO!$E38,0)))+IF(AND($E40&lt;&gt;"",$E40&lt;&gt;0),SUMIF(CÁLCULO!$AM$15:$AW$59,"="&amp;CRONO!AE$12,CÁLCULO!$AB$15:$AL$59)/(ORÇAMENTO!$X$15-CÁLCULO.TotalAdmLocal)*CRONO!$E40,0),AE39*$R38),SUMIF(OFFSET($R40,1,0,$Q38-2),($L38+1)&amp;"$",OFFSET(AE40,1,0,$Q38-2)))</f>
        <v>0</v>
      </c>
    </row>
    <row r="41" customFormat="false" ht="12.75" hidden="false" customHeight="false" outlineLevel="0" collapsed="false">
      <c r="A41" s="322" t="n">
        <f aca="true">OFFSET(A41,-3,0)+1</f>
        <v>10</v>
      </c>
      <c r="B41" s="322" t="n">
        <f aca="true">IF($Q41&lt;&gt;2,0,IF($R41=0,1,IF(E42&gt;0,OFFSET(QCI!$M$13,SUBSTITUTE(E42,".",""),0),OFFSET(ORÇAMENTO!$AA$15,CRONO!$E41,0))/$R41))</f>
        <v>1</v>
      </c>
      <c r="C41" s="322" t="n">
        <f aca="true">IF($Q41&lt;&gt;2,0,IF($R41=0,1,IF(E42&gt;0,OFFSET(QCI!$N$13,SUBSTITUTE(E42,".",""),0),OFFSET(ORÇAMENTO!$AB$15,CRONO!$E41,0))/$R41))</f>
        <v>1</v>
      </c>
      <c r="D41" s="325" t="e">
        <f aca="false">IF(AND($Q41=2,ACOMPANHAMENTO="BM"),D42,D43/$R41)</f>
        <v>#DIV/0!</v>
      </c>
      <c r="E41" s="322" t="n">
        <f aca="true">IF(A41&lt;=ORÇAMENTO.MáximoListaCrono,MATCH(A41,ORÇAMENTO.ListaCrono,0),NA())</f>
        <v>36</v>
      </c>
      <c r="F41" s="322" t="str">
        <f aca="false">IF(AND($E42&lt;&gt;-1,$R41&gt;0),"F","")</f>
        <v/>
      </c>
      <c r="G41" s="326" t="str">
        <f aca="false">IF(OR(R41=0,R41=""),"Linha",IF(AND(OR(ACOMPANHAMENTO="PLE",$Q41&lt;&gt;2),$E42=0),"Linha",1-SUM(T41:AF41)))</f>
        <v>Linha</v>
      </c>
      <c r="H41" s="327" t="str">
        <f aca="true">IF($E42=0,OFFSET(ORÇAMENTO!O$15,$E41,0),IF($E42&lt;&gt;-1,OFFSET(QCI!$D$13,$E42,0),""))</f>
        <v>1.9.</v>
      </c>
      <c r="I41" s="328" t="str">
        <f aca="true">IF($E42=0,OFFSET(ORÇAMENTO!R$15,$E41,0),IF($E42&lt;&gt;-1,OFFSET(QCI!$G$13,$E42,0),""))</f>
        <v>Drenagem</v>
      </c>
      <c r="J41" s="328"/>
      <c r="K41" s="328"/>
      <c r="L41" s="329" t="n">
        <f aca="true">IF($E42=0,OFFSET(ORÇAMENTO!C$15,$E41,0),1)</f>
        <v>2</v>
      </c>
      <c r="M41" s="330" t="n">
        <f aca="true">IF($E42=-1,0,IF(M$13&lt;=$L41,IF(ISERROR(MATCH(M$13,OFFSET($L41,1,0,ROW($L$47)-ROW($L41)-1),0)),ROW($L$47)-ROW($L41)-1,MATCH(M$13,OFFSET($L41,1,0,ROW($L$47)-ROW($L41)-1),0)-1),0))</f>
        <v>5</v>
      </c>
      <c r="N41" s="330" t="n">
        <f aca="true">IF($E42=-1,0,IF(N$13&lt;=$L41,IF(ISERROR(MATCH(N$13,OFFSET($L41,1,0,ROW($L$47)-ROW($L41)-1),0)),ROW($L$47)-ROW($L41)-1,MATCH(N$13,OFFSET($L41,1,0,ROW($L$47)-ROW($L41)-1),0)-1),0))</f>
        <v>2</v>
      </c>
      <c r="O41" s="330" t="n">
        <f aca="true">IF($E42=-1,0,IF(O$13&lt;=$L41,IF(ISERROR(MATCH(O$13,OFFSET($L41,1,0,ROW($L$47)-ROW($L41)-1),0)),ROW($L$47)-ROW($L41)-1,MATCH(O$13,OFFSET($L41,1,0,ROW($L$47)-ROW($L41)-1),0)-1),0))</f>
        <v>0</v>
      </c>
      <c r="P41" s="330" t="n">
        <f aca="true">IF($E42=-1,0,IF(P$13&lt;=$L41,IF(ISERROR(MATCH(P$13,OFFSET($L41,1,0,ROW($L$47)-ROW($L41)-1),0)),ROW($L$47)-ROW($L41)-1,MATCH(P$13,OFFSET($L41,1,0,ROW($L$47)-ROW($L41)-1),0)-1),0))</f>
        <v>0</v>
      </c>
      <c r="Q41" s="330" t="n">
        <f aca="true">MIN(OFFSET(L41,0,1,,L41))</f>
        <v>2</v>
      </c>
      <c r="R41" s="331" t="n">
        <f aca="true">IF($E42=0,OFFSET(ORÇAMENTO!X$15,$E41,0),IF($E42&lt;&gt;-1,OFFSET(QCI!$O$13,$E42,0),""))</f>
        <v>0</v>
      </c>
      <c r="S41" s="332" t="s">
        <v>398</v>
      </c>
      <c r="T41" s="333" t="e">
        <f aca="false">IF(AND($Q41=2,ACOMPANHAMENTO="BM"),T42,T43/$R41)</f>
        <v>#DIV/0!</v>
      </c>
      <c r="U41" s="325" t="e">
        <f aca="false">IF(AND($Q41=2,ACOMPANHAMENTO="BM"),U42,U43/$R41)</f>
        <v>#DIV/0!</v>
      </c>
      <c r="V41" s="325" t="e">
        <f aca="false">IF(AND($Q41=2,ACOMPANHAMENTO="BM"),V42,V43/$R41)</f>
        <v>#DIV/0!</v>
      </c>
      <c r="W41" s="325" t="e">
        <f aca="false">IF(AND($Q41=2,ACOMPANHAMENTO="BM"),W42,W43/$R41)</f>
        <v>#DIV/0!</v>
      </c>
      <c r="X41" s="325" t="e">
        <f aca="false">IF(AND($Q41=2,ACOMPANHAMENTO="BM"),X42,X43/$R41)</f>
        <v>#DIV/0!</v>
      </c>
      <c r="Y41" s="325" t="e">
        <f aca="false">IF(AND($Q41=2,ACOMPANHAMENTO="BM"),Y42,Y43/$R41)</f>
        <v>#DIV/0!</v>
      </c>
      <c r="Z41" s="325" t="e">
        <f aca="false">IF(AND($Q41=2,ACOMPANHAMENTO="BM"),Z42,Z43/$R41)</f>
        <v>#DIV/0!</v>
      </c>
      <c r="AA41" s="325" t="e">
        <f aca="false">IF(AND($Q41=2,ACOMPANHAMENTO="BM"),AA42,AA43/$R41)</f>
        <v>#DIV/0!</v>
      </c>
      <c r="AB41" s="325" t="e">
        <f aca="false">IF(AND($Q41=2,ACOMPANHAMENTO="BM"),AB42,AB43/$R41)</f>
        <v>#DIV/0!</v>
      </c>
      <c r="AC41" s="325" t="e">
        <f aca="false">IF(AND($Q41=2,ACOMPANHAMENTO="BM"),AC42,AC43/$R41)</f>
        <v>#DIV/0!</v>
      </c>
      <c r="AD41" s="325" t="e">
        <f aca="false">IF(AND($Q41=2,ACOMPANHAMENTO="BM"),AD42,AD43/$R41)</f>
        <v>#DIV/0!</v>
      </c>
      <c r="AE41" s="334" t="e">
        <f aca="false">IF(AND($Q41=2,ACOMPANHAMENTO="BM"),AE42,AE43/$R41)</f>
        <v>#DIV/0!</v>
      </c>
    </row>
    <row r="42" customFormat="false" ht="12.75" hidden="false" customHeight="true" outlineLevel="0" collapsed="false">
      <c r="D42" s="335"/>
      <c r="E42" s="322" t="n">
        <f aca="true">IF(ISERROR(E41),IF(1+COUNTIF($L$13:OFFSET(L41,-1,0),1)&lt;=MAX(QCI!$D$13:$D$24),1+COUNTIF($L$13:OFFSET(L41,-1,0),1),-1),0)</f>
        <v>0</v>
      </c>
      <c r="F42" s="322" t="str">
        <f aca="false">IF(AND($E42&lt;&gt;-1,$R41&gt;0),"F","")</f>
        <v/>
      </c>
      <c r="G42" s="336" t="str">
        <f aca="false">IF(OR(R41=0,R41=""),"vazia",IF(AND(OR(ACOMPANHAMENTO="PLE",$Q41&lt;&gt;2),$E42=0),"calculada","--&gt;"))</f>
        <v>vazia</v>
      </c>
      <c r="H42" s="337"/>
      <c r="I42" s="338" t="str">
        <f aca="false">IF(AND(G41&lt;&gt;0,ISNUMBER(G41)),"PREENCHA ESTA LINHA --&gt;","")</f>
        <v/>
      </c>
      <c r="J42" s="338"/>
      <c r="K42" s="338"/>
      <c r="L42" s="339"/>
      <c r="M42" s="339"/>
      <c r="N42" s="339"/>
      <c r="O42" s="339"/>
      <c r="P42" s="339"/>
      <c r="Q42" s="339"/>
      <c r="R42" s="340"/>
      <c r="S42" s="341"/>
      <c r="T42" s="342"/>
      <c r="U42" s="335" t="n">
        <v>1</v>
      </c>
      <c r="V42" s="335"/>
      <c r="W42" s="335"/>
      <c r="X42" s="335"/>
      <c r="Y42" s="335"/>
      <c r="Z42" s="335"/>
      <c r="AA42" s="335"/>
      <c r="AB42" s="335"/>
      <c r="AC42" s="335"/>
      <c r="AD42" s="335"/>
      <c r="AE42" s="343"/>
      <c r="AF42" s="344"/>
    </row>
    <row r="43" customFormat="false" ht="12.8" hidden="true" customHeight="false" outlineLevel="0" collapsed="false">
      <c r="D43" s="345" t="n">
        <f aca="true">IF($Q41=2,IF(AND(ACOMPANHAMENTO="PLE",ISNUMBER($E41)),SUMIF((OFFSET(CÁLCULO!$AM$15:$AW$15,$E41,0,OFFSET(ORÇAMENTO!$D$15,CRONO!$E41,0))),"="&amp;CRONO!D$12,OFFSET(CÁLCULO!$AB$15:$AL$15,$E41,0,OFFSET(ORÇAMENTO!$D$15,CRONO!$E41,0)))+IF(AND($E43&lt;&gt;"",$E43&lt;&gt;0),SUMIF(CÁLCULO!$AM$15:$AW$59,"="&amp;CRONO!D$12,CÁLCULO!$AB$15:$AL$59)/(ORÇAMENTO!$X$15-CÁLCULO.TotalAdmLocal)*CRONO!$E43,0),D42*$R41),SUMIF(OFFSET($R43,1,0,$Q41-2),($L41+1)&amp;"$",OFFSET(D43,1,0,$Q41-2)))</f>
        <v>0</v>
      </c>
      <c r="E43" s="322" t="n">
        <f aca="true">IF(OR($Q41&lt;&gt;2,AUTOEVENTO&lt;&gt;"manual",$E42&gt;0),"",SUMIF(OFFSET(CÁLCULO!$M$15,CRONO!$E41,0,OFFSET(ORÇAMENTO!$D$15,CRONO!$E41,0)),1,OFFSET(ORÇAMENTO!$X$15,CRONO!$E41,0,OFFSET(ORÇAMENTO!$D$15,CRONO!$E41,0))))</f>
        <v>0</v>
      </c>
      <c r="G43" s="346"/>
      <c r="R43" s="347" t="str">
        <f aca="false">L41&amp;"$"</f>
        <v>2$</v>
      </c>
      <c r="S43" s="348"/>
      <c r="T43" s="349" t="n">
        <f aca="true">IF($Q41=2,IF(AND(ACOMPANHAMENTO="PLE",ISNUMBER($E41)),SUMIF((OFFSET(CÁLCULO!$AM$15:$AW$15,$E41,0,OFFSET(ORÇAMENTO!$D$15,CRONO!$E41,0))),"&lt;="&amp;CRONO!T$12,OFFSET(CÁLCULO!$AB$15:$AL$15,$E41,0,OFFSET(ORÇAMENTO!$D$15,CRONO!$E41,0)))+IF(AND($E43&lt;&gt;"",$E43&lt;&gt;0),SUMIF(CÁLCULO!$AM$15:$AW$59,"&lt;="&amp;CRONO!T$12,CÁLCULO!$AB$15:$AL$59)/(ORÇAMENTO!$X$15-CÁLCULO.TotalAdmLocal)*CRONO!$E43,0),T42*$R41),SUMIF(OFFSET($R43,1,0,$Q41-2),($L41+1)&amp;"$",OFFSET(T43,1,0,$Q41-2)))</f>
        <v>0</v>
      </c>
      <c r="U43" s="345" t="n">
        <f aca="true">IF($Q41=2,IF(AND(ACOMPANHAMENTO="PLE",ISNUMBER($E41)),SUMIF((OFFSET(CÁLCULO!$AM$15:$AW$15,$E41,0,OFFSET(ORÇAMENTO!$D$15,CRONO!$E41,0))),"="&amp;CRONO!U$12,OFFSET(CÁLCULO!$AB$15:$AL$15,$E41,0,OFFSET(ORÇAMENTO!$D$15,CRONO!$E41,0)))+IF(AND($E43&lt;&gt;"",$E43&lt;&gt;0),SUMIF(CÁLCULO!$AM$15:$AW$59,"="&amp;CRONO!U$12,CÁLCULO!$AB$15:$AL$59)/(ORÇAMENTO!$X$15-CÁLCULO.TotalAdmLocal)*CRONO!$E43,0),U42*$R41),SUMIF(OFFSET($R43,1,0,$Q41-2),($L41+1)&amp;"$",OFFSET(U43,1,0,$Q41-2)))</f>
        <v>0</v>
      </c>
      <c r="V43" s="345" t="n">
        <f aca="true">IF($Q41=2,IF(AND(ACOMPANHAMENTO="PLE",ISNUMBER($E41)),SUMIF((OFFSET(CÁLCULO!$AM$15:$AW$15,$E41,0,OFFSET(ORÇAMENTO!$D$15,CRONO!$E41,0))),"="&amp;CRONO!V$12,OFFSET(CÁLCULO!$AB$15:$AL$15,$E41,0,OFFSET(ORÇAMENTO!$D$15,CRONO!$E41,0)))+IF(AND($E43&lt;&gt;"",$E43&lt;&gt;0),SUMIF(CÁLCULO!$AM$15:$AW$59,"="&amp;CRONO!V$12,CÁLCULO!$AB$15:$AL$59)/(ORÇAMENTO!$X$15-CÁLCULO.TotalAdmLocal)*CRONO!$E43,0),V42*$R41),SUMIF(OFFSET($R43,1,0,$Q41-2),($L41+1)&amp;"$",OFFSET(V43,1,0,$Q41-2)))</f>
        <v>0</v>
      </c>
      <c r="W43" s="345" t="n">
        <f aca="true">IF($Q41=2,IF(AND(ACOMPANHAMENTO="PLE",ISNUMBER($E41)),SUMIF((OFFSET(CÁLCULO!$AM$15:$AW$15,$E41,0,OFFSET(ORÇAMENTO!$D$15,CRONO!$E41,0))),"="&amp;CRONO!W$12,OFFSET(CÁLCULO!$AB$15:$AL$15,$E41,0,OFFSET(ORÇAMENTO!$D$15,CRONO!$E41,0)))+IF(AND($E43&lt;&gt;"",$E43&lt;&gt;0),SUMIF(CÁLCULO!$AM$15:$AW$59,"="&amp;CRONO!W$12,CÁLCULO!$AB$15:$AL$59)/(ORÇAMENTO!$X$15-CÁLCULO.TotalAdmLocal)*CRONO!$E43,0),W42*$R41),SUMIF(OFFSET($R43,1,0,$Q41-2),($L41+1)&amp;"$",OFFSET(W43,1,0,$Q41-2)))</f>
        <v>0</v>
      </c>
      <c r="X43" s="345" t="n">
        <f aca="true">IF($Q41=2,IF(AND(ACOMPANHAMENTO="PLE",ISNUMBER($E41)),SUMIF((OFFSET(CÁLCULO!$AM$15:$AW$15,$E41,0,OFFSET(ORÇAMENTO!$D$15,CRONO!$E41,0))),"="&amp;CRONO!X$12,OFFSET(CÁLCULO!$AB$15:$AL$15,$E41,0,OFFSET(ORÇAMENTO!$D$15,CRONO!$E41,0)))+IF(AND($E43&lt;&gt;"",$E43&lt;&gt;0),SUMIF(CÁLCULO!$AM$15:$AW$59,"="&amp;CRONO!X$12,CÁLCULO!$AB$15:$AL$59)/(ORÇAMENTO!$X$15-CÁLCULO.TotalAdmLocal)*CRONO!$E43,0),X42*$R41),SUMIF(OFFSET($R43,1,0,$Q41-2),($L41+1)&amp;"$",OFFSET(X43,1,0,$Q41-2)))</f>
        <v>0</v>
      </c>
      <c r="Y43" s="345" t="n">
        <f aca="true">IF($Q41=2,IF(AND(ACOMPANHAMENTO="PLE",ISNUMBER($E41)),SUMIF((OFFSET(CÁLCULO!$AM$15:$AW$15,$E41,0,OFFSET(ORÇAMENTO!$D$15,CRONO!$E41,0))),"="&amp;CRONO!Y$12,OFFSET(CÁLCULO!$AB$15:$AL$15,$E41,0,OFFSET(ORÇAMENTO!$D$15,CRONO!$E41,0)))+IF(AND($E43&lt;&gt;"",$E43&lt;&gt;0),SUMIF(CÁLCULO!$AM$15:$AW$59,"="&amp;CRONO!Y$12,CÁLCULO!$AB$15:$AL$59)/(ORÇAMENTO!$X$15-CÁLCULO.TotalAdmLocal)*CRONO!$E43,0),Y42*$R41),SUMIF(OFFSET($R43,1,0,$Q41-2),($L41+1)&amp;"$",OFFSET(Y43,1,0,$Q41-2)))</f>
        <v>0</v>
      </c>
      <c r="Z43" s="345" t="n">
        <f aca="true">IF($Q41=2,IF(AND(ACOMPANHAMENTO="PLE",ISNUMBER($E41)),SUMIF((OFFSET(CÁLCULO!$AM$15:$AW$15,$E41,0,OFFSET(ORÇAMENTO!$D$15,CRONO!$E41,0))),"="&amp;CRONO!Z$12,OFFSET(CÁLCULO!$AB$15:$AL$15,$E41,0,OFFSET(ORÇAMENTO!$D$15,CRONO!$E41,0)))+IF(AND($E43&lt;&gt;"",$E43&lt;&gt;0),SUMIF(CÁLCULO!$AM$15:$AW$59,"="&amp;CRONO!Z$12,CÁLCULO!$AB$15:$AL$59)/(ORÇAMENTO!$X$15-CÁLCULO.TotalAdmLocal)*CRONO!$E43,0),Z42*$R41),SUMIF(OFFSET($R43,1,0,$Q41-2),($L41+1)&amp;"$",OFFSET(Z43,1,0,$Q41-2)))</f>
        <v>0</v>
      </c>
      <c r="AA43" s="345" t="n">
        <f aca="true">IF($Q41=2,IF(AND(ACOMPANHAMENTO="PLE",ISNUMBER($E41)),SUMIF((OFFSET(CÁLCULO!$AM$15:$AW$15,$E41,0,OFFSET(ORÇAMENTO!$D$15,CRONO!$E41,0))),"="&amp;CRONO!AA$12,OFFSET(CÁLCULO!$AB$15:$AL$15,$E41,0,OFFSET(ORÇAMENTO!$D$15,CRONO!$E41,0)))+IF(AND($E43&lt;&gt;"",$E43&lt;&gt;0),SUMIF(CÁLCULO!$AM$15:$AW$59,"="&amp;CRONO!AA$12,CÁLCULO!$AB$15:$AL$59)/(ORÇAMENTO!$X$15-CÁLCULO.TotalAdmLocal)*CRONO!$E43,0),AA42*$R41),SUMIF(OFFSET($R43,1,0,$Q41-2),($L41+1)&amp;"$",OFFSET(AA43,1,0,$Q41-2)))</f>
        <v>0</v>
      </c>
      <c r="AB43" s="345" t="n">
        <f aca="true">IF($Q41=2,IF(AND(ACOMPANHAMENTO="PLE",ISNUMBER($E41)),SUMIF((OFFSET(CÁLCULO!$AM$15:$AW$15,$E41,0,OFFSET(ORÇAMENTO!$D$15,CRONO!$E41,0))),"="&amp;CRONO!AB$12,OFFSET(CÁLCULO!$AB$15:$AL$15,$E41,0,OFFSET(ORÇAMENTO!$D$15,CRONO!$E41,0)))+IF(AND($E43&lt;&gt;"",$E43&lt;&gt;0),SUMIF(CÁLCULO!$AM$15:$AW$59,"="&amp;CRONO!AB$12,CÁLCULO!$AB$15:$AL$59)/(ORÇAMENTO!$X$15-CÁLCULO.TotalAdmLocal)*CRONO!$E43,0),AB42*$R41),SUMIF(OFFSET($R43,1,0,$Q41-2),($L41+1)&amp;"$",OFFSET(AB43,1,0,$Q41-2)))</f>
        <v>0</v>
      </c>
      <c r="AC43" s="345" t="n">
        <f aca="true">IF($Q41=2,IF(AND(ACOMPANHAMENTO="PLE",ISNUMBER($E41)),SUMIF((OFFSET(CÁLCULO!$AM$15:$AW$15,$E41,0,OFFSET(ORÇAMENTO!$D$15,CRONO!$E41,0))),"="&amp;CRONO!AC$12,OFFSET(CÁLCULO!$AB$15:$AL$15,$E41,0,OFFSET(ORÇAMENTO!$D$15,CRONO!$E41,0)))+IF(AND($E43&lt;&gt;"",$E43&lt;&gt;0),SUMIF(CÁLCULO!$AM$15:$AW$59,"="&amp;CRONO!AC$12,CÁLCULO!$AB$15:$AL$59)/(ORÇAMENTO!$X$15-CÁLCULO.TotalAdmLocal)*CRONO!$E43,0),AC42*$R41),SUMIF(OFFSET($R43,1,0,$Q41-2),($L41+1)&amp;"$",OFFSET(AC43,1,0,$Q41-2)))</f>
        <v>0</v>
      </c>
      <c r="AD43" s="345" t="n">
        <f aca="true">IF($Q41=2,IF(AND(ACOMPANHAMENTO="PLE",ISNUMBER($E41)),SUMIF((OFFSET(CÁLCULO!$AM$15:$AW$15,$E41,0,OFFSET(ORÇAMENTO!$D$15,CRONO!$E41,0))),"="&amp;CRONO!AD$12,OFFSET(CÁLCULO!$AB$15:$AL$15,$E41,0,OFFSET(ORÇAMENTO!$D$15,CRONO!$E41,0)))+IF(AND($E43&lt;&gt;"",$E43&lt;&gt;0),SUMIF(CÁLCULO!$AM$15:$AW$59,"="&amp;CRONO!AD$12,CÁLCULO!$AB$15:$AL$59)/(ORÇAMENTO!$X$15-CÁLCULO.TotalAdmLocal)*CRONO!$E43,0),AD42*$R41),SUMIF(OFFSET($R43,1,0,$Q41-2),($L41+1)&amp;"$",OFFSET(AD43,1,0,$Q41-2)))</f>
        <v>0</v>
      </c>
      <c r="AE43" s="350" t="n">
        <f aca="true">IF($Q41=2,IF(AND(ACOMPANHAMENTO="PLE",ISNUMBER($E41)),SUMIF((OFFSET(CÁLCULO!$AM$15:$AW$15,$E41,0,OFFSET(ORÇAMENTO!$D$15,CRONO!$E41,0))),"="&amp;CRONO!AE$12,OFFSET(CÁLCULO!$AB$15:$AL$15,$E41,0,OFFSET(ORÇAMENTO!$D$15,CRONO!$E41,0)))+IF(AND($E43&lt;&gt;"",$E43&lt;&gt;0),SUMIF(CÁLCULO!$AM$15:$AW$59,"="&amp;CRONO!AE$12,CÁLCULO!$AB$15:$AL$59)/(ORÇAMENTO!$X$15-CÁLCULO.TotalAdmLocal)*CRONO!$E43,0),AE42*$R41),SUMIF(OFFSET($R43,1,0,$Q41-2),($L41+1)&amp;"$",OFFSET(AE43,1,0,$Q41-2)))</f>
        <v>0</v>
      </c>
    </row>
    <row r="44" customFormat="false" ht="12.75" hidden="false" customHeight="false" outlineLevel="0" collapsed="false">
      <c r="A44" s="322" t="n">
        <f aca="true">OFFSET(A44,-3,0)+1</f>
        <v>11</v>
      </c>
      <c r="B44" s="322" t="n">
        <f aca="true">IF($Q44&lt;&gt;2,0,IF($R44=0,1,IF(E45&gt;0,OFFSET(QCI!$M$13,SUBSTITUTE(E45,".",""),0),OFFSET(ORÇAMENTO!$AA$15,CRONO!$E44,0))/$R44))</f>
        <v>1</v>
      </c>
      <c r="C44" s="322" t="n">
        <f aca="true">IF($Q44&lt;&gt;2,0,IF($R44=0,1,IF(E45&gt;0,OFFSET(QCI!$N$13,SUBSTITUTE(E45,".",""),0),OFFSET(ORÇAMENTO!$AB$15,CRONO!$E44,0))/$R44))</f>
        <v>1</v>
      </c>
      <c r="D44" s="325" t="e">
        <f aca="false">IF(AND($Q44=2,ACOMPANHAMENTO="BM"),D45,D46/$R44)</f>
        <v>#DIV/0!</v>
      </c>
      <c r="E44" s="322" t="n">
        <f aca="true">IF(A44&lt;=ORÇAMENTO.MáximoListaCrono,MATCH(A44,ORÇAMENTO.ListaCrono,0),NA())</f>
        <v>39</v>
      </c>
      <c r="F44" s="322" t="str">
        <f aca="false">IF(AND($E45&lt;&gt;-1,$R44&gt;0),"F","")</f>
        <v/>
      </c>
      <c r="G44" s="326" t="str">
        <f aca="false">IF(OR(R44=0,R44=""),"Linha",IF(AND(OR(ACOMPANHAMENTO="PLE",$Q44&lt;&gt;2),$E45=0),"Linha",1-SUM(T44:AF44)))</f>
        <v>Linha</v>
      </c>
      <c r="H44" s="327" t="str">
        <f aca="true">IF($E45=0,OFFSET(ORÇAMENTO!O$15,$E44,0),IF($E45&lt;&gt;-1,OFFSET(QCI!$D$13,$E45,0),""))</f>
        <v>1.10.</v>
      </c>
      <c r="I44" s="328" t="str">
        <f aca="true">IF($E45=0,OFFSET(ORÇAMENTO!R$15,$E44,0),IF($E45&lt;&gt;-1,OFFSET(QCI!$G$13,$E45,0),""))</f>
        <v>Sinalização</v>
      </c>
      <c r="J44" s="328"/>
      <c r="K44" s="328"/>
      <c r="L44" s="329" t="n">
        <f aca="true">IF($E45=0,OFFSET(ORÇAMENTO!C$15,$E44,0),1)</f>
        <v>2</v>
      </c>
      <c r="M44" s="330" t="n">
        <f aca="true">IF($E45=-1,0,IF(M$13&lt;=$L44,IF(ISERROR(MATCH(M$13,OFFSET($L44,1,0,ROW($L$47)-ROW($L44)-1),0)),ROW($L$47)-ROW($L44)-1,MATCH(M$13,OFFSET($L44,1,0,ROW($L$47)-ROW($L44)-1),0)-1),0))</f>
        <v>2</v>
      </c>
      <c r="N44" s="330" t="n">
        <f aca="true">IF($E45=-1,0,IF(N$13&lt;=$L44,IF(ISERROR(MATCH(N$13,OFFSET($L44,1,0,ROW($L$47)-ROW($L44)-1),0)),ROW($L$47)-ROW($L44)-1,MATCH(N$13,OFFSET($L44,1,0,ROW($L$47)-ROW($L44)-1),0)-1),0))</f>
        <v>2</v>
      </c>
      <c r="O44" s="330" t="n">
        <f aca="true">IF($E45=-1,0,IF(O$13&lt;=$L44,IF(ISERROR(MATCH(O$13,OFFSET($L44,1,0,ROW($L$47)-ROW($L44)-1),0)),ROW($L$47)-ROW($L44)-1,MATCH(O$13,OFFSET($L44,1,0,ROW($L$47)-ROW($L44)-1),0)-1),0))</f>
        <v>0</v>
      </c>
      <c r="P44" s="330" t="n">
        <f aca="true">IF($E45=-1,0,IF(P$13&lt;=$L44,IF(ISERROR(MATCH(P$13,OFFSET($L44,1,0,ROW($L$47)-ROW($L44)-1),0)),ROW($L$47)-ROW($L44)-1,MATCH(P$13,OFFSET($L44,1,0,ROW($L$47)-ROW($L44)-1),0)-1),0))</f>
        <v>0</v>
      </c>
      <c r="Q44" s="330" t="n">
        <f aca="true">MIN(OFFSET(L44,0,1,,L44))</f>
        <v>2</v>
      </c>
      <c r="R44" s="331" t="n">
        <f aca="true">IF($E45=0,OFFSET(ORÇAMENTO!X$15,$E44,0),IF($E45&lt;&gt;-1,OFFSET(QCI!$O$13,$E45,0),""))</f>
        <v>0</v>
      </c>
      <c r="S44" s="332" t="s">
        <v>398</v>
      </c>
      <c r="T44" s="333" t="e">
        <f aca="false">IF(AND($Q44=2,ACOMPANHAMENTO="BM"),T45,T46/$R44)</f>
        <v>#DIV/0!</v>
      </c>
      <c r="U44" s="325" t="e">
        <f aca="false">IF(AND($Q44=2,ACOMPANHAMENTO="BM"),U45,U46/$R44)</f>
        <v>#DIV/0!</v>
      </c>
      <c r="V44" s="325" t="e">
        <f aca="false">IF(AND($Q44=2,ACOMPANHAMENTO="BM"),V45,V46/$R44)</f>
        <v>#DIV/0!</v>
      </c>
      <c r="W44" s="325" t="e">
        <f aca="false">IF(AND($Q44=2,ACOMPANHAMENTO="BM"),W45,W46/$R44)</f>
        <v>#DIV/0!</v>
      </c>
      <c r="X44" s="325" t="e">
        <f aca="false">IF(AND($Q44=2,ACOMPANHAMENTO="BM"),X45,X46/$R44)</f>
        <v>#DIV/0!</v>
      </c>
      <c r="Y44" s="325" t="e">
        <f aca="false">IF(AND($Q44=2,ACOMPANHAMENTO="BM"),Y45,Y46/$R44)</f>
        <v>#DIV/0!</v>
      </c>
      <c r="Z44" s="325" t="e">
        <f aca="false">IF(AND($Q44=2,ACOMPANHAMENTO="BM"),Z45,Z46/$R44)</f>
        <v>#DIV/0!</v>
      </c>
      <c r="AA44" s="325" t="e">
        <f aca="false">IF(AND($Q44=2,ACOMPANHAMENTO="BM"),AA45,AA46/$R44)</f>
        <v>#DIV/0!</v>
      </c>
      <c r="AB44" s="325" t="e">
        <f aca="false">IF(AND($Q44=2,ACOMPANHAMENTO="BM"),AB45,AB46/$R44)</f>
        <v>#DIV/0!</v>
      </c>
      <c r="AC44" s="325" t="e">
        <f aca="false">IF(AND($Q44=2,ACOMPANHAMENTO="BM"),AC45,AC46/$R44)</f>
        <v>#DIV/0!</v>
      </c>
      <c r="AD44" s="325" t="e">
        <f aca="false">IF(AND($Q44=2,ACOMPANHAMENTO="BM"),AD45,AD46/$R44)</f>
        <v>#DIV/0!</v>
      </c>
      <c r="AE44" s="334" t="e">
        <f aca="false">IF(AND($Q44=2,ACOMPANHAMENTO="BM"),AE45,AE46/$R44)</f>
        <v>#DIV/0!</v>
      </c>
    </row>
    <row r="45" customFormat="false" ht="12.75" hidden="false" customHeight="true" outlineLevel="0" collapsed="false">
      <c r="D45" s="335"/>
      <c r="E45" s="322" t="n">
        <f aca="true">IF(ISERROR(E44),IF(1+COUNTIF($L$13:OFFSET(L44,-1,0),1)&lt;=MAX(QCI!$D$13:$D$24),1+COUNTIF($L$13:OFFSET(L44,-1,0),1),-1),0)</f>
        <v>0</v>
      </c>
      <c r="F45" s="322" t="str">
        <f aca="false">IF(AND($E45&lt;&gt;-1,$R44&gt;0),"F","")</f>
        <v/>
      </c>
      <c r="G45" s="336" t="str">
        <f aca="false">IF(OR(R44=0,R44=""),"vazia",IF(AND(OR(ACOMPANHAMENTO="PLE",$Q44&lt;&gt;2),$E45=0),"calculada","--&gt;"))</f>
        <v>vazia</v>
      </c>
      <c r="H45" s="337"/>
      <c r="I45" s="338" t="str">
        <f aca="false">IF(AND(G44&lt;&gt;0,ISNUMBER(G44)),"PREENCHA ESTA LINHA --&gt;","")</f>
        <v/>
      </c>
      <c r="J45" s="338"/>
      <c r="K45" s="338"/>
      <c r="L45" s="339"/>
      <c r="M45" s="339"/>
      <c r="N45" s="339"/>
      <c r="O45" s="339"/>
      <c r="P45" s="339"/>
      <c r="Q45" s="339"/>
      <c r="R45" s="340"/>
      <c r="S45" s="341"/>
      <c r="T45" s="342"/>
      <c r="U45" s="335"/>
      <c r="V45" s="335" t="n">
        <v>1</v>
      </c>
      <c r="W45" s="335"/>
      <c r="X45" s="335"/>
      <c r="Y45" s="335"/>
      <c r="Z45" s="335"/>
      <c r="AA45" s="335"/>
      <c r="AB45" s="335"/>
      <c r="AC45" s="335"/>
      <c r="AD45" s="335"/>
      <c r="AE45" s="343"/>
      <c r="AF45" s="344"/>
    </row>
    <row r="46" customFormat="false" ht="12.8" hidden="true" customHeight="false" outlineLevel="0" collapsed="false">
      <c r="D46" s="345" t="n">
        <f aca="true">IF($Q44=2,IF(AND(ACOMPANHAMENTO="PLE",ISNUMBER($E44)),SUMIF((OFFSET(CÁLCULO!$AM$15:$AW$15,$E44,0,OFFSET(ORÇAMENTO!$D$15,CRONO!$E44,0))),"="&amp;CRONO!D$12,OFFSET(CÁLCULO!$AB$15:$AL$15,$E44,0,OFFSET(ORÇAMENTO!$D$15,CRONO!$E44,0)))+IF(AND($E46&lt;&gt;"",$E46&lt;&gt;0),SUMIF(CÁLCULO!$AM$15:$AW$59,"="&amp;CRONO!D$12,CÁLCULO!$AB$15:$AL$59)/(ORÇAMENTO!$X$15-CÁLCULO.TotalAdmLocal)*CRONO!$E46,0),D45*$R44),SUMIF(OFFSET($R46,1,0,$Q44-2),($L44+1)&amp;"$",OFFSET(D46,1,0,$Q44-2)))</f>
        <v>0</v>
      </c>
      <c r="E46" s="322" t="n">
        <f aca="true">IF(OR($Q44&lt;&gt;2,AUTOEVENTO&lt;&gt;"manual",$E45&gt;0),"",SUMIF(OFFSET(CÁLCULO!$M$15,CRONO!$E44,0,OFFSET(ORÇAMENTO!$D$15,CRONO!$E44,0)),1,OFFSET(ORÇAMENTO!$X$15,CRONO!$E44,0,OFFSET(ORÇAMENTO!$D$15,CRONO!$E44,0))))</f>
        <v>0</v>
      </c>
      <c r="G46" s="346"/>
      <c r="R46" s="347" t="str">
        <f aca="false">L44&amp;"$"</f>
        <v>2$</v>
      </c>
      <c r="S46" s="348"/>
      <c r="T46" s="349" t="n">
        <f aca="true">IF($Q44=2,IF(AND(ACOMPANHAMENTO="PLE",ISNUMBER($E44)),SUMIF((OFFSET(CÁLCULO!$AM$15:$AW$15,$E44,0,OFFSET(ORÇAMENTO!$D$15,CRONO!$E44,0))),"&lt;="&amp;CRONO!T$12,OFFSET(CÁLCULO!$AB$15:$AL$15,$E44,0,OFFSET(ORÇAMENTO!$D$15,CRONO!$E44,0)))+IF(AND($E46&lt;&gt;"",$E46&lt;&gt;0),SUMIF(CÁLCULO!$AM$15:$AW$59,"&lt;="&amp;CRONO!T$12,CÁLCULO!$AB$15:$AL$59)/(ORÇAMENTO!$X$15-CÁLCULO.TotalAdmLocal)*CRONO!$E46,0),T45*$R44),SUMIF(OFFSET($R46,1,0,$Q44-2),($L44+1)&amp;"$",OFFSET(T46,1,0,$Q44-2)))</f>
        <v>0</v>
      </c>
      <c r="U46" s="345" t="n">
        <f aca="true">IF($Q44=2,IF(AND(ACOMPANHAMENTO="PLE",ISNUMBER($E44)),SUMIF((OFFSET(CÁLCULO!$AM$15:$AW$15,$E44,0,OFFSET(ORÇAMENTO!$D$15,CRONO!$E44,0))),"="&amp;CRONO!U$12,OFFSET(CÁLCULO!$AB$15:$AL$15,$E44,0,OFFSET(ORÇAMENTO!$D$15,CRONO!$E44,0)))+IF(AND($E46&lt;&gt;"",$E46&lt;&gt;0),SUMIF(CÁLCULO!$AM$15:$AW$59,"="&amp;CRONO!U$12,CÁLCULO!$AB$15:$AL$59)/(ORÇAMENTO!$X$15-CÁLCULO.TotalAdmLocal)*CRONO!$E46,0),U45*$R44),SUMIF(OFFSET($R46,1,0,$Q44-2),($L44+1)&amp;"$",OFFSET(U46,1,0,$Q44-2)))</f>
        <v>0</v>
      </c>
      <c r="V46" s="345" t="n">
        <f aca="true">IF($Q44=2,IF(AND(ACOMPANHAMENTO="PLE",ISNUMBER($E44)),SUMIF((OFFSET(CÁLCULO!$AM$15:$AW$15,$E44,0,OFFSET(ORÇAMENTO!$D$15,CRONO!$E44,0))),"="&amp;CRONO!V$12,OFFSET(CÁLCULO!$AB$15:$AL$15,$E44,0,OFFSET(ORÇAMENTO!$D$15,CRONO!$E44,0)))+IF(AND($E46&lt;&gt;"",$E46&lt;&gt;0),SUMIF(CÁLCULO!$AM$15:$AW$59,"="&amp;CRONO!V$12,CÁLCULO!$AB$15:$AL$59)/(ORÇAMENTO!$X$15-CÁLCULO.TotalAdmLocal)*CRONO!$E46,0),V45*$R44),SUMIF(OFFSET($R46,1,0,$Q44-2),($L44+1)&amp;"$",OFFSET(V46,1,0,$Q44-2)))</f>
        <v>0</v>
      </c>
      <c r="W46" s="345" t="n">
        <f aca="true">IF($Q44=2,IF(AND(ACOMPANHAMENTO="PLE",ISNUMBER($E44)),SUMIF((OFFSET(CÁLCULO!$AM$15:$AW$15,$E44,0,OFFSET(ORÇAMENTO!$D$15,CRONO!$E44,0))),"="&amp;CRONO!W$12,OFFSET(CÁLCULO!$AB$15:$AL$15,$E44,0,OFFSET(ORÇAMENTO!$D$15,CRONO!$E44,0)))+IF(AND($E46&lt;&gt;"",$E46&lt;&gt;0),SUMIF(CÁLCULO!$AM$15:$AW$59,"="&amp;CRONO!W$12,CÁLCULO!$AB$15:$AL$59)/(ORÇAMENTO!$X$15-CÁLCULO.TotalAdmLocal)*CRONO!$E46,0),W45*$R44),SUMIF(OFFSET($R46,1,0,$Q44-2),($L44+1)&amp;"$",OFFSET(W46,1,0,$Q44-2)))</f>
        <v>0</v>
      </c>
      <c r="X46" s="345" t="n">
        <f aca="true">IF($Q44=2,IF(AND(ACOMPANHAMENTO="PLE",ISNUMBER($E44)),SUMIF((OFFSET(CÁLCULO!$AM$15:$AW$15,$E44,0,OFFSET(ORÇAMENTO!$D$15,CRONO!$E44,0))),"="&amp;CRONO!X$12,OFFSET(CÁLCULO!$AB$15:$AL$15,$E44,0,OFFSET(ORÇAMENTO!$D$15,CRONO!$E44,0)))+IF(AND($E46&lt;&gt;"",$E46&lt;&gt;0),SUMIF(CÁLCULO!$AM$15:$AW$59,"="&amp;CRONO!X$12,CÁLCULO!$AB$15:$AL$59)/(ORÇAMENTO!$X$15-CÁLCULO.TotalAdmLocal)*CRONO!$E46,0),X45*$R44),SUMIF(OFFSET($R46,1,0,$Q44-2),($L44+1)&amp;"$",OFFSET(X46,1,0,$Q44-2)))</f>
        <v>0</v>
      </c>
      <c r="Y46" s="345" t="n">
        <f aca="true">IF($Q44=2,IF(AND(ACOMPANHAMENTO="PLE",ISNUMBER($E44)),SUMIF((OFFSET(CÁLCULO!$AM$15:$AW$15,$E44,0,OFFSET(ORÇAMENTO!$D$15,CRONO!$E44,0))),"="&amp;CRONO!Y$12,OFFSET(CÁLCULO!$AB$15:$AL$15,$E44,0,OFFSET(ORÇAMENTO!$D$15,CRONO!$E44,0)))+IF(AND($E46&lt;&gt;"",$E46&lt;&gt;0),SUMIF(CÁLCULO!$AM$15:$AW$59,"="&amp;CRONO!Y$12,CÁLCULO!$AB$15:$AL$59)/(ORÇAMENTO!$X$15-CÁLCULO.TotalAdmLocal)*CRONO!$E46,0),Y45*$R44),SUMIF(OFFSET($R46,1,0,$Q44-2),($L44+1)&amp;"$",OFFSET(Y46,1,0,$Q44-2)))</f>
        <v>0</v>
      </c>
      <c r="Z46" s="345" t="n">
        <f aca="true">IF($Q44=2,IF(AND(ACOMPANHAMENTO="PLE",ISNUMBER($E44)),SUMIF((OFFSET(CÁLCULO!$AM$15:$AW$15,$E44,0,OFFSET(ORÇAMENTO!$D$15,CRONO!$E44,0))),"="&amp;CRONO!Z$12,OFFSET(CÁLCULO!$AB$15:$AL$15,$E44,0,OFFSET(ORÇAMENTO!$D$15,CRONO!$E44,0)))+IF(AND($E46&lt;&gt;"",$E46&lt;&gt;0),SUMIF(CÁLCULO!$AM$15:$AW$59,"="&amp;CRONO!Z$12,CÁLCULO!$AB$15:$AL$59)/(ORÇAMENTO!$X$15-CÁLCULO.TotalAdmLocal)*CRONO!$E46,0),Z45*$R44),SUMIF(OFFSET($R46,1,0,$Q44-2),($L44+1)&amp;"$",OFFSET(Z46,1,0,$Q44-2)))</f>
        <v>0</v>
      </c>
      <c r="AA46" s="345" t="n">
        <f aca="true">IF($Q44=2,IF(AND(ACOMPANHAMENTO="PLE",ISNUMBER($E44)),SUMIF((OFFSET(CÁLCULO!$AM$15:$AW$15,$E44,0,OFFSET(ORÇAMENTO!$D$15,CRONO!$E44,0))),"="&amp;CRONO!AA$12,OFFSET(CÁLCULO!$AB$15:$AL$15,$E44,0,OFFSET(ORÇAMENTO!$D$15,CRONO!$E44,0)))+IF(AND($E46&lt;&gt;"",$E46&lt;&gt;0),SUMIF(CÁLCULO!$AM$15:$AW$59,"="&amp;CRONO!AA$12,CÁLCULO!$AB$15:$AL$59)/(ORÇAMENTO!$X$15-CÁLCULO.TotalAdmLocal)*CRONO!$E46,0),AA45*$R44),SUMIF(OFFSET($R46,1,0,$Q44-2),($L44+1)&amp;"$",OFFSET(AA46,1,0,$Q44-2)))</f>
        <v>0</v>
      </c>
      <c r="AB46" s="345" t="n">
        <f aca="true">IF($Q44=2,IF(AND(ACOMPANHAMENTO="PLE",ISNUMBER($E44)),SUMIF((OFFSET(CÁLCULO!$AM$15:$AW$15,$E44,0,OFFSET(ORÇAMENTO!$D$15,CRONO!$E44,0))),"="&amp;CRONO!AB$12,OFFSET(CÁLCULO!$AB$15:$AL$15,$E44,0,OFFSET(ORÇAMENTO!$D$15,CRONO!$E44,0)))+IF(AND($E46&lt;&gt;"",$E46&lt;&gt;0),SUMIF(CÁLCULO!$AM$15:$AW$59,"="&amp;CRONO!AB$12,CÁLCULO!$AB$15:$AL$59)/(ORÇAMENTO!$X$15-CÁLCULO.TotalAdmLocal)*CRONO!$E46,0),AB45*$R44),SUMIF(OFFSET($R46,1,0,$Q44-2),($L44+1)&amp;"$",OFFSET(AB46,1,0,$Q44-2)))</f>
        <v>0</v>
      </c>
      <c r="AC46" s="345" t="n">
        <f aca="true">IF($Q44=2,IF(AND(ACOMPANHAMENTO="PLE",ISNUMBER($E44)),SUMIF((OFFSET(CÁLCULO!$AM$15:$AW$15,$E44,0,OFFSET(ORÇAMENTO!$D$15,CRONO!$E44,0))),"="&amp;CRONO!AC$12,OFFSET(CÁLCULO!$AB$15:$AL$15,$E44,0,OFFSET(ORÇAMENTO!$D$15,CRONO!$E44,0)))+IF(AND($E46&lt;&gt;"",$E46&lt;&gt;0),SUMIF(CÁLCULO!$AM$15:$AW$59,"="&amp;CRONO!AC$12,CÁLCULO!$AB$15:$AL$59)/(ORÇAMENTO!$X$15-CÁLCULO.TotalAdmLocal)*CRONO!$E46,0),AC45*$R44),SUMIF(OFFSET($R46,1,0,$Q44-2),($L44+1)&amp;"$",OFFSET(AC46,1,0,$Q44-2)))</f>
        <v>0</v>
      </c>
      <c r="AD46" s="345" t="n">
        <f aca="true">IF($Q44=2,IF(AND(ACOMPANHAMENTO="PLE",ISNUMBER($E44)),SUMIF((OFFSET(CÁLCULO!$AM$15:$AW$15,$E44,0,OFFSET(ORÇAMENTO!$D$15,CRONO!$E44,0))),"="&amp;CRONO!AD$12,OFFSET(CÁLCULO!$AB$15:$AL$15,$E44,0,OFFSET(ORÇAMENTO!$D$15,CRONO!$E44,0)))+IF(AND($E46&lt;&gt;"",$E46&lt;&gt;0),SUMIF(CÁLCULO!$AM$15:$AW$59,"="&amp;CRONO!AD$12,CÁLCULO!$AB$15:$AL$59)/(ORÇAMENTO!$X$15-CÁLCULO.TotalAdmLocal)*CRONO!$E46,0),AD45*$R44),SUMIF(OFFSET($R46,1,0,$Q44-2),($L44+1)&amp;"$",OFFSET(AD46,1,0,$Q44-2)))</f>
        <v>0</v>
      </c>
      <c r="AE46" s="350" t="n">
        <f aca="true">IF($Q44=2,IF(AND(ACOMPANHAMENTO="PLE",ISNUMBER($E44)),SUMIF((OFFSET(CÁLCULO!$AM$15:$AW$15,$E44,0,OFFSET(ORÇAMENTO!$D$15,CRONO!$E44,0))),"="&amp;CRONO!AE$12,OFFSET(CÁLCULO!$AB$15:$AL$15,$E44,0,OFFSET(ORÇAMENTO!$D$15,CRONO!$E44,0)))+IF(AND($E46&lt;&gt;"",$E46&lt;&gt;0),SUMIF(CÁLCULO!$AM$15:$AW$59,"="&amp;CRONO!AE$12,CÁLCULO!$AB$15:$AL$59)/(ORÇAMENTO!$X$15-CÁLCULO.TotalAdmLocal)*CRONO!$E46,0),AE45*$R44),SUMIF(OFFSET($R46,1,0,$Q44-2),($L44+1)&amp;"$",OFFSET(AE46,1,0,$Q44-2)))</f>
        <v>0</v>
      </c>
    </row>
    <row r="47" customFormat="false" ht="4.5" hidden="false" customHeight="true" outlineLevel="0" collapsed="false">
      <c r="D47" s="384"/>
      <c r="F47" s="322" t="s">
        <v>206</v>
      </c>
      <c r="G47" s="385"/>
      <c r="H47" s="386"/>
      <c r="I47" s="387"/>
      <c r="J47" s="387"/>
      <c r="K47" s="387"/>
      <c r="L47" s="388" t="s">
        <v>410</v>
      </c>
      <c r="M47" s="388"/>
      <c r="N47" s="388"/>
      <c r="O47" s="388"/>
      <c r="P47" s="388"/>
      <c r="Q47" s="388"/>
      <c r="R47" s="389"/>
      <c r="S47" s="389"/>
      <c r="T47" s="387"/>
      <c r="U47" s="387"/>
      <c r="V47" s="387"/>
      <c r="W47" s="387"/>
      <c r="X47" s="387"/>
      <c r="Y47" s="387"/>
      <c r="Z47" s="387"/>
      <c r="AA47" s="387"/>
      <c r="AB47" s="387"/>
      <c r="AC47" s="387"/>
      <c r="AD47" s="387"/>
      <c r="AE47" s="390"/>
      <c r="AF47" s="391"/>
    </row>
    <row r="48" customFormat="false" ht="12.75" hidden="false" customHeight="true" outlineLevel="0" collapsed="false">
      <c r="D48" s="392" t="e">
        <f aca="false">D52/$Q$48</f>
        <v>#DIV/0!</v>
      </c>
      <c r="F48" s="322" t="s">
        <v>206</v>
      </c>
      <c r="H48" s="393" t="str">
        <f aca="false">"Total:    R$ "&amp;TEXT(Q48,"#.##0,00")</f>
        <v>Total:    R$ .00000</v>
      </c>
      <c r="I48" s="393"/>
      <c r="J48" s="393"/>
      <c r="K48" s="394"/>
      <c r="Q48" s="395" t="n">
        <f aca="false">SUMIF(L12:L47,1,R12:R47)</f>
        <v>0</v>
      </c>
      <c r="R48" s="396"/>
      <c r="S48" s="397" t="s">
        <v>411</v>
      </c>
      <c r="T48" s="398" t="e">
        <f aca="false">ROUND(T52,2)/$Q$48</f>
        <v>#DIV/0!</v>
      </c>
      <c r="U48" s="399" t="e">
        <f aca="false">ROUND(U52,2)/$Q$48</f>
        <v>#DIV/0!</v>
      </c>
      <c r="V48" s="399" t="e">
        <f aca="false">ROUND(V52,2)/$Q$48</f>
        <v>#DIV/0!</v>
      </c>
      <c r="W48" s="399" t="e">
        <f aca="false">ROUND(W52,2)/$Q$48</f>
        <v>#DIV/0!</v>
      </c>
      <c r="X48" s="399" t="e">
        <f aca="false">ROUND(X52,2)/$Q$48</f>
        <v>#DIV/0!</v>
      </c>
      <c r="Y48" s="399" t="e">
        <f aca="false">ROUND(Y52,2)/$Q$48</f>
        <v>#DIV/0!</v>
      </c>
      <c r="Z48" s="399" t="e">
        <f aca="false">ROUND(Z52,2)/$Q$48</f>
        <v>#DIV/0!</v>
      </c>
      <c r="AA48" s="399" t="e">
        <f aca="false">ROUND(AA52,2)/$Q$48</f>
        <v>#DIV/0!</v>
      </c>
      <c r="AB48" s="399" t="e">
        <f aca="false">ROUND(AB52,2)/$Q$48</f>
        <v>#DIV/0!</v>
      </c>
      <c r="AC48" s="399" t="e">
        <f aca="false">ROUND(AC52,2)/$Q$48</f>
        <v>#DIV/0!</v>
      </c>
      <c r="AD48" s="399" t="e">
        <f aca="false">ROUND(AD52,2)/$Q$48</f>
        <v>#DIV/0!</v>
      </c>
      <c r="AE48" s="400" t="e">
        <f aca="false">ROUND(AE52,2)/$Q$48</f>
        <v>#DIV/0!</v>
      </c>
    </row>
    <row r="49" customFormat="false" ht="15" hidden="false" customHeight="true" outlineLevel="0" collapsed="false">
      <c r="D49" s="401" t="n">
        <f aca="false">ROUND(D54,2)-ROUND(C54,2)</f>
        <v>0</v>
      </c>
      <c r="F49" s="322" t="s">
        <v>206</v>
      </c>
      <c r="H49" s="393"/>
      <c r="I49" s="393"/>
      <c r="J49" s="393"/>
      <c r="K49" s="402"/>
      <c r="Q49" s="395"/>
      <c r="R49" s="403"/>
      <c r="S49" s="404" t="str">
        <f aca="false">IF(import.recurso="FGTS","Financiamento:","Repasse:")</f>
        <v>Repasse:</v>
      </c>
      <c r="T49" s="405" t="n">
        <f aca="false">ROUND(T54,2)</f>
        <v>0</v>
      </c>
      <c r="U49" s="401" t="n">
        <f aca="false">ROUND(U54,2)-ROUND(T54,2)</f>
        <v>0</v>
      </c>
      <c r="V49" s="401" t="n">
        <f aca="false">ROUND(V54,2)-ROUND(U54,2)</f>
        <v>0</v>
      </c>
      <c r="W49" s="401" t="n">
        <f aca="false">ROUND(W54,2)-ROUND(V54,2)</f>
        <v>0</v>
      </c>
      <c r="X49" s="401" t="n">
        <f aca="false">ROUND(X54,2)-ROUND(W54,2)</f>
        <v>0</v>
      </c>
      <c r="Y49" s="401" t="n">
        <f aca="false">ROUND(Y54,2)-ROUND(X54,2)</f>
        <v>0</v>
      </c>
      <c r="Z49" s="401" t="n">
        <f aca="false">ROUND(Z54,2)-ROUND(Y54,2)</f>
        <v>0</v>
      </c>
      <c r="AA49" s="401" t="n">
        <f aca="false">ROUND(AA54,2)-ROUND(Z54,2)</f>
        <v>0</v>
      </c>
      <c r="AB49" s="401" t="n">
        <f aca="false">ROUND(AB54,2)-ROUND(AA54,2)</f>
        <v>0</v>
      </c>
      <c r="AC49" s="401" t="n">
        <f aca="false">ROUND(AC54,2)-ROUND(AB54,2)</f>
        <v>0</v>
      </c>
      <c r="AD49" s="401" t="n">
        <f aca="false">ROUND(AD54,2)-ROUND(AC54,2)</f>
        <v>0</v>
      </c>
      <c r="AE49" s="406" t="n">
        <f aca="false">ROUND(AE54,2)-ROUND(AD54,2)</f>
        <v>0</v>
      </c>
    </row>
    <row r="50" customFormat="false" ht="12.75" hidden="false" customHeight="true" outlineLevel="0" collapsed="false">
      <c r="D50" s="401" t="n">
        <f aca="false">ROUND(D55,2)-ROUND(C55,2)</f>
        <v>0</v>
      </c>
      <c r="F50" s="322" t="s">
        <v>206</v>
      </c>
      <c r="H50" s="407"/>
      <c r="K50" s="408" t="s">
        <v>412</v>
      </c>
      <c r="Q50" s="395"/>
      <c r="R50" s="409"/>
      <c r="S50" s="410" t="s">
        <v>413</v>
      </c>
      <c r="T50" s="411" t="n">
        <f aca="false">ROUND(T55,2)</f>
        <v>0</v>
      </c>
      <c r="U50" s="412" t="n">
        <f aca="false">ROUND(U55,2)-ROUND(T55,2)</f>
        <v>0</v>
      </c>
      <c r="V50" s="412" t="n">
        <f aca="false">ROUND(V55,2)-ROUND(U55,2)</f>
        <v>0</v>
      </c>
      <c r="W50" s="412" t="n">
        <f aca="false">ROUND(W55,2)-ROUND(V55,2)</f>
        <v>0</v>
      </c>
      <c r="X50" s="412" t="n">
        <f aca="false">ROUND(X55,2)-ROUND(W55,2)</f>
        <v>0</v>
      </c>
      <c r="Y50" s="412" t="n">
        <f aca="false">ROUND(Y55,2)-ROUND(X55,2)</f>
        <v>0</v>
      </c>
      <c r="Z50" s="412" t="n">
        <f aca="false">ROUND(Z55,2)-ROUND(Y55,2)</f>
        <v>0</v>
      </c>
      <c r="AA50" s="412" t="n">
        <f aca="false">ROUND(AA55,2)-ROUND(Z55,2)</f>
        <v>0</v>
      </c>
      <c r="AB50" s="412" t="n">
        <f aca="false">ROUND(AB55,2)-ROUND(AA55,2)</f>
        <v>0</v>
      </c>
      <c r="AC50" s="412" t="n">
        <f aca="false">ROUND(AC55,2)-ROUND(AB55,2)</f>
        <v>0</v>
      </c>
      <c r="AD50" s="412" t="n">
        <f aca="false">ROUND(AD55,2)-ROUND(AC55,2)</f>
        <v>0</v>
      </c>
      <c r="AE50" s="413" t="n">
        <f aca="false">ROUND(AE55,2)-ROUND(AD55,2)</f>
        <v>0</v>
      </c>
    </row>
    <row r="51" customFormat="false" ht="12.75" hidden="false" customHeight="false" outlineLevel="0" collapsed="false">
      <c r="D51" s="414" t="n">
        <f aca="false">ROUND(D56,2)-ROUND(C56,2)</f>
        <v>0</v>
      </c>
      <c r="F51" s="322" t="s">
        <v>206</v>
      </c>
      <c r="H51" s="407"/>
      <c r="K51" s="408"/>
      <c r="Q51" s="395"/>
      <c r="R51" s="415"/>
      <c r="S51" s="416" t="s">
        <v>414</v>
      </c>
      <c r="T51" s="417" t="n">
        <f aca="false">ROUND(T56,2)</f>
        <v>0</v>
      </c>
      <c r="U51" s="414" t="n">
        <f aca="false">ROUND(U56,2)-ROUND(T56,2)</f>
        <v>0</v>
      </c>
      <c r="V51" s="414" t="n">
        <f aca="false">ROUND(V56,2)-ROUND(U56,2)</f>
        <v>0</v>
      </c>
      <c r="W51" s="414" t="n">
        <f aca="false">ROUND(W56,2)-ROUND(V56,2)</f>
        <v>0</v>
      </c>
      <c r="X51" s="414" t="n">
        <f aca="false">ROUND(X56,2)-ROUND(W56,2)</f>
        <v>0</v>
      </c>
      <c r="Y51" s="414" t="n">
        <f aca="false">ROUND(Y56,2)-ROUND(X56,2)</f>
        <v>0</v>
      </c>
      <c r="Z51" s="414" t="n">
        <f aca="false">ROUND(Z56,2)-ROUND(Y56,2)</f>
        <v>0</v>
      </c>
      <c r="AA51" s="414" t="n">
        <f aca="false">ROUND(AA56,2)-ROUND(Z56,2)</f>
        <v>0</v>
      </c>
      <c r="AB51" s="414" t="n">
        <f aca="false">ROUND(AB56,2)-ROUND(AA56,2)</f>
        <v>0</v>
      </c>
      <c r="AC51" s="414" t="n">
        <f aca="false">ROUND(AC56,2)-ROUND(AB56,2)</f>
        <v>0</v>
      </c>
      <c r="AD51" s="414" t="n">
        <f aca="false">ROUND(AD56,2)-ROUND(AC56,2)</f>
        <v>0</v>
      </c>
      <c r="AE51" s="418" t="n">
        <f aca="false">ROUND(AE56,2)-ROUND(AD56,2)</f>
        <v>0</v>
      </c>
    </row>
    <row r="52" customFormat="false" ht="12.75" hidden="false" customHeight="false" outlineLevel="0" collapsed="false">
      <c r="D52" s="419" t="n">
        <f aca="false">ROUND(D57,2)-ROUND(C57,2)</f>
        <v>0</v>
      </c>
      <c r="F52" s="322" t="s">
        <v>206</v>
      </c>
      <c r="K52" s="420"/>
      <c r="R52" s="421"/>
      <c r="S52" s="422" t="s">
        <v>415</v>
      </c>
      <c r="T52" s="423" t="n">
        <f aca="false">ROUND(T57,2)</f>
        <v>0</v>
      </c>
      <c r="U52" s="424" t="n">
        <f aca="false">ROUND(U57,2)-ROUND(T57,2)</f>
        <v>0</v>
      </c>
      <c r="V52" s="424" t="n">
        <f aca="false">ROUND(V57,2)-ROUND(U57,2)</f>
        <v>0</v>
      </c>
      <c r="W52" s="424" t="n">
        <f aca="false">ROUND(W57,2)-ROUND(V57,2)</f>
        <v>0</v>
      </c>
      <c r="X52" s="424" t="n">
        <f aca="false">ROUND(X57,2)-ROUND(W57,2)</f>
        <v>0</v>
      </c>
      <c r="Y52" s="424" t="n">
        <f aca="false">ROUND(Y57,2)-ROUND(X57,2)</f>
        <v>0</v>
      </c>
      <c r="Z52" s="424" t="n">
        <f aca="false">ROUND(Z57,2)-ROUND(Y57,2)</f>
        <v>0</v>
      </c>
      <c r="AA52" s="424" t="n">
        <f aca="false">ROUND(AA57,2)-ROUND(Z57,2)</f>
        <v>0</v>
      </c>
      <c r="AB52" s="424" t="n">
        <f aca="false">ROUND(AB57,2)-ROUND(AA57,2)</f>
        <v>0</v>
      </c>
      <c r="AC52" s="424" t="n">
        <f aca="false">ROUND(AC57,2)-ROUND(AB57,2)</f>
        <v>0</v>
      </c>
      <c r="AD52" s="424" t="n">
        <f aca="false">ROUND(AD57,2)-ROUND(AC57,2)</f>
        <v>0</v>
      </c>
      <c r="AE52" s="425" t="n">
        <f aca="false">ROUND(AE57,2)-ROUND(AD57,2)</f>
        <v>0</v>
      </c>
    </row>
    <row r="53" customFormat="false" ht="12.75" hidden="false" customHeight="false" outlineLevel="0" collapsed="false">
      <c r="D53" s="392" t="e">
        <f aca="false">D57/$Q$48</f>
        <v>#DIV/0!</v>
      </c>
      <c r="F53" s="322" t="s">
        <v>206</v>
      </c>
      <c r="K53" s="394"/>
      <c r="R53" s="396"/>
      <c r="S53" s="397" t="s">
        <v>411</v>
      </c>
      <c r="T53" s="398" t="e">
        <f aca="false">ROUND(T57,2)/$Q$48</f>
        <v>#DIV/0!</v>
      </c>
      <c r="U53" s="399" t="e">
        <f aca="false">ROUND(U57,2)/$Q$48</f>
        <v>#DIV/0!</v>
      </c>
      <c r="V53" s="399" t="e">
        <f aca="false">ROUND(V57,2)/$Q$48</f>
        <v>#DIV/0!</v>
      </c>
      <c r="W53" s="399" t="e">
        <f aca="false">ROUND(W57,2)/$Q$48</f>
        <v>#DIV/0!</v>
      </c>
      <c r="X53" s="399" t="e">
        <f aca="false">ROUND(X57,2)/$Q$48</f>
        <v>#DIV/0!</v>
      </c>
      <c r="Y53" s="399" t="e">
        <f aca="false">ROUND(Y57,2)/$Q$48</f>
        <v>#DIV/0!</v>
      </c>
      <c r="Z53" s="399" t="e">
        <f aca="false">ROUND(Z57,2)/$Q$48</f>
        <v>#DIV/0!</v>
      </c>
      <c r="AA53" s="399" t="e">
        <f aca="false">ROUND(AA57,2)/$Q$48</f>
        <v>#DIV/0!</v>
      </c>
      <c r="AB53" s="399" t="e">
        <f aca="false">ROUND(AB57,2)/$Q$48</f>
        <v>#DIV/0!</v>
      </c>
      <c r="AC53" s="399" t="e">
        <f aca="false">ROUND(AC57,2)/$Q$48</f>
        <v>#DIV/0!</v>
      </c>
      <c r="AD53" s="399" t="e">
        <f aca="false">ROUND(AD57,2)/$Q$48</f>
        <v>#DIV/0!</v>
      </c>
      <c r="AE53" s="400" t="e">
        <f aca="false">ROUND(AE57,2)/$Q$48</f>
        <v>#DIV/0!</v>
      </c>
    </row>
    <row r="54" customFormat="false" ht="12.75" hidden="false" customHeight="false" outlineLevel="0" collapsed="false">
      <c r="D54" s="401" t="n">
        <f aca="false">ROUND(D57-D56-D55,2)</f>
        <v>0</v>
      </c>
      <c r="F54" s="322" t="s">
        <v>206</v>
      </c>
      <c r="K54" s="402"/>
      <c r="R54" s="403"/>
      <c r="S54" s="404" t="str">
        <f aca="false">IF(import.recurso="FGTS","Financiamento:","Repasse:")</f>
        <v>Repasse:</v>
      </c>
      <c r="T54" s="405" t="n">
        <f aca="false">ROUND(T57-T56-T55,2)</f>
        <v>0</v>
      </c>
      <c r="U54" s="401" t="n">
        <f aca="false">ROUND(U57-U56-U55,2)</f>
        <v>0</v>
      </c>
      <c r="V54" s="401" t="n">
        <f aca="false">ROUND(V57-V56-V55,2)</f>
        <v>0</v>
      </c>
      <c r="W54" s="401" t="n">
        <f aca="false">ROUND(W57-W56-W55,2)</f>
        <v>0</v>
      </c>
      <c r="X54" s="401" t="n">
        <f aca="false">ROUND(X57-X56-X55,2)</f>
        <v>0</v>
      </c>
      <c r="Y54" s="401" t="n">
        <f aca="false">ROUND(Y57-Y56-Y55,2)</f>
        <v>0</v>
      </c>
      <c r="Z54" s="401" t="n">
        <f aca="false">ROUND(Z57-Z56-Z55,2)</f>
        <v>0</v>
      </c>
      <c r="AA54" s="401" t="n">
        <f aca="false">ROUND(AA57-AA56-AA55,2)</f>
        <v>0</v>
      </c>
      <c r="AB54" s="401" t="n">
        <f aca="false">ROUND(AB57-AB56-AB55,2)</f>
        <v>0</v>
      </c>
      <c r="AC54" s="401" t="n">
        <f aca="false">ROUND(AC57-AC56-AC55,2)</f>
        <v>0</v>
      </c>
      <c r="AD54" s="401" t="n">
        <f aca="false">ROUND(AD57-AD56-AD55,2)</f>
        <v>0</v>
      </c>
      <c r="AE54" s="406" t="n">
        <f aca="false">ROUND(AE57-AE56-AE55,2)</f>
        <v>0</v>
      </c>
      <c r="AF54" s="323" t="n">
        <f aca="true">AE54+SUMPRODUCT((OFFSET($B$13,1,0):OFFSET($B$47,-3,0))*IF(ISNUMBER(OFFSET(AF$11,5,0):OFFSET(AF$47,-1,0)),OFFSET(AF$11,5,0):OFFSET(AF$47,-1,0),0))</f>
        <v>0</v>
      </c>
    </row>
    <row r="55" customFormat="false" ht="12.75" hidden="false" customHeight="false" outlineLevel="0" collapsed="false">
      <c r="D55" s="401" t="n">
        <f aca="true" t="array" ref="D55:D55">C55+SUM((OFFSET($B$13,1,0):OFFSET($B$47,-3,0))*IF(ISNUMBER(OFFSET(D$11,5,0):OFFSET(D$47,-1,0)),OFFSET(D$11,5,0):OFFSET(D$47,-1,0),0))</f>
        <v>0</v>
      </c>
      <c r="F55" s="322" t="s">
        <v>206</v>
      </c>
      <c r="K55" s="408" t="s">
        <v>416</v>
      </c>
      <c r="R55" s="409"/>
      <c r="S55" s="410" t="s">
        <v>413</v>
      </c>
      <c r="T55" s="411" t="n">
        <f aca="true" t="array" ref="T55:T55">SUM((OFFSET($B$13,1,0):OFFSET($B$47,-3,0))*IF(ISNUMBER(OFFSET(T$11,5,0):OFFSET(T$47,-1,0)),OFFSET(T$11,5,0):OFFSET(T$47,-1,0),0))</f>
        <v>0</v>
      </c>
      <c r="U55" s="412" t="n">
        <f aca="true" t="array" ref="U55:U55">T55+SUM((OFFSET($B$13,1,0):OFFSET($B$47,-3,0))*IF(ISNUMBER(OFFSET(U$11,5,0):OFFSET(U$47,-1,0)),OFFSET(U$11,5,0):OFFSET(U$47,-1,0),0))</f>
        <v>0</v>
      </c>
      <c r="V55" s="412" t="n">
        <f aca="true" t="array" ref="V55:V55">U55+SUM((OFFSET($B$13,1,0):OFFSET($B$47,-3,0))*IF(ISNUMBER(OFFSET(V$11,5,0):OFFSET(V$47,-1,0)),OFFSET(V$11,5,0):OFFSET(V$47,-1,0),0))</f>
        <v>0</v>
      </c>
      <c r="W55" s="412" t="n">
        <f aca="true" t="array" ref="W55:W55">V55+SUM((OFFSET($B$13,1,0):OFFSET($B$47,-3,0))*IF(ISNUMBER(OFFSET(W$11,5,0):OFFSET(W$47,-1,0)),OFFSET(W$11,5,0):OFFSET(W$47,-1,0),0))</f>
        <v>0</v>
      </c>
      <c r="X55" s="412" t="n">
        <f aca="true" t="array" ref="X55:X55">W55+SUM((OFFSET($B$13,1,0):OFFSET($B$47,-3,0))*IF(ISNUMBER(OFFSET(X$11,5,0):OFFSET(X$47,-1,0)),OFFSET(X$11,5,0):OFFSET(X$47,-1,0),0))</f>
        <v>0</v>
      </c>
      <c r="Y55" s="412" t="n">
        <f aca="true" t="array" ref="Y55:Y55">X55+SUM((OFFSET($B$13,1,0):OFFSET($B$47,-3,0))*IF(ISNUMBER(OFFSET(Y$11,5,0):OFFSET(Y$47,-1,0)),OFFSET(Y$11,5,0):OFFSET(Y$47,-1,0),0))</f>
        <v>0</v>
      </c>
      <c r="Z55" s="412" t="n">
        <f aca="true" t="array" ref="Z55:Z55">Y55+SUM((OFFSET($B$13,1,0):OFFSET($B$47,-3,0))*IF(ISNUMBER(OFFSET(Z$11,5,0):OFFSET(Z$47,-1,0)),OFFSET(Z$11,5,0):OFFSET(Z$47,-1,0),0))</f>
        <v>0</v>
      </c>
      <c r="AA55" s="412" t="n">
        <f aca="true" t="array" ref="AA55:AA55">Z55+SUM((OFFSET($B$13,1,0):OFFSET($B$47,-3,0))*IF(ISNUMBER(OFFSET(AA$11,5,0):OFFSET(AA$47,-1,0)),OFFSET(AA$11,5,0):OFFSET(AA$47,-1,0),0))</f>
        <v>0</v>
      </c>
      <c r="AB55" s="412" t="n">
        <f aca="true" t="array" ref="AB55:AB55">AA55+SUM((OFFSET($B$13,1,0):OFFSET($B$47,-3,0))*IF(ISNUMBER(OFFSET(AB$11,5,0):OFFSET(AB$47,-1,0)),OFFSET(AB$11,5,0):OFFSET(AB$47,-1,0),0))</f>
        <v>0</v>
      </c>
      <c r="AC55" s="412" t="n">
        <f aca="true" t="array" ref="AC55:AC55">AB55+SUM((OFFSET($B$13,1,0):OFFSET($B$47,-3,0))*IF(ISNUMBER(OFFSET(AC$11,5,0):OFFSET(AC$47,-1,0)),OFFSET(AC$11,5,0):OFFSET(AC$47,-1,0),0))</f>
        <v>0</v>
      </c>
      <c r="AD55" s="412" t="n">
        <f aca="true" t="array" ref="AD55:AD55">AC55+SUM((OFFSET($B$13,1,0):OFFSET($B$47,-3,0))*IF(ISNUMBER(OFFSET(AD$11,5,0):OFFSET(AD$47,-1,0)),OFFSET(AD$11,5,0):OFFSET(AD$47,-1,0),0))</f>
        <v>0</v>
      </c>
      <c r="AE55" s="413" t="n">
        <f aca="true" t="array" ref="AE55:AE55">AD55+SUM((OFFSET($B$13,1,0):OFFSET($B$47,-3,0))*IF(ISNUMBER(OFFSET(AE$11,5,0):OFFSET(AE$47,-1,0)),OFFSET(AE$11,5,0):OFFSET(AE$47,-1,0),0))</f>
        <v>0</v>
      </c>
      <c r="AF55" s="323" t="n">
        <f aca="true">AE55+SUMPRODUCT((OFFSET($C$13,1,0):OFFSET($C$47,-3,0))*IF(ISNUMBER(OFFSET(AF$11,5,0):OFFSET(AF$47,-1,0)),OFFSET(AF$11,5,0):OFFSET(AF$47,-1,0),0))</f>
        <v>0</v>
      </c>
    </row>
    <row r="56" customFormat="false" ht="12.75" hidden="false" customHeight="false" outlineLevel="0" collapsed="false">
      <c r="D56" s="414" t="n">
        <f aca="true" t="array" ref="D56:D56">C56+SUM((OFFSET($C$13,1,0):OFFSET($C$47,-3,0))*IF(ISNUMBER(OFFSET(D$11,5,0):OFFSET(D$47,-1,0)),OFFSET(D$11,5,0):OFFSET(D$47,-1,0),0))</f>
        <v>0</v>
      </c>
      <c r="F56" s="322" t="s">
        <v>206</v>
      </c>
      <c r="K56" s="408"/>
      <c r="R56" s="415"/>
      <c r="S56" s="416" t="s">
        <v>414</v>
      </c>
      <c r="T56" s="417" t="n">
        <f aca="true" t="array" ref="T56:T56">SUM((OFFSET($C$13,1,0):OFFSET($C$47,-3,0))*IF(ISNUMBER(OFFSET(T$11,5,0):OFFSET(T$47,-1,0)),OFFSET(T$11,5,0):OFFSET(T$47,-1,0),0))</f>
        <v>0</v>
      </c>
      <c r="U56" s="414" t="n">
        <f aca="true" t="array" ref="U56:U56">T56+SUM((OFFSET($C$13,1,0):OFFSET($C$47,-3,0))*IF(ISNUMBER(OFFSET(U$11,5,0):OFFSET(U$47,-1,0)),OFFSET(U$11,5,0):OFFSET(U$47,-1,0),0))</f>
        <v>0</v>
      </c>
      <c r="V56" s="414" t="n">
        <f aca="true" t="array" ref="V56:V56">U56+SUM((OFFSET($C$13,1,0):OFFSET($C$47,-3,0))*IF(ISNUMBER(OFFSET(V$11,5,0):OFFSET(V$47,-1,0)),OFFSET(V$11,5,0):OFFSET(V$47,-1,0),0))</f>
        <v>0</v>
      </c>
      <c r="W56" s="414" t="n">
        <f aca="true" t="array" ref="W56:W56">V56+SUM((OFFSET($C$13,1,0):OFFSET($C$47,-3,0))*IF(ISNUMBER(OFFSET(W$11,5,0):OFFSET(W$47,-1,0)),OFFSET(W$11,5,0):OFFSET(W$47,-1,0),0))</f>
        <v>0</v>
      </c>
      <c r="X56" s="414" t="n">
        <f aca="true" t="array" ref="X56:X56">W56+SUM((OFFSET($C$13,1,0):OFFSET($C$47,-3,0))*IF(ISNUMBER(OFFSET(X$11,5,0):OFFSET(X$47,-1,0)),OFFSET(X$11,5,0):OFFSET(X$47,-1,0),0))</f>
        <v>0</v>
      </c>
      <c r="Y56" s="414" t="n">
        <f aca="true" t="array" ref="Y56:Y56">X56+SUM((OFFSET($C$13,1,0):OFFSET($C$47,-3,0))*IF(ISNUMBER(OFFSET(Y$11,5,0):OFFSET(Y$47,-1,0)),OFFSET(Y$11,5,0):OFFSET(Y$47,-1,0),0))</f>
        <v>0</v>
      </c>
      <c r="Z56" s="414" t="n">
        <f aca="true" t="array" ref="Z56:Z56">Y56+SUM((OFFSET($C$13,1,0):OFFSET($C$47,-3,0))*IF(ISNUMBER(OFFSET(Z$11,5,0):OFFSET(Z$47,-1,0)),OFFSET(Z$11,5,0):OFFSET(Z$47,-1,0),0))</f>
        <v>0</v>
      </c>
      <c r="AA56" s="414" t="n">
        <f aca="true" t="array" ref="AA56:AA56">Z56+SUM((OFFSET($C$13,1,0):OFFSET($C$47,-3,0))*IF(ISNUMBER(OFFSET(AA$11,5,0):OFFSET(AA$47,-1,0)),OFFSET(AA$11,5,0):OFFSET(AA$47,-1,0),0))</f>
        <v>0</v>
      </c>
      <c r="AB56" s="414" t="n">
        <f aca="true" t="array" ref="AB56:AB56">AA56+SUM((OFFSET($C$13,1,0):OFFSET($C$47,-3,0))*IF(ISNUMBER(OFFSET(AB$11,5,0):OFFSET(AB$47,-1,0)),OFFSET(AB$11,5,0):OFFSET(AB$47,-1,0),0))</f>
        <v>0</v>
      </c>
      <c r="AC56" s="414" t="n">
        <f aca="true" t="array" ref="AC56:AC56">AB56+SUM((OFFSET($C$13,1,0):OFFSET($C$47,-3,0))*IF(ISNUMBER(OFFSET(AC$11,5,0):OFFSET(AC$47,-1,0)),OFFSET(AC$11,5,0):OFFSET(AC$47,-1,0),0))</f>
        <v>0</v>
      </c>
      <c r="AD56" s="414" t="n">
        <f aca="true" t="array" ref="AD56:AD56">AC56+SUM((OFFSET($C$13,1,0):OFFSET($C$47,-3,0))*IF(ISNUMBER(OFFSET(AD$11,5,0):OFFSET(AD$47,-1,0)),OFFSET(AD$11,5,0):OFFSET(AD$47,-1,0),0))</f>
        <v>0</v>
      </c>
      <c r="AE56" s="418" t="n">
        <f aca="true" t="array" ref="AE56:AE56">AD56+SUM((OFFSET($C$13,1,0):OFFSET($C$47,-3,0))*IF(ISNUMBER(OFFSET(AE$11,5,0):OFFSET(AE$47,-1,0)),OFFSET(AE$11,5,0):OFFSET(AE$47,-1,0),0))</f>
        <v>0</v>
      </c>
      <c r="AF56" s="323" t="n">
        <f aca="false">ROUND(AF57-AF54-AF55,2)</f>
        <v>0</v>
      </c>
    </row>
    <row r="57" customFormat="false" ht="12.75" hidden="false" customHeight="false" outlineLevel="0" collapsed="false">
      <c r="D57" s="419" t="n">
        <f aca="false">C57+SUMIF($R$12:$R$47,"1$",D12:D47)</f>
        <v>0</v>
      </c>
      <c r="F57" s="322" t="s">
        <v>206</v>
      </c>
      <c r="K57" s="420"/>
      <c r="R57" s="421"/>
      <c r="S57" s="422" t="s">
        <v>415</v>
      </c>
      <c r="T57" s="423" t="n">
        <f aca="false">SUMIF($R$12:$R$47,"1$",T12:T47)</f>
        <v>0</v>
      </c>
      <c r="U57" s="424" t="n">
        <f aca="false">T57+SUMIF($R$12:$R$47,"1$",U12:U47)</f>
        <v>0</v>
      </c>
      <c r="V57" s="424" t="n">
        <f aca="false">U57+SUMIF($R$12:$R$47,"1$",V12:V47)</f>
        <v>0</v>
      </c>
      <c r="W57" s="424" t="n">
        <f aca="false">V57+SUMIF($R$12:$R$47,"1$",W12:W47)</f>
        <v>0</v>
      </c>
      <c r="X57" s="424" t="n">
        <f aca="false">W57+SUMIF($R$12:$R$47,"1$",X12:X47)</f>
        <v>0</v>
      </c>
      <c r="Y57" s="424" t="n">
        <f aca="false">X57+SUMIF($R$12:$R$47,"1$",Y12:Y47)</f>
        <v>0</v>
      </c>
      <c r="Z57" s="424" t="n">
        <f aca="false">Y57+SUMIF($R$12:$R$47,"1$",Z12:Z47)</f>
        <v>0</v>
      </c>
      <c r="AA57" s="424" t="n">
        <f aca="false">Z57+SUMIF($R$12:$R$47,"1$",AA12:AA47)</f>
        <v>0</v>
      </c>
      <c r="AB57" s="424" t="n">
        <f aca="false">AA57+SUMIF($R$12:$R$47,"1$",AB12:AB47)</f>
        <v>0</v>
      </c>
      <c r="AC57" s="424" t="n">
        <f aca="false">AB57+SUMIF($R$12:$R$47,"1$",AC12:AC47)</f>
        <v>0</v>
      </c>
      <c r="AD57" s="424" t="n">
        <f aca="false">AC57+SUMIF($R$12:$R$47,"1$",AD12:AD47)</f>
        <v>0</v>
      </c>
      <c r="AE57" s="425" t="n">
        <f aca="false">AD57+SUMIF($R$12:$R$47,"1$",AE12:AE47)</f>
        <v>0</v>
      </c>
      <c r="AF57" s="323" t="n">
        <f aca="false">AE57+SUMIF($R$12:$R$47,"1$",AF12:AF47)</f>
        <v>0</v>
      </c>
    </row>
    <row r="58" customFormat="false" ht="12.75" hidden="false" customHeight="false" outlineLevel="0" collapsed="false">
      <c r="F58" s="322" t="s">
        <v>206</v>
      </c>
    </row>
    <row r="59" customFormat="false" ht="32.25" hidden="false" customHeight="true" outlineLevel="0" collapsed="false">
      <c r="F59" s="322" t="s">
        <v>206</v>
      </c>
      <c r="H59" s="240" t="str">
        <f aca="false">Import.Município</f>
        <v>Alpinópolis</v>
      </c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Z59" s="241"/>
      <c r="AA59" s="241"/>
      <c r="AB59" s="241"/>
      <c r="AC59" s="241"/>
      <c r="AD59" s="426"/>
      <c r="AE59" s="426"/>
    </row>
    <row r="60" customFormat="false" ht="12.75" hidden="false" customHeight="false" outlineLevel="0" collapsed="false">
      <c r="F60" s="322" t="s">
        <v>206</v>
      </c>
      <c r="H60" s="38" t="s">
        <v>239</v>
      </c>
      <c r="Z60" s="242" t="s">
        <v>242</v>
      </c>
      <c r="AA60" s="242"/>
      <c r="AB60" s="242"/>
      <c r="AC60" s="242"/>
      <c r="AD60" s="322"/>
      <c r="AE60" s="322"/>
    </row>
    <row r="61" customFormat="false" ht="12.75" hidden="false" customHeight="false" outlineLevel="0" collapsed="false">
      <c r="F61" s="322" t="s">
        <v>206</v>
      </c>
      <c r="Z61" s="307" t="str">
        <f aca="true" t="array" ref="Z61:Z63">OFFSET(Import.RespOrçamento,0,-1) &amp; " " &amp; Import.RespOrçamento</f>
        <v>Nome: Fabiano Martins Cunha</v>
      </c>
      <c r="AC61" s="136"/>
      <c r="AD61" s="322"/>
      <c r="AE61" s="322"/>
    </row>
    <row r="62" customFormat="false" ht="12.75" hidden="false" customHeight="false" outlineLevel="0" collapsed="false">
      <c r="F62" s="322" t="s">
        <v>206</v>
      </c>
      <c r="H62" s="308" t="n">
        <f aca="false">DADOS!$F$25</f>
        <v>45849</v>
      </c>
      <c r="I62" s="308"/>
      <c r="J62" s="308"/>
      <c r="K62" s="29"/>
      <c r="L62" s="426"/>
      <c r="M62" s="426"/>
      <c r="N62" s="426"/>
      <c r="O62" s="426"/>
      <c r="P62" s="426"/>
      <c r="Q62" s="426"/>
      <c r="R62" s="427"/>
      <c r="Z62" s="307" t="str">
        <v>CREA/CAU: 125417/D</v>
      </c>
      <c r="AB62" s="136"/>
      <c r="AC62" s="136"/>
      <c r="AD62" s="322"/>
      <c r="AE62" s="322"/>
    </row>
    <row r="63" customFormat="false" ht="12.75" hidden="false" customHeight="false" outlineLevel="0" collapsed="false">
      <c r="F63" s="322" t="s">
        <v>206</v>
      </c>
      <c r="H63" s="38" t="s">
        <v>240</v>
      </c>
      <c r="Z63" s="307" t="str">
        <v>ART/RRT: </v>
      </c>
      <c r="AB63" s="136"/>
      <c r="AC63" s="136"/>
      <c r="AD63" s="322"/>
      <c r="AE63" s="322"/>
    </row>
  </sheetData>
  <sheetProtection algorithmName="SHA-512" hashValue="Trey+OVBkF2bV54OTpyi3vwAnopkUmfgaybj55GUsdpgT71iUnjsGo8ocfmn3gJWWdyijdt6JENgz0psGbIy0g==" saltValue="Cco3I8V54N0WrJQMmeDcrQ==" spinCount="100000" sheet="true" objects="true" scenarios="true" autoFilter="false"/>
  <autoFilter ref="F13:F63">
    <filterColumn colId="0">
      <filters>
        <filter val="F"/>
      </filters>
    </filterColumn>
  </autoFilter>
  <mergeCells count="17">
    <mergeCell ref="AD4:AE4"/>
    <mergeCell ref="AD5:AE5"/>
    <mergeCell ref="G7:G9"/>
    <mergeCell ref="F8:F11"/>
    <mergeCell ref="H8:I8"/>
    <mergeCell ref="K8:S8"/>
    <mergeCell ref="T8:X8"/>
    <mergeCell ref="Y8:AD8"/>
    <mergeCell ref="J10:S11"/>
    <mergeCell ref="G12:G13"/>
    <mergeCell ref="H12:H13"/>
    <mergeCell ref="I12:I13"/>
    <mergeCell ref="R12:R13"/>
    <mergeCell ref="S12:S13"/>
    <mergeCell ref="H48:J49"/>
    <mergeCell ref="H59:R59"/>
    <mergeCell ref="H62:J62"/>
  </mergeCells>
  <conditionalFormatting sqref="D45 T45:AF45">
    <cfRule type="expression" priority="2" aboveAverage="0" equalAverage="0" bottom="0" percent="0" rank="0" text="" dxfId="284">
      <formula>AND(ISNUMBER($G44),$G44&lt;&gt;0)</formula>
    </cfRule>
  </conditionalFormatting>
  <conditionalFormatting sqref="H45:R45">
    <cfRule type="expression" priority="3" aboveAverage="0" equalAverage="0" bottom="0" percent="0" rank="0" text="" dxfId="285">
      <formula>$L44=2</formula>
    </cfRule>
    <cfRule type="expression" priority="4" aboveAverage="0" equalAverage="0" bottom="0" percent="0" rank="0" text="" dxfId="286">
      <formula>AND($L44=1,$R44&lt;&gt;"")</formula>
    </cfRule>
  </conditionalFormatting>
  <conditionalFormatting sqref="H44:R44">
    <cfRule type="expression" priority="5" aboveAverage="0" equalAverage="0" bottom="0" percent="0" rank="0" text="" dxfId="287">
      <formula>$L44=2</formula>
    </cfRule>
    <cfRule type="expression" priority="6" aboveAverage="0" equalAverage="0" bottom="0" percent="0" rank="0" text="" dxfId="288">
      <formula>AND($L44=1,$R44&lt;&gt;"")</formula>
    </cfRule>
  </conditionalFormatting>
  <conditionalFormatting sqref="D44 T44:AE44">
    <cfRule type="expression" priority="7" aboveAverage="0" equalAverage="0" bottom="0" percent="0" rank="0" text="" dxfId="289">
      <formula>D44&lt;&gt;0</formula>
    </cfRule>
  </conditionalFormatting>
  <conditionalFormatting sqref="D42 T42:AF42">
    <cfRule type="expression" priority="8" aboveAverage="0" equalAverage="0" bottom="0" percent="0" rank="0" text="" dxfId="290">
      <formula>AND(ISNUMBER($G41),$G41&lt;&gt;0)</formula>
    </cfRule>
  </conditionalFormatting>
  <conditionalFormatting sqref="H42:R42">
    <cfRule type="expression" priority="9" aboveAverage="0" equalAverage="0" bottom="0" percent="0" rank="0" text="" dxfId="291">
      <formula>$L41=2</formula>
    </cfRule>
    <cfRule type="expression" priority="10" aboveAverage="0" equalAverage="0" bottom="0" percent="0" rank="0" text="" dxfId="292">
      <formula>AND($L41=1,$R41&lt;&gt;"")</formula>
    </cfRule>
  </conditionalFormatting>
  <conditionalFormatting sqref="H41:R41">
    <cfRule type="expression" priority="11" aboveAverage="0" equalAverage="0" bottom="0" percent="0" rank="0" text="" dxfId="293">
      <formula>$L41=2</formula>
    </cfRule>
    <cfRule type="expression" priority="12" aboveAverage="0" equalAverage="0" bottom="0" percent="0" rank="0" text="" dxfId="294">
      <formula>AND($L41=1,$R41&lt;&gt;"")</formula>
    </cfRule>
  </conditionalFormatting>
  <conditionalFormatting sqref="D41 T41:AE41">
    <cfRule type="expression" priority="13" aboveAverage="0" equalAverage="0" bottom="0" percent="0" rank="0" text="" dxfId="295">
      <formula>D41&lt;&gt;0</formula>
    </cfRule>
  </conditionalFormatting>
  <conditionalFormatting sqref="D33 D36 D39 T33:AF33 T36:AF36 T39:AF39">
    <cfRule type="expression" priority="14" aboveAverage="0" equalAverage="0" bottom="0" percent="0" rank="0" text="" dxfId="296">
      <formula>AND(ISNUMBER($G32),$G32&lt;&gt;0)</formula>
    </cfRule>
  </conditionalFormatting>
  <conditionalFormatting sqref="H33:R33 H36:R36 H39:R39">
    <cfRule type="expression" priority="15" aboveAverage="0" equalAverage="0" bottom="0" percent="0" rank="0" text="" dxfId="297">
      <formula>$L32=2</formula>
    </cfRule>
    <cfRule type="expression" priority="16" aboveAverage="0" equalAverage="0" bottom="0" percent="0" rank="0" text="" dxfId="298">
      <formula>AND($L32=1,$R32&lt;&gt;"")</formula>
    </cfRule>
  </conditionalFormatting>
  <conditionalFormatting sqref="H32:R32 H35:R35 H38:R38">
    <cfRule type="expression" priority="17" aboveAverage="0" equalAverage="0" bottom="0" percent="0" rank="0" text="" dxfId="299">
      <formula>$L32=2</formula>
    </cfRule>
    <cfRule type="expression" priority="18" aboveAverage="0" equalAverage="0" bottom="0" percent="0" rank="0" text="" dxfId="300">
      <formula>AND($L32=1,$R32&lt;&gt;"")</formula>
    </cfRule>
  </conditionalFormatting>
  <conditionalFormatting sqref="D32 D35 D38 T32:AE32 T35:AE35 T38:AE38">
    <cfRule type="expression" priority="19" aboveAverage="0" equalAverage="0" bottom="0" percent="0" rank="0" text="" dxfId="301">
      <formula>D32&lt;&gt;0</formula>
    </cfRule>
  </conditionalFormatting>
  <conditionalFormatting sqref="D24 D27 D30 T24:AF24 T27:AF27 T30:AF30">
    <cfRule type="expression" priority="20" aboveAverage="0" equalAverage="0" bottom="0" percent="0" rank="0" text="" dxfId="302">
      <formula>AND(ISNUMBER($G23),$G23&lt;&gt;0)</formula>
    </cfRule>
  </conditionalFormatting>
  <conditionalFormatting sqref="H24:R24 H27:R27 H30:R30">
    <cfRule type="expression" priority="21" aboveAverage="0" equalAverage="0" bottom="0" percent="0" rank="0" text="" dxfId="303">
      <formula>$L23=2</formula>
    </cfRule>
    <cfRule type="expression" priority="22" aboveAverage="0" equalAverage="0" bottom="0" percent="0" rank="0" text="" dxfId="304">
      <formula>AND($L23=1,$R23&lt;&gt;"")</formula>
    </cfRule>
  </conditionalFormatting>
  <conditionalFormatting sqref="H23:R23 H26:R26 H29:R29">
    <cfRule type="expression" priority="23" aboveAverage="0" equalAverage="0" bottom="0" percent="0" rank="0" text="" dxfId="305">
      <formula>$L23=2</formula>
    </cfRule>
    <cfRule type="expression" priority="24" aboveAverage="0" equalAverage="0" bottom="0" percent="0" rank="0" text="" dxfId="306">
      <formula>AND($L23=1,$R23&lt;&gt;"")</formula>
    </cfRule>
  </conditionalFormatting>
  <conditionalFormatting sqref="D23 D26 D29 T23:AE23 T26:AE26 T29:AE29">
    <cfRule type="expression" priority="25" aboveAverage="0" equalAverage="0" bottom="0" percent="0" rank="0" text="" dxfId="307">
      <formula>D23&lt;&gt;0</formula>
    </cfRule>
  </conditionalFormatting>
  <conditionalFormatting sqref="D15 D18 D21 T15:AF15 T18:AF18 T21:AF21">
    <cfRule type="expression" priority="26" aboveAverage="0" equalAverage="0" bottom="0" percent="0" rank="0" text="" dxfId="308">
      <formula>AND(ISNUMBER($G14),$G14&lt;&gt;0)</formula>
    </cfRule>
  </conditionalFormatting>
  <conditionalFormatting sqref="H15:R15 H18:R18 H21:R21">
    <cfRule type="expression" priority="27" aboveAverage="0" equalAverage="0" bottom="0" percent="0" rank="0" text="" dxfId="309">
      <formula>$L14=2</formula>
    </cfRule>
    <cfRule type="expression" priority="28" aboveAverage="0" equalAverage="0" bottom="0" percent="0" rank="0" text="" dxfId="310">
      <formula>AND($L14=1,$R14&lt;&gt;"")</formula>
    </cfRule>
  </conditionalFormatting>
  <conditionalFormatting sqref="H14:R14 H17:R17 H20:R20">
    <cfRule type="expression" priority="29" aboveAverage="0" equalAverage="0" bottom="0" percent="0" rank="0" text="" dxfId="311">
      <formula>$L14=2</formula>
    </cfRule>
    <cfRule type="expression" priority="30" aboveAverage="0" equalAverage="0" bottom="0" percent="0" rank="0" text="" dxfId="312">
      <formula>AND($L14=1,$R14&lt;&gt;"")</formula>
    </cfRule>
  </conditionalFormatting>
  <conditionalFormatting sqref="D14 D17 D20 T14:AE14 T17:AE17 T20:AE20">
    <cfRule type="expression" priority="31" aboveAverage="0" equalAverage="0" bottom="0" percent="0" rank="0" text="" dxfId="313">
      <formula>D14&lt;&gt;0</formula>
    </cfRule>
  </conditionalFormatting>
  <conditionalFormatting sqref="Y7:AD8">
    <cfRule type="expression" priority="32" aboveAverage="0" equalAverage="0" bottom="0" percent="0" rank="0" text="" dxfId="314">
      <formula>QCI.ExisteManual</formula>
    </cfRule>
  </conditionalFormatting>
  <conditionalFormatting sqref="T12:T13">
    <cfRule type="expression" priority="33" aboveAverage="0" equalAverage="0" bottom="0" percent="0" rank="0" text="" dxfId="315">
      <formula>NOT(ISNUMBER(S$12))</formula>
    </cfRule>
  </conditionalFormatting>
  <conditionalFormatting sqref="D2 T2:AF2">
    <cfRule type="expression" priority="34" aboveAverage="0" equalAverage="0" bottom="0" percent="0" rank="0" text="" dxfId="316">
      <formula>AND(ISNUMBER($G1),$G1&lt;&gt;0)</formula>
    </cfRule>
  </conditionalFormatting>
  <conditionalFormatting sqref="H2:R2">
    <cfRule type="expression" priority="35" aboveAverage="0" equalAverage="0" bottom="0" percent="0" rank="0" text="" dxfId="317">
      <formula>$L1=2</formula>
    </cfRule>
    <cfRule type="expression" priority="36" aboveAverage="0" equalAverage="0" bottom="0" percent="0" rank="0" text="" dxfId="318">
      <formula>AND($L1=1,$R1&lt;&gt;"")</formula>
    </cfRule>
  </conditionalFormatting>
  <conditionalFormatting sqref="H1:R1">
    <cfRule type="expression" priority="37" aboveAverage="0" equalAverage="0" bottom="0" percent="0" rank="0" text="" dxfId="319">
      <formula>$L1=2</formula>
    </cfRule>
    <cfRule type="expression" priority="38" aboveAverage="0" equalAverage="0" bottom="0" percent="0" rank="0" text="" dxfId="320">
      <formula>AND($L1=1,$R1&lt;&gt;"")</formula>
    </cfRule>
  </conditionalFormatting>
  <conditionalFormatting sqref="D48:D52 T49:AE49 T51:AE51">
    <cfRule type="expression" priority="39" aboveAverage="0" equalAverage="0" bottom="0" percent="0" rank="0" text="" dxfId="321">
      <formula>D$48=0</formula>
    </cfRule>
  </conditionalFormatting>
  <conditionalFormatting sqref="D53:D57">
    <cfRule type="expression" priority="40" aboveAverage="0" equalAverage="0" bottom="0" percent="0" rank="0" text="" dxfId="322">
      <formula>C$53=1</formula>
    </cfRule>
  </conditionalFormatting>
  <conditionalFormatting sqref="U53:AE53 U55:AE55 U57:AE57">
    <cfRule type="expression" priority="41" aboveAverage="0" equalAverage="0" bottom="0" percent="0" rank="0" text="" dxfId="323">
      <formula>OFFSET(U$53,0,-1)&gt;=1</formula>
    </cfRule>
  </conditionalFormatting>
  <conditionalFormatting sqref="U54:AE54 U56:AE56">
    <cfRule type="expression" priority="42" aboveAverage="0" equalAverage="0" bottom="0" percent="0" rank="0" text="" dxfId="324">
      <formula>OFFSET(U$53,0,-1)&gt;=1</formula>
    </cfRule>
  </conditionalFormatting>
  <conditionalFormatting sqref="T48:AE48 T50:AE50 T52:AE52">
    <cfRule type="expression" priority="43" aboveAverage="0" equalAverage="0" bottom="0" percent="0" rank="0" text="" dxfId="325">
      <formula>T$48=0</formula>
    </cfRule>
  </conditionalFormatting>
  <conditionalFormatting sqref="AE7:AE8">
    <cfRule type="expression" priority="44" aboveAverage="0" equalAverage="0" bottom="0" percent="0" rank="0" text="" dxfId="326">
      <formula>OR(TIPOORCAMENTO&lt;&gt;"Licitado",QCI.ExisteManual)</formula>
    </cfRule>
  </conditionalFormatting>
  <conditionalFormatting sqref="D1 T1:AE1">
    <cfRule type="expression" priority="45" aboveAverage="0" equalAverage="0" bottom="0" percent="0" rank="0" text="" dxfId="327">
      <formula>D1&lt;&gt;0</formula>
    </cfRule>
  </conditionalFormatting>
  <dataValidations count="5">
    <dataValidation allowBlank="true" errorStyle="stop" operator="greaterThan" showDropDown="false" showErrorMessage="true" showInputMessage="false" sqref="T12" type="whole">
      <formula1>0</formula1>
      <formula2>0</formula2>
    </dataValidation>
    <dataValidation allowBlank="true" errorStyle="stop" operator="between" showDropDown="false" showErrorMessage="true" showInputMessage="false" sqref="G10" type="list">
      <formula1>"1,2,3,4"</formula1>
      <formula2>0</formula2>
    </dataValidation>
    <dataValidation allowBlank="true" errorStyle="stop" operator="between" prompt="Preencha na célula de baixo. Se o acompanhamento for PLE, preencha no botão PREENCHIMENTO POR EVENTOS, acima." showDropDown="false" showErrorMessage="true" showInputMessage="true" sqref="D1 T1:AE1 D14 T14:AE14 D17 T17:AE17 D20 T20:AE20 D23 T23:AE23 D26 T26:AE26 D29 T29:AE29 D32 T32:AE32 D35 T35:AE35 D38 T38:AE38 D41 T41:AE41 D44 T44:AE44" type="none">
      <formula1>0</formula1>
      <formula2>0</formula2>
    </dataValidation>
    <dataValidation allowBlank="true" error="Porcentagem Acumulada &gt; 100%." errorStyle="stop" operator="between" showDropDown="false" showErrorMessage="true" showInputMessage="false" sqref="D2 T2:AF2 D15 T15:AF15 D18 T18:AF18 D21 T21:AF21 D24 T24:AF24 D27 T27:AF27 D30 T30:AF30 D33 T33:AF33 D36 T36:AF36 D39 T39:AF39 D42 T42:AF42 D45 T45:AF45" type="decimal">
      <formula1>0</formula1>
      <formula2>CRONO.MaxParc</formula2>
    </dataValidation>
    <dataValidation allowBlank="true" error="Digite somente datas." errorStyle="stop" errorTitle="Erro" operator="greaterThan" showDropDown="false" showErrorMessage="true" showInputMessage="true" sqref="T13" type="date">
      <formula1>36526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66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&amp;C&amp;14I</oddHeader>
    <oddFooter>&amp;LPMv3.0.6&amp;R&amp;P / 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E65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3" ySplit="13" topLeftCell="D14" activePane="bottomRight" state="frozen"/>
      <selection pane="topLeft" activeCell="A1" activeCellId="0" sqref="A1"/>
      <selection pane="topRight" activeCell="D1" activeCellId="0" sqref="D1"/>
      <selection pane="bottomLeft" activeCell="A14" activeCellId="0" sqref="A14"/>
      <selection pane="bottomRight" activeCell="G21" activeCellId="0" sqref="G21"/>
    </sheetView>
  </sheetViews>
  <sheetFormatPr defaultColWidth="8.6796875" defaultRowHeight="12.75" customHeight="true" zeroHeight="false" outlineLevelRow="0" outlineLevelCol="0"/>
  <cols>
    <col collapsed="false" customWidth="true" hidden="false" outlineLevel="0" max="1" min="1" style="0" width="3.86"/>
    <col collapsed="false" customWidth="true" hidden="false" outlineLevel="0" max="2" min="2" style="0" width="8.15"/>
    <col collapsed="false" customWidth="true" hidden="false" outlineLevel="0" max="3" min="3" style="0" width="36.86"/>
    <col collapsed="false" customWidth="true" hidden="false" outlineLevel="0" max="4" min="4" style="0" width="1.42"/>
    <col collapsed="false" customWidth="true" hidden="true" outlineLevel="0" max="6" min="5" style="0" width="11.53"/>
    <col collapsed="false" customWidth="true" hidden="false" outlineLevel="0" max="31" min="7" style="0" width="5.71"/>
    <col collapsed="false" customWidth="true" hidden="false" outlineLevel="0" max="32" min="32" style="0" width="2.15"/>
  </cols>
  <sheetData>
    <row r="1" customFormat="false" ht="12.75" hidden="true" customHeight="false" outlineLevel="0" collapsed="false">
      <c r="A1" s="34" t="e">
        <f aca="true">IF(AUTOEVENTO="Manual",IF(OFFSET(EVENTOS!$F$14,CRONOPLE!$B1,0)&gt;0,"F",""),IF(CRONOPLE!B1&lt;=MAX(CÁLCULO!$M$15:$M$59),"F",""))</f>
        <v>#VALUE!</v>
      </c>
      <c r="B1" s="428" t="e">
        <f aca="true">OFFSET(B1,-1,0)+1</f>
        <v>#VALUE!</v>
      </c>
      <c r="C1" s="429" t="e">
        <f aca="true">IF(AUTOEVENTO="Manual",IF($B1&lt;&gt;1,OFFSET(EVENTOS!$D$14,$B1,0),0),IF(B1&lt;=MAX(CÁLCULO!$M$15:$M$59),VLOOKUP($B1,CÁLCULO!$M$15:$N$59,2,FALSE()),0))</f>
        <v>#VALUE!</v>
      </c>
      <c r="E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</row>
    <row r="2" customFormat="false" ht="12.75" hidden="true" customHeight="false" outlineLevel="0" collapsed="false"/>
    <row r="3" customFormat="false" ht="12.75" hidden="true" customHeight="false" outlineLevel="0" collapsed="false"/>
    <row r="4" customFormat="false" ht="12.75" hidden="true" customHeight="false" outlineLevel="0" collapsed="false"/>
    <row r="5" customFormat="false" ht="15" hidden="false" customHeight="false" outlineLevel="0" collapsed="false">
      <c r="B5" s="142" t="s">
        <v>417</v>
      </c>
    </row>
    <row r="7" customFormat="false" ht="12.75" hidden="false" customHeight="false" outlineLevel="0" collapsed="false">
      <c r="B7" s="0" t="s">
        <v>418</v>
      </c>
    </row>
    <row r="9" customFormat="false" ht="13.8" hidden="false" customHeight="false" outlineLevel="0" collapsed="false">
      <c r="B9" s="431" t="str">
        <f aca="true">IF(ACOMPANHAMENTO="BM","NO ACOMPANHAMENTO POR BM, UTILIZE A ABA CRONO",IF(MAX($B$14:$B$65)&lt;MAX(CÁLCULO!$M$15:$M$59),"ERRO: NÚMERO DE EVENTOS INSUFICIENTE, CLIQUE EM ATUALIZAR LINHAS",IF(ROUND(OFFSET(CRONO!$AF$57,0,-1),2)&lt;&gt;CRONO!$Q$48,"ERRO: CRONOGRAMA NÃO FECHA 100%","")))</f>
        <v/>
      </c>
    </row>
    <row r="11" customFormat="false" ht="65.25" hidden="false" customHeight="true" outlineLevel="0" collapsed="false">
      <c r="A11" s="432"/>
      <c r="C11" s="433"/>
      <c r="E11" s="434" t="str">
        <f aca="true">IF(E$12&gt;CÁLCULO.NúmeroDeFrentes,"",OFFSET(CÁLCULO!$P$12,0,E$12))</f>
        <v>Estaca 70 -95</v>
      </c>
      <c r="G11" s="434" t="str">
        <f aca="true">IF(G$12&gt;CÁLCULO.NúmeroDeFrentes,"",OFFSET(CÁLCULO!$P$12,0,G$12))</f>
        <v>Estaca 70 -95</v>
      </c>
      <c r="H11" s="434" t="n">
        <f aca="true">IF(H$12&gt;CÁLCULO.NúmeroDeFrentes,"",OFFSET(CÁLCULO!$P$12,0,H$12))</f>
        <v>0</v>
      </c>
      <c r="I11" s="434" t="n">
        <f aca="true">IF(I$12&gt;CÁLCULO.NúmeroDeFrentes,"",OFFSET(CÁLCULO!$P$12,0,I$12))</f>
        <v>0</v>
      </c>
      <c r="J11" s="434" t="n">
        <f aca="true">IF(J$12&gt;CÁLCULO.NúmeroDeFrentes,"",OFFSET(CÁLCULO!$P$12,0,J$12))</f>
        <v>0</v>
      </c>
      <c r="K11" s="434" t="n">
        <f aca="true">IF(K$12&gt;CÁLCULO.NúmeroDeFrentes,"",OFFSET(CÁLCULO!$P$12,0,K$12))</f>
        <v>0</v>
      </c>
      <c r="L11" s="434" t="n">
        <f aca="true">IF(L$12&gt;CÁLCULO.NúmeroDeFrentes,"",OFFSET(CÁLCULO!$P$12,0,L$12))</f>
        <v>0</v>
      </c>
      <c r="M11" s="434" t="n">
        <f aca="true">IF(M$12&gt;CÁLCULO.NúmeroDeFrentes,"",OFFSET(CÁLCULO!$P$12,0,M$12))</f>
        <v>0</v>
      </c>
      <c r="N11" s="434" t="n">
        <f aca="true">IF(N$12&gt;CÁLCULO.NúmeroDeFrentes,"",OFFSET(CÁLCULO!$P$12,0,N$12))</f>
        <v>0</v>
      </c>
      <c r="O11" s="434" t="n">
        <f aca="true">IF(O$12&gt;CÁLCULO.NúmeroDeFrentes,"",OFFSET(CÁLCULO!$P$12,0,O$12))</f>
        <v>0</v>
      </c>
      <c r="P11" s="434" t="n">
        <f aca="true">IF(P$12&gt;CÁLCULO.NúmeroDeFrentes,"",OFFSET(CÁLCULO!$P$12,0,P$12))</f>
        <v>0</v>
      </c>
      <c r="Q11" s="434" t="str">
        <f aca="true">IF(Q$12&gt;CÁLCULO.NúmeroDeFrentes,"",OFFSET(CÁLCULO!$P$12,0,Q$12))</f>
        <v/>
      </c>
      <c r="R11" s="434" t="str">
        <f aca="true">IF(R$12&gt;CÁLCULO.NúmeroDeFrentes,"",OFFSET(CÁLCULO!$P$12,0,R$12))</f>
        <v/>
      </c>
      <c r="S11" s="434" t="str">
        <f aca="true">IF(S$12&gt;CÁLCULO.NúmeroDeFrentes,"",OFFSET(CÁLCULO!$P$12,0,S$12))</f>
        <v/>
      </c>
      <c r="T11" s="434" t="str">
        <f aca="true">IF(T$12&gt;CÁLCULO.NúmeroDeFrentes,"",OFFSET(CÁLCULO!$P$12,0,T$12))</f>
        <v/>
      </c>
      <c r="U11" s="434" t="str">
        <f aca="true">IF(U$12&gt;CÁLCULO.NúmeroDeFrentes,"",OFFSET(CÁLCULO!$P$12,0,U$12))</f>
        <v/>
      </c>
      <c r="V11" s="434" t="str">
        <f aca="true">IF(V$12&gt;CÁLCULO.NúmeroDeFrentes,"",OFFSET(CÁLCULO!$P$12,0,V$12))</f>
        <v/>
      </c>
      <c r="W11" s="434" t="str">
        <f aca="true">IF(W$12&gt;CÁLCULO.NúmeroDeFrentes,"",OFFSET(CÁLCULO!$P$12,0,W$12))</f>
        <v/>
      </c>
      <c r="X11" s="434" t="str">
        <f aca="true">IF(X$12&gt;CÁLCULO.NúmeroDeFrentes,"",OFFSET(CÁLCULO!$P$12,0,X$12))</f>
        <v/>
      </c>
      <c r="Y11" s="434" t="str">
        <f aca="true">IF(Y$12&gt;CÁLCULO.NúmeroDeFrentes,"",OFFSET(CÁLCULO!$P$12,0,Y$12))</f>
        <v/>
      </c>
      <c r="Z11" s="434" t="str">
        <f aca="true">IF(Z$12&gt;CÁLCULO.NúmeroDeFrentes,"",OFFSET(CÁLCULO!$P$12,0,Z$12))</f>
        <v/>
      </c>
      <c r="AA11" s="434" t="str">
        <f aca="true">IF(AA$12&gt;CÁLCULO.NúmeroDeFrentes,"",OFFSET(CÁLCULO!$P$12,0,AA$12))</f>
        <v/>
      </c>
      <c r="AB11" s="434" t="str">
        <f aca="true">IF(AB$12&gt;CÁLCULO.NúmeroDeFrentes,"",OFFSET(CÁLCULO!$P$12,0,AB$12))</f>
        <v/>
      </c>
      <c r="AC11" s="434" t="str">
        <f aca="true">IF(AC$12&gt;CÁLCULO.NúmeroDeFrentes,"",OFFSET(CÁLCULO!$P$12,0,AC$12))</f>
        <v/>
      </c>
      <c r="AD11" s="434" t="str">
        <f aca="true">IF(AD$12&gt;CÁLCULO.NúmeroDeFrentes,"",OFFSET(CÁLCULO!$P$12,0,AD$12))</f>
        <v/>
      </c>
      <c r="AE11" s="434" t="str">
        <f aca="true">IF(AE$12&gt;CÁLCULO.NúmeroDeFrentes,"",OFFSET(CÁLCULO!$P$12,0,AE$12))</f>
        <v/>
      </c>
    </row>
    <row r="12" customFormat="false" ht="12.75" hidden="false" customHeight="true" outlineLevel="0" collapsed="false">
      <c r="A12" s="97"/>
      <c r="B12" s="435" t="s">
        <v>392</v>
      </c>
      <c r="C12" s="435" t="s">
        <v>419</v>
      </c>
      <c r="E12" s="436" t="n">
        <f aca="true">OFFSET(E12,0,-1)+1</f>
        <v>1</v>
      </c>
      <c r="G12" s="436" t="n">
        <f aca="true">OFFSET(G12,0,-1)+1</f>
        <v>1</v>
      </c>
      <c r="H12" s="436" t="n">
        <f aca="true">OFFSET(H12,0,-1)+1</f>
        <v>2</v>
      </c>
      <c r="I12" s="436" t="n">
        <f aca="true">OFFSET(I12,0,-1)+1</f>
        <v>3</v>
      </c>
      <c r="J12" s="436" t="n">
        <f aca="true">OFFSET(J12,0,-1)+1</f>
        <v>4</v>
      </c>
      <c r="K12" s="436" t="n">
        <f aca="true">OFFSET(K12,0,-1)+1</f>
        <v>5</v>
      </c>
      <c r="L12" s="436" t="n">
        <f aca="true">OFFSET(L12,0,-1)+1</f>
        <v>6</v>
      </c>
      <c r="M12" s="436" t="n">
        <f aca="true">OFFSET(M12,0,-1)+1</f>
        <v>7</v>
      </c>
      <c r="N12" s="436" t="n">
        <f aca="true">OFFSET(N12,0,-1)+1</f>
        <v>8</v>
      </c>
      <c r="O12" s="436" t="n">
        <f aca="true">OFFSET(O12,0,-1)+1</f>
        <v>9</v>
      </c>
      <c r="P12" s="436" t="n">
        <f aca="true">OFFSET(P12,0,-1)+1</f>
        <v>10</v>
      </c>
      <c r="Q12" s="436" t="n">
        <f aca="true">OFFSET(Q12,0,-1)+1</f>
        <v>11</v>
      </c>
      <c r="R12" s="436" t="n">
        <f aca="true">OFFSET(R12,0,-1)+1</f>
        <v>12</v>
      </c>
      <c r="S12" s="436" t="n">
        <f aca="true">OFFSET(S12,0,-1)+1</f>
        <v>13</v>
      </c>
      <c r="T12" s="436" t="n">
        <f aca="true">OFFSET(T12,0,-1)+1</f>
        <v>14</v>
      </c>
      <c r="U12" s="436" t="n">
        <f aca="true">OFFSET(U12,0,-1)+1</f>
        <v>15</v>
      </c>
      <c r="V12" s="436" t="n">
        <f aca="true">OFFSET(V12,0,-1)+1</f>
        <v>16</v>
      </c>
      <c r="W12" s="436" t="n">
        <f aca="true">OFFSET(W12,0,-1)+1</f>
        <v>17</v>
      </c>
      <c r="X12" s="436" t="n">
        <f aca="true">OFFSET(X12,0,-1)+1</f>
        <v>18</v>
      </c>
      <c r="Y12" s="436" t="n">
        <f aca="true">OFFSET(Y12,0,-1)+1</f>
        <v>19</v>
      </c>
      <c r="Z12" s="436" t="n">
        <f aca="true">OFFSET(Z12,0,-1)+1</f>
        <v>20</v>
      </c>
      <c r="AA12" s="436" t="n">
        <f aca="true">OFFSET(AA12,0,-1)+1</f>
        <v>21</v>
      </c>
      <c r="AB12" s="436" t="n">
        <f aca="true">OFFSET(AB12,0,-1)+1</f>
        <v>22</v>
      </c>
      <c r="AC12" s="436" t="n">
        <f aca="true">OFFSET(AC12,0,-1)+1</f>
        <v>23</v>
      </c>
      <c r="AD12" s="436" t="n">
        <f aca="true">OFFSET(AD12,0,-1)+1</f>
        <v>24</v>
      </c>
      <c r="AE12" s="436" t="n">
        <f aca="true">OFFSET(AE12,0,-1)+1</f>
        <v>25</v>
      </c>
    </row>
    <row r="13" customFormat="false" ht="12.75" hidden="false" customHeight="false" outlineLevel="0" collapsed="false">
      <c r="B13" s="435"/>
      <c r="C13" s="435"/>
      <c r="E13" s="437"/>
      <c r="G13" s="438"/>
      <c r="H13" s="437"/>
      <c r="I13" s="437"/>
      <c r="J13" s="437"/>
      <c r="K13" s="437"/>
      <c r="L13" s="437"/>
      <c r="M13" s="437" t="s">
        <v>420</v>
      </c>
      <c r="N13" s="437"/>
      <c r="O13" s="437"/>
      <c r="P13" s="437"/>
      <c r="Q13" s="437"/>
      <c r="R13" s="437"/>
      <c r="S13" s="437"/>
      <c r="T13" s="437"/>
      <c r="U13" s="437"/>
      <c r="V13" s="437"/>
      <c r="W13" s="437"/>
      <c r="X13" s="437"/>
      <c r="Y13" s="437"/>
      <c r="Z13" s="437"/>
      <c r="AA13" s="437"/>
      <c r="AB13" s="437"/>
      <c r="AC13" s="437"/>
      <c r="AD13" s="437"/>
      <c r="AE13" s="439"/>
    </row>
    <row r="14" customFormat="false" ht="7.5" hidden="false" customHeight="true" outlineLevel="0" collapsed="false">
      <c r="A14" s="34"/>
    </row>
    <row r="15" customFormat="false" ht="12.75" hidden="false" customHeight="false" outlineLevel="0" collapsed="false">
      <c r="A15" s="34"/>
      <c r="B15" s="440" t="n">
        <v>1</v>
      </c>
      <c r="C15" s="441" t="s">
        <v>395</v>
      </c>
      <c r="E15" s="442"/>
      <c r="G15" s="443" t="str">
        <f aca="false">IF(AUTOEVENTO="MANUAL","A administração local será proporcional a execução dos demais eventos, independente de frentes de obra.","Para aplicação de Adm. Local é necessário definir os eventos manualmente.")</f>
        <v>A administração local será proporcional a execução dos demais eventos, independente de frentes de obra.</v>
      </c>
      <c r="H15" s="442"/>
      <c r="I15" s="442"/>
      <c r="J15" s="442"/>
      <c r="K15" s="442"/>
      <c r="L15" s="442"/>
      <c r="M15" s="442"/>
      <c r="N15" s="442"/>
      <c r="O15" s="442"/>
      <c r="P15" s="442"/>
      <c r="Q15" s="442"/>
      <c r="R15" s="442"/>
      <c r="S15" s="442"/>
      <c r="T15" s="442"/>
      <c r="U15" s="442"/>
      <c r="V15" s="442"/>
      <c r="W15" s="442"/>
      <c r="X15" s="442"/>
      <c r="Y15" s="442"/>
      <c r="Z15" s="442"/>
      <c r="AA15" s="442"/>
      <c r="AB15" s="442"/>
      <c r="AC15" s="442"/>
      <c r="AD15" s="442"/>
      <c r="AE15" s="444"/>
    </row>
    <row r="16" customFormat="false" ht="12.75" hidden="false" customHeight="false" outlineLevel="0" collapsed="false">
      <c r="A16" s="34" t="str">
        <f aca="true">IF(AUTOEVENTO="Manual",IF(OFFSET(EVENTOS!$F$14,CRONOPLE!$B16,0)&gt;0,"F",""),IF(CRONOPLE!B16&lt;=MAX(CÁLCULO!$M$15:$M$59),"F",""))</f>
        <v/>
      </c>
      <c r="B16" s="428" t="n">
        <f aca="true">OFFSET(B16,-1,0)+1</f>
        <v>2</v>
      </c>
      <c r="C16" s="429" t="str">
        <f aca="true">IF(AUTOEVENTO="Manual",IF($B16&lt;&gt;1,OFFSET(EVENTOS!$D$14,$B16,0),0),IF(B16&lt;=MAX(CÁLCULO!$M$15:$M$59),VLOOKUP($B16,CÁLCULO!$M$15:$N$59,2,FALSE()),0))</f>
        <v>Serviços Iniciais</v>
      </c>
      <c r="E16" s="430"/>
      <c r="G16" s="430" t="n">
        <v>1</v>
      </c>
      <c r="H16" s="430"/>
      <c r="I16" s="430"/>
      <c r="J16" s="430"/>
      <c r="K16" s="430"/>
      <c r="L16" s="430"/>
      <c r="M16" s="430"/>
      <c r="N16" s="430"/>
      <c r="O16" s="430"/>
      <c r="P16" s="430"/>
      <c r="Q16" s="430"/>
      <c r="R16" s="430"/>
      <c r="S16" s="430"/>
      <c r="T16" s="430"/>
      <c r="U16" s="430"/>
      <c r="V16" s="430"/>
      <c r="W16" s="430"/>
      <c r="X16" s="430"/>
      <c r="Y16" s="430"/>
      <c r="Z16" s="430"/>
      <c r="AA16" s="430"/>
      <c r="AB16" s="430"/>
      <c r="AC16" s="430"/>
      <c r="AD16" s="430"/>
      <c r="AE16" s="430"/>
    </row>
    <row r="17" customFormat="false" ht="12.75" hidden="false" customHeight="false" outlineLevel="0" collapsed="false">
      <c r="A17" s="34" t="str">
        <f aca="true">IF(AUTOEVENTO="Manual",IF(OFFSET(EVENTOS!$F$14,CRONOPLE!$B17,0)&gt;0,"F",""),IF(CRONOPLE!B17&lt;=MAX(CÁLCULO!$M$15:$M$59),"F",""))</f>
        <v/>
      </c>
      <c r="B17" s="428" t="n">
        <f aca="true">OFFSET(B17,-1,0)+1</f>
        <v>3</v>
      </c>
      <c r="C17" s="429" t="str">
        <f aca="true">IF(AUTOEVENTO="Manual",IF($B17&lt;&gt;1,OFFSET(EVENTOS!$D$14,$B17,0),0),IF(B17&lt;=MAX(CÁLCULO!$M$15:$M$59),VLOOKUP($B17,CÁLCULO!$M$15:$N$59,2,FALSE()),0))</f>
        <v>Canteiro</v>
      </c>
      <c r="E17" s="430"/>
      <c r="G17" s="430" t="n">
        <v>1</v>
      </c>
      <c r="H17" s="430"/>
      <c r="I17" s="430"/>
      <c r="J17" s="430"/>
      <c r="K17" s="430"/>
      <c r="L17" s="430"/>
      <c r="M17" s="430"/>
      <c r="N17" s="430"/>
      <c r="O17" s="430"/>
      <c r="P17" s="430"/>
      <c r="Q17" s="430"/>
      <c r="R17" s="430"/>
      <c r="S17" s="430"/>
      <c r="T17" s="430"/>
      <c r="U17" s="430"/>
      <c r="V17" s="430"/>
      <c r="W17" s="430"/>
      <c r="X17" s="430"/>
      <c r="Y17" s="430"/>
      <c r="Z17" s="430"/>
      <c r="AA17" s="430"/>
      <c r="AB17" s="430"/>
      <c r="AC17" s="430"/>
      <c r="AD17" s="430"/>
      <c r="AE17" s="430"/>
    </row>
    <row r="18" customFormat="false" ht="12.75" hidden="false" customHeight="false" outlineLevel="0" collapsed="false">
      <c r="A18" s="34" t="str">
        <f aca="true">IF(AUTOEVENTO="Manual",IF(OFFSET(EVENTOS!$F$14,CRONOPLE!$B18,0)&gt;0,"F",""),IF(CRONOPLE!B18&lt;=MAX(CÁLCULO!$M$15:$M$59),"F",""))</f>
        <v/>
      </c>
      <c r="B18" s="428" t="n">
        <f aca="true">OFFSET(B18,-1,0)+1</f>
        <v>4</v>
      </c>
      <c r="C18" s="429" t="str">
        <f aca="true">IF(AUTOEVENTO="Manual",IF($B18&lt;&gt;1,OFFSET(EVENTOS!$D$14,$B18,0),0),IF(B18&lt;=MAX(CÁLCULO!$M$15:$M$59),VLOOKUP($B18,CÁLCULO!$M$15:$N$59,2,FALSE()),0))</f>
        <v>Mobilização e Desmobilização</v>
      </c>
      <c r="E18" s="430"/>
      <c r="G18" s="430" t="n">
        <v>1</v>
      </c>
      <c r="H18" s="430"/>
      <c r="I18" s="430"/>
      <c r="J18" s="430"/>
      <c r="K18" s="430"/>
      <c r="L18" s="430"/>
      <c r="M18" s="430"/>
      <c r="N18" s="430"/>
      <c r="O18" s="430"/>
      <c r="P18" s="430"/>
      <c r="Q18" s="430"/>
      <c r="R18" s="430"/>
      <c r="S18" s="430"/>
      <c r="T18" s="430"/>
      <c r="U18" s="430"/>
      <c r="V18" s="430"/>
      <c r="W18" s="430"/>
      <c r="X18" s="430"/>
      <c r="Y18" s="430"/>
      <c r="Z18" s="430"/>
      <c r="AA18" s="430"/>
      <c r="AB18" s="430"/>
      <c r="AC18" s="430"/>
      <c r="AD18" s="430"/>
      <c r="AE18" s="430"/>
    </row>
    <row r="19" customFormat="false" ht="12.75" hidden="false" customHeight="false" outlineLevel="0" collapsed="false">
      <c r="A19" s="34" t="str">
        <f aca="true">IF(AUTOEVENTO="Manual",IF(OFFSET(EVENTOS!$F$14,CRONOPLE!$B19,0)&gt;0,"F",""),IF(CRONOPLE!B19&lt;=MAX(CÁLCULO!$M$15:$M$59),"F",""))</f>
        <v/>
      </c>
      <c r="B19" s="428" t="n">
        <f aca="true">OFFSET(B19,-1,0)+1</f>
        <v>5</v>
      </c>
      <c r="C19" s="429" t="str">
        <f aca="true">IF(AUTOEVENTO="Manual",IF($B19&lt;&gt;1,OFFSET(EVENTOS!$D$14,$B19,0),0),IF(B19&lt;=MAX(CÁLCULO!$M$15:$M$59),VLOOKUP($B19,CÁLCULO!$M$15:$N$59,2,FALSE()),0))</f>
        <v>Terraplanagem</v>
      </c>
      <c r="E19" s="430"/>
      <c r="G19" s="430" t="n">
        <v>1</v>
      </c>
      <c r="H19" s="430"/>
      <c r="I19" s="430"/>
      <c r="J19" s="430"/>
      <c r="K19" s="430"/>
      <c r="L19" s="430"/>
      <c r="M19" s="430"/>
      <c r="N19" s="430"/>
      <c r="O19" s="430"/>
      <c r="P19" s="430"/>
      <c r="Q19" s="430"/>
      <c r="R19" s="430"/>
      <c r="S19" s="430"/>
      <c r="T19" s="430"/>
      <c r="U19" s="430"/>
      <c r="V19" s="430"/>
      <c r="W19" s="430"/>
      <c r="X19" s="430"/>
      <c r="Y19" s="430"/>
      <c r="Z19" s="430"/>
      <c r="AA19" s="430"/>
      <c r="AB19" s="430"/>
      <c r="AC19" s="430"/>
      <c r="AD19" s="430"/>
      <c r="AE19" s="430"/>
    </row>
    <row r="20" customFormat="false" ht="12.75" hidden="false" customHeight="false" outlineLevel="0" collapsed="false">
      <c r="A20" s="34" t="str">
        <f aca="true">IF(AUTOEVENTO="Manual",IF(OFFSET(EVENTOS!$F$14,CRONOPLE!$B20,0)&gt;0,"F",""),IF(CRONOPLE!B20&lt;=MAX(CÁLCULO!$M$15:$M$59),"F",""))</f>
        <v/>
      </c>
      <c r="B20" s="428" t="n">
        <f aca="true">OFFSET(B20,-1,0)+1</f>
        <v>6</v>
      </c>
      <c r="C20" s="429" t="str">
        <f aca="true">IF(AUTOEVENTO="Manual",IF($B20&lt;&gt;1,OFFSET(EVENTOS!$D$14,$B20,0),0),IF(B20&lt;=MAX(CÁLCULO!$M$15:$M$59),VLOOKUP($B20,CÁLCULO!$M$15:$N$59,2,FALSE()),0))</f>
        <v>Subbase</v>
      </c>
      <c r="E20" s="430"/>
      <c r="G20" s="430" t="n">
        <v>2</v>
      </c>
      <c r="H20" s="430"/>
      <c r="I20" s="430"/>
      <c r="J20" s="430"/>
      <c r="K20" s="430"/>
      <c r="L20" s="430"/>
      <c r="M20" s="430"/>
      <c r="N20" s="430"/>
      <c r="O20" s="430"/>
      <c r="P20" s="430"/>
      <c r="Q20" s="430"/>
      <c r="R20" s="430"/>
      <c r="S20" s="430"/>
      <c r="T20" s="430"/>
      <c r="U20" s="430"/>
      <c r="V20" s="430"/>
      <c r="W20" s="430"/>
      <c r="X20" s="430"/>
      <c r="Y20" s="430"/>
      <c r="Z20" s="430"/>
      <c r="AA20" s="430"/>
      <c r="AB20" s="430"/>
      <c r="AC20" s="430"/>
      <c r="AD20" s="430"/>
      <c r="AE20" s="430"/>
    </row>
    <row r="21" customFormat="false" ht="12.75" hidden="false" customHeight="false" outlineLevel="0" collapsed="false">
      <c r="A21" s="34" t="str">
        <f aca="true">IF(AUTOEVENTO="Manual",IF(OFFSET(EVENTOS!$F$14,CRONOPLE!$B21,0)&gt;0,"F",""),IF(CRONOPLE!B21&lt;=MAX(CÁLCULO!$M$15:$M$59),"F",""))</f>
        <v/>
      </c>
      <c r="B21" s="428" t="n">
        <f aca="true">OFFSET(B21,-1,0)+1</f>
        <v>7</v>
      </c>
      <c r="C21" s="429" t="str">
        <f aca="true">IF(AUTOEVENTO="Manual",IF($B21&lt;&gt;1,OFFSET(EVENTOS!$D$14,$B21,0),0),IF(B21&lt;=MAX(CÁLCULO!$M$15:$M$59),VLOOKUP($B21,CÁLCULO!$M$15:$N$59,2,FALSE()),0))</f>
        <v>Base</v>
      </c>
      <c r="E21" s="430"/>
      <c r="G21" s="430" t="n">
        <v>2</v>
      </c>
      <c r="H21" s="430"/>
      <c r="I21" s="430"/>
      <c r="J21" s="430"/>
      <c r="K21" s="430"/>
      <c r="L21" s="430"/>
      <c r="M21" s="430"/>
      <c r="N21" s="430"/>
      <c r="O21" s="430"/>
      <c r="P21" s="430"/>
      <c r="Q21" s="430"/>
      <c r="R21" s="430"/>
      <c r="S21" s="430"/>
      <c r="T21" s="430"/>
      <c r="U21" s="430"/>
      <c r="V21" s="430"/>
      <c r="W21" s="430"/>
      <c r="X21" s="430"/>
      <c r="Y21" s="430"/>
      <c r="Z21" s="430"/>
      <c r="AA21" s="430"/>
      <c r="AB21" s="430"/>
      <c r="AC21" s="430"/>
      <c r="AD21" s="430"/>
      <c r="AE21" s="430"/>
    </row>
    <row r="22" customFormat="false" ht="12.75" hidden="false" customHeight="false" outlineLevel="0" collapsed="false">
      <c r="A22" s="34" t="str">
        <f aca="true">IF(AUTOEVENTO="Manual",IF(OFFSET(EVENTOS!$F$14,CRONOPLE!$B22,0)&gt;0,"F",""),IF(CRONOPLE!B22&lt;=MAX(CÁLCULO!$M$15:$M$59),"F",""))</f>
        <v/>
      </c>
      <c r="B22" s="428" t="n">
        <f aca="true">OFFSET(B22,-1,0)+1</f>
        <v>8</v>
      </c>
      <c r="C22" s="429" t="str">
        <f aca="true">IF(AUTOEVENTO="Manual",IF($B22&lt;&gt;1,OFFSET(EVENTOS!$D$14,$B22,0),0),IF(B22&lt;=MAX(CÁLCULO!$M$15:$M$59),VLOOKUP($B22,CÁLCULO!$M$15:$N$59,2,FALSE()),0))</f>
        <v>Concreto Asfáltico</v>
      </c>
      <c r="E22" s="430"/>
      <c r="G22" s="430" t="n">
        <v>3</v>
      </c>
      <c r="H22" s="430"/>
      <c r="I22" s="430"/>
      <c r="J22" s="430"/>
      <c r="K22" s="430"/>
      <c r="L22" s="430"/>
      <c r="M22" s="430"/>
      <c r="N22" s="430"/>
      <c r="O22" s="430"/>
      <c r="P22" s="430"/>
      <c r="Q22" s="430"/>
      <c r="R22" s="430"/>
      <c r="S22" s="430"/>
      <c r="T22" s="430"/>
      <c r="U22" s="430"/>
      <c r="V22" s="430"/>
      <c r="W22" s="430"/>
      <c r="X22" s="430"/>
      <c r="Y22" s="430"/>
      <c r="Z22" s="430"/>
      <c r="AA22" s="430"/>
      <c r="AB22" s="430"/>
      <c r="AC22" s="430"/>
      <c r="AD22" s="430"/>
      <c r="AE22" s="430"/>
    </row>
    <row r="23" customFormat="false" ht="12.75" hidden="false" customHeight="false" outlineLevel="0" collapsed="false">
      <c r="A23" s="34" t="str">
        <f aca="true">IF(AUTOEVENTO="Manual",IF(OFFSET(EVENTOS!$F$14,CRONOPLE!$B23,0)&gt;0,"F",""),IF(CRONOPLE!B23&lt;=MAX(CÁLCULO!$M$15:$M$59),"F",""))</f>
        <v/>
      </c>
      <c r="B23" s="428" t="n">
        <f aca="true">OFFSET(B23,-1,0)+1</f>
        <v>9</v>
      </c>
      <c r="C23" s="429" t="str">
        <f aca="true">IF(AUTOEVENTO="Manual",IF($B23&lt;&gt;1,OFFSET(EVENTOS!$D$14,$B23,0),0),IF(B23&lt;=MAX(CÁLCULO!$M$15:$M$59),VLOOKUP($B23,CÁLCULO!$M$15:$N$59,2,FALSE()),0))</f>
        <v>Drenagem</v>
      </c>
      <c r="E23" s="430"/>
      <c r="G23" s="430" t="n">
        <v>3</v>
      </c>
      <c r="H23" s="430"/>
      <c r="I23" s="430"/>
      <c r="J23" s="430"/>
      <c r="K23" s="430"/>
      <c r="L23" s="430"/>
      <c r="M23" s="430"/>
      <c r="N23" s="430"/>
      <c r="O23" s="430"/>
      <c r="P23" s="430"/>
      <c r="Q23" s="430"/>
      <c r="R23" s="430"/>
      <c r="S23" s="430"/>
      <c r="T23" s="430"/>
      <c r="U23" s="430"/>
      <c r="V23" s="430"/>
      <c r="W23" s="430"/>
      <c r="X23" s="430"/>
      <c r="Y23" s="430"/>
      <c r="Z23" s="430"/>
      <c r="AA23" s="430"/>
      <c r="AB23" s="430"/>
      <c r="AC23" s="430"/>
      <c r="AD23" s="430"/>
      <c r="AE23" s="430"/>
    </row>
    <row r="24" customFormat="false" ht="12.75" hidden="false" customHeight="false" outlineLevel="0" collapsed="false">
      <c r="A24" s="34" t="str">
        <f aca="true">IF(AUTOEVENTO="Manual",IF(OFFSET(EVENTOS!$F$14,CRONOPLE!$B24,0)&gt;0,"F",""),IF(CRONOPLE!B24&lt;=MAX(CÁLCULO!$M$15:$M$59),"F",""))</f>
        <v/>
      </c>
      <c r="B24" s="428" t="n">
        <f aca="true">OFFSET(B24,-1,0)+1</f>
        <v>10</v>
      </c>
      <c r="C24" s="429" t="str">
        <f aca="true">IF(AUTOEVENTO="Manual",IF($B24&lt;&gt;1,OFFSET(EVENTOS!$D$14,$B24,0),0),IF(B24&lt;=MAX(CÁLCULO!$M$15:$M$59),VLOOKUP($B24,CÁLCULO!$M$15:$N$59,2,FALSE()),0))</f>
        <v>Sinalização</v>
      </c>
      <c r="E24" s="430"/>
      <c r="G24" s="430" t="n">
        <v>3</v>
      </c>
      <c r="H24" s="430"/>
      <c r="I24" s="430"/>
      <c r="J24" s="430"/>
      <c r="K24" s="430"/>
      <c r="L24" s="430"/>
      <c r="M24" s="430"/>
      <c r="N24" s="430"/>
      <c r="O24" s="430"/>
      <c r="P24" s="430"/>
      <c r="Q24" s="430"/>
      <c r="R24" s="430"/>
      <c r="S24" s="430"/>
      <c r="T24" s="430"/>
      <c r="U24" s="430"/>
      <c r="V24" s="430"/>
      <c r="W24" s="430"/>
      <c r="X24" s="430"/>
      <c r="Y24" s="430"/>
      <c r="Z24" s="430"/>
      <c r="AA24" s="430"/>
      <c r="AB24" s="430"/>
      <c r="AC24" s="430"/>
      <c r="AD24" s="430"/>
      <c r="AE24" s="430"/>
    </row>
    <row r="25" customFormat="false" ht="12.75" hidden="false" customHeight="false" outlineLevel="0" collapsed="false">
      <c r="A25" s="34" t="str">
        <f aca="true">IF(AUTOEVENTO="Manual",IF(OFFSET(EVENTOS!$F$14,CRONOPLE!$B25,0)&gt;0,"F",""),IF(CRONOPLE!B25&lt;=MAX(CÁLCULO!$M$15:$M$59),"F",""))</f>
        <v/>
      </c>
      <c r="B25" s="428" t="n">
        <f aca="true">OFFSET(B25,-1,0)+1</f>
        <v>11</v>
      </c>
      <c r="C25" s="429" t="n">
        <f aca="true">IF(AUTOEVENTO="Manual",IF($B25&lt;&gt;1,OFFSET(EVENTOS!$D$14,$B25,0),0),IF(B25&lt;=MAX(CÁLCULO!$M$15:$M$59),VLOOKUP($B25,CÁLCULO!$M$15:$N$59,2,FALSE()),0))</f>
        <v>0</v>
      </c>
      <c r="E25" s="430"/>
      <c r="G25" s="430"/>
      <c r="H25" s="430"/>
      <c r="I25" s="430"/>
      <c r="J25" s="430"/>
      <c r="K25" s="430"/>
      <c r="L25" s="430"/>
      <c r="M25" s="430"/>
      <c r="N25" s="430"/>
      <c r="O25" s="430"/>
      <c r="P25" s="430"/>
      <c r="Q25" s="430"/>
      <c r="R25" s="430"/>
      <c r="S25" s="430"/>
      <c r="T25" s="430"/>
      <c r="U25" s="430"/>
      <c r="V25" s="430"/>
      <c r="W25" s="430"/>
      <c r="X25" s="430"/>
      <c r="Y25" s="430"/>
      <c r="Z25" s="430"/>
      <c r="AA25" s="430"/>
      <c r="AB25" s="430"/>
      <c r="AC25" s="430"/>
      <c r="AD25" s="430"/>
      <c r="AE25" s="430"/>
    </row>
    <row r="26" customFormat="false" ht="12.75" hidden="false" customHeight="false" outlineLevel="0" collapsed="false">
      <c r="A26" s="34" t="str">
        <f aca="true">IF(AUTOEVENTO="Manual",IF(OFFSET(EVENTOS!$F$14,CRONOPLE!$B26,0)&gt;0,"F",""),IF(CRONOPLE!B26&lt;=MAX(CÁLCULO!$M$15:$M$59),"F",""))</f>
        <v/>
      </c>
      <c r="B26" s="428" t="n">
        <f aca="true">OFFSET(B26,-1,0)+1</f>
        <v>12</v>
      </c>
      <c r="C26" s="429" t="n">
        <f aca="true">IF(AUTOEVENTO="Manual",IF($B26&lt;&gt;1,OFFSET(EVENTOS!$D$14,$B26,0),0),IF(B26&lt;=MAX(CÁLCULO!$M$15:$M$59),VLOOKUP($B26,CÁLCULO!$M$15:$N$59,2,FALSE()),0))</f>
        <v>0</v>
      </c>
      <c r="E26" s="430"/>
      <c r="G26" s="430"/>
      <c r="H26" s="430"/>
      <c r="I26" s="430"/>
      <c r="J26" s="430"/>
      <c r="K26" s="430"/>
      <c r="L26" s="430"/>
      <c r="M26" s="430"/>
      <c r="N26" s="430"/>
      <c r="O26" s="430"/>
      <c r="P26" s="430"/>
      <c r="Q26" s="430"/>
      <c r="R26" s="430"/>
      <c r="S26" s="430"/>
      <c r="T26" s="430"/>
      <c r="U26" s="430"/>
      <c r="V26" s="430"/>
      <c r="W26" s="430"/>
      <c r="X26" s="430"/>
      <c r="Y26" s="430"/>
      <c r="Z26" s="430"/>
      <c r="AA26" s="430"/>
      <c r="AB26" s="430"/>
      <c r="AC26" s="430"/>
      <c r="AD26" s="430"/>
      <c r="AE26" s="430"/>
    </row>
    <row r="27" customFormat="false" ht="12.75" hidden="false" customHeight="false" outlineLevel="0" collapsed="false">
      <c r="A27" s="34" t="str">
        <f aca="true">IF(AUTOEVENTO="Manual",IF(OFFSET(EVENTOS!$F$14,CRONOPLE!$B27,0)&gt;0,"F",""),IF(CRONOPLE!B27&lt;=MAX(CÁLCULO!$M$15:$M$59),"F",""))</f>
        <v/>
      </c>
      <c r="B27" s="428" t="n">
        <f aca="true">OFFSET(B27,-1,0)+1</f>
        <v>13</v>
      </c>
      <c r="C27" s="429" t="n">
        <f aca="true">IF(AUTOEVENTO="Manual",IF($B27&lt;&gt;1,OFFSET(EVENTOS!$D$14,$B27,0),0),IF(B27&lt;=MAX(CÁLCULO!$M$15:$M$59),VLOOKUP($B27,CÁLCULO!$M$15:$N$59,2,FALSE()),0))</f>
        <v>0</v>
      </c>
      <c r="E27" s="430"/>
      <c r="G27" s="430"/>
      <c r="H27" s="430"/>
      <c r="I27" s="430"/>
      <c r="J27" s="430"/>
      <c r="K27" s="430"/>
      <c r="L27" s="430"/>
      <c r="M27" s="430"/>
      <c r="N27" s="430"/>
      <c r="O27" s="430"/>
      <c r="P27" s="430"/>
      <c r="Q27" s="430"/>
      <c r="R27" s="430"/>
      <c r="S27" s="430"/>
      <c r="T27" s="430"/>
      <c r="U27" s="430"/>
      <c r="V27" s="430"/>
      <c r="W27" s="430"/>
      <c r="X27" s="430"/>
      <c r="Y27" s="430"/>
      <c r="Z27" s="430"/>
      <c r="AA27" s="430"/>
      <c r="AB27" s="430"/>
      <c r="AC27" s="430"/>
      <c r="AD27" s="430"/>
      <c r="AE27" s="430"/>
    </row>
    <row r="28" customFormat="false" ht="12.75" hidden="false" customHeight="false" outlineLevel="0" collapsed="false">
      <c r="A28" s="34" t="str">
        <f aca="true">IF(AUTOEVENTO="Manual",IF(OFFSET(EVENTOS!$F$14,CRONOPLE!$B28,0)&gt;0,"F",""),IF(CRONOPLE!B28&lt;=MAX(CÁLCULO!$M$15:$M$59),"F",""))</f>
        <v/>
      </c>
      <c r="B28" s="428" t="n">
        <f aca="true">OFFSET(B28,-1,0)+1</f>
        <v>14</v>
      </c>
      <c r="C28" s="429" t="n">
        <f aca="true">IF(AUTOEVENTO="Manual",IF($B28&lt;&gt;1,OFFSET(EVENTOS!$D$14,$B28,0),0),IF(B28&lt;=MAX(CÁLCULO!$M$15:$M$59),VLOOKUP($B28,CÁLCULO!$M$15:$N$59,2,FALSE()),0))</f>
        <v>0</v>
      </c>
      <c r="E28" s="430"/>
      <c r="G28" s="430"/>
      <c r="H28" s="430"/>
      <c r="I28" s="430"/>
      <c r="J28" s="430"/>
      <c r="K28" s="430"/>
      <c r="L28" s="430"/>
      <c r="M28" s="430"/>
      <c r="N28" s="430"/>
      <c r="O28" s="430"/>
      <c r="P28" s="430"/>
      <c r="Q28" s="430"/>
      <c r="R28" s="430"/>
      <c r="S28" s="430"/>
      <c r="T28" s="430"/>
      <c r="U28" s="430"/>
      <c r="V28" s="430"/>
      <c r="W28" s="430"/>
      <c r="X28" s="430"/>
      <c r="Y28" s="430"/>
      <c r="Z28" s="430"/>
      <c r="AA28" s="430"/>
      <c r="AB28" s="430"/>
      <c r="AC28" s="430"/>
      <c r="AD28" s="430"/>
      <c r="AE28" s="430"/>
    </row>
    <row r="29" customFormat="false" ht="12.75" hidden="false" customHeight="false" outlineLevel="0" collapsed="false">
      <c r="A29" s="34" t="str">
        <f aca="true">IF(AUTOEVENTO="Manual",IF(OFFSET(EVENTOS!$F$14,CRONOPLE!$B29,0)&gt;0,"F",""),IF(CRONOPLE!B29&lt;=MAX(CÁLCULO!$M$15:$M$59),"F",""))</f>
        <v/>
      </c>
      <c r="B29" s="428" t="n">
        <f aca="true">OFFSET(B29,-1,0)+1</f>
        <v>15</v>
      </c>
      <c r="C29" s="429" t="n">
        <f aca="true">IF(AUTOEVENTO="Manual",IF($B29&lt;&gt;1,OFFSET(EVENTOS!$D$14,$B29,0),0),IF(B29&lt;=MAX(CÁLCULO!$M$15:$M$59),VLOOKUP($B29,CÁLCULO!$M$15:$N$59,2,FALSE()),0))</f>
        <v>0</v>
      </c>
      <c r="E29" s="430"/>
      <c r="G29" s="430"/>
      <c r="H29" s="430"/>
      <c r="I29" s="430"/>
      <c r="J29" s="430"/>
      <c r="K29" s="430"/>
      <c r="L29" s="430"/>
      <c r="M29" s="430"/>
      <c r="N29" s="430"/>
      <c r="O29" s="430"/>
      <c r="P29" s="430"/>
      <c r="Q29" s="430"/>
      <c r="R29" s="430"/>
      <c r="S29" s="430"/>
      <c r="T29" s="430"/>
      <c r="U29" s="430"/>
      <c r="V29" s="430"/>
      <c r="W29" s="430"/>
      <c r="X29" s="430"/>
      <c r="Y29" s="430"/>
      <c r="Z29" s="430"/>
      <c r="AA29" s="430"/>
      <c r="AB29" s="430"/>
      <c r="AC29" s="430"/>
      <c r="AD29" s="430"/>
      <c r="AE29" s="430"/>
    </row>
    <row r="30" customFormat="false" ht="12.75" hidden="false" customHeight="false" outlineLevel="0" collapsed="false">
      <c r="A30" s="34" t="str">
        <f aca="true">IF(AUTOEVENTO="Manual",IF(OFFSET(EVENTOS!$F$14,CRONOPLE!$B30,0)&gt;0,"F",""),IF(CRONOPLE!B30&lt;=MAX(CÁLCULO!$M$15:$M$59),"F",""))</f>
        <v/>
      </c>
      <c r="B30" s="428" t="n">
        <f aca="true">OFFSET(B30,-1,0)+1</f>
        <v>16</v>
      </c>
      <c r="C30" s="429" t="n">
        <f aca="true">IF(AUTOEVENTO="Manual",IF($B30&lt;&gt;1,OFFSET(EVENTOS!$D$14,$B30,0),0),IF(B30&lt;=MAX(CÁLCULO!$M$15:$M$59),VLOOKUP($B30,CÁLCULO!$M$15:$N$59,2,FALSE()),0))</f>
        <v>0</v>
      </c>
      <c r="E30" s="430"/>
      <c r="G30" s="430"/>
      <c r="H30" s="430"/>
      <c r="I30" s="430"/>
      <c r="J30" s="430"/>
      <c r="K30" s="430"/>
      <c r="L30" s="430"/>
      <c r="M30" s="430"/>
      <c r="N30" s="430"/>
      <c r="O30" s="430"/>
      <c r="P30" s="430"/>
      <c r="Q30" s="430"/>
      <c r="R30" s="430"/>
      <c r="S30" s="430"/>
      <c r="T30" s="430"/>
      <c r="U30" s="430"/>
      <c r="V30" s="430"/>
      <c r="W30" s="430"/>
      <c r="X30" s="430"/>
      <c r="Y30" s="430"/>
      <c r="Z30" s="430"/>
      <c r="AA30" s="430"/>
      <c r="AB30" s="430"/>
      <c r="AC30" s="430"/>
      <c r="AD30" s="430"/>
      <c r="AE30" s="430"/>
    </row>
    <row r="31" customFormat="false" ht="12.75" hidden="false" customHeight="false" outlineLevel="0" collapsed="false">
      <c r="A31" s="34" t="str">
        <f aca="true">IF(AUTOEVENTO="Manual",IF(OFFSET(EVENTOS!$F$14,CRONOPLE!$B31,0)&gt;0,"F",""),IF(CRONOPLE!B31&lt;=MAX(CÁLCULO!$M$15:$M$59),"F",""))</f>
        <v/>
      </c>
      <c r="B31" s="428" t="n">
        <f aca="true">OFFSET(B31,-1,0)+1</f>
        <v>17</v>
      </c>
      <c r="C31" s="429" t="n">
        <f aca="true">IF(AUTOEVENTO="Manual",IF($B31&lt;&gt;1,OFFSET(EVENTOS!$D$14,$B31,0),0),IF(B31&lt;=MAX(CÁLCULO!$M$15:$M$59),VLOOKUP($B31,CÁLCULO!$M$15:$N$59,2,FALSE()),0))</f>
        <v>0</v>
      </c>
      <c r="E31" s="430"/>
      <c r="G31" s="430"/>
      <c r="H31" s="430"/>
      <c r="I31" s="430"/>
      <c r="J31" s="430"/>
      <c r="K31" s="430"/>
      <c r="L31" s="430"/>
      <c r="M31" s="430"/>
      <c r="N31" s="430"/>
      <c r="O31" s="430"/>
      <c r="P31" s="430"/>
      <c r="Q31" s="430"/>
      <c r="R31" s="430"/>
      <c r="S31" s="430"/>
      <c r="T31" s="430"/>
      <c r="U31" s="430"/>
      <c r="V31" s="430"/>
      <c r="W31" s="430"/>
      <c r="X31" s="430"/>
      <c r="Y31" s="430"/>
      <c r="Z31" s="430"/>
      <c r="AA31" s="430"/>
      <c r="AB31" s="430"/>
      <c r="AC31" s="430"/>
      <c r="AD31" s="430"/>
      <c r="AE31" s="430"/>
    </row>
    <row r="32" customFormat="false" ht="12.75" hidden="false" customHeight="false" outlineLevel="0" collapsed="false">
      <c r="A32" s="34" t="str">
        <f aca="true">IF(AUTOEVENTO="Manual",IF(OFFSET(EVENTOS!$F$14,CRONOPLE!$B32,0)&gt;0,"F",""),IF(CRONOPLE!B32&lt;=MAX(CÁLCULO!$M$15:$M$59),"F",""))</f>
        <v/>
      </c>
      <c r="B32" s="428" t="n">
        <f aca="true">OFFSET(B32,-1,0)+1</f>
        <v>18</v>
      </c>
      <c r="C32" s="429" t="n">
        <f aca="true">IF(AUTOEVENTO="Manual",IF($B32&lt;&gt;1,OFFSET(EVENTOS!$D$14,$B32,0),0),IF(B32&lt;=MAX(CÁLCULO!$M$15:$M$59),VLOOKUP($B32,CÁLCULO!$M$15:$N$59,2,FALSE()),0))</f>
        <v>0</v>
      </c>
      <c r="E32" s="430"/>
      <c r="G32" s="430"/>
      <c r="H32" s="430"/>
      <c r="I32" s="430"/>
      <c r="J32" s="430"/>
      <c r="K32" s="430"/>
      <c r="L32" s="430"/>
      <c r="M32" s="430"/>
      <c r="N32" s="430"/>
      <c r="O32" s="430"/>
      <c r="P32" s="430"/>
      <c r="Q32" s="430"/>
      <c r="R32" s="430"/>
      <c r="S32" s="430"/>
      <c r="T32" s="430"/>
      <c r="U32" s="430"/>
      <c r="V32" s="430"/>
      <c r="W32" s="430"/>
      <c r="X32" s="430"/>
      <c r="Y32" s="430"/>
      <c r="Z32" s="430"/>
      <c r="AA32" s="430"/>
      <c r="AB32" s="430"/>
      <c r="AC32" s="430"/>
      <c r="AD32" s="430"/>
      <c r="AE32" s="430"/>
    </row>
    <row r="33" customFormat="false" ht="12.75" hidden="false" customHeight="false" outlineLevel="0" collapsed="false">
      <c r="A33" s="34" t="str">
        <f aca="true">IF(AUTOEVENTO="Manual",IF(OFFSET(EVENTOS!$F$14,CRONOPLE!$B33,0)&gt;0,"F",""),IF(CRONOPLE!B33&lt;=MAX(CÁLCULO!$M$15:$M$59),"F",""))</f>
        <v/>
      </c>
      <c r="B33" s="428" t="n">
        <f aca="true">OFFSET(B33,-1,0)+1</f>
        <v>19</v>
      </c>
      <c r="C33" s="429" t="n">
        <f aca="true">IF(AUTOEVENTO="Manual",IF($B33&lt;&gt;1,OFFSET(EVENTOS!$D$14,$B33,0),0),IF(B33&lt;=MAX(CÁLCULO!$M$15:$M$59),VLOOKUP($B33,CÁLCULO!$M$15:$N$59,2,FALSE()),0))</f>
        <v>0</v>
      </c>
      <c r="E33" s="430"/>
      <c r="G33" s="430"/>
      <c r="H33" s="430"/>
      <c r="I33" s="430"/>
      <c r="J33" s="430"/>
      <c r="K33" s="430"/>
      <c r="L33" s="430"/>
      <c r="M33" s="430"/>
      <c r="N33" s="430"/>
      <c r="O33" s="430"/>
      <c r="P33" s="430"/>
      <c r="Q33" s="430"/>
      <c r="R33" s="430"/>
      <c r="S33" s="430"/>
      <c r="T33" s="430"/>
      <c r="U33" s="430"/>
      <c r="V33" s="430"/>
      <c r="W33" s="430"/>
      <c r="X33" s="430"/>
      <c r="Y33" s="430"/>
      <c r="Z33" s="430"/>
      <c r="AA33" s="430"/>
      <c r="AB33" s="430"/>
      <c r="AC33" s="430"/>
      <c r="AD33" s="430"/>
      <c r="AE33" s="430"/>
    </row>
    <row r="34" customFormat="false" ht="12.75" hidden="false" customHeight="false" outlineLevel="0" collapsed="false">
      <c r="A34" s="34" t="str">
        <f aca="true">IF(AUTOEVENTO="Manual",IF(OFFSET(EVENTOS!$F$14,CRONOPLE!$B34,0)&gt;0,"F",""),IF(CRONOPLE!B34&lt;=MAX(CÁLCULO!$M$15:$M$59),"F",""))</f>
        <v/>
      </c>
      <c r="B34" s="428" t="n">
        <f aca="true">OFFSET(B34,-1,0)+1</f>
        <v>20</v>
      </c>
      <c r="C34" s="429" t="n">
        <f aca="true">IF(AUTOEVENTO="Manual",IF($B34&lt;&gt;1,OFFSET(EVENTOS!$D$14,$B34,0),0),IF(B34&lt;=MAX(CÁLCULO!$M$15:$M$59),VLOOKUP($B34,CÁLCULO!$M$15:$N$59,2,FALSE()),0))</f>
        <v>0</v>
      </c>
      <c r="E34" s="430"/>
      <c r="G34" s="430"/>
      <c r="H34" s="430"/>
      <c r="I34" s="430"/>
      <c r="J34" s="430"/>
      <c r="K34" s="430"/>
      <c r="L34" s="430"/>
      <c r="M34" s="430"/>
      <c r="N34" s="430"/>
      <c r="O34" s="430"/>
      <c r="P34" s="430"/>
      <c r="Q34" s="430"/>
      <c r="R34" s="430"/>
      <c r="S34" s="430"/>
      <c r="T34" s="430"/>
      <c r="U34" s="430"/>
      <c r="V34" s="430"/>
      <c r="W34" s="430"/>
      <c r="X34" s="430"/>
      <c r="Y34" s="430"/>
      <c r="Z34" s="430"/>
      <c r="AA34" s="430"/>
      <c r="AB34" s="430"/>
      <c r="AC34" s="430"/>
      <c r="AD34" s="430"/>
      <c r="AE34" s="430"/>
    </row>
    <row r="35" customFormat="false" ht="12.75" hidden="false" customHeight="false" outlineLevel="0" collapsed="false">
      <c r="A35" s="34" t="str">
        <f aca="true">IF(AUTOEVENTO="Manual",IF(OFFSET(EVENTOS!$F$14,CRONOPLE!$B35,0)&gt;0,"F",""),IF(CRONOPLE!B35&lt;=MAX(CÁLCULO!$M$15:$M$59),"F",""))</f>
        <v/>
      </c>
      <c r="B35" s="428" t="n">
        <f aca="true">OFFSET(B35,-1,0)+1</f>
        <v>21</v>
      </c>
      <c r="C35" s="429" t="n">
        <f aca="true">IF(AUTOEVENTO="Manual",IF($B35&lt;&gt;1,OFFSET(EVENTOS!$D$14,$B35,0),0),IF(B35&lt;=MAX(CÁLCULO!$M$15:$M$59),VLOOKUP($B35,CÁLCULO!$M$15:$N$59,2,FALSE()),0))</f>
        <v>0</v>
      </c>
      <c r="E35" s="430"/>
      <c r="G35" s="430"/>
      <c r="H35" s="430"/>
      <c r="I35" s="430"/>
      <c r="J35" s="430"/>
      <c r="K35" s="430"/>
      <c r="L35" s="430"/>
      <c r="M35" s="430"/>
      <c r="N35" s="430"/>
      <c r="O35" s="430"/>
      <c r="P35" s="430"/>
      <c r="Q35" s="430"/>
      <c r="R35" s="430"/>
      <c r="S35" s="430"/>
      <c r="T35" s="430"/>
      <c r="U35" s="430"/>
      <c r="V35" s="430"/>
      <c r="W35" s="430"/>
      <c r="X35" s="430"/>
      <c r="Y35" s="430"/>
      <c r="Z35" s="430"/>
      <c r="AA35" s="430"/>
      <c r="AB35" s="430"/>
      <c r="AC35" s="430"/>
      <c r="AD35" s="430"/>
      <c r="AE35" s="430"/>
    </row>
    <row r="36" customFormat="false" ht="12.75" hidden="false" customHeight="false" outlineLevel="0" collapsed="false">
      <c r="A36" s="34" t="str">
        <f aca="true">IF(AUTOEVENTO="Manual",IF(OFFSET(EVENTOS!$F$14,CRONOPLE!$B36,0)&gt;0,"F",""),IF(CRONOPLE!B36&lt;=MAX(CÁLCULO!$M$15:$M$59),"F",""))</f>
        <v/>
      </c>
      <c r="B36" s="428" t="n">
        <f aca="true">OFFSET(B36,-1,0)+1</f>
        <v>22</v>
      </c>
      <c r="C36" s="429" t="n">
        <f aca="true">IF(AUTOEVENTO="Manual",IF($B36&lt;&gt;1,OFFSET(EVENTOS!$D$14,$B36,0),0),IF(B36&lt;=MAX(CÁLCULO!$M$15:$M$59),VLOOKUP($B36,CÁLCULO!$M$15:$N$59,2,FALSE()),0))</f>
        <v>0</v>
      </c>
      <c r="E36" s="430"/>
      <c r="G36" s="430"/>
      <c r="H36" s="430"/>
      <c r="I36" s="430"/>
      <c r="J36" s="430"/>
      <c r="K36" s="430"/>
      <c r="L36" s="430"/>
      <c r="M36" s="430"/>
      <c r="N36" s="430"/>
      <c r="O36" s="430"/>
      <c r="P36" s="430"/>
      <c r="Q36" s="430"/>
      <c r="R36" s="430"/>
      <c r="S36" s="430"/>
      <c r="T36" s="430"/>
      <c r="U36" s="430"/>
      <c r="V36" s="430"/>
      <c r="W36" s="430"/>
      <c r="X36" s="430"/>
      <c r="Y36" s="430"/>
      <c r="Z36" s="430"/>
      <c r="AA36" s="430"/>
      <c r="AB36" s="430"/>
      <c r="AC36" s="430"/>
      <c r="AD36" s="430"/>
      <c r="AE36" s="430"/>
    </row>
    <row r="37" customFormat="false" ht="12.75" hidden="false" customHeight="false" outlineLevel="0" collapsed="false">
      <c r="A37" s="34" t="str">
        <f aca="true">IF(AUTOEVENTO="Manual",IF(OFFSET(EVENTOS!$F$14,CRONOPLE!$B37,0)&gt;0,"F",""),IF(CRONOPLE!B37&lt;=MAX(CÁLCULO!$M$15:$M$59),"F",""))</f>
        <v/>
      </c>
      <c r="B37" s="428" t="n">
        <f aca="true">OFFSET(B37,-1,0)+1</f>
        <v>23</v>
      </c>
      <c r="C37" s="429" t="n">
        <f aca="true">IF(AUTOEVENTO="Manual",IF($B37&lt;&gt;1,OFFSET(EVENTOS!$D$14,$B37,0),0),IF(B37&lt;=MAX(CÁLCULO!$M$15:$M$59),VLOOKUP($B37,CÁLCULO!$M$15:$N$59,2,FALSE()),0))</f>
        <v>0</v>
      </c>
      <c r="E37" s="430"/>
      <c r="G37" s="430"/>
      <c r="H37" s="430"/>
      <c r="I37" s="430"/>
      <c r="J37" s="430"/>
      <c r="K37" s="430"/>
      <c r="L37" s="430"/>
      <c r="M37" s="430"/>
      <c r="N37" s="430"/>
      <c r="O37" s="430"/>
      <c r="P37" s="430"/>
      <c r="Q37" s="430"/>
      <c r="R37" s="430"/>
      <c r="S37" s="430"/>
      <c r="T37" s="430"/>
      <c r="U37" s="430"/>
      <c r="V37" s="430"/>
      <c r="W37" s="430"/>
      <c r="X37" s="430"/>
      <c r="Y37" s="430"/>
      <c r="Z37" s="430"/>
      <c r="AA37" s="430"/>
      <c r="AB37" s="430"/>
      <c r="AC37" s="430"/>
      <c r="AD37" s="430"/>
      <c r="AE37" s="430"/>
    </row>
    <row r="38" customFormat="false" ht="12.75" hidden="false" customHeight="false" outlineLevel="0" collapsed="false">
      <c r="A38" s="34" t="str">
        <f aca="true">IF(AUTOEVENTO="Manual",IF(OFFSET(EVENTOS!$F$14,CRONOPLE!$B38,0)&gt;0,"F",""),IF(CRONOPLE!B38&lt;=MAX(CÁLCULO!$M$15:$M$59),"F",""))</f>
        <v/>
      </c>
      <c r="B38" s="428" t="n">
        <f aca="true">OFFSET(B38,-1,0)+1</f>
        <v>24</v>
      </c>
      <c r="C38" s="429" t="n">
        <f aca="true">IF(AUTOEVENTO="Manual",IF($B38&lt;&gt;1,OFFSET(EVENTOS!$D$14,$B38,0),0),IF(B38&lt;=MAX(CÁLCULO!$M$15:$M$59),VLOOKUP($B38,CÁLCULO!$M$15:$N$59,2,FALSE()),0))</f>
        <v>0</v>
      </c>
      <c r="E38" s="430"/>
      <c r="G38" s="430"/>
      <c r="H38" s="430"/>
      <c r="I38" s="430"/>
      <c r="J38" s="430"/>
      <c r="K38" s="430"/>
      <c r="L38" s="430"/>
      <c r="M38" s="430"/>
      <c r="N38" s="430"/>
      <c r="O38" s="430"/>
      <c r="P38" s="430"/>
      <c r="Q38" s="430"/>
      <c r="R38" s="430"/>
      <c r="S38" s="430"/>
      <c r="T38" s="430"/>
      <c r="U38" s="430"/>
      <c r="V38" s="430"/>
      <c r="W38" s="430"/>
      <c r="X38" s="430"/>
      <c r="Y38" s="430"/>
      <c r="Z38" s="430"/>
      <c r="AA38" s="430"/>
      <c r="AB38" s="430"/>
      <c r="AC38" s="430"/>
      <c r="AD38" s="430"/>
      <c r="AE38" s="430"/>
    </row>
    <row r="39" customFormat="false" ht="12.75" hidden="false" customHeight="false" outlineLevel="0" collapsed="false">
      <c r="A39" s="34" t="str">
        <f aca="true">IF(AUTOEVENTO="Manual",IF(OFFSET(EVENTOS!$F$14,CRONOPLE!$B39,0)&gt;0,"F",""),IF(CRONOPLE!B39&lt;=MAX(CÁLCULO!$M$15:$M$59),"F",""))</f>
        <v/>
      </c>
      <c r="B39" s="428" t="n">
        <f aca="true">OFFSET(B39,-1,0)+1</f>
        <v>25</v>
      </c>
      <c r="C39" s="429" t="n">
        <f aca="true">IF(AUTOEVENTO="Manual",IF($B39&lt;&gt;1,OFFSET(EVENTOS!$D$14,$B39,0),0),IF(B39&lt;=MAX(CÁLCULO!$M$15:$M$59),VLOOKUP($B39,CÁLCULO!$M$15:$N$59,2,FALSE()),0))</f>
        <v>0</v>
      </c>
      <c r="E39" s="430"/>
      <c r="G39" s="430"/>
      <c r="H39" s="430"/>
      <c r="I39" s="430"/>
      <c r="J39" s="430"/>
      <c r="K39" s="430"/>
      <c r="L39" s="430"/>
      <c r="M39" s="430"/>
      <c r="N39" s="430"/>
      <c r="O39" s="430"/>
      <c r="P39" s="430"/>
      <c r="Q39" s="430"/>
      <c r="R39" s="430"/>
      <c r="S39" s="430"/>
      <c r="T39" s="430"/>
      <c r="U39" s="430"/>
      <c r="V39" s="430"/>
      <c r="W39" s="430"/>
      <c r="X39" s="430"/>
      <c r="Y39" s="430"/>
      <c r="Z39" s="430"/>
      <c r="AA39" s="430"/>
      <c r="AB39" s="430"/>
      <c r="AC39" s="430"/>
      <c r="AD39" s="430"/>
      <c r="AE39" s="430"/>
    </row>
    <row r="40" customFormat="false" ht="12.75" hidden="false" customHeight="false" outlineLevel="0" collapsed="false">
      <c r="A40" s="34" t="str">
        <f aca="true">IF(AUTOEVENTO="Manual",IF(OFFSET(EVENTOS!$F$14,CRONOPLE!$B40,0)&gt;0,"F",""),IF(CRONOPLE!B40&lt;=MAX(CÁLCULO!$M$15:$M$59),"F",""))</f>
        <v/>
      </c>
      <c r="B40" s="428" t="n">
        <f aca="true">OFFSET(B40,-1,0)+1</f>
        <v>26</v>
      </c>
      <c r="C40" s="429" t="n">
        <f aca="true">IF(AUTOEVENTO="Manual",IF($B40&lt;&gt;1,OFFSET(EVENTOS!$D$14,$B40,0),0),IF(B40&lt;=MAX(CÁLCULO!$M$15:$M$59),VLOOKUP($B40,CÁLCULO!$M$15:$N$59,2,FALSE()),0))</f>
        <v>0</v>
      </c>
      <c r="E40" s="430"/>
      <c r="G40" s="430"/>
      <c r="H40" s="430"/>
      <c r="I40" s="430"/>
      <c r="J40" s="430"/>
      <c r="K40" s="430"/>
      <c r="L40" s="430"/>
      <c r="M40" s="430"/>
      <c r="N40" s="430"/>
      <c r="O40" s="430"/>
      <c r="P40" s="430"/>
      <c r="Q40" s="430"/>
      <c r="R40" s="430"/>
      <c r="S40" s="430"/>
      <c r="T40" s="430"/>
      <c r="U40" s="430"/>
      <c r="V40" s="430"/>
      <c r="W40" s="430"/>
      <c r="X40" s="430"/>
      <c r="Y40" s="430"/>
      <c r="Z40" s="430"/>
      <c r="AA40" s="430"/>
      <c r="AB40" s="430"/>
      <c r="AC40" s="430"/>
      <c r="AD40" s="430"/>
      <c r="AE40" s="430"/>
    </row>
    <row r="41" customFormat="false" ht="12.75" hidden="false" customHeight="false" outlineLevel="0" collapsed="false">
      <c r="A41" s="34" t="str">
        <f aca="true">IF(AUTOEVENTO="Manual",IF(OFFSET(EVENTOS!$F$14,CRONOPLE!$B41,0)&gt;0,"F",""),IF(CRONOPLE!B41&lt;=MAX(CÁLCULO!$M$15:$M$59),"F",""))</f>
        <v/>
      </c>
      <c r="B41" s="428" t="n">
        <f aca="true">OFFSET(B41,-1,0)+1</f>
        <v>27</v>
      </c>
      <c r="C41" s="429" t="n">
        <f aca="true">IF(AUTOEVENTO="Manual",IF($B41&lt;&gt;1,OFFSET(EVENTOS!$D$14,$B41,0),0),IF(B41&lt;=MAX(CÁLCULO!$M$15:$M$59),VLOOKUP($B41,CÁLCULO!$M$15:$N$59,2,FALSE()),0))</f>
        <v>0</v>
      </c>
      <c r="E41" s="430"/>
      <c r="G41" s="430"/>
      <c r="H41" s="430"/>
      <c r="I41" s="430"/>
      <c r="J41" s="430"/>
      <c r="K41" s="430"/>
      <c r="L41" s="430"/>
      <c r="M41" s="430"/>
      <c r="N41" s="430"/>
      <c r="O41" s="430"/>
      <c r="P41" s="430"/>
      <c r="Q41" s="430"/>
      <c r="R41" s="430"/>
      <c r="S41" s="430"/>
      <c r="T41" s="430"/>
      <c r="U41" s="430"/>
      <c r="V41" s="430"/>
      <c r="W41" s="430"/>
      <c r="X41" s="430"/>
      <c r="Y41" s="430"/>
      <c r="Z41" s="430"/>
      <c r="AA41" s="430"/>
      <c r="AB41" s="430"/>
      <c r="AC41" s="430"/>
      <c r="AD41" s="430"/>
      <c r="AE41" s="430"/>
    </row>
    <row r="42" customFormat="false" ht="12.75" hidden="false" customHeight="false" outlineLevel="0" collapsed="false">
      <c r="A42" s="34" t="str">
        <f aca="true">IF(AUTOEVENTO="Manual",IF(OFFSET(EVENTOS!$F$14,CRONOPLE!$B42,0)&gt;0,"F",""),IF(CRONOPLE!B42&lt;=MAX(CÁLCULO!$M$15:$M$59),"F",""))</f>
        <v/>
      </c>
      <c r="B42" s="428" t="n">
        <f aca="true">OFFSET(B42,-1,0)+1</f>
        <v>28</v>
      </c>
      <c r="C42" s="429" t="n">
        <f aca="true">IF(AUTOEVENTO="Manual",IF($B42&lt;&gt;1,OFFSET(EVENTOS!$D$14,$B42,0),0),IF(B42&lt;=MAX(CÁLCULO!$M$15:$M$59),VLOOKUP($B42,CÁLCULO!$M$15:$N$59,2,FALSE()),0))</f>
        <v>0</v>
      </c>
      <c r="E42" s="430"/>
      <c r="G42" s="430"/>
      <c r="H42" s="430"/>
      <c r="I42" s="430"/>
      <c r="J42" s="430"/>
      <c r="K42" s="430"/>
      <c r="L42" s="430"/>
      <c r="M42" s="430"/>
      <c r="N42" s="430"/>
      <c r="O42" s="430"/>
      <c r="P42" s="430"/>
      <c r="Q42" s="430"/>
      <c r="R42" s="430"/>
      <c r="S42" s="430"/>
      <c r="T42" s="430"/>
      <c r="U42" s="430"/>
      <c r="V42" s="430"/>
      <c r="W42" s="430"/>
      <c r="X42" s="430"/>
      <c r="Y42" s="430"/>
      <c r="Z42" s="430"/>
      <c r="AA42" s="430"/>
      <c r="AB42" s="430"/>
      <c r="AC42" s="430"/>
      <c r="AD42" s="430"/>
      <c r="AE42" s="430"/>
    </row>
    <row r="43" customFormat="false" ht="12.75" hidden="false" customHeight="false" outlineLevel="0" collapsed="false">
      <c r="A43" s="34" t="str">
        <f aca="true">IF(AUTOEVENTO="Manual",IF(OFFSET(EVENTOS!$F$14,CRONOPLE!$B43,0)&gt;0,"F",""),IF(CRONOPLE!B43&lt;=MAX(CÁLCULO!$M$15:$M$59),"F",""))</f>
        <v/>
      </c>
      <c r="B43" s="428" t="n">
        <f aca="true">OFFSET(B43,-1,0)+1</f>
        <v>29</v>
      </c>
      <c r="C43" s="429" t="n">
        <f aca="true">IF(AUTOEVENTO="Manual",IF($B43&lt;&gt;1,OFFSET(EVENTOS!$D$14,$B43,0),0),IF(B43&lt;=MAX(CÁLCULO!$M$15:$M$59),VLOOKUP($B43,CÁLCULO!$M$15:$N$59,2,FALSE()),0))</f>
        <v>0</v>
      </c>
      <c r="E43" s="430"/>
      <c r="G43" s="430"/>
      <c r="H43" s="430"/>
      <c r="I43" s="430"/>
      <c r="J43" s="430"/>
      <c r="K43" s="430"/>
      <c r="L43" s="430"/>
      <c r="M43" s="430"/>
      <c r="N43" s="430"/>
      <c r="O43" s="430"/>
      <c r="P43" s="430"/>
      <c r="Q43" s="430"/>
      <c r="R43" s="430"/>
      <c r="S43" s="430"/>
      <c r="T43" s="430"/>
      <c r="U43" s="430"/>
      <c r="V43" s="430"/>
      <c r="W43" s="430"/>
      <c r="X43" s="430"/>
      <c r="Y43" s="430"/>
      <c r="Z43" s="430"/>
      <c r="AA43" s="430"/>
      <c r="AB43" s="430"/>
      <c r="AC43" s="430"/>
      <c r="AD43" s="430"/>
      <c r="AE43" s="430"/>
    </row>
    <row r="44" customFormat="false" ht="12.75" hidden="false" customHeight="false" outlineLevel="0" collapsed="false">
      <c r="A44" s="34" t="str">
        <f aca="true">IF(AUTOEVENTO="Manual",IF(OFFSET(EVENTOS!$F$14,CRONOPLE!$B44,0)&gt;0,"F",""),IF(CRONOPLE!B44&lt;=MAX(CÁLCULO!$M$15:$M$59),"F",""))</f>
        <v/>
      </c>
      <c r="B44" s="428" t="n">
        <f aca="true">OFFSET(B44,-1,0)+1</f>
        <v>30</v>
      </c>
      <c r="C44" s="429" t="n">
        <f aca="true">IF(AUTOEVENTO="Manual",IF($B44&lt;&gt;1,OFFSET(EVENTOS!$D$14,$B44,0),0),IF(B44&lt;=MAX(CÁLCULO!$M$15:$M$59),VLOOKUP($B44,CÁLCULO!$M$15:$N$59,2,FALSE()),0))</f>
        <v>0</v>
      </c>
      <c r="E44" s="430"/>
      <c r="G44" s="430"/>
      <c r="H44" s="430"/>
      <c r="I44" s="430"/>
      <c r="J44" s="430"/>
      <c r="K44" s="430"/>
      <c r="L44" s="430"/>
      <c r="M44" s="430"/>
      <c r="N44" s="430"/>
      <c r="O44" s="430"/>
      <c r="P44" s="430"/>
      <c r="Q44" s="430"/>
      <c r="R44" s="430"/>
      <c r="S44" s="430"/>
      <c r="T44" s="430"/>
      <c r="U44" s="430"/>
      <c r="V44" s="430"/>
      <c r="W44" s="430"/>
      <c r="X44" s="430"/>
      <c r="Y44" s="430"/>
      <c r="Z44" s="430"/>
      <c r="AA44" s="430"/>
      <c r="AB44" s="430"/>
      <c r="AC44" s="430"/>
      <c r="AD44" s="430"/>
      <c r="AE44" s="430"/>
    </row>
    <row r="45" customFormat="false" ht="12.75" hidden="false" customHeight="false" outlineLevel="0" collapsed="false">
      <c r="A45" s="34" t="str">
        <f aca="true">IF(AUTOEVENTO="Manual",IF(OFFSET(EVENTOS!$F$14,CRONOPLE!$B45,0)&gt;0,"F",""),IF(CRONOPLE!B45&lt;=MAX(CÁLCULO!$M$15:$M$59),"F",""))</f>
        <v/>
      </c>
      <c r="B45" s="428" t="n">
        <f aca="true">OFFSET(B45,-1,0)+1</f>
        <v>31</v>
      </c>
      <c r="C45" s="429" t="n">
        <f aca="true">IF(AUTOEVENTO="Manual",IF($B45&lt;&gt;1,OFFSET(EVENTOS!$D$14,$B45,0),0),IF(B45&lt;=MAX(CÁLCULO!$M$15:$M$59),VLOOKUP($B45,CÁLCULO!$M$15:$N$59,2,FALSE()),0))</f>
        <v>0</v>
      </c>
      <c r="E45" s="430"/>
      <c r="G45" s="430"/>
      <c r="H45" s="430"/>
      <c r="I45" s="430"/>
      <c r="J45" s="430"/>
      <c r="K45" s="430"/>
      <c r="L45" s="430"/>
      <c r="M45" s="430"/>
      <c r="N45" s="430"/>
      <c r="O45" s="430"/>
      <c r="P45" s="430"/>
      <c r="Q45" s="430"/>
      <c r="R45" s="430"/>
      <c r="S45" s="430"/>
      <c r="T45" s="430"/>
      <c r="U45" s="430"/>
      <c r="V45" s="430"/>
      <c r="W45" s="430"/>
      <c r="X45" s="430"/>
      <c r="Y45" s="430"/>
      <c r="Z45" s="430"/>
      <c r="AA45" s="430"/>
      <c r="AB45" s="430"/>
      <c r="AC45" s="430"/>
      <c r="AD45" s="430"/>
      <c r="AE45" s="430"/>
    </row>
    <row r="46" customFormat="false" ht="12.75" hidden="false" customHeight="false" outlineLevel="0" collapsed="false">
      <c r="A46" s="34" t="str">
        <f aca="true">IF(AUTOEVENTO="Manual",IF(OFFSET(EVENTOS!$F$14,CRONOPLE!$B46,0)&gt;0,"F",""),IF(CRONOPLE!B46&lt;=MAX(CÁLCULO!$M$15:$M$59),"F",""))</f>
        <v/>
      </c>
      <c r="B46" s="428" t="n">
        <f aca="true">OFFSET(B46,-1,0)+1</f>
        <v>32</v>
      </c>
      <c r="C46" s="429" t="n">
        <f aca="true">IF(AUTOEVENTO="Manual",IF($B46&lt;&gt;1,OFFSET(EVENTOS!$D$14,$B46,0),0),IF(B46&lt;=MAX(CÁLCULO!$M$15:$M$59),VLOOKUP($B46,CÁLCULO!$M$15:$N$59,2,FALSE()),0))</f>
        <v>0</v>
      </c>
      <c r="E46" s="430"/>
      <c r="G46" s="430"/>
      <c r="H46" s="430"/>
      <c r="I46" s="430"/>
      <c r="J46" s="430"/>
      <c r="K46" s="430"/>
      <c r="L46" s="430"/>
      <c r="M46" s="430"/>
      <c r="N46" s="430"/>
      <c r="O46" s="430"/>
      <c r="P46" s="430"/>
      <c r="Q46" s="430"/>
      <c r="R46" s="430"/>
      <c r="S46" s="430"/>
      <c r="T46" s="430"/>
      <c r="U46" s="430"/>
      <c r="V46" s="430"/>
      <c r="W46" s="430"/>
      <c r="X46" s="430"/>
      <c r="Y46" s="430"/>
      <c r="Z46" s="430"/>
      <c r="AA46" s="430"/>
      <c r="AB46" s="430"/>
      <c r="AC46" s="430"/>
      <c r="AD46" s="430"/>
      <c r="AE46" s="430"/>
    </row>
    <row r="47" customFormat="false" ht="12.75" hidden="false" customHeight="false" outlineLevel="0" collapsed="false">
      <c r="A47" s="34" t="str">
        <f aca="true">IF(AUTOEVENTO="Manual",IF(OFFSET(EVENTOS!$F$14,CRONOPLE!$B47,0)&gt;0,"F",""),IF(CRONOPLE!B47&lt;=MAX(CÁLCULO!$M$15:$M$59),"F",""))</f>
        <v/>
      </c>
      <c r="B47" s="428" t="n">
        <f aca="true">OFFSET(B47,-1,0)+1</f>
        <v>33</v>
      </c>
      <c r="C47" s="429" t="n">
        <f aca="true">IF(AUTOEVENTO="Manual",IF($B47&lt;&gt;1,OFFSET(EVENTOS!$D$14,$B47,0),0),IF(B47&lt;=MAX(CÁLCULO!$M$15:$M$59),VLOOKUP($B47,CÁLCULO!$M$15:$N$59,2,FALSE()),0))</f>
        <v>0</v>
      </c>
      <c r="E47" s="430"/>
      <c r="G47" s="430"/>
      <c r="H47" s="430"/>
      <c r="I47" s="430"/>
      <c r="J47" s="430"/>
      <c r="K47" s="430"/>
      <c r="L47" s="430"/>
      <c r="M47" s="430"/>
      <c r="N47" s="430"/>
      <c r="O47" s="430"/>
      <c r="P47" s="430"/>
      <c r="Q47" s="430"/>
      <c r="R47" s="430"/>
      <c r="S47" s="430"/>
      <c r="T47" s="430"/>
      <c r="U47" s="430"/>
      <c r="V47" s="430"/>
      <c r="W47" s="430"/>
      <c r="X47" s="430"/>
      <c r="Y47" s="430"/>
      <c r="Z47" s="430"/>
      <c r="AA47" s="430"/>
      <c r="AB47" s="430"/>
      <c r="AC47" s="430"/>
      <c r="AD47" s="430"/>
      <c r="AE47" s="430"/>
    </row>
    <row r="48" customFormat="false" ht="12.75" hidden="false" customHeight="false" outlineLevel="0" collapsed="false">
      <c r="A48" s="34" t="str">
        <f aca="true">IF(AUTOEVENTO="Manual",IF(OFFSET(EVENTOS!$F$14,CRONOPLE!$B48,0)&gt;0,"F",""),IF(CRONOPLE!B48&lt;=MAX(CÁLCULO!$M$15:$M$59),"F",""))</f>
        <v/>
      </c>
      <c r="B48" s="428" t="n">
        <f aca="true">OFFSET(B48,-1,0)+1</f>
        <v>34</v>
      </c>
      <c r="C48" s="429" t="n">
        <f aca="true">IF(AUTOEVENTO="Manual",IF($B48&lt;&gt;1,OFFSET(EVENTOS!$D$14,$B48,0),0),IF(B48&lt;=MAX(CÁLCULO!$M$15:$M$59),VLOOKUP($B48,CÁLCULO!$M$15:$N$59,2,FALSE()),0))</f>
        <v>0</v>
      </c>
      <c r="E48" s="430"/>
      <c r="G48" s="430"/>
      <c r="H48" s="430"/>
      <c r="I48" s="430"/>
      <c r="J48" s="430"/>
      <c r="K48" s="430"/>
      <c r="L48" s="430"/>
      <c r="M48" s="430"/>
      <c r="N48" s="430"/>
      <c r="O48" s="430"/>
      <c r="P48" s="430"/>
      <c r="Q48" s="430"/>
      <c r="R48" s="430"/>
      <c r="S48" s="430"/>
      <c r="T48" s="430"/>
      <c r="U48" s="430"/>
      <c r="V48" s="430"/>
      <c r="W48" s="430"/>
      <c r="X48" s="430"/>
      <c r="Y48" s="430"/>
      <c r="Z48" s="430"/>
      <c r="AA48" s="430"/>
      <c r="AB48" s="430"/>
      <c r="AC48" s="430"/>
      <c r="AD48" s="430"/>
      <c r="AE48" s="430"/>
    </row>
    <row r="49" customFormat="false" ht="12.75" hidden="false" customHeight="false" outlineLevel="0" collapsed="false">
      <c r="A49" s="34" t="str">
        <f aca="true">IF(AUTOEVENTO="Manual",IF(OFFSET(EVENTOS!$F$14,CRONOPLE!$B49,0)&gt;0,"F",""),IF(CRONOPLE!B49&lt;=MAX(CÁLCULO!$M$15:$M$59),"F",""))</f>
        <v/>
      </c>
      <c r="B49" s="428" t="n">
        <f aca="true">OFFSET(B49,-1,0)+1</f>
        <v>35</v>
      </c>
      <c r="C49" s="429" t="n">
        <f aca="true">IF(AUTOEVENTO="Manual",IF($B49&lt;&gt;1,OFFSET(EVENTOS!$D$14,$B49,0),0),IF(B49&lt;=MAX(CÁLCULO!$M$15:$M$59),VLOOKUP($B49,CÁLCULO!$M$15:$N$59,2,FALSE()),0))</f>
        <v>0</v>
      </c>
      <c r="E49" s="430"/>
      <c r="G49" s="430"/>
      <c r="H49" s="430"/>
      <c r="I49" s="430"/>
      <c r="J49" s="430"/>
      <c r="K49" s="430"/>
      <c r="L49" s="430"/>
      <c r="M49" s="430"/>
      <c r="N49" s="430"/>
      <c r="O49" s="430"/>
      <c r="P49" s="430"/>
      <c r="Q49" s="430"/>
      <c r="R49" s="430"/>
      <c r="S49" s="430"/>
      <c r="T49" s="430"/>
      <c r="U49" s="430"/>
      <c r="V49" s="430"/>
      <c r="W49" s="430"/>
      <c r="X49" s="430"/>
      <c r="Y49" s="430"/>
      <c r="Z49" s="430"/>
      <c r="AA49" s="430"/>
      <c r="AB49" s="430"/>
      <c r="AC49" s="430"/>
      <c r="AD49" s="430"/>
      <c r="AE49" s="430"/>
    </row>
    <row r="50" customFormat="false" ht="12.75" hidden="false" customHeight="false" outlineLevel="0" collapsed="false">
      <c r="A50" s="34" t="str">
        <f aca="true">IF(AUTOEVENTO="Manual",IF(OFFSET(EVENTOS!$F$14,CRONOPLE!$B50,0)&gt;0,"F",""),IF(CRONOPLE!B50&lt;=MAX(CÁLCULO!$M$15:$M$59),"F",""))</f>
        <v/>
      </c>
      <c r="B50" s="428" t="n">
        <f aca="true">OFFSET(B50,-1,0)+1</f>
        <v>36</v>
      </c>
      <c r="C50" s="429" t="n">
        <f aca="true">IF(AUTOEVENTO="Manual",IF($B50&lt;&gt;1,OFFSET(EVENTOS!$D$14,$B50,0),0),IF(B50&lt;=MAX(CÁLCULO!$M$15:$M$59),VLOOKUP($B50,CÁLCULO!$M$15:$N$59,2,FALSE()),0))</f>
        <v>0</v>
      </c>
      <c r="E50" s="430"/>
      <c r="G50" s="430"/>
      <c r="H50" s="430"/>
      <c r="I50" s="430"/>
      <c r="J50" s="430"/>
      <c r="K50" s="430"/>
      <c r="L50" s="430"/>
      <c r="M50" s="430"/>
      <c r="N50" s="430"/>
      <c r="O50" s="430"/>
      <c r="P50" s="430"/>
      <c r="Q50" s="430"/>
      <c r="R50" s="430"/>
      <c r="S50" s="430"/>
      <c r="T50" s="430"/>
      <c r="U50" s="430"/>
      <c r="V50" s="430"/>
      <c r="W50" s="430"/>
      <c r="X50" s="430"/>
      <c r="Y50" s="430"/>
      <c r="Z50" s="430"/>
      <c r="AA50" s="430"/>
      <c r="AB50" s="430"/>
      <c r="AC50" s="430"/>
      <c r="AD50" s="430"/>
      <c r="AE50" s="430"/>
    </row>
    <row r="51" customFormat="false" ht="12.75" hidden="false" customHeight="false" outlineLevel="0" collapsed="false">
      <c r="A51" s="34" t="str">
        <f aca="true">IF(AUTOEVENTO="Manual",IF(OFFSET(EVENTOS!$F$14,CRONOPLE!$B51,0)&gt;0,"F",""),IF(CRONOPLE!B51&lt;=MAX(CÁLCULO!$M$15:$M$59),"F",""))</f>
        <v/>
      </c>
      <c r="B51" s="428" t="n">
        <f aca="true">OFFSET(B51,-1,0)+1</f>
        <v>37</v>
      </c>
      <c r="C51" s="429" t="n">
        <f aca="true">IF(AUTOEVENTO="Manual",IF($B51&lt;&gt;1,OFFSET(EVENTOS!$D$14,$B51,0),0),IF(B51&lt;=MAX(CÁLCULO!$M$15:$M$59),VLOOKUP($B51,CÁLCULO!$M$15:$N$59,2,FALSE()),0))</f>
        <v>0</v>
      </c>
      <c r="E51" s="430"/>
      <c r="G51" s="430"/>
      <c r="H51" s="430"/>
      <c r="I51" s="430"/>
      <c r="J51" s="430"/>
      <c r="K51" s="430"/>
      <c r="L51" s="430"/>
      <c r="M51" s="430"/>
      <c r="N51" s="430"/>
      <c r="O51" s="430"/>
      <c r="P51" s="430"/>
      <c r="Q51" s="430"/>
      <c r="R51" s="430"/>
      <c r="S51" s="430"/>
      <c r="T51" s="430"/>
      <c r="U51" s="430"/>
      <c r="V51" s="430"/>
      <c r="W51" s="430"/>
      <c r="X51" s="430"/>
      <c r="Y51" s="430"/>
      <c r="Z51" s="430"/>
      <c r="AA51" s="430"/>
      <c r="AB51" s="430"/>
      <c r="AC51" s="430"/>
      <c r="AD51" s="430"/>
      <c r="AE51" s="430"/>
    </row>
    <row r="52" customFormat="false" ht="12.75" hidden="false" customHeight="false" outlineLevel="0" collapsed="false">
      <c r="A52" s="34" t="str">
        <f aca="true">IF(AUTOEVENTO="Manual",IF(OFFSET(EVENTOS!$F$14,CRONOPLE!$B52,0)&gt;0,"F",""),IF(CRONOPLE!B52&lt;=MAX(CÁLCULO!$M$15:$M$59),"F",""))</f>
        <v/>
      </c>
      <c r="B52" s="428" t="n">
        <f aca="true">OFFSET(B52,-1,0)+1</f>
        <v>38</v>
      </c>
      <c r="C52" s="429" t="n">
        <f aca="true">IF(AUTOEVENTO="Manual",IF($B52&lt;&gt;1,OFFSET(EVENTOS!$D$14,$B52,0),0),IF(B52&lt;=MAX(CÁLCULO!$M$15:$M$59),VLOOKUP($B52,CÁLCULO!$M$15:$N$59,2,FALSE()),0))</f>
        <v>0</v>
      </c>
      <c r="E52" s="430"/>
      <c r="G52" s="430"/>
      <c r="H52" s="430"/>
      <c r="I52" s="430"/>
      <c r="J52" s="430"/>
      <c r="K52" s="430"/>
      <c r="L52" s="430"/>
      <c r="M52" s="430"/>
      <c r="N52" s="430"/>
      <c r="O52" s="430"/>
      <c r="P52" s="430"/>
      <c r="Q52" s="430"/>
      <c r="R52" s="430"/>
      <c r="S52" s="430"/>
      <c r="T52" s="430"/>
      <c r="U52" s="430"/>
      <c r="V52" s="430"/>
      <c r="W52" s="430"/>
      <c r="X52" s="430"/>
      <c r="Y52" s="430"/>
      <c r="Z52" s="430"/>
      <c r="AA52" s="430"/>
      <c r="AB52" s="430"/>
      <c r="AC52" s="430"/>
      <c r="AD52" s="430"/>
      <c r="AE52" s="430"/>
    </row>
    <row r="53" customFormat="false" ht="12.75" hidden="false" customHeight="false" outlineLevel="0" collapsed="false">
      <c r="A53" s="34" t="str">
        <f aca="true">IF(AUTOEVENTO="Manual",IF(OFFSET(EVENTOS!$F$14,CRONOPLE!$B53,0)&gt;0,"F",""),IF(CRONOPLE!B53&lt;=MAX(CÁLCULO!$M$15:$M$59),"F",""))</f>
        <v/>
      </c>
      <c r="B53" s="428" t="n">
        <f aca="true">OFFSET(B53,-1,0)+1</f>
        <v>39</v>
      </c>
      <c r="C53" s="429" t="n">
        <f aca="true">IF(AUTOEVENTO="Manual",IF($B53&lt;&gt;1,OFFSET(EVENTOS!$D$14,$B53,0),0),IF(B53&lt;=MAX(CÁLCULO!$M$15:$M$59),VLOOKUP($B53,CÁLCULO!$M$15:$N$59,2,FALSE()),0))</f>
        <v>0</v>
      </c>
      <c r="E53" s="430"/>
      <c r="G53" s="430"/>
      <c r="H53" s="430"/>
      <c r="I53" s="430"/>
      <c r="J53" s="430"/>
      <c r="K53" s="430"/>
      <c r="L53" s="430"/>
      <c r="M53" s="430"/>
      <c r="N53" s="430"/>
      <c r="O53" s="430"/>
      <c r="P53" s="430"/>
      <c r="Q53" s="430"/>
      <c r="R53" s="430"/>
      <c r="S53" s="430"/>
      <c r="T53" s="430"/>
      <c r="U53" s="430"/>
      <c r="V53" s="430"/>
      <c r="W53" s="430"/>
      <c r="X53" s="430"/>
      <c r="Y53" s="430"/>
      <c r="Z53" s="430"/>
      <c r="AA53" s="430"/>
      <c r="AB53" s="430"/>
      <c r="AC53" s="430"/>
      <c r="AD53" s="430"/>
      <c r="AE53" s="430"/>
    </row>
    <row r="54" customFormat="false" ht="12.75" hidden="false" customHeight="false" outlineLevel="0" collapsed="false">
      <c r="A54" s="34" t="str">
        <f aca="true">IF(AUTOEVENTO="Manual",IF(OFFSET(EVENTOS!$F$14,CRONOPLE!$B54,0)&gt;0,"F",""),IF(CRONOPLE!B54&lt;=MAX(CÁLCULO!$M$15:$M$59),"F",""))</f>
        <v/>
      </c>
      <c r="B54" s="428" t="n">
        <f aca="true">OFFSET(B54,-1,0)+1</f>
        <v>40</v>
      </c>
      <c r="C54" s="429" t="n">
        <f aca="true">IF(AUTOEVENTO="Manual",IF($B54&lt;&gt;1,OFFSET(EVENTOS!$D$14,$B54,0),0),IF(B54&lt;=MAX(CÁLCULO!$M$15:$M$59),VLOOKUP($B54,CÁLCULO!$M$15:$N$59,2,FALSE()),0))</f>
        <v>0</v>
      </c>
      <c r="E54" s="430"/>
      <c r="G54" s="430"/>
      <c r="H54" s="430"/>
      <c r="I54" s="430"/>
      <c r="J54" s="430"/>
      <c r="K54" s="430"/>
      <c r="L54" s="430"/>
      <c r="M54" s="430"/>
      <c r="N54" s="430"/>
      <c r="O54" s="430"/>
      <c r="P54" s="430"/>
      <c r="Q54" s="430"/>
      <c r="R54" s="430"/>
      <c r="S54" s="430"/>
      <c r="T54" s="430"/>
      <c r="U54" s="430"/>
      <c r="V54" s="430"/>
      <c r="W54" s="430"/>
      <c r="X54" s="430"/>
      <c r="Y54" s="430"/>
      <c r="Z54" s="430"/>
      <c r="AA54" s="430"/>
      <c r="AB54" s="430"/>
      <c r="AC54" s="430"/>
      <c r="AD54" s="430"/>
      <c r="AE54" s="430"/>
    </row>
    <row r="55" customFormat="false" ht="12.75" hidden="false" customHeight="false" outlineLevel="0" collapsed="false">
      <c r="A55" s="34" t="str">
        <f aca="true">IF(AUTOEVENTO="Manual",IF(OFFSET(EVENTOS!$F$14,CRONOPLE!$B55,0)&gt;0,"F",""),IF(CRONOPLE!B55&lt;=MAX(CÁLCULO!$M$15:$M$59),"F",""))</f>
        <v/>
      </c>
      <c r="B55" s="428" t="n">
        <f aca="true">OFFSET(B55,-1,0)+1</f>
        <v>41</v>
      </c>
      <c r="C55" s="429" t="n">
        <f aca="true">IF(AUTOEVENTO="Manual",IF($B55&lt;&gt;1,OFFSET(EVENTOS!$D$14,$B55,0),0),IF(B55&lt;=MAX(CÁLCULO!$M$15:$M$59),VLOOKUP($B55,CÁLCULO!$M$15:$N$59,2,FALSE()),0))</f>
        <v>0</v>
      </c>
      <c r="E55" s="430"/>
      <c r="G55" s="430"/>
      <c r="H55" s="430"/>
      <c r="I55" s="430"/>
      <c r="J55" s="430"/>
      <c r="K55" s="430"/>
      <c r="L55" s="430"/>
      <c r="M55" s="430"/>
      <c r="N55" s="430"/>
      <c r="O55" s="430"/>
      <c r="P55" s="430"/>
      <c r="Q55" s="430"/>
      <c r="R55" s="430"/>
      <c r="S55" s="430"/>
      <c r="T55" s="430"/>
      <c r="U55" s="430"/>
      <c r="V55" s="430"/>
      <c r="W55" s="430"/>
      <c r="X55" s="430"/>
      <c r="Y55" s="430"/>
      <c r="Z55" s="430"/>
      <c r="AA55" s="430"/>
      <c r="AB55" s="430"/>
      <c r="AC55" s="430"/>
      <c r="AD55" s="430"/>
      <c r="AE55" s="430"/>
    </row>
    <row r="56" customFormat="false" ht="12.75" hidden="false" customHeight="false" outlineLevel="0" collapsed="false">
      <c r="A56" s="34" t="str">
        <f aca="true">IF(AUTOEVENTO="Manual",IF(OFFSET(EVENTOS!$F$14,CRONOPLE!$B56,0)&gt;0,"F",""),IF(CRONOPLE!B56&lt;=MAX(CÁLCULO!$M$15:$M$59),"F",""))</f>
        <v/>
      </c>
      <c r="B56" s="428" t="n">
        <f aca="true">OFFSET(B56,-1,0)+1</f>
        <v>42</v>
      </c>
      <c r="C56" s="429" t="n">
        <f aca="true">IF(AUTOEVENTO="Manual",IF($B56&lt;&gt;1,OFFSET(EVENTOS!$D$14,$B56,0),0),IF(B56&lt;=MAX(CÁLCULO!$M$15:$M$59),VLOOKUP($B56,CÁLCULO!$M$15:$N$59,2,FALSE()),0))</f>
        <v>0</v>
      </c>
      <c r="E56" s="430"/>
      <c r="G56" s="430"/>
      <c r="H56" s="430"/>
      <c r="I56" s="430"/>
      <c r="J56" s="430"/>
      <c r="K56" s="430"/>
      <c r="L56" s="430"/>
      <c r="M56" s="430"/>
      <c r="N56" s="430"/>
      <c r="O56" s="430"/>
      <c r="P56" s="430"/>
      <c r="Q56" s="430"/>
      <c r="R56" s="430"/>
      <c r="S56" s="430"/>
      <c r="T56" s="430"/>
      <c r="U56" s="430"/>
      <c r="V56" s="430"/>
      <c r="W56" s="430"/>
      <c r="X56" s="430"/>
      <c r="Y56" s="430"/>
      <c r="Z56" s="430"/>
      <c r="AA56" s="430"/>
      <c r="AB56" s="430"/>
      <c r="AC56" s="430"/>
      <c r="AD56" s="430"/>
      <c r="AE56" s="430"/>
    </row>
    <row r="57" customFormat="false" ht="12.75" hidden="false" customHeight="false" outlineLevel="0" collapsed="false">
      <c r="A57" s="34" t="str">
        <f aca="true">IF(AUTOEVENTO="Manual",IF(OFFSET(EVENTOS!$F$14,CRONOPLE!$B57,0)&gt;0,"F",""),IF(CRONOPLE!B57&lt;=MAX(CÁLCULO!$M$15:$M$59),"F",""))</f>
        <v/>
      </c>
      <c r="B57" s="428" t="n">
        <f aca="true">OFFSET(B57,-1,0)+1</f>
        <v>43</v>
      </c>
      <c r="C57" s="429" t="n">
        <f aca="true">IF(AUTOEVENTO="Manual",IF($B57&lt;&gt;1,OFFSET(EVENTOS!$D$14,$B57,0),0),IF(B57&lt;=MAX(CÁLCULO!$M$15:$M$59),VLOOKUP($B57,CÁLCULO!$M$15:$N$59,2,FALSE()),0))</f>
        <v>0</v>
      </c>
      <c r="E57" s="430"/>
      <c r="G57" s="430"/>
      <c r="H57" s="430"/>
      <c r="I57" s="430"/>
      <c r="J57" s="430"/>
      <c r="K57" s="430"/>
      <c r="L57" s="430"/>
      <c r="M57" s="430"/>
      <c r="N57" s="430"/>
      <c r="O57" s="430"/>
      <c r="P57" s="430"/>
      <c r="Q57" s="430"/>
      <c r="R57" s="430"/>
      <c r="S57" s="430"/>
      <c r="T57" s="430"/>
      <c r="U57" s="430"/>
      <c r="V57" s="430"/>
      <c r="W57" s="430"/>
      <c r="X57" s="430"/>
      <c r="Y57" s="430"/>
      <c r="Z57" s="430"/>
      <c r="AA57" s="430"/>
      <c r="AB57" s="430"/>
      <c r="AC57" s="430"/>
      <c r="AD57" s="430"/>
      <c r="AE57" s="430"/>
    </row>
    <row r="58" customFormat="false" ht="12.75" hidden="false" customHeight="false" outlineLevel="0" collapsed="false">
      <c r="A58" s="34" t="str">
        <f aca="true">IF(AUTOEVENTO="Manual",IF(OFFSET(EVENTOS!$F$14,CRONOPLE!$B58,0)&gt;0,"F",""),IF(CRONOPLE!B58&lt;=MAX(CÁLCULO!$M$15:$M$59),"F",""))</f>
        <v/>
      </c>
      <c r="B58" s="428" t="n">
        <f aca="true">OFFSET(B58,-1,0)+1</f>
        <v>44</v>
      </c>
      <c r="C58" s="429" t="n">
        <f aca="true">IF(AUTOEVENTO="Manual",IF($B58&lt;&gt;1,OFFSET(EVENTOS!$D$14,$B58,0),0),IF(B58&lt;=MAX(CÁLCULO!$M$15:$M$59),VLOOKUP($B58,CÁLCULO!$M$15:$N$59,2,FALSE()),0))</f>
        <v>0</v>
      </c>
      <c r="E58" s="430"/>
      <c r="G58" s="430"/>
      <c r="H58" s="430"/>
      <c r="I58" s="430"/>
      <c r="J58" s="430"/>
      <c r="K58" s="430"/>
      <c r="L58" s="430"/>
      <c r="M58" s="430"/>
      <c r="N58" s="430"/>
      <c r="O58" s="430"/>
      <c r="P58" s="430"/>
      <c r="Q58" s="430"/>
      <c r="R58" s="430"/>
      <c r="S58" s="430"/>
      <c r="T58" s="430"/>
      <c r="U58" s="430"/>
      <c r="V58" s="430"/>
      <c r="W58" s="430"/>
      <c r="X58" s="430"/>
      <c r="Y58" s="430"/>
      <c r="Z58" s="430"/>
      <c r="AA58" s="430"/>
      <c r="AB58" s="430"/>
      <c r="AC58" s="430"/>
      <c r="AD58" s="430"/>
      <c r="AE58" s="430"/>
    </row>
    <row r="59" customFormat="false" ht="12.75" hidden="false" customHeight="false" outlineLevel="0" collapsed="false">
      <c r="A59" s="34" t="str">
        <f aca="true">IF(AUTOEVENTO="Manual",IF(OFFSET(EVENTOS!$F$14,CRONOPLE!$B59,0)&gt;0,"F",""),IF(CRONOPLE!B59&lt;=MAX(CÁLCULO!$M$15:$M$59),"F",""))</f>
        <v/>
      </c>
      <c r="B59" s="428" t="n">
        <f aca="true">OFFSET(B59,-1,0)+1</f>
        <v>45</v>
      </c>
      <c r="C59" s="429" t="n">
        <f aca="true">IF(AUTOEVENTO="Manual",IF($B59&lt;&gt;1,OFFSET(EVENTOS!$D$14,$B59,0),0),IF(B59&lt;=MAX(CÁLCULO!$M$15:$M$59),VLOOKUP($B59,CÁLCULO!$M$15:$N$59,2,FALSE()),0))</f>
        <v>0</v>
      </c>
      <c r="E59" s="430"/>
      <c r="G59" s="430"/>
      <c r="H59" s="430"/>
      <c r="I59" s="430"/>
      <c r="J59" s="430"/>
      <c r="K59" s="430"/>
      <c r="L59" s="430"/>
      <c r="M59" s="430"/>
      <c r="N59" s="430"/>
      <c r="O59" s="430"/>
      <c r="P59" s="430"/>
      <c r="Q59" s="430"/>
      <c r="R59" s="430"/>
      <c r="S59" s="430"/>
      <c r="T59" s="430"/>
      <c r="U59" s="430"/>
      <c r="V59" s="430"/>
      <c r="W59" s="430"/>
      <c r="X59" s="430"/>
      <c r="Y59" s="430"/>
      <c r="Z59" s="430"/>
      <c r="AA59" s="430"/>
      <c r="AB59" s="430"/>
      <c r="AC59" s="430"/>
      <c r="AD59" s="430"/>
      <c r="AE59" s="430"/>
    </row>
    <row r="60" customFormat="false" ht="12.75" hidden="false" customHeight="false" outlineLevel="0" collapsed="false">
      <c r="A60" s="34" t="str">
        <f aca="true">IF(AUTOEVENTO="Manual",IF(OFFSET(EVENTOS!$F$14,CRONOPLE!$B60,0)&gt;0,"F",""),IF(CRONOPLE!B60&lt;=MAX(CÁLCULO!$M$15:$M$59),"F",""))</f>
        <v/>
      </c>
      <c r="B60" s="428" t="n">
        <f aca="true">OFFSET(B60,-1,0)+1</f>
        <v>46</v>
      </c>
      <c r="C60" s="429" t="n">
        <f aca="true">IF(AUTOEVENTO="Manual",IF($B60&lt;&gt;1,OFFSET(EVENTOS!$D$14,$B60,0),0),IF(B60&lt;=MAX(CÁLCULO!$M$15:$M$59),VLOOKUP($B60,CÁLCULO!$M$15:$N$59,2,FALSE()),0))</f>
        <v>0</v>
      </c>
      <c r="E60" s="430"/>
      <c r="G60" s="430"/>
      <c r="H60" s="430"/>
      <c r="I60" s="430"/>
      <c r="J60" s="430"/>
      <c r="K60" s="430"/>
      <c r="L60" s="430"/>
      <c r="M60" s="430"/>
      <c r="N60" s="430"/>
      <c r="O60" s="430"/>
      <c r="P60" s="430"/>
      <c r="Q60" s="430"/>
      <c r="R60" s="430"/>
      <c r="S60" s="430"/>
      <c r="T60" s="430"/>
      <c r="U60" s="430"/>
      <c r="V60" s="430"/>
      <c r="W60" s="430"/>
      <c r="X60" s="430"/>
      <c r="Y60" s="430"/>
      <c r="Z60" s="430"/>
      <c r="AA60" s="430"/>
      <c r="AB60" s="430"/>
      <c r="AC60" s="430"/>
      <c r="AD60" s="430"/>
      <c r="AE60" s="430"/>
    </row>
    <row r="61" customFormat="false" ht="12.75" hidden="false" customHeight="false" outlineLevel="0" collapsed="false">
      <c r="A61" s="34" t="str">
        <f aca="true">IF(AUTOEVENTO="Manual",IF(OFFSET(EVENTOS!$F$14,CRONOPLE!$B61,0)&gt;0,"F",""),IF(CRONOPLE!B61&lt;=MAX(CÁLCULO!$M$15:$M$59),"F",""))</f>
        <v/>
      </c>
      <c r="B61" s="428" t="n">
        <f aca="true">OFFSET(B61,-1,0)+1</f>
        <v>47</v>
      </c>
      <c r="C61" s="429" t="n">
        <f aca="true">IF(AUTOEVENTO="Manual",IF($B61&lt;&gt;1,OFFSET(EVENTOS!$D$14,$B61,0),0),IF(B61&lt;=MAX(CÁLCULO!$M$15:$M$59),VLOOKUP($B61,CÁLCULO!$M$15:$N$59,2,FALSE()),0))</f>
        <v>0</v>
      </c>
      <c r="E61" s="430"/>
      <c r="G61" s="430"/>
      <c r="H61" s="430"/>
      <c r="I61" s="430"/>
      <c r="J61" s="430"/>
      <c r="K61" s="430"/>
      <c r="L61" s="430"/>
      <c r="M61" s="430"/>
      <c r="N61" s="430"/>
      <c r="O61" s="430"/>
      <c r="P61" s="430"/>
      <c r="Q61" s="430"/>
      <c r="R61" s="430"/>
      <c r="S61" s="430"/>
      <c r="T61" s="430"/>
      <c r="U61" s="430"/>
      <c r="V61" s="430"/>
      <c r="W61" s="430"/>
      <c r="X61" s="430"/>
      <c r="Y61" s="430"/>
      <c r="Z61" s="430"/>
      <c r="AA61" s="430"/>
      <c r="AB61" s="430"/>
      <c r="AC61" s="430"/>
      <c r="AD61" s="430"/>
      <c r="AE61" s="430"/>
    </row>
    <row r="62" customFormat="false" ht="12.75" hidden="false" customHeight="false" outlineLevel="0" collapsed="false">
      <c r="A62" s="34" t="str">
        <f aca="true">IF(AUTOEVENTO="Manual",IF(OFFSET(EVENTOS!$F$14,CRONOPLE!$B62,0)&gt;0,"F",""),IF(CRONOPLE!B62&lt;=MAX(CÁLCULO!$M$15:$M$59),"F",""))</f>
        <v/>
      </c>
      <c r="B62" s="428" t="n">
        <f aca="true">OFFSET(B62,-1,0)+1</f>
        <v>48</v>
      </c>
      <c r="C62" s="429" t="n">
        <f aca="true">IF(AUTOEVENTO="Manual",IF($B62&lt;&gt;1,OFFSET(EVENTOS!$D$14,$B62,0),0),IF(B62&lt;=MAX(CÁLCULO!$M$15:$M$59),VLOOKUP($B62,CÁLCULO!$M$15:$N$59,2,FALSE()),0))</f>
        <v>0</v>
      </c>
      <c r="E62" s="430"/>
      <c r="G62" s="430"/>
      <c r="H62" s="430"/>
      <c r="I62" s="430"/>
      <c r="J62" s="430"/>
      <c r="K62" s="430"/>
      <c r="L62" s="430"/>
      <c r="M62" s="430"/>
      <c r="N62" s="430"/>
      <c r="O62" s="430"/>
      <c r="P62" s="430"/>
      <c r="Q62" s="430"/>
      <c r="R62" s="430"/>
      <c r="S62" s="430"/>
      <c r="T62" s="430"/>
      <c r="U62" s="430"/>
      <c r="V62" s="430"/>
      <c r="W62" s="430"/>
      <c r="X62" s="430"/>
      <c r="Y62" s="430"/>
      <c r="Z62" s="430"/>
      <c r="AA62" s="430"/>
      <c r="AB62" s="430"/>
      <c r="AC62" s="430"/>
      <c r="AD62" s="430"/>
      <c r="AE62" s="430"/>
    </row>
    <row r="63" customFormat="false" ht="12.75" hidden="false" customHeight="false" outlineLevel="0" collapsed="false">
      <c r="A63" s="34" t="str">
        <f aca="true">IF(AUTOEVENTO="Manual",IF(OFFSET(EVENTOS!$F$14,CRONOPLE!$B63,0)&gt;0,"F",""),IF(CRONOPLE!B63&lt;=MAX(CÁLCULO!$M$15:$M$59),"F",""))</f>
        <v/>
      </c>
      <c r="B63" s="428" t="n">
        <f aca="true">OFFSET(B63,-1,0)+1</f>
        <v>49</v>
      </c>
      <c r="C63" s="429" t="n">
        <f aca="true">IF(AUTOEVENTO="Manual",IF($B63&lt;&gt;1,OFFSET(EVENTOS!$D$14,$B63,0),0),IF(B63&lt;=MAX(CÁLCULO!$M$15:$M$59),VLOOKUP($B63,CÁLCULO!$M$15:$N$59,2,FALSE()),0))</f>
        <v>0</v>
      </c>
      <c r="E63" s="430"/>
      <c r="G63" s="430"/>
      <c r="H63" s="430"/>
      <c r="I63" s="430"/>
      <c r="J63" s="430"/>
      <c r="K63" s="430"/>
      <c r="L63" s="430"/>
      <c r="M63" s="430"/>
      <c r="N63" s="430"/>
      <c r="O63" s="430"/>
      <c r="P63" s="430"/>
      <c r="Q63" s="430"/>
      <c r="R63" s="430"/>
      <c r="S63" s="430"/>
      <c r="T63" s="430"/>
      <c r="U63" s="430"/>
      <c r="V63" s="430"/>
      <c r="W63" s="430"/>
      <c r="X63" s="430"/>
      <c r="Y63" s="430"/>
      <c r="Z63" s="430"/>
      <c r="AA63" s="430"/>
      <c r="AB63" s="430"/>
      <c r="AC63" s="430"/>
      <c r="AD63" s="430"/>
      <c r="AE63" s="430"/>
    </row>
    <row r="64" customFormat="false" ht="12.75" hidden="false" customHeight="false" outlineLevel="0" collapsed="false">
      <c r="A64" s="34" t="str">
        <f aca="true">IF(AUTOEVENTO="Manual",IF(OFFSET(EVENTOS!$F$14,CRONOPLE!$B64,0)&gt;0,"F",""),IF(CRONOPLE!B64&lt;=MAX(CÁLCULO!$M$15:$M$59),"F",""))</f>
        <v/>
      </c>
      <c r="B64" s="428" t="n">
        <f aca="true">OFFSET(B64,-1,0)+1</f>
        <v>50</v>
      </c>
      <c r="C64" s="429" t="n">
        <f aca="true">IF(AUTOEVENTO="Manual",IF($B64&lt;&gt;1,OFFSET(EVENTOS!$D$14,$B64,0),0),IF(B64&lt;=MAX(CÁLCULO!$M$15:$M$59),VLOOKUP($B64,CÁLCULO!$M$15:$N$59,2,FALSE()),0))</f>
        <v>0</v>
      </c>
      <c r="E64" s="430"/>
      <c r="G64" s="430"/>
      <c r="H64" s="430"/>
      <c r="I64" s="430"/>
      <c r="J64" s="430"/>
      <c r="K64" s="430"/>
      <c r="L64" s="430"/>
      <c r="M64" s="430"/>
      <c r="N64" s="430"/>
      <c r="O64" s="430"/>
      <c r="P64" s="430"/>
      <c r="Q64" s="430"/>
      <c r="R64" s="430"/>
      <c r="S64" s="430"/>
      <c r="T64" s="430"/>
      <c r="U64" s="430"/>
      <c r="V64" s="430"/>
      <c r="W64" s="430"/>
      <c r="X64" s="430"/>
      <c r="Y64" s="430"/>
      <c r="Z64" s="430"/>
      <c r="AA64" s="430"/>
      <c r="AB64" s="430"/>
      <c r="AC64" s="430"/>
      <c r="AD64" s="430"/>
      <c r="AE64" s="430"/>
    </row>
    <row r="65" customFormat="false" ht="4.5" hidden="false" customHeight="true" outlineLevel="0" collapsed="false">
      <c r="B65" s="445"/>
      <c r="C65" s="446"/>
      <c r="E65" s="447"/>
      <c r="F65" s="447"/>
      <c r="G65" s="445"/>
      <c r="H65" s="448"/>
      <c r="I65" s="448"/>
      <c r="J65" s="448"/>
      <c r="K65" s="448"/>
      <c r="L65" s="448"/>
      <c r="M65" s="448"/>
      <c r="N65" s="448"/>
      <c r="O65" s="448"/>
      <c r="P65" s="448"/>
      <c r="Q65" s="448"/>
      <c r="R65" s="448"/>
      <c r="S65" s="448"/>
      <c r="T65" s="448"/>
      <c r="U65" s="448"/>
      <c r="V65" s="448"/>
      <c r="W65" s="448"/>
      <c r="X65" s="448"/>
      <c r="Y65" s="448"/>
      <c r="Z65" s="448"/>
      <c r="AA65" s="448"/>
      <c r="AB65" s="448"/>
      <c r="AC65" s="448"/>
      <c r="AD65" s="448"/>
      <c r="AE65" s="446"/>
    </row>
  </sheetData>
  <sheetProtection algorithmName="SHA-512" hashValue="r/feeOtj9+b5ixri/hKWOOPk25dBUKP1jNyNgN1PFCdGDn2I41Asp7YPv9uyqwy2RzZrkJUV04sfq64bPOJimQ==" saltValue="Pf6b1M27ZyWxjKec5+9fNw==" spinCount="100000" sheet="true" objects="true" scenarios="true" autoFilter="false"/>
  <mergeCells count="2">
    <mergeCell ref="B12:B13"/>
    <mergeCell ref="C12:C13"/>
  </mergeCells>
  <conditionalFormatting sqref="E61:E64 G61:AE64">
    <cfRule type="expression" priority="2" aboveAverage="0" equalAverage="0" bottom="0" percent="0" rank="0" text="" dxfId="328">
      <formula>IF(OR(E$12&gt;CÁLCULO.NúmeroDeFrentes,ACOMPANHAMENTO="BM"),1,CRONOPLE.ValorDoEvento=0)</formula>
    </cfRule>
  </conditionalFormatting>
  <conditionalFormatting sqref="E52:E60 G52:AE60">
    <cfRule type="expression" priority="3" aboveAverage="0" equalAverage="0" bottom="0" percent="0" rank="0" text="" dxfId="329">
      <formula>IF(OR(E$12&gt;CÁLCULO.NúmeroDeFrentes,ACOMPANHAMENTO="BM"),1,CRONOPLE.ValorDoEvento=0)</formula>
    </cfRule>
  </conditionalFormatting>
  <conditionalFormatting sqref="E43:E51 G43:AE51">
    <cfRule type="expression" priority="4" aboveAverage="0" equalAverage="0" bottom="0" percent="0" rank="0" text="" dxfId="330">
      <formula>IF(OR(E$12&gt;CÁLCULO.NúmeroDeFrentes,ACOMPANHAMENTO="BM"),1,CRONOPLE.ValorDoEvento=0)</formula>
    </cfRule>
  </conditionalFormatting>
  <conditionalFormatting sqref="E34:E42 G34:AE42">
    <cfRule type="expression" priority="5" aboveAverage="0" equalAverage="0" bottom="0" percent="0" rank="0" text="" dxfId="331">
      <formula>IF(OR(E$12&gt;CÁLCULO.NúmeroDeFrentes,ACOMPANHAMENTO="BM"),1,CRONOPLE.ValorDoEvento=0)</formula>
    </cfRule>
  </conditionalFormatting>
  <conditionalFormatting sqref="E25:E33 G25:AE33">
    <cfRule type="expression" priority="6" aboveAverage="0" equalAverage="0" bottom="0" percent="0" rank="0" text="" dxfId="332">
      <formula>IF(OR(E$12&gt;CÁLCULO.NúmeroDeFrentes,ACOMPANHAMENTO="BM"),1,CRONOPLE.ValorDoEvento=0)</formula>
    </cfRule>
  </conditionalFormatting>
  <conditionalFormatting sqref="E16:E24 G16:AE24">
    <cfRule type="expression" priority="7" aboveAverage="0" equalAverage="0" bottom="0" percent="0" rank="0" text="" dxfId="333">
      <formula>IF(OR(E$12&gt;CÁLCULO.NúmeroDeFrentes,ACOMPANHAMENTO="BM"),1,CRONOPLE.ValorDoEvento=0)</formula>
    </cfRule>
  </conditionalFormatting>
  <conditionalFormatting sqref="E1 G1:AE1">
    <cfRule type="expression" priority="8" aboveAverage="0" equalAverage="0" bottom="0" percent="0" rank="0" text="" dxfId="334">
      <formula>IF(OR(E$12&gt;CÁLCULO.NúmeroDeFrentes,ACOMPANHAMENTO="BM"),1,CRONOPLE.ValorDoEvento=0)</formula>
    </cfRule>
  </conditionalFormatting>
  <dataValidations count="1">
    <dataValidation allowBlank="true" errorStyle="stop" operator="greaterThan" showDropDown="false" showErrorMessage="true" showInputMessage="false" sqref="E1:E5 G1:AE5 E16:E64 G16:AE64" type="whole">
      <formula1>0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&amp;L_&amp;C&amp;14I</oddHeader>
    <oddFooter>&amp;LPMv3.0.6&amp;R&amp;P / 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G80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4" ySplit="13" topLeftCell="E14" activePane="bottomRight" state="frozen"/>
      <selection pane="topLeft" activeCell="A1" activeCellId="0" sqref="A1"/>
      <selection pane="topRight" activeCell="E1" activeCellId="0" sqref="E1"/>
      <selection pane="bottomLeft" activeCell="A14" activeCellId="0" sqref="A14"/>
      <selection pane="bottomRight" activeCell="A1" activeCellId="0" sqref="A1"/>
    </sheetView>
  </sheetViews>
  <sheetFormatPr defaultColWidth="8.6796875" defaultRowHeight="12.75" customHeight="true" zeroHeight="false" outlineLevelRow="0" outlineLevelCol="0"/>
  <cols>
    <col collapsed="false" customWidth="true" hidden="false" outlineLevel="0" max="1" min="1" style="0" width="3.86"/>
    <col collapsed="false" customWidth="true" hidden="false" outlineLevel="0" max="2" min="2" style="0" width="8.15"/>
    <col collapsed="false" customWidth="true" hidden="false" outlineLevel="0" max="3" min="3" style="0" width="17"/>
    <col collapsed="false" customWidth="true" hidden="false" outlineLevel="0" max="4" min="4" style="0" width="19.86"/>
    <col collapsed="false" customWidth="true" hidden="false" outlineLevel="0" max="5" min="5" style="0" width="1.42"/>
    <col collapsed="false" customWidth="true" hidden="true" outlineLevel="0" max="7" min="6" style="0" width="11.53"/>
    <col collapsed="false" customWidth="true" hidden="false" outlineLevel="0" max="32" min="8" style="0" width="5.71"/>
    <col collapsed="false" customWidth="true" hidden="false" outlineLevel="0" max="33" min="33" style="0" width="0.14"/>
  </cols>
  <sheetData>
    <row r="1" customFormat="false" ht="12.75" hidden="true" customHeight="false" outlineLevel="0" collapsed="false">
      <c r="A1" s="34" t="e">
        <f aca="true">IF(AUTOEVENTO="Manual",IF(OFFSET(EVENTOS!$F$14,PLE!$B1,0)&gt;0,"F",""),IF(PLE!B1&lt;=MAX(CÁLCULO!$M$15:$M$59),"F",""))</f>
        <v>#VALUE!</v>
      </c>
      <c r="B1" s="428" t="e">
        <f aca="true">OFFSET(B1,-1,0)+1</f>
        <v>#VALUE!</v>
      </c>
      <c r="C1" s="429" t="e">
        <f aca="true">IF(AUTOEVENTO="Manual",IF($B1&lt;&gt;1,OFFSET(EVENTOS!$D$14,$B1,0),0),IF(B1&lt;=MAX(CÁLCULO!$M$15:$M$59),VLOOKUP($B1,CÁLCULO!$M$15:$N$59,2,FALSE()),0))</f>
        <v>#VALUE!</v>
      </c>
      <c r="D1" s="429"/>
      <c r="F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</row>
    <row r="2" customFormat="false" ht="12.75" hidden="true" customHeight="false" outlineLevel="0" collapsed="false">
      <c r="A2" s="34"/>
      <c r="B2" s="34"/>
      <c r="C2" s="42"/>
      <c r="D2" s="42"/>
      <c r="F2" s="449"/>
    </row>
    <row r="3" customFormat="false" ht="15" hidden="false" customHeight="false" outlineLevel="0" collapsed="false">
      <c r="H3" s="351" t="s">
        <v>421</v>
      </c>
      <c r="AD3" s="86" t="s">
        <v>188</v>
      </c>
      <c r="AE3" s="86"/>
      <c r="AF3" s="86"/>
    </row>
    <row r="4" customFormat="false" ht="15" hidden="false" customHeight="false" outlineLevel="0" collapsed="false">
      <c r="B4" s="142"/>
      <c r="C4" s="142"/>
      <c r="H4" s="143" t="str">
        <f aca="false">import.recurso</f>
        <v>OGU</v>
      </c>
      <c r="AD4" s="40" t="s">
        <v>191</v>
      </c>
      <c r="AE4" s="40"/>
      <c r="AF4" s="40"/>
    </row>
    <row r="6" customFormat="false" ht="12.75" hidden="false" customHeight="false" outlineLevel="0" collapsed="false">
      <c r="B6" s="354" t="s">
        <v>194</v>
      </c>
      <c r="C6" s="450"/>
      <c r="D6" s="356" t="s">
        <v>253</v>
      </c>
      <c r="E6" s="16"/>
      <c r="H6" s="357" t="s">
        <v>401</v>
      </c>
      <c r="I6" s="323"/>
      <c r="J6" s="323"/>
      <c r="K6" s="323"/>
      <c r="L6" s="322"/>
      <c r="M6" s="322"/>
      <c r="N6" s="451"/>
      <c r="O6" s="354" t="s">
        <v>402</v>
      </c>
      <c r="P6" s="358"/>
      <c r="R6" s="323"/>
      <c r="S6" s="323"/>
      <c r="T6" s="323"/>
      <c r="U6" s="355"/>
      <c r="V6" s="354" t="str">
        <f aca="false">IF(TIPOORCAMENTO="Licitado","NOME DA EMPRESA","DESCRIÇÃO DO LOTE")</f>
        <v>DESCRIÇÃO DO LOTE</v>
      </c>
      <c r="W6" s="323"/>
      <c r="X6" s="323"/>
      <c r="Y6" s="323"/>
      <c r="AD6" s="16"/>
      <c r="AE6" s="359" t="str">
        <f aca="false">IF(TIPOORCAMENTO="Licitado","Nº CTEF","")</f>
        <v/>
      </c>
      <c r="AF6" s="359"/>
    </row>
    <row r="7" customFormat="false" ht="12.75" hidden="false" customHeight="false" outlineLevel="0" collapsed="false">
      <c r="B7" s="360" t="n">
        <f aca="false">Import.CR</f>
        <v>0</v>
      </c>
      <c r="C7" s="360"/>
      <c r="D7" s="361" t="n">
        <f aca="false">Import.TransfereGOV</f>
        <v>0</v>
      </c>
      <c r="E7" s="30"/>
      <c r="H7" s="362" t="n">
        <f aca="false">Import.Proponente</f>
        <v>0</v>
      </c>
      <c r="I7" s="362"/>
      <c r="J7" s="362"/>
      <c r="K7" s="362"/>
      <c r="L7" s="362"/>
      <c r="M7" s="362"/>
      <c r="N7" s="362"/>
      <c r="O7" s="360" t="str">
        <f aca="false">Import.Apelido</f>
        <v>Pavimentação MG-446</v>
      </c>
      <c r="P7" s="360"/>
      <c r="Q7" s="360"/>
      <c r="R7" s="360"/>
      <c r="S7" s="360"/>
      <c r="T7" s="360"/>
      <c r="U7" s="360"/>
      <c r="V7" s="360" t="str">
        <f aca="false">IF(TIPOORCAMENTO="Licitado",Import.empresa,Import.DescLote)</f>
        <v>Pavimentação MG-446</v>
      </c>
      <c r="W7" s="360"/>
      <c r="X7" s="360"/>
      <c r="Y7" s="360"/>
      <c r="Z7" s="360"/>
      <c r="AA7" s="360"/>
      <c r="AB7" s="360"/>
      <c r="AC7" s="360"/>
      <c r="AD7" s="360"/>
      <c r="AE7" s="346" t="str">
        <f aca="false">IF(TIPOORCAMENTO="Licitado",Import.CTEF,"")</f>
        <v/>
      </c>
      <c r="AF7" s="346"/>
      <c r="AG7" s="14"/>
    </row>
    <row r="9" customFormat="false" ht="15" hidden="false" customHeight="false" outlineLevel="0" collapsed="false">
      <c r="A9" s="276" t="n">
        <v>0</v>
      </c>
      <c r="B9" s="452"/>
      <c r="C9" s="452"/>
      <c r="I9" s="453" t="s">
        <v>422</v>
      </c>
      <c r="J9" s="454" t="n">
        <v>1</v>
      </c>
      <c r="K9" s="454"/>
      <c r="M9" s="453" t="s">
        <v>412</v>
      </c>
      <c r="N9" s="455" t="str">
        <f aca="true">TEXT(IF(PLE.Medicao=1,Import.DataInicioObra,OFFSET($H$68,0,1+(PLE.Medicao-$I$69)*2-2)+1),"dd/mm/aaaa")&amp;" a "&amp;TEXT(OFFSET($H$68,0,1+(PLE.Medicao-$I$69)*2),"dd/mm/aaaa")</f>
        <v>28/10/Shabbat a 28/10/Shabbat</v>
      </c>
      <c r="O9" s="455"/>
      <c r="P9" s="455"/>
      <c r="Q9" s="455"/>
      <c r="R9" s="455"/>
      <c r="S9" s="455"/>
      <c r="T9" s="455"/>
      <c r="U9" s="456"/>
      <c r="X9" s="453" t="s">
        <v>423</v>
      </c>
      <c r="Y9" s="457" t="e">
        <f aca="true">OFFSET($I$69,1+8*(ROUNDUP(($J$9-0)/((COLUMN($AG$14)-COLUMN($G$14)-1)/25*12),0)-1),ROUNDDOWN((($J$9-0)-OFFSET($I$69,8*(ROUNDUP(($J$9-0)/((COLUMN($AG$14)-COLUMN($G$14)-1)/25*12),0)-1),0))*(2+1/12),0))</f>
        <v>#DIV/0!</v>
      </c>
      <c r="Z9" s="457"/>
      <c r="AD9" s="453" t="s">
        <v>424</v>
      </c>
      <c r="AE9" s="457" t="e">
        <f aca="true">OFFSET($I$69,3+8*(ROUNDUP(($J$9-0)/((COLUMN($AG$14)-COLUMN($G$14)-1)/25*12),0)-1),ROUNDDOWN((($J$9-0)-OFFSET($I$69,8*(ROUNDUP(($J$9-0)/((COLUMN($AG$14)-COLUMN($G$14)-1)/25*12),0)-1),0))*(2+1/12),0))</f>
        <v>#DIV/0!</v>
      </c>
      <c r="AF9" s="457"/>
    </row>
    <row r="11" customFormat="false" ht="65.25" hidden="false" customHeight="true" outlineLevel="0" collapsed="false">
      <c r="A11" s="432" t="s">
        <v>425</v>
      </c>
      <c r="C11" s="458" t="str">
        <f aca="false">IF(TIPOORCAMENTO="proposto","ALTERE O TIPO DE ORÇAMENTO NA ABA 'MENU' PARA LICITADO.",IF(ACOMPANHAMENTO="BM","FOI SELECIONADO NA ABA 'MENU' O ACOMPANHAMENTO POR BM.",""))</f>
        <v>ALTERE O TIPO DE ORÇAMENTO NA ABA 'MENU' PARA LICITADO.</v>
      </c>
      <c r="D11" s="458"/>
      <c r="F11" s="434" t="str">
        <f aca="true">IF(F$12&gt;CÁLCULO.NúmeroDeFrentes,"",OFFSET(CÁLCULO!$P$12,0,F$12))</f>
        <v>Estaca 70 -95</v>
      </c>
      <c r="H11" s="434" t="str">
        <f aca="true">IF(H$12&gt;CÁLCULO.NúmeroDeFrentes,"",OFFSET(CÁLCULO!$P$12,0,H$12))</f>
        <v>Estaca 70 -95</v>
      </c>
      <c r="I11" s="434" t="n">
        <f aca="true">IF(I$12&gt;CÁLCULO.NúmeroDeFrentes,"",OFFSET(CÁLCULO!$P$12,0,I$12))</f>
        <v>0</v>
      </c>
      <c r="J11" s="434" t="n">
        <f aca="true">IF(J$12&gt;CÁLCULO.NúmeroDeFrentes,"",OFFSET(CÁLCULO!$P$12,0,J$12))</f>
        <v>0</v>
      </c>
      <c r="K11" s="434" t="n">
        <f aca="true">IF(K$12&gt;CÁLCULO.NúmeroDeFrentes,"",OFFSET(CÁLCULO!$P$12,0,K$12))</f>
        <v>0</v>
      </c>
      <c r="L11" s="434" t="n">
        <f aca="true">IF(L$12&gt;CÁLCULO.NúmeroDeFrentes,"",OFFSET(CÁLCULO!$P$12,0,L$12))</f>
        <v>0</v>
      </c>
      <c r="M11" s="434" t="n">
        <f aca="true">IF(M$12&gt;CÁLCULO.NúmeroDeFrentes,"",OFFSET(CÁLCULO!$P$12,0,M$12))</f>
        <v>0</v>
      </c>
      <c r="N11" s="434" t="n">
        <f aca="true">IF(N$12&gt;CÁLCULO.NúmeroDeFrentes,"",OFFSET(CÁLCULO!$P$12,0,N$12))</f>
        <v>0</v>
      </c>
      <c r="O11" s="434" t="n">
        <f aca="true">IF(O$12&gt;CÁLCULO.NúmeroDeFrentes,"",OFFSET(CÁLCULO!$P$12,0,O$12))</f>
        <v>0</v>
      </c>
      <c r="P11" s="434" t="n">
        <f aca="true">IF(P$12&gt;CÁLCULO.NúmeroDeFrentes,"",OFFSET(CÁLCULO!$P$12,0,P$12))</f>
        <v>0</v>
      </c>
      <c r="Q11" s="434" t="n">
        <f aca="true">IF(Q$12&gt;CÁLCULO.NúmeroDeFrentes,"",OFFSET(CÁLCULO!$P$12,0,Q$12))</f>
        <v>0</v>
      </c>
      <c r="R11" s="434" t="str">
        <f aca="true">IF(R$12&gt;CÁLCULO.NúmeroDeFrentes,"",OFFSET(CÁLCULO!$P$12,0,R$12))</f>
        <v/>
      </c>
      <c r="S11" s="434" t="str">
        <f aca="true">IF(S$12&gt;CÁLCULO.NúmeroDeFrentes,"",OFFSET(CÁLCULO!$P$12,0,S$12))</f>
        <v/>
      </c>
      <c r="T11" s="434" t="str">
        <f aca="true">IF(T$12&gt;CÁLCULO.NúmeroDeFrentes,"",OFFSET(CÁLCULO!$P$12,0,T$12))</f>
        <v/>
      </c>
      <c r="U11" s="434" t="str">
        <f aca="true">IF(U$12&gt;CÁLCULO.NúmeroDeFrentes,"",OFFSET(CÁLCULO!$P$12,0,U$12))</f>
        <v/>
      </c>
      <c r="V11" s="434" t="str">
        <f aca="true">IF(V$12&gt;CÁLCULO.NúmeroDeFrentes,"",OFFSET(CÁLCULO!$P$12,0,V$12))</f>
        <v/>
      </c>
      <c r="W11" s="434" t="str">
        <f aca="true">IF(W$12&gt;CÁLCULO.NúmeroDeFrentes,"",OFFSET(CÁLCULO!$P$12,0,W$12))</f>
        <v/>
      </c>
      <c r="X11" s="434" t="str">
        <f aca="true">IF(X$12&gt;CÁLCULO.NúmeroDeFrentes,"",OFFSET(CÁLCULO!$P$12,0,X$12))</f>
        <v/>
      </c>
      <c r="Y11" s="434" t="str">
        <f aca="true">IF(Y$12&gt;CÁLCULO.NúmeroDeFrentes,"",OFFSET(CÁLCULO!$P$12,0,Y$12))</f>
        <v/>
      </c>
      <c r="Z11" s="434" t="str">
        <f aca="true">IF(Z$12&gt;CÁLCULO.NúmeroDeFrentes,"",OFFSET(CÁLCULO!$P$12,0,Z$12))</f>
        <v/>
      </c>
      <c r="AA11" s="434" t="str">
        <f aca="true">IF(AA$12&gt;CÁLCULO.NúmeroDeFrentes,"",OFFSET(CÁLCULO!$P$12,0,AA$12))</f>
        <v/>
      </c>
      <c r="AB11" s="434" t="str">
        <f aca="true">IF(AB$12&gt;CÁLCULO.NúmeroDeFrentes,"",OFFSET(CÁLCULO!$P$12,0,AB$12))</f>
        <v/>
      </c>
      <c r="AC11" s="434" t="str">
        <f aca="true">IF(AC$12&gt;CÁLCULO.NúmeroDeFrentes,"",OFFSET(CÁLCULO!$P$12,0,AC$12))</f>
        <v/>
      </c>
      <c r="AD11" s="434" t="str">
        <f aca="true">IF(AD$12&gt;CÁLCULO.NúmeroDeFrentes,"",OFFSET(CÁLCULO!$P$12,0,AD$12))</f>
        <v/>
      </c>
      <c r="AE11" s="434" t="str">
        <f aca="true">IF(AE$12&gt;CÁLCULO.NúmeroDeFrentes,"",OFFSET(CÁLCULO!$P$12,0,AE$12))</f>
        <v/>
      </c>
      <c r="AF11" s="434" t="str">
        <f aca="true">IF(AF$12&gt;CÁLCULO.NúmeroDeFrentes,"",OFFSET(CÁLCULO!$P$12,0,AF$12))</f>
        <v/>
      </c>
    </row>
    <row r="12" customFormat="false" ht="12.75" hidden="false" customHeight="true" outlineLevel="0" collapsed="false">
      <c r="A12" s="97" t="s">
        <v>204</v>
      </c>
      <c r="B12" s="435" t="s">
        <v>392</v>
      </c>
      <c r="C12" s="435" t="s">
        <v>419</v>
      </c>
      <c r="D12" s="435"/>
      <c r="F12" s="436" t="n">
        <f aca="true">OFFSET(F12,0,-1)+1</f>
        <v>1</v>
      </c>
      <c r="H12" s="436" t="n">
        <f aca="true">OFFSET(H12,0,-1)+1</f>
        <v>1</v>
      </c>
      <c r="I12" s="436" t="n">
        <f aca="true">OFFSET(I12,0,-1)+1</f>
        <v>2</v>
      </c>
      <c r="J12" s="436" t="n">
        <f aca="true">OFFSET(J12,0,-1)+1</f>
        <v>3</v>
      </c>
      <c r="K12" s="436" t="n">
        <f aca="true">OFFSET(K12,0,-1)+1</f>
        <v>4</v>
      </c>
      <c r="L12" s="436" t="n">
        <f aca="true">OFFSET(L12,0,-1)+1</f>
        <v>5</v>
      </c>
      <c r="M12" s="436" t="n">
        <f aca="true">OFFSET(M12,0,-1)+1</f>
        <v>6</v>
      </c>
      <c r="N12" s="436" t="n">
        <f aca="true">OFFSET(N12,0,-1)+1</f>
        <v>7</v>
      </c>
      <c r="O12" s="436" t="n">
        <f aca="true">OFFSET(O12,0,-1)+1</f>
        <v>8</v>
      </c>
      <c r="P12" s="436" t="n">
        <f aca="true">OFFSET(P12,0,-1)+1</f>
        <v>9</v>
      </c>
      <c r="Q12" s="436" t="n">
        <f aca="true">OFFSET(Q12,0,-1)+1</f>
        <v>10</v>
      </c>
      <c r="R12" s="436" t="n">
        <f aca="true">OFFSET(R12,0,-1)+1</f>
        <v>11</v>
      </c>
      <c r="S12" s="436" t="n">
        <f aca="true">OFFSET(S12,0,-1)+1</f>
        <v>12</v>
      </c>
      <c r="T12" s="436" t="n">
        <f aca="true">OFFSET(T12,0,-1)+1</f>
        <v>13</v>
      </c>
      <c r="U12" s="436" t="n">
        <f aca="true">OFFSET(U12,0,-1)+1</f>
        <v>14</v>
      </c>
      <c r="V12" s="436" t="n">
        <f aca="true">OFFSET(V12,0,-1)+1</f>
        <v>15</v>
      </c>
      <c r="W12" s="436" t="n">
        <f aca="true">OFFSET(W12,0,-1)+1</f>
        <v>16</v>
      </c>
      <c r="X12" s="436" t="n">
        <f aca="true">OFFSET(X12,0,-1)+1</f>
        <v>17</v>
      </c>
      <c r="Y12" s="436" t="n">
        <f aca="true">OFFSET(Y12,0,-1)+1</f>
        <v>18</v>
      </c>
      <c r="Z12" s="436" t="n">
        <f aca="true">OFFSET(Z12,0,-1)+1</f>
        <v>19</v>
      </c>
      <c r="AA12" s="436" t="n">
        <f aca="true">OFFSET(AA12,0,-1)+1</f>
        <v>20</v>
      </c>
      <c r="AB12" s="436" t="n">
        <f aca="true">OFFSET(AB12,0,-1)+1</f>
        <v>21</v>
      </c>
      <c r="AC12" s="436" t="n">
        <f aca="true">OFFSET(AC12,0,-1)+1</f>
        <v>22</v>
      </c>
      <c r="AD12" s="436" t="n">
        <f aca="true">OFFSET(AD12,0,-1)+1</f>
        <v>23</v>
      </c>
      <c r="AE12" s="436" t="n">
        <f aca="true">OFFSET(AE12,0,-1)+1</f>
        <v>24</v>
      </c>
      <c r="AF12" s="436" t="n">
        <f aca="true">OFFSET(AF12,0,-1)+1</f>
        <v>25</v>
      </c>
    </row>
    <row r="13" customFormat="false" ht="12.75" hidden="false" customHeight="false" outlineLevel="0" collapsed="false">
      <c r="B13" s="435"/>
      <c r="C13" s="435"/>
      <c r="D13" s="435"/>
      <c r="F13" s="438"/>
      <c r="H13" s="438"/>
      <c r="I13" s="437"/>
      <c r="J13" s="437"/>
      <c r="K13" s="437"/>
      <c r="L13" s="437"/>
      <c r="M13" s="437"/>
      <c r="N13" s="437" t="s">
        <v>426</v>
      </c>
      <c r="O13" s="437"/>
      <c r="P13" s="437"/>
      <c r="Q13" s="437"/>
      <c r="R13" s="437"/>
      <c r="S13" s="437"/>
      <c r="T13" s="437"/>
      <c r="U13" s="437"/>
      <c r="V13" s="437"/>
      <c r="W13" s="437"/>
      <c r="X13" s="437"/>
      <c r="Y13" s="437"/>
      <c r="Z13" s="437"/>
      <c r="AA13" s="437"/>
      <c r="AB13" s="437"/>
      <c r="AC13" s="437"/>
      <c r="AD13" s="437"/>
      <c r="AE13" s="437"/>
      <c r="AF13" s="439"/>
    </row>
    <row r="14" customFormat="false" ht="7.5" hidden="false" customHeight="true" outlineLevel="0" collapsed="false">
      <c r="A14" s="34" t="s">
        <v>206</v>
      </c>
    </row>
    <row r="15" customFormat="false" ht="12.75" hidden="false" customHeight="false" outlineLevel="0" collapsed="false">
      <c r="A15" s="34" t="str">
        <f aca="true">IF(AND(AUTOEVENTO="Manual",OFFSET(EVENTOS!$F$14,1,0)&gt;0),"F","")</f>
        <v/>
      </c>
      <c r="B15" s="440" t="n">
        <v>1</v>
      </c>
      <c r="C15" s="441" t="s">
        <v>395</v>
      </c>
      <c r="D15" s="441"/>
      <c r="F15" s="443"/>
      <c r="H15" s="443" t="str">
        <f aca="false">IF(AUTOEVENTO="MANUAL","A administração local será proporcional a execução dos demais eventos, independente de frentes de obra.","Para aplicação de Adm. Local é necessário definir os eventos manualmente.")</f>
        <v>A administração local será proporcional a execução dos demais eventos, independente de frentes de obra.</v>
      </c>
      <c r="I15" s="442"/>
      <c r="J15" s="442"/>
      <c r="K15" s="442"/>
      <c r="L15" s="442"/>
      <c r="M15" s="442"/>
      <c r="N15" s="442"/>
      <c r="O15" s="442"/>
      <c r="P15" s="442"/>
      <c r="Q15" s="442"/>
      <c r="R15" s="442"/>
      <c r="S15" s="442"/>
      <c r="T15" s="442"/>
      <c r="U15" s="442"/>
      <c r="V15" s="442"/>
      <c r="W15" s="442"/>
      <c r="X15" s="442"/>
      <c r="Y15" s="442"/>
      <c r="Z15" s="442"/>
      <c r="AA15" s="442"/>
      <c r="AB15" s="442"/>
      <c r="AC15" s="442"/>
      <c r="AD15" s="442"/>
      <c r="AE15" s="442"/>
      <c r="AF15" s="444"/>
    </row>
    <row r="16" customFormat="false" ht="12.75" hidden="false" customHeight="false" outlineLevel="0" collapsed="false">
      <c r="A16" s="34" t="str">
        <f aca="true">IF(AUTOEVENTO="Manual",IF(OFFSET(EVENTOS!$F$14,PLE!$B16,0)&gt;0,"F",""),IF(PLE!B16&lt;=MAX(CÁLCULO!$M$15:$M$59),"F",""))</f>
        <v/>
      </c>
      <c r="B16" s="428" t="n">
        <f aca="true">OFFSET(B16,-1,0)+1</f>
        <v>2</v>
      </c>
      <c r="C16" s="429" t="str">
        <f aca="true">IF(AUTOEVENTO="Manual",IF($B16&lt;&gt;1,OFFSET(EVENTOS!$D$14,$B16,0),0),IF(B16&lt;=MAX(CÁLCULO!$M$15:$M$59),VLOOKUP($B16,CÁLCULO!$M$15:$N$59,2,FALSE()),0))</f>
        <v>Serviços Iniciais</v>
      </c>
      <c r="D16" s="429"/>
      <c r="F16" s="430"/>
      <c r="H16" s="430"/>
      <c r="I16" s="430"/>
      <c r="J16" s="430"/>
      <c r="K16" s="430"/>
      <c r="L16" s="430"/>
      <c r="M16" s="430"/>
      <c r="N16" s="430"/>
      <c r="O16" s="430"/>
      <c r="P16" s="430"/>
      <c r="Q16" s="430"/>
      <c r="R16" s="430"/>
      <c r="S16" s="430"/>
      <c r="T16" s="430"/>
      <c r="U16" s="430"/>
      <c r="V16" s="430"/>
      <c r="W16" s="430"/>
      <c r="X16" s="430"/>
      <c r="Y16" s="430"/>
      <c r="Z16" s="430"/>
      <c r="AA16" s="430"/>
      <c r="AB16" s="430"/>
      <c r="AC16" s="430"/>
      <c r="AD16" s="430"/>
      <c r="AE16" s="430"/>
      <c r="AF16" s="430"/>
    </row>
    <row r="17" customFormat="false" ht="12.75" hidden="false" customHeight="false" outlineLevel="0" collapsed="false">
      <c r="A17" s="34" t="str">
        <f aca="true">IF(AUTOEVENTO="Manual",IF(OFFSET(EVENTOS!$F$14,PLE!$B17,0)&gt;0,"F",""),IF(PLE!B17&lt;=MAX(CÁLCULO!$M$15:$M$59),"F",""))</f>
        <v/>
      </c>
      <c r="B17" s="428" t="n">
        <f aca="true">OFFSET(B17,-1,0)+1</f>
        <v>3</v>
      </c>
      <c r="C17" s="429" t="str">
        <f aca="true">IF(AUTOEVENTO="Manual",IF($B17&lt;&gt;1,OFFSET(EVENTOS!$D$14,$B17,0),0),IF(B17&lt;=MAX(CÁLCULO!$M$15:$M$59),VLOOKUP($B17,CÁLCULO!$M$15:$N$59,2,FALSE()),0))</f>
        <v>Canteiro</v>
      </c>
      <c r="D17" s="429"/>
      <c r="F17" s="430"/>
      <c r="H17" s="430"/>
      <c r="I17" s="430"/>
      <c r="J17" s="430"/>
      <c r="K17" s="430"/>
      <c r="L17" s="430"/>
      <c r="M17" s="430"/>
      <c r="N17" s="430"/>
      <c r="O17" s="430"/>
      <c r="P17" s="430"/>
      <c r="Q17" s="430"/>
      <c r="R17" s="430"/>
      <c r="S17" s="430"/>
      <c r="T17" s="430"/>
      <c r="U17" s="430"/>
      <c r="V17" s="430"/>
      <c r="W17" s="430"/>
      <c r="X17" s="430"/>
      <c r="Y17" s="430"/>
      <c r="Z17" s="430"/>
      <c r="AA17" s="430"/>
      <c r="AB17" s="430"/>
      <c r="AC17" s="430"/>
      <c r="AD17" s="430"/>
      <c r="AE17" s="430"/>
      <c r="AF17" s="430"/>
    </row>
    <row r="18" customFormat="false" ht="12.75" hidden="false" customHeight="false" outlineLevel="0" collapsed="false">
      <c r="A18" s="34" t="str">
        <f aca="true">IF(AUTOEVENTO="Manual",IF(OFFSET(EVENTOS!$F$14,PLE!$B18,0)&gt;0,"F",""),IF(PLE!B18&lt;=MAX(CÁLCULO!$M$15:$M$59),"F",""))</f>
        <v/>
      </c>
      <c r="B18" s="428" t="n">
        <f aca="true">OFFSET(B18,-1,0)+1</f>
        <v>4</v>
      </c>
      <c r="C18" s="429" t="str">
        <f aca="true">IF(AUTOEVENTO="Manual",IF($B18&lt;&gt;1,OFFSET(EVENTOS!$D$14,$B18,0),0),IF(B18&lt;=MAX(CÁLCULO!$M$15:$M$59),VLOOKUP($B18,CÁLCULO!$M$15:$N$59,2,FALSE()),0))</f>
        <v>Mobilização e Desmobilização</v>
      </c>
      <c r="D18" s="429"/>
      <c r="F18" s="430"/>
      <c r="H18" s="430"/>
      <c r="I18" s="430"/>
      <c r="J18" s="430"/>
      <c r="K18" s="430"/>
      <c r="L18" s="430"/>
      <c r="M18" s="430"/>
      <c r="N18" s="430"/>
      <c r="O18" s="430"/>
      <c r="P18" s="430"/>
      <c r="Q18" s="430"/>
      <c r="R18" s="430"/>
      <c r="S18" s="430"/>
      <c r="T18" s="430"/>
      <c r="U18" s="430"/>
      <c r="V18" s="430"/>
      <c r="W18" s="430"/>
      <c r="X18" s="430"/>
      <c r="Y18" s="430"/>
      <c r="Z18" s="430"/>
      <c r="AA18" s="430"/>
      <c r="AB18" s="430"/>
      <c r="AC18" s="430"/>
      <c r="AD18" s="430"/>
      <c r="AE18" s="430"/>
      <c r="AF18" s="430"/>
    </row>
    <row r="19" customFormat="false" ht="12.75" hidden="false" customHeight="false" outlineLevel="0" collapsed="false">
      <c r="A19" s="34" t="str">
        <f aca="true">IF(AUTOEVENTO="Manual",IF(OFFSET(EVENTOS!$F$14,PLE!$B19,0)&gt;0,"F",""),IF(PLE!B19&lt;=MAX(CÁLCULO!$M$15:$M$59),"F",""))</f>
        <v/>
      </c>
      <c r="B19" s="428" t="n">
        <f aca="true">OFFSET(B19,-1,0)+1</f>
        <v>5</v>
      </c>
      <c r="C19" s="429" t="str">
        <f aca="true">IF(AUTOEVENTO="Manual",IF($B19&lt;&gt;1,OFFSET(EVENTOS!$D$14,$B19,0),0),IF(B19&lt;=MAX(CÁLCULO!$M$15:$M$59),VLOOKUP($B19,CÁLCULO!$M$15:$N$59,2,FALSE()),0))</f>
        <v>Terraplanagem</v>
      </c>
      <c r="D19" s="429"/>
      <c r="F19" s="430"/>
      <c r="H19" s="430"/>
      <c r="I19" s="430"/>
      <c r="J19" s="430"/>
      <c r="K19" s="430"/>
      <c r="L19" s="430"/>
      <c r="M19" s="430"/>
      <c r="N19" s="430"/>
      <c r="O19" s="430"/>
      <c r="P19" s="430"/>
      <c r="Q19" s="430"/>
      <c r="R19" s="430"/>
      <c r="S19" s="430"/>
      <c r="T19" s="430"/>
      <c r="U19" s="430"/>
      <c r="V19" s="430"/>
      <c r="W19" s="430"/>
      <c r="X19" s="430"/>
      <c r="Y19" s="430"/>
      <c r="Z19" s="430"/>
      <c r="AA19" s="430"/>
      <c r="AB19" s="430"/>
      <c r="AC19" s="430"/>
      <c r="AD19" s="430"/>
      <c r="AE19" s="430"/>
      <c r="AF19" s="430"/>
    </row>
    <row r="20" customFormat="false" ht="12.75" hidden="false" customHeight="false" outlineLevel="0" collapsed="false">
      <c r="A20" s="34" t="str">
        <f aca="true">IF(AUTOEVENTO="Manual",IF(OFFSET(EVENTOS!$F$14,PLE!$B20,0)&gt;0,"F",""),IF(PLE!B20&lt;=MAX(CÁLCULO!$M$15:$M$59),"F",""))</f>
        <v/>
      </c>
      <c r="B20" s="428" t="n">
        <f aca="true">OFFSET(B20,-1,0)+1</f>
        <v>6</v>
      </c>
      <c r="C20" s="429" t="str">
        <f aca="true">IF(AUTOEVENTO="Manual",IF($B20&lt;&gt;1,OFFSET(EVENTOS!$D$14,$B20,0),0),IF(B20&lt;=MAX(CÁLCULO!$M$15:$M$59),VLOOKUP($B20,CÁLCULO!$M$15:$N$59,2,FALSE()),0))</f>
        <v>Subbase</v>
      </c>
      <c r="D20" s="429"/>
      <c r="F20" s="430"/>
      <c r="H20" s="430"/>
      <c r="I20" s="430"/>
      <c r="J20" s="430"/>
      <c r="K20" s="430"/>
      <c r="L20" s="430"/>
      <c r="M20" s="430"/>
      <c r="N20" s="430"/>
      <c r="O20" s="430"/>
      <c r="P20" s="430"/>
      <c r="Q20" s="430"/>
      <c r="R20" s="430"/>
      <c r="S20" s="430"/>
      <c r="T20" s="430"/>
      <c r="U20" s="430"/>
      <c r="V20" s="430"/>
      <c r="W20" s="430"/>
      <c r="X20" s="430"/>
      <c r="Y20" s="430"/>
      <c r="Z20" s="430"/>
      <c r="AA20" s="430"/>
      <c r="AB20" s="430"/>
      <c r="AC20" s="430"/>
      <c r="AD20" s="430"/>
      <c r="AE20" s="430"/>
      <c r="AF20" s="430"/>
    </row>
    <row r="21" customFormat="false" ht="12.75" hidden="false" customHeight="false" outlineLevel="0" collapsed="false">
      <c r="A21" s="34" t="str">
        <f aca="true">IF(AUTOEVENTO="Manual",IF(OFFSET(EVENTOS!$F$14,PLE!$B21,0)&gt;0,"F",""),IF(PLE!B21&lt;=MAX(CÁLCULO!$M$15:$M$59),"F",""))</f>
        <v/>
      </c>
      <c r="B21" s="428" t="n">
        <f aca="true">OFFSET(B21,-1,0)+1</f>
        <v>7</v>
      </c>
      <c r="C21" s="429" t="str">
        <f aca="true">IF(AUTOEVENTO="Manual",IF($B21&lt;&gt;1,OFFSET(EVENTOS!$D$14,$B21,0),0),IF(B21&lt;=MAX(CÁLCULO!$M$15:$M$59),VLOOKUP($B21,CÁLCULO!$M$15:$N$59,2,FALSE()),0))</f>
        <v>Base</v>
      </c>
      <c r="D21" s="429"/>
      <c r="F21" s="430"/>
      <c r="H21" s="430"/>
      <c r="I21" s="430"/>
      <c r="J21" s="430"/>
      <c r="K21" s="430"/>
      <c r="L21" s="430"/>
      <c r="M21" s="430"/>
      <c r="N21" s="430"/>
      <c r="O21" s="430"/>
      <c r="P21" s="430"/>
      <c r="Q21" s="430"/>
      <c r="R21" s="430"/>
      <c r="S21" s="430"/>
      <c r="T21" s="430"/>
      <c r="U21" s="430"/>
      <c r="V21" s="430"/>
      <c r="W21" s="430"/>
      <c r="X21" s="430"/>
      <c r="Y21" s="430"/>
      <c r="Z21" s="430"/>
      <c r="AA21" s="430"/>
      <c r="AB21" s="430"/>
      <c r="AC21" s="430"/>
      <c r="AD21" s="430"/>
      <c r="AE21" s="430"/>
      <c r="AF21" s="430"/>
    </row>
    <row r="22" customFormat="false" ht="12.75" hidden="false" customHeight="false" outlineLevel="0" collapsed="false">
      <c r="A22" s="34" t="str">
        <f aca="true">IF(AUTOEVENTO="Manual",IF(OFFSET(EVENTOS!$F$14,PLE!$B22,0)&gt;0,"F",""),IF(PLE!B22&lt;=MAX(CÁLCULO!$M$15:$M$59),"F",""))</f>
        <v/>
      </c>
      <c r="B22" s="428" t="n">
        <f aca="true">OFFSET(B22,-1,0)+1</f>
        <v>8</v>
      </c>
      <c r="C22" s="429" t="str">
        <f aca="true">IF(AUTOEVENTO="Manual",IF($B22&lt;&gt;1,OFFSET(EVENTOS!$D$14,$B22,0),0),IF(B22&lt;=MAX(CÁLCULO!$M$15:$M$59),VLOOKUP($B22,CÁLCULO!$M$15:$N$59,2,FALSE()),0))</f>
        <v>Concreto Asfáltico</v>
      </c>
      <c r="D22" s="429"/>
      <c r="F22" s="430"/>
      <c r="H22" s="430"/>
      <c r="I22" s="430"/>
      <c r="J22" s="430"/>
      <c r="K22" s="430"/>
      <c r="L22" s="430"/>
      <c r="M22" s="430"/>
      <c r="N22" s="430"/>
      <c r="O22" s="430"/>
      <c r="P22" s="430"/>
      <c r="Q22" s="430"/>
      <c r="R22" s="430"/>
      <c r="S22" s="430"/>
      <c r="T22" s="430"/>
      <c r="U22" s="430"/>
      <c r="V22" s="430"/>
      <c r="W22" s="430"/>
      <c r="X22" s="430"/>
      <c r="Y22" s="430"/>
      <c r="Z22" s="430"/>
      <c r="AA22" s="430"/>
      <c r="AB22" s="430"/>
      <c r="AC22" s="430"/>
      <c r="AD22" s="430"/>
      <c r="AE22" s="430"/>
      <c r="AF22" s="430"/>
    </row>
    <row r="23" customFormat="false" ht="12.75" hidden="false" customHeight="false" outlineLevel="0" collapsed="false">
      <c r="A23" s="34" t="str">
        <f aca="true">IF(AUTOEVENTO="Manual",IF(OFFSET(EVENTOS!$F$14,PLE!$B23,0)&gt;0,"F",""),IF(PLE!B23&lt;=MAX(CÁLCULO!$M$15:$M$59),"F",""))</f>
        <v/>
      </c>
      <c r="B23" s="428" t="n">
        <f aca="true">OFFSET(B23,-1,0)+1</f>
        <v>9</v>
      </c>
      <c r="C23" s="429" t="str">
        <f aca="true">IF(AUTOEVENTO="Manual",IF($B23&lt;&gt;1,OFFSET(EVENTOS!$D$14,$B23,0),0),IF(B23&lt;=MAX(CÁLCULO!$M$15:$M$59),VLOOKUP($B23,CÁLCULO!$M$15:$N$59,2,FALSE()),0))</f>
        <v>Drenagem</v>
      </c>
      <c r="D23" s="429"/>
      <c r="F23" s="430"/>
      <c r="H23" s="430"/>
      <c r="I23" s="430"/>
      <c r="J23" s="430"/>
      <c r="K23" s="430"/>
      <c r="L23" s="430"/>
      <c r="M23" s="430"/>
      <c r="N23" s="430"/>
      <c r="O23" s="430"/>
      <c r="P23" s="430"/>
      <c r="Q23" s="430"/>
      <c r="R23" s="430"/>
      <c r="S23" s="430"/>
      <c r="T23" s="430"/>
      <c r="U23" s="430"/>
      <c r="V23" s="430"/>
      <c r="W23" s="430"/>
      <c r="X23" s="430"/>
      <c r="Y23" s="430"/>
      <c r="Z23" s="430"/>
      <c r="AA23" s="430"/>
      <c r="AB23" s="430"/>
      <c r="AC23" s="430"/>
      <c r="AD23" s="430"/>
      <c r="AE23" s="430"/>
      <c r="AF23" s="430"/>
    </row>
    <row r="24" customFormat="false" ht="12.75" hidden="false" customHeight="false" outlineLevel="0" collapsed="false">
      <c r="A24" s="34" t="str">
        <f aca="true">IF(AUTOEVENTO="Manual",IF(OFFSET(EVENTOS!$F$14,PLE!$B24,0)&gt;0,"F",""),IF(PLE!B24&lt;=MAX(CÁLCULO!$M$15:$M$59),"F",""))</f>
        <v/>
      </c>
      <c r="B24" s="428" t="n">
        <f aca="true">OFFSET(B24,-1,0)+1</f>
        <v>10</v>
      </c>
      <c r="C24" s="429" t="str">
        <f aca="true">IF(AUTOEVENTO="Manual",IF($B24&lt;&gt;1,OFFSET(EVENTOS!$D$14,$B24,0),0),IF(B24&lt;=MAX(CÁLCULO!$M$15:$M$59),VLOOKUP($B24,CÁLCULO!$M$15:$N$59,2,FALSE()),0))</f>
        <v>Sinalização</v>
      </c>
      <c r="D24" s="429"/>
      <c r="F24" s="430"/>
      <c r="H24" s="430"/>
      <c r="I24" s="430"/>
      <c r="J24" s="430"/>
      <c r="K24" s="430"/>
      <c r="L24" s="430"/>
      <c r="M24" s="430"/>
      <c r="N24" s="430"/>
      <c r="O24" s="430"/>
      <c r="P24" s="430"/>
      <c r="Q24" s="430"/>
      <c r="R24" s="430"/>
      <c r="S24" s="430"/>
      <c r="T24" s="430"/>
      <c r="U24" s="430"/>
      <c r="V24" s="430"/>
      <c r="W24" s="430"/>
      <c r="X24" s="430"/>
      <c r="Y24" s="430"/>
      <c r="Z24" s="430"/>
      <c r="AA24" s="430"/>
      <c r="AB24" s="430"/>
      <c r="AC24" s="430"/>
      <c r="AD24" s="430"/>
      <c r="AE24" s="430"/>
      <c r="AF24" s="430"/>
    </row>
    <row r="25" customFormat="false" ht="12.75" hidden="false" customHeight="false" outlineLevel="0" collapsed="false">
      <c r="A25" s="34" t="str">
        <f aca="true">IF(AUTOEVENTO="Manual",IF(OFFSET(EVENTOS!$F$14,PLE!$B25,0)&gt;0,"F",""),IF(PLE!B25&lt;=MAX(CÁLCULO!$M$15:$M$59),"F",""))</f>
        <v/>
      </c>
      <c r="B25" s="428" t="n">
        <f aca="true">OFFSET(B25,-1,0)+1</f>
        <v>11</v>
      </c>
      <c r="C25" s="429" t="n">
        <f aca="true">IF(AUTOEVENTO="Manual",IF($B25&lt;&gt;1,OFFSET(EVENTOS!$D$14,$B25,0),0),IF(B25&lt;=MAX(CÁLCULO!$M$15:$M$59),VLOOKUP($B25,CÁLCULO!$M$15:$N$59,2,FALSE()),0))</f>
        <v>0</v>
      </c>
      <c r="D25" s="429"/>
      <c r="F25" s="430"/>
      <c r="H25" s="430"/>
      <c r="I25" s="430"/>
      <c r="J25" s="430"/>
      <c r="K25" s="430"/>
      <c r="L25" s="430"/>
      <c r="M25" s="430"/>
      <c r="N25" s="430"/>
      <c r="O25" s="430"/>
      <c r="P25" s="430"/>
      <c r="Q25" s="430"/>
      <c r="R25" s="430"/>
      <c r="S25" s="430"/>
      <c r="T25" s="430"/>
      <c r="U25" s="430"/>
      <c r="V25" s="430"/>
      <c r="W25" s="430"/>
      <c r="X25" s="430"/>
      <c r="Y25" s="430"/>
      <c r="Z25" s="430"/>
      <c r="AA25" s="430"/>
      <c r="AB25" s="430"/>
      <c r="AC25" s="430"/>
      <c r="AD25" s="430"/>
      <c r="AE25" s="430"/>
      <c r="AF25" s="430"/>
    </row>
    <row r="26" customFormat="false" ht="12.75" hidden="false" customHeight="false" outlineLevel="0" collapsed="false">
      <c r="A26" s="34" t="str">
        <f aca="true">IF(AUTOEVENTO="Manual",IF(OFFSET(EVENTOS!$F$14,PLE!$B26,0)&gt;0,"F",""),IF(PLE!B26&lt;=MAX(CÁLCULO!$M$15:$M$59),"F",""))</f>
        <v/>
      </c>
      <c r="B26" s="428" t="n">
        <f aca="true">OFFSET(B26,-1,0)+1</f>
        <v>12</v>
      </c>
      <c r="C26" s="429" t="n">
        <f aca="true">IF(AUTOEVENTO="Manual",IF($B26&lt;&gt;1,OFFSET(EVENTOS!$D$14,$B26,0),0),IF(B26&lt;=MAX(CÁLCULO!$M$15:$M$59),VLOOKUP($B26,CÁLCULO!$M$15:$N$59,2,FALSE()),0))</f>
        <v>0</v>
      </c>
      <c r="D26" s="429"/>
      <c r="F26" s="430"/>
      <c r="H26" s="430"/>
      <c r="I26" s="430"/>
      <c r="J26" s="430"/>
      <c r="K26" s="430"/>
      <c r="L26" s="430"/>
      <c r="M26" s="430"/>
      <c r="N26" s="430"/>
      <c r="O26" s="430"/>
      <c r="P26" s="430"/>
      <c r="Q26" s="430"/>
      <c r="R26" s="430"/>
      <c r="S26" s="430"/>
      <c r="T26" s="430"/>
      <c r="U26" s="430"/>
      <c r="V26" s="430"/>
      <c r="W26" s="430"/>
      <c r="X26" s="430"/>
      <c r="Y26" s="430"/>
      <c r="Z26" s="430"/>
      <c r="AA26" s="430"/>
      <c r="AB26" s="430"/>
      <c r="AC26" s="430"/>
      <c r="AD26" s="430"/>
      <c r="AE26" s="430"/>
      <c r="AF26" s="430"/>
    </row>
    <row r="27" customFormat="false" ht="12.75" hidden="false" customHeight="false" outlineLevel="0" collapsed="false">
      <c r="A27" s="34" t="str">
        <f aca="true">IF(AUTOEVENTO="Manual",IF(OFFSET(EVENTOS!$F$14,PLE!$B27,0)&gt;0,"F",""),IF(PLE!B27&lt;=MAX(CÁLCULO!$M$15:$M$59),"F",""))</f>
        <v/>
      </c>
      <c r="B27" s="428" t="n">
        <f aca="true">OFFSET(B27,-1,0)+1</f>
        <v>13</v>
      </c>
      <c r="C27" s="429" t="n">
        <f aca="true">IF(AUTOEVENTO="Manual",IF($B27&lt;&gt;1,OFFSET(EVENTOS!$D$14,$B27,0),0),IF(B27&lt;=MAX(CÁLCULO!$M$15:$M$59),VLOOKUP($B27,CÁLCULO!$M$15:$N$59,2,FALSE()),0))</f>
        <v>0</v>
      </c>
      <c r="D27" s="429"/>
      <c r="F27" s="430"/>
      <c r="H27" s="430"/>
      <c r="I27" s="430"/>
      <c r="J27" s="430"/>
      <c r="K27" s="430"/>
      <c r="L27" s="430"/>
      <c r="M27" s="430"/>
      <c r="N27" s="430"/>
      <c r="O27" s="430"/>
      <c r="P27" s="430"/>
      <c r="Q27" s="430"/>
      <c r="R27" s="430"/>
      <c r="S27" s="430"/>
      <c r="T27" s="430"/>
      <c r="U27" s="430"/>
      <c r="V27" s="430"/>
      <c r="W27" s="430"/>
      <c r="X27" s="430"/>
      <c r="Y27" s="430"/>
      <c r="Z27" s="430"/>
      <c r="AA27" s="430"/>
      <c r="AB27" s="430"/>
      <c r="AC27" s="430"/>
      <c r="AD27" s="430"/>
      <c r="AE27" s="430"/>
      <c r="AF27" s="430"/>
    </row>
    <row r="28" customFormat="false" ht="12.75" hidden="false" customHeight="false" outlineLevel="0" collapsed="false">
      <c r="A28" s="34" t="str">
        <f aca="true">IF(AUTOEVENTO="Manual",IF(OFFSET(EVENTOS!$F$14,PLE!$B28,0)&gt;0,"F",""),IF(PLE!B28&lt;=MAX(CÁLCULO!$M$15:$M$59),"F",""))</f>
        <v/>
      </c>
      <c r="B28" s="428" t="n">
        <f aca="true">OFFSET(B28,-1,0)+1</f>
        <v>14</v>
      </c>
      <c r="C28" s="429" t="n">
        <f aca="true">IF(AUTOEVENTO="Manual",IF($B28&lt;&gt;1,OFFSET(EVENTOS!$D$14,$B28,0),0),IF(B28&lt;=MAX(CÁLCULO!$M$15:$M$59),VLOOKUP($B28,CÁLCULO!$M$15:$N$59,2,FALSE()),0))</f>
        <v>0</v>
      </c>
      <c r="D28" s="429"/>
      <c r="F28" s="430"/>
      <c r="H28" s="430"/>
      <c r="I28" s="430"/>
      <c r="J28" s="430"/>
      <c r="K28" s="430"/>
      <c r="L28" s="430"/>
      <c r="M28" s="430"/>
      <c r="N28" s="430"/>
      <c r="O28" s="430"/>
      <c r="P28" s="430"/>
      <c r="Q28" s="430"/>
      <c r="R28" s="430"/>
      <c r="S28" s="430"/>
      <c r="T28" s="430"/>
      <c r="U28" s="430"/>
      <c r="V28" s="430"/>
      <c r="W28" s="430"/>
      <c r="X28" s="430"/>
      <c r="Y28" s="430"/>
      <c r="Z28" s="430"/>
      <c r="AA28" s="430"/>
      <c r="AB28" s="430"/>
      <c r="AC28" s="430"/>
      <c r="AD28" s="430"/>
      <c r="AE28" s="430"/>
      <c r="AF28" s="430"/>
    </row>
    <row r="29" customFormat="false" ht="12.75" hidden="false" customHeight="false" outlineLevel="0" collapsed="false">
      <c r="A29" s="34" t="str">
        <f aca="true">IF(AUTOEVENTO="Manual",IF(OFFSET(EVENTOS!$F$14,PLE!$B29,0)&gt;0,"F",""),IF(PLE!B29&lt;=MAX(CÁLCULO!$M$15:$M$59),"F",""))</f>
        <v/>
      </c>
      <c r="B29" s="428" t="n">
        <f aca="true">OFFSET(B29,-1,0)+1</f>
        <v>15</v>
      </c>
      <c r="C29" s="429" t="n">
        <f aca="true">IF(AUTOEVENTO="Manual",IF($B29&lt;&gt;1,OFFSET(EVENTOS!$D$14,$B29,0),0),IF(B29&lt;=MAX(CÁLCULO!$M$15:$M$59),VLOOKUP($B29,CÁLCULO!$M$15:$N$59,2,FALSE()),0))</f>
        <v>0</v>
      </c>
      <c r="D29" s="429"/>
      <c r="F29" s="430"/>
      <c r="H29" s="430"/>
      <c r="I29" s="430"/>
      <c r="J29" s="430"/>
      <c r="K29" s="430"/>
      <c r="L29" s="430"/>
      <c r="M29" s="430"/>
      <c r="N29" s="430"/>
      <c r="O29" s="430"/>
      <c r="P29" s="430"/>
      <c r="Q29" s="430"/>
      <c r="R29" s="430"/>
      <c r="S29" s="430"/>
      <c r="T29" s="430"/>
      <c r="U29" s="430"/>
      <c r="V29" s="430"/>
      <c r="W29" s="430"/>
      <c r="X29" s="430"/>
      <c r="Y29" s="430"/>
      <c r="Z29" s="430"/>
      <c r="AA29" s="430"/>
      <c r="AB29" s="430"/>
      <c r="AC29" s="430"/>
      <c r="AD29" s="430"/>
      <c r="AE29" s="430"/>
      <c r="AF29" s="430"/>
    </row>
    <row r="30" customFormat="false" ht="12.75" hidden="false" customHeight="false" outlineLevel="0" collapsed="false">
      <c r="A30" s="34" t="str">
        <f aca="true">IF(AUTOEVENTO="Manual",IF(OFFSET(EVENTOS!$F$14,PLE!$B30,0)&gt;0,"F",""),IF(PLE!B30&lt;=MAX(CÁLCULO!$M$15:$M$59),"F",""))</f>
        <v/>
      </c>
      <c r="B30" s="428" t="n">
        <f aca="true">OFFSET(B30,-1,0)+1</f>
        <v>16</v>
      </c>
      <c r="C30" s="429" t="n">
        <f aca="true">IF(AUTOEVENTO="Manual",IF($B30&lt;&gt;1,OFFSET(EVENTOS!$D$14,$B30,0),0),IF(B30&lt;=MAX(CÁLCULO!$M$15:$M$59),VLOOKUP($B30,CÁLCULO!$M$15:$N$59,2,FALSE()),0))</f>
        <v>0</v>
      </c>
      <c r="D30" s="429"/>
      <c r="F30" s="430"/>
      <c r="H30" s="430"/>
      <c r="I30" s="430"/>
      <c r="J30" s="430"/>
      <c r="K30" s="430"/>
      <c r="L30" s="430"/>
      <c r="M30" s="430"/>
      <c r="N30" s="430"/>
      <c r="O30" s="430"/>
      <c r="P30" s="430"/>
      <c r="Q30" s="430"/>
      <c r="R30" s="430"/>
      <c r="S30" s="430"/>
      <c r="T30" s="430"/>
      <c r="U30" s="430"/>
      <c r="V30" s="430"/>
      <c r="W30" s="430"/>
      <c r="X30" s="430"/>
      <c r="Y30" s="430"/>
      <c r="Z30" s="430"/>
      <c r="AA30" s="430"/>
      <c r="AB30" s="430"/>
      <c r="AC30" s="430"/>
      <c r="AD30" s="430"/>
      <c r="AE30" s="430"/>
      <c r="AF30" s="430"/>
    </row>
    <row r="31" customFormat="false" ht="12.75" hidden="false" customHeight="false" outlineLevel="0" collapsed="false">
      <c r="A31" s="34" t="str">
        <f aca="true">IF(AUTOEVENTO="Manual",IF(OFFSET(EVENTOS!$F$14,PLE!$B31,0)&gt;0,"F",""),IF(PLE!B31&lt;=MAX(CÁLCULO!$M$15:$M$59),"F",""))</f>
        <v/>
      </c>
      <c r="B31" s="428" t="n">
        <f aca="true">OFFSET(B31,-1,0)+1</f>
        <v>17</v>
      </c>
      <c r="C31" s="429" t="n">
        <f aca="true">IF(AUTOEVENTO="Manual",IF($B31&lt;&gt;1,OFFSET(EVENTOS!$D$14,$B31,0),0),IF(B31&lt;=MAX(CÁLCULO!$M$15:$M$59),VLOOKUP($B31,CÁLCULO!$M$15:$N$59,2,FALSE()),0))</f>
        <v>0</v>
      </c>
      <c r="D31" s="429"/>
      <c r="F31" s="430"/>
      <c r="H31" s="430"/>
      <c r="I31" s="430"/>
      <c r="J31" s="430"/>
      <c r="K31" s="430"/>
      <c r="L31" s="430"/>
      <c r="M31" s="430"/>
      <c r="N31" s="430"/>
      <c r="O31" s="430"/>
      <c r="P31" s="430"/>
      <c r="Q31" s="430"/>
      <c r="R31" s="430"/>
      <c r="S31" s="430"/>
      <c r="T31" s="430"/>
      <c r="U31" s="430"/>
      <c r="V31" s="430"/>
      <c r="W31" s="430"/>
      <c r="X31" s="430"/>
      <c r="Y31" s="430"/>
      <c r="Z31" s="430"/>
      <c r="AA31" s="430"/>
      <c r="AB31" s="430"/>
      <c r="AC31" s="430"/>
      <c r="AD31" s="430"/>
      <c r="AE31" s="430"/>
      <c r="AF31" s="430"/>
    </row>
    <row r="32" customFormat="false" ht="12.75" hidden="false" customHeight="false" outlineLevel="0" collapsed="false">
      <c r="A32" s="34" t="str">
        <f aca="true">IF(AUTOEVENTO="Manual",IF(OFFSET(EVENTOS!$F$14,PLE!$B32,0)&gt;0,"F",""),IF(PLE!B32&lt;=MAX(CÁLCULO!$M$15:$M$59),"F",""))</f>
        <v/>
      </c>
      <c r="B32" s="428" t="n">
        <f aca="true">OFFSET(B32,-1,0)+1</f>
        <v>18</v>
      </c>
      <c r="C32" s="429" t="n">
        <f aca="true">IF(AUTOEVENTO="Manual",IF($B32&lt;&gt;1,OFFSET(EVENTOS!$D$14,$B32,0),0),IF(B32&lt;=MAX(CÁLCULO!$M$15:$M$59),VLOOKUP($B32,CÁLCULO!$M$15:$N$59,2,FALSE()),0))</f>
        <v>0</v>
      </c>
      <c r="D32" s="429"/>
      <c r="F32" s="430"/>
      <c r="H32" s="430"/>
      <c r="I32" s="430"/>
      <c r="J32" s="430"/>
      <c r="K32" s="430"/>
      <c r="L32" s="430"/>
      <c r="M32" s="430"/>
      <c r="N32" s="430"/>
      <c r="O32" s="430"/>
      <c r="P32" s="430"/>
      <c r="Q32" s="430"/>
      <c r="R32" s="430"/>
      <c r="S32" s="430"/>
      <c r="T32" s="430"/>
      <c r="U32" s="430"/>
      <c r="V32" s="430"/>
      <c r="W32" s="430"/>
      <c r="X32" s="430"/>
      <c r="Y32" s="430"/>
      <c r="Z32" s="430"/>
      <c r="AA32" s="430"/>
      <c r="AB32" s="430"/>
      <c r="AC32" s="430"/>
      <c r="AD32" s="430"/>
      <c r="AE32" s="430"/>
      <c r="AF32" s="430"/>
    </row>
    <row r="33" customFormat="false" ht="12.75" hidden="false" customHeight="false" outlineLevel="0" collapsed="false">
      <c r="A33" s="34" t="str">
        <f aca="true">IF(AUTOEVENTO="Manual",IF(OFFSET(EVENTOS!$F$14,PLE!$B33,0)&gt;0,"F",""),IF(PLE!B33&lt;=MAX(CÁLCULO!$M$15:$M$59),"F",""))</f>
        <v/>
      </c>
      <c r="B33" s="428" t="n">
        <f aca="true">OFFSET(B33,-1,0)+1</f>
        <v>19</v>
      </c>
      <c r="C33" s="429" t="n">
        <f aca="true">IF(AUTOEVENTO="Manual",IF($B33&lt;&gt;1,OFFSET(EVENTOS!$D$14,$B33,0),0),IF(B33&lt;=MAX(CÁLCULO!$M$15:$M$59),VLOOKUP($B33,CÁLCULO!$M$15:$N$59,2,FALSE()),0))</f>
        <v>0</v>
      </c>
      <c r="D33" s="429"/>
      <c r="F33" s="430"/>
      <c r="H33" s="430"/>
      <c r="I33" s="430"/>
      <c r="J33" s="430"/>
      <c r="K33" s="430"/>
      <c r="L33" s="430"/>
      <c r="M33" s="430"/>
      <c r="N33" s="430"/>
      <c r="O33" s="430"/>
      <c r="P33" s="430"/>
      <c r="Q33" s="430"/>
      <c r="R33" s="430"/>
      <c r="S33" s="430"/>
      <c r="T33" s="430"/>
      <c r="U33" s="430"/>
      <c r="V33" s="430"/>
      <c r="W33" s="430"/>
      <c r="X33" s="430"/>
      <c r="Y33" s="430"/>
      <c r="Z33" s="430"/>
      <c r="AA33" s="430"/>
      <c r="AB33" s="430"/>
      <c r="AC33" s="430"/>
      <c r="AD33" s="430"/>
      <c r="AE33" s="430"/>
      <c r="AF33" s="430"/>
    </row>
    <row r="34" customFormat="false" ht="12.75" hidden="false" customHeight="false" outlineLevel="0" collapsed="false">
      <c r="A34" s="34" t="str">
        <f aca="true">IF(AUTOEVENTO="Manual",IF(OFFSET(EVENTOS!$F$14,PLE!$B34,0)&gt;0,"F",""),IF(PLE!B34&lt;=MAX(CÁLCULO!$M$15:$M$59),"F",""))</f>
        <v/>
      </c>
      <c r="B34" s="428" t="n">
        <f aca="true">OFFSET(B34,-1,0)+1</f>
        <v>20</v>
      </c>
      <c r="C34" s="429" t="n">
        <f aca="true">IF(AUTOEVENTO="Manual",IF($B34&lt;&gt;1,OFFSET(EVENTOS!$D$14,$B34,0),0),IF(B34&lt;=MAX(CÁLCULO!$M$15:$M$59),VLOOKUP($B34,CÁLCULO!$M$15:$N$59,2,FALSE()),0))</f>
        <v>0</v>
      </c>
      <c r="D34" s="429"/>
      <c r="F34" s="430"/>
      <c r="H34" s="430"/>
      <c r="I34" s="430"/>
      <c r="J34" s="430"/>
      <c r="K34" s="430"/>
      <c r="L34" s="430"/>
      <c r="M34" s="430"/>
      <c r="N34" s="430"/>
      <c r="O34" s="430"/>
      <c r="P34" s="430"/>
      <c r="Q34" s="430"/>
      <c r="R34" s="430"/>
      <c r="S34" s="430"/>
      <c r="T34" s="430"/>
      <c r="U34" s="430"/>
      <c r="V34" s="430"/>
      <c r="W34" s="430"/>
      <c r="X34" s="430"/>
      <c r="Y34" s="430"/>
      <c r="Z34" s="430"/>
      <c r="AA34" s="430"/>
      <c r="AB34" s="430"/>
      <c r="AC34" s="430"/>
      <c r="AD34" s="430"/>
      <c r="AE34" s="430"/>
      <c r="AF34" s="430"/>
    </row>
    <row r="35" customFormat="false" ht="12.75" hidden="false" customHeight="false" outlineLevel="0" collapsed="false">
      <c r="A35" s="34" t="str">
        <f aca="true">IF(AUTOEVENTO="Manual",IF(OFFSET(EVENTOS!$F$14,PLE!$B35,0)&gt;0,"F",""),IF(PLE!B35&lt;=MAX(CÁLCULO!$M$15:$M$59),"F",""))</f>
        <v/>
      </c>
      <c r="B35" s="428" t="n">
        <f aca="true">OFFSET(B35,-1,0)+1</f>
        <v>21</v>
      </c>
      <c r="C35" s="429" t="n">
        <f aca="true">IF(AUTOEVENTO="Manual",IF($B35&lt;&gt;1,OFFSET(EVENTOS!$D$14,$B35,0),0),IF(B35&lt;=MAX(CÁLCULO!$M$15:$M$59),VLOOKUP($B35,CÁLCULO!$M$15:$N$59,2,FALSE()),0))</f>
        <v>0</v>
      </c>
      <c r="D35" s="429"/>
      <c r="F35" s="430"/>
      <c r="H35" s="430"/>
      <c r="I35" s="430"/>
      <c r="J35" s="430"/>
      <c r="K35" s="430"/>
      <c r="L35" s="430"/>
      <c r="M35" s="430"/>
      <c r="N35" s="430"/>
      <c r="O35" s="430"/>
      <c r="P35" s="430"/>
      <c r="Q35" s="430"/>
      <c r="R35" s="430"/>
      <c r="S35" s="430"/>
      <c r="T35" s="430"/>
      <c r="U35" s="430"/>
      <c r="V35" s="430"/>
      <c r="W35" s="430"/>
      <c r="X35" s="430"/>
      <c r="Y35" s="430"/>
      <c r="Z35" s="430"/>
      <c r="AA35" s="430"/>
      <c r="AB35" s="430"/>
      <c r="AC35" s="430"/>
      <c r="AD35" s="430"/>
      <c r="AE35" s="430"/>
      <c r="AF35" s="430"/>
    </row>
    <row r="36" customFormat="false" ht="12.75" hidden="false" customHeight="false" outlineLevel="0" collapsed="false">
      <c r="A36" s="34" t="str">
        <f aca="true">IF(AUTOEVENTO="Manual",IF(OFFSET(EVENTOS!$F$14,PLE!$B36,0)&gt;0,"F",""),IF(PLE!B36&lt;=MAX(CÁLCULO!$M$15:$M$59),"F",""))</f>
        <v/>
      </c>
      <c r="B36" s="428" t="n">
        <f aca="true">OFFSET(B36,-1,0)+1</f>
        <v>22</v>
      </c>
      <c r="C36" s="429" t="n">
        <f aca="true">IF(AUTOEVENTO="Manual",IF($B36&lt;&gt;1,OFFSET(EVENTOS!$D$14,$B36,0),0),IF(B36&lt;=MAX(CÁLCULO!$M$15:$M$59),VLOOKUP($B36,CÁLCULO!$M$15:$N$59,2,FALSE()),0))</f>
        <v>0</v>
      </c>
      <c r="D36" s="429"/>
      <c r="F36" s="430"/>
      <c r="H36" s="430"/>
      <c r="I36" s="430"/>
      <c r="J36" s="430"/>
      <c r="K36" s="430"/>
      <c r="L36" s="430"/>
      <c r="M36" s="430"/>
      <c r="N36" s="430"/>
      <c r="O36" s="430"/>
      <c r="P36" s="430"/>
      <c r="Q36" s="430"/>
      <c r="R36" s="430"/>
      <c r="S36" s="430"/>
      <c r="T36" s="430"/>
      <c r="U36" s="430"/>
      <c r="V36" s="430"/>
      <c r="W36" s="430"/>
      <c r="X36" s="430"/>
      <c r="Y36" s="430"/>
      <c r="Z36" s="430"/>
      <c r="AA36" s="430"/>
      <c r="AB36" s="430"/>
      <c r="AC36" s="430"/>
      <c r="AD36" s="430"/>
      <c r="AE36" s="430"/>
      <c r="AF36" s="430"/>
    </row>
    <row r="37" customFormat="false" ht="12.75" hidden="false" customHeight="false" outlineLevel="0" collapsed="false">
      <c r="A37" s="34" t="str">
        <f aca="true">IF(AUTOEVENTO="Manual",IF(OFFSET(EVENTOS!$F$14,PLE!$B37,0)&gt;0,"F",""),IF(PLE!B37&lt;=MAX(CÁLCULO!$M$15:$M$59),"F",""))</f>
        <v/>
      </c>
      <c r="B37" s="428" t="n">
        <f aca="true">OFFSET(B37,-1,0)+1</f>
        <v>23</v>
      </c>
      <c r="C37" s="429" t="n">
        <f aca="true">IF(AUTOEVENTO="Manual",IF($B37&lt;&gt;1,OFFSET(EVENTOS!$D$14,$B37,0),0),IF(B37&lt;=MAX(CÁLCULO!$M$15:$M$59),VLOOKUP($B37,CÁLCULO!$M$15:$N$59,2,FALSE()),0))</f>
        <v>0</v>
      </c>
      <c r="D37" s="429"/>
      <c r="F37" s="430"/>
      <c r="H37" s="430"/>
      <c r="I37" s="430"/>
      <c r="J37" s="430"/>
      <c r="K37" s="430"/>
      <c r="L37" s="430"/>
      <c r="M37" s="430"/>
      <c r="N37" s="430"/>
      <c r="O37" s="430"/>
      <c r="P37" s="430"/>
      <c r="Q37" s="430"/>
      <c r="R37" s="430"/>
      <c r="S37" s="430"/>
      <c r="T37" s="430"/>
      <c r="U37" s="430"/>
      <c r="V37" s="430"/>
      <c r="W37" s="430"/>
      <c r="X37" s="430"/>
      <c r="Y37" s="430"/>
      <c r="Z37" s="430"/>
      <c r="AA37" s="430"/>
      <c r="AB37" s="430"/>
      <c r="AC37" s="430"/>
      <c r="AD37" s="430"/>
      <c r="AE37" s="430"/>
      <c r="AF37" s="430"/>
    </row>
    <row r="38" customFormat="false" ht="12.75" hidden="false" customHeight="false" outlineLevel="0" collapsed="false">
      <c r="A38" s="34" t="str">
        <f aca="true">IF(AUTOEVENTO="Manual",IF(OFFSET(EVENTOS!$F$14,PLE!$B38,0)&gt;0,"F",""),IF(PLE!B38&lt;=MAX(CÁLCULO!$M$15:$M$59),"F",""))</f>
        <v/>
      </c>
      <c r="B38" s="428" t="n">
        <f aca="true">OFFSET(B38,-1,0)+1</f>
        <v>24</v>
      </c>
      <c r="C38" s="429" t="n">
        <f aca="true">IF(AUTOEVENTO="Manual",IF($B38&lt;&gt;1,OFFSET(EVENTOS!$D$14,$B38,0),0),IF(B38&lt;=MAX(CÁLCULO!$M$15:$M$59),VLOOKUP($B38,CÁLCULO!$M$15:$N$59,2,FALSE()),0))</f>
        <v>0</v>
      </c>
      <c r="D38" s="429"/>
      <c r="F38" s="430"/>
      <c r="H38" s="430"/>
      <c r="I38" s="430"/>
      <c r="J38" s="430"/>
      <c r="K38" s="430"/>
      <c r="L38" s="430"/>
      <c r="M38" s="430"/>
      <c r="N38" s="430"/>
      <c r="O38" s="430"/>
      <c r="P38" s="430"/>
      <c r="Q38" s="430"/>
      <c r="R38" s="430"/>
      <c r="S38" s="430"/>
      <c r="T38" s="430"/>
      <c r="U38" s="430"/>
      <c r="V38" s="430"/>
      <c r="W38" s="430"/>
      <c r="X38" s="430"/>
      <c r="Y38" s="430"/>
      <c r="Z38" s="430"/>
      <c r="AA38" s="430"/>
      <c r="AB38" s="430"/>
      <c r="AC38" s="430"/>
      <c r="AD38" s="430"/>
      <c r="AE38" s="430"/>
      <c r="AF38" s="430"/>
    </row>
    <row r="39" customFormat="false" ht="12.75" hidden="false" customHeight="false" outlineLevel="0" collapsed="false">
      <c r="A39" s="34" t="str">
        <f aca="true">IF(AUTOEVENTO="Manual",IF(OFFSET(EVENTOS!$F$14,PLE!$B39,0)&gt;0,"F",""),IF(PLE!B39&lt;=MAX(CÁLCULO!$M$15:$M$59),"F",""))</f>
        <v/>
      </c>
      <c r="B39" s="428" t="n">
        <f aca="true">OFFSET(B39,-1,0)+1</f>
        <v>25</v>
      </c>
      <c r="C39" s="429" t="n">
        <f aca="true">IF(AUTOEVENTO="Manual",IF($B39&lt;&gt;1,OFFSET(EVENTOS!$D$14,$B39,0),0),IF(B39&lt;=MAX(CÁLCULO!$M$15:$M$59),VLOOKUP($B39,CÁLCULO!$M$15:$N$59,2,FALSE()),0))</f>
        <v>0</v>
      </c>
      <c r="D39" s="429"/>
      <c r="F39" s="430"/>
      <c r="H39" s="430"/>
      <c r="I39" s="430"/>
      <c r="J39" s="430"/>
      <c r="K39" s="430"/>
      <c r="L39" s="430"/>
      <c r="M39" s="430"/>
      <c r="N39" s="430"/>
      <c r="O39" s="430"/>
      <c r="P39" s="430"/>
      <c r="Q39" s="430"/>
      <c r="R39" s="430"/>
      <c r="S39" s="430"/>
      <c r="T39" s="430"/>
      <c r="U39" s="430"/>
      <c r="V39" s="430"/>
      <c r="W39" s="430"/>
      <c r="X39" s="430"/>
      <c r="Y39" s="430"/>
      <c r="Z39" s="430"/>
      <c r="AA39" s="430"/>
      <c r="AB39" s="430"/>
      <c r="AC39" s="430"/>
      <c r="AD39" s="430"/>
      <c r="AE39" s="430"/>
      <c r="AF39" s="430"/>
    </row>
    <row r="40" customFormat="false" ht="12.75" hidden="false" customHeight="false" outlineLevel="0" collapsed="false">
      <c r="A40" s="34" t="str">
        <f aca="true">IF(AUTOEVENTO="Manual",IF(OFFSET(EVENTOS!$F$14,PLE!$B40,0)&gt;0,"F",""),IF(PLE!B40&lt;=MAX(CÁLCULO!$M$15:$M$59),"F",""))</f>
        <v/>
      </c>
      <c r="B40" s="428" t="n">
        <f aca="true">OFFSET(B40,-1,0)+1</f>
        <v>26</v>
      </c>
      <c r="C40" s="429" t="n">
        <f aca="true">IF(AUTOEVENTO="Manual",IF($B40&lt;&gt;1,OFFSET(EVENTOS!$D$14,$B40,0),0),IF(B40&lt;=MAX(CÁLCULO!$M$15:$M$59),VLOOKUP($B40,CÁLCULO!$M$15:$N$59,2,FALSE()),0))</f>
        <v>0</v>
      </c>
      <c r="D40" s="429"/>
      <c r="F40" s="430"/>
      <c r="H40" s="430"/>
      <c r="I40" s="430"/>
      <c r="J40" s="430"/>
      <c r="K40" s="430"/>
      <c r="L40" s="430"/>
      <c r="M40" s="430"/>
      <c r="N40" s="430"/>
      <c r="O40" s="430"/>
      <c r="P40" s="430"/>
      <c r="Q40" s="430"/>
      <c r="R40" s="430"/>
      <c r="S40" s="430"/>
      <c r="T40" s="430"/>
      <c r="U40" s="430"/>
      <c r="V40" s="430"/>
      <c r="W40" s="430"/>
      <c r="X40" s="430"/>
      <c r="Y40" s="430"/>
      <c r="Z40" s="430"/>
      <c r="AA40" s="430"/>
      <c r="AB40" s="430"/>
      <c r="AC40" s="430"/>
      <c r="AD40" s="430"/>
      <c r="AE40" s="430"/>
      <c r="AF40" s="430"/>
    </row>
    <row r="41" customFormat="false" ht="12.75" hidden="false" customHeight="false" outlineLevel="0" collapsed="false">
      <c r="A41" s="34" t="str">
        <f aca="true">IF(AUTOEVENTO="Manual",IF(OFFSET(EVENTOS!$F$14,PLE!$B41,0)&gt;0,"F",""),IF(PLE!B41&lt;=MAX(CÁLCULO!$M$15:$M$59),"F",""))</f>
        <v/>
      </c>
      <c r="B41" s="428" t="n">
        <f aca="true">OFFSET(B41,-1,0)+1</f>
        <v>27</v>
      </c>
      <c r="C41" s="429" t="n">
        <f aca="true">IF(AUTOEVENTO="Manual",IF($B41&lt;&gt;1,OFFSET(EVENTOS!$D$14,$B41,0),0),IF(B41&lt;=MAX(CÁLCULO!$M$15:$M$59),VLOOKUP($B41,CÁLCULO!$M$15:$N$59,2,FALSE()),0))</f>
        <v>0</v>
      </c>
      <c r="D41" s="429"/>
      <c r="F41" s="430"/>
      <c r="H41" s="430"/>
      <c r="I41" s="430"/>
      <c r="J41" s="430"/>
      <c r="K41" s="430"/>
      <c r="L41" s="430"/>
      <c r="M41" s="430"/>
      <c r="N41" s="430"/>
      <c r="O41" s="430"/>
      <c r="P41" s="430"/>
      <c r="Q41" s="430"/>
      <c r="R41" s="430"/>
      <c r="S41" s="430"/>
      <c r="T41" s="430"/>
      <c r="U41" s="430"/>
      <c r="V41" s="430"/>
      <c r="W41" s="430"/>
      <c r="X41" s="430"/>
      <c r="Y41" s="430"/>
      <c r="Z41" s="430"/>
      <c r="AA41" s="430"/>
      <c r="AB41" s="430"/>
      <c r="AC41" s="430"/>
      <c r="AD41" s="430"/>
      <c r="AE41" s="430"/>
      <c r="AF41" s="430"/>
    </row>
    <row r="42" customFormat="false" ht="12.75" hidden="false" customHeight="false" outlineLevel="0" collapsed="false">
      <c r="A42" s="34" t="str">
        <f aca="true">IF(AUTOEVENTO="Manual",IF(OFFSET(EVENTOS!$F$14,PLE!$B42,0)&gt;0,"F",""),IF(PLE!B42&lt;=MAX(CÁLCULO!$M$15:$M$59),"F",""))</f>
        <v/>
      </c>
      <c r="B42" s="428" t="n">
        <f aca="true">OFFSET(B42,-1,0)+1</f>
        <v>28</v>
      </c>
      <c r="C42" s="429" t="n">
        <f aca="true">IF(AUTOEVENTO="Manual",IF($B42&lt;&gt;1,OFFSET(EVENTOS!$D$14,$B42,0),0),IF(B42&lt;=MAX(CÁLCULO!$M$15:$M$59),VLOOKUP($B42,CÁLCULO!$M$15:$N$59,2,FALSE()),0))</f>
        <v>0</v>
      </c>
      <c r="D42" s="429"/>
      <c r="F42" s="430"/>
      <c r="H42" s="430"/>
      <c r="I42" s="430"/>
      <c r="J42" s="430"/>
      <c r="K42" s="430"/>
      <c r="L42" s="430"/>
      <c r="M42" s="430"/>
      <c r="N42" s="430"/>
      <c r="O42" s="430"/>
      <c r="P42" s="430"/>
      <c r="Q42" s="430"/>
      <c r="R42" s="430"/>
      <c r="S42" s="430"/>
      <c r="T42" s="430"/>
      <c r="U42" s="430"/>
      <c r="V42" s="430"/>
      <c r="W42" s="430"/>
      <c r="X42" s="430"/>
      <c r="Y42" s="430"/>
      <c r="Z42" s="430"/>
      <c r="AA42" s="430"/>
      <c r="AB42" s="430"/>
      <c r="AC42" s="430"/>
      <c r="AD42" s="430"/>
      <c r="AE42" s="430"/>
      <c r="AF42" s="430"/>
    </row>
    <row r="43" customFormat="false" ht="12.75" hidden="false" customHeight="false" outlineLevel="0" collapsed="false">
      <c r="A43" s="34" t="str">
        <f aca="true">IF(AUTOEVENTO="Manual",IF(OFFSET(EVENTOS!$F$14,PLE!$B43,0)&gt;0,"F",""),IF(PLE!B43&lt;=MAX(CÁLCULO!$M$15:$M$59),"F",""))</f>
        <v/>
      </c>
      <c r="B43" s="428" t="n">
        <f aca="true">OFFSET(B43,-1,0)+1</f>
        <v>29</v>
      </c>
      <c r="C43" s="429" t="n">
        <f aca="true">IF(AUTOEVENTO="Manual",IF($B43&lt;&gt;1,OFFSET(EVENTOS!$D$14,$B43,0),0),IF(B43&lt;=MAX(CÁLCULO!$M$15:$M$59),VLOOKUP($B43,CÁLCULO!$M$15:$N$59,2,FALSE()),0))</f>
        <v>0</v>
      </c>
      <c r="D43" s="429"/>
      <c r="F43" s="430"/>
      <c r="H43" s="430"/>
      <c r="I43" s="430"/>
      <c r="J43" s="430"/>
      <c r="K43" s="430"/>
      <c r="L43" s="430"/>
      <c r="M43" s="430"/>
      <c r="N43" s="430"/>
      <c r="O43" s="430"/>
      <c r="P43" s="430"/>
      <c r="Q43" s="430"/>
      <c r="R43" s="430"/>
      <c r="S43" s="430"/>
      <c r="T43" s="430"/>
      <c r="U43" s="430"/>
      <c r="V43" s="430"/>
      <c r="W43" s="430"/>
      <c r="X43" s="430"/>
      <c r="Y43" s="430"/>
      <c r="Z43" s="430"/>
      <c r="AA43" s="430"/>
      <c r="AB43" s="430"/>
      <c r="AC43" s="430"/>
      <c r="AD43" s="430"/>
      <c r="AE43" s="430"/>
      <c r="AF43" s="430"/>
    </row>
    <row r="44" customFormat="false" ht="12.75" hidden="false" customHeight="false" outlineLevel="0" collapsed="false">
      <c r="A44" s="34" t="str">
        <f aca="true">IF(AUTOEVENTO="Manual",IF(OFFSET(EVENTOS!$F$14,PLE!$B44,0)&gt;0,"F",""),IF(PLE!B44&lt;=MAX(CÁLCULO!$M$15:$M$59),"F",""))</f>
        <v/>
      </c>
      <c r="B44" s="428" t="n">
        <f aca="true">OFFSET(B44,-1,0)+1</f>
        <v>30</v>
      </c>
      <c r="C44" s="429" t="n">
        <f aca="true">IF(AUTOEVENTO="Manual",IF($B44&lt;&gt;1,OFFSET(EVENTOS!$D$14,$B44,0),0),IF(B44&lt;=MAX(CÁLCULO!$M$15:$M$59),VLOOKUP($B44,CÁLCULO!$M$15:$N$59,2,FALSE()),0))</f>
        <v>0</v>
      </c>
      <c r="D44" s="429"/>
      <c r="F44" s="430"/>
      <c r="H44" s="430"/>
      <c r="I44" s="430"/>
      <c r="J44" s="430"/>
      <c r="K44" s="430"/>
      <c r="L44" s="430"/>
      <c r="M44" s="430"/>
      <c r="N44" s="430"/>
      <c r="O44" s="430"/>
      <c r="P44" s="430"/>
      <c r="Q44" s="430"/>
      <c r="R44" s="430"/>
      <c r="S44" s="430"/>
      <c r="T44" s="430"/>
      <c r="U44" s="430"/>
      <c r="V44" s="430"/>
      <c r="W44" s="430"/>
      <c r="X44" s="430"/>
      <c r="Y44" s="430"/>
      <c r="Z44" s="430"/>
      <c r="AA44" s="430"/>
      <c r="AB44" s="430"/>
      <c r="AC44" s="430"/>
      <c r="AD44" s="430"/>
      <c r="AE44" s="430"/>
      <c r="AF44" s="430"/>
    </row>
    <row r="45" customFormat="false" ht="12.75" hidden="false" customHeight="false" outlineLevel="0" collapsed="false">
      <c r="A45" s="34" t="str">
        <f aca="true">IF(AUTOEVENTO="Manual",IF(OFFSET(EVENTOS!$F$14,PLE!$B45,0)&gt;0,"F",""),IF(PLE!B45&lt;=MAX(CÁLCULO!$M$15:$M$59),"F",""))</f>
        <v/>
      </c>
      <c r="B45" s="428" t="n">
        <f aca="true">OFFSET(B45,-1,0)+1</f>
        <v>31</v>
      </c>
      <c r="C45" s="429" t="n">
        <f aca="true">IF(AUTOEVENTO="Manual",IF($B45&lt;&gt;1,OFFSET(EVENTOS!$D$14,$B45,0),0),IF(B45&lt;=MAX(CÁLCULO!$M$15:$M$59),VLOOKUP($B45,CÁLCULO!$M$15:$N$59,2,FALSE()),0))</f>
        <v>0</v>
      </c>
      <c r="D45" s="429"/>
      <c r="F45" s="430"/>
      <c r="H45" s="430"/>
      <c r="I45" s="430"/>
      <c r="J45" s="430"/>
      <c r="K45" s="430"/>
      <c r="L45" s="430"/>
      <c r="M45" s="430"/>
      <c r="N45" s="430"/>
      <c r="O45" s="430"/>
      <c r="P45" s="430"/>
      <c r="Q45" s="430"/>
      <c r="R45" s="430"/>
      <c r="S45" s="430"/>
      <c r="T45" s="430"/>
      <c r="U45" s="430"/>
      <c r="V45" s="430"/>
      <c r="W45" s="430"/>
      <c r="X45" s="430"/>
      <c r="Y45" s="430"/>
      <c r="Z45" s="430"/>
      <c r="AA45" s="430"/>
      <c r="AB45" s="430"/>
      <c r="AC45" s="430"/>
      <c r="AD45" s="430"/>
      <c r="AE45" s="430"/>
      <c r="AF45" s="430"/>
    </row>
    <row r="46" customFormat="false" ht="12.75" hidden="false" customHeight="false" outlineLevel="0" collapsed="false">
      <c r="A46" s="34" t="str">
        <f aca="true">IF(AUTOEVENTO="Manual",IF(OFFSET(EVENTOS!$F$14,PLE!$B46,0)&gt;0,"F",""),IF(PLE!B46&lt;=MAX(CÁLCULO!$M$15:$M$59),"F",""))</f>
        <v/>
      </c>
      <c r="B46" s="428" t="n">
        <f aca="true">OFFSET(B46,-1,0)+1</f>
        <v>32</v>
      </c>
      <c r="C46" s="429" t="n">
        <f aca="true">IF(AUTOEVENTO="Manual",IF($B46&lt;&gt;1,OFFSET(EVENTOS!$D$14,$B46,0),0),IF(B46&lt;=MAX(CÁLCULO!$M$15:$M$59),VLOOKUP($B46,CÁLCULO!$M$15:$N$59,2,FALSE()),0))</f>
        <v>0</v>
      </c>
      <c r="D46" s="429"/>
      <c r="F46" s="430"/>
      <c r="H46" s="430"/>
      <c r="I46" s="430"/>
      <c r="J46" s="430"/>
      <c r="K46" s="430"/>
      <c r="L46" s="430"/>
      <c r="M46" s="430"/>
      <c r="N46" s="430"/>
      <c r="O46" s="430"/>
      <c r="P46" s="430"/>
      <c r="Q46" s="430"/>
      <c r="R46" s="430"/>
      <c r="S46" s="430"/>
      <c r="T46" s="430"/>
      <c r="U46" s="430"/>
      <c r="V46" s="430"/>
      <c r="W46" s="430"/>
      <c r="X46" s="430"/>
      <c r="Y46" s="430"/>
      <c r="Z46" s="430"/>
      <c r="AA46" s="430"/>
      <c r="AB46" s="430"/>
      <c r="AC46" s="430"/>
      <c r="AD46" s="430"/>
      <c r="AE46" s="430"/>
      <c r="AF46" s="430"/>
    </row>
    <row r="47" customFormat="false" ht="12.75" hidden="false" customHeight="false" outlineLevel="0" collapsed="false">
      <c r="A47" s="34" t="str">
        <f aca="true">IF(AUTOEVENTO="Manual",IF(OFFSET(EVENTOS!$F$14,PLE!$B47,0)&gt;0,"F",""),IF(PLE!B47&lt;=MAX(CÁLCULO!$M$15:$M$59),"F",""))</f>
        <v/>
      </c>
      <c r="B47" s="428" t="n">
        <f aca="true">OFFSET(B47,-1,0)+1</f>
        <v>33</v>
      </c>
      <c r="C47" s="429" t="n">
        <f aca="true">IF(AUTOEVENTO="Manual",IF($B47&lt;&gt;1,OFFSET(EVENTOS!$D$14,$B47,0),0),IF(B47&lt;=MAX(CÁLCULO!$M$15:$M$59),VLOOKUP($B47,CÁLCULO!$M$15:$N$59,2,FALSE()),0))</f>
        <v>0</v>
      </c>
      <c r="D47" s="429"/>
      <c r="F47" s="430"/>
      <c r="H47" s="430"/>
      <c r="I47" s="430"/>
      <c r="J47" s="430"/>
      <c r="K47" s="430"/>
      <c r="L47" s="430"/>
      <c r="M47" s="430"/>
      <c r="N47" s="430"/>
      <c r="O47" s="430"/>
      <c r="P47" s="430"/>
      <c r="Q47" s="430"/>
      <c r="R47" s="430"/>
      <c r="S47" s="430"/>
      <c r="T47" s="430"/>
      <c r="U47" s="430"/>
      <c r="V47" s="430"/>
      <c r="W47" s="430"/>
      <c r="X47" s="430"/>
      <c r="Y47" s="430"/>
      <c r="Z47" s="430"/>
      <c r="AA47" s="430"/>
      <c r="AB47" s="430"/>
      <c r="AC47" s="430"/>
      <c r="AD47" s="430"/>
      <c r="AE47" s="430"/>
      <c r="AF47" s="430"/>
    </row>
    <row r="48" customFormat="false" ht="12.75" hidden="false" customHeight="false" outlineLevel="0" collapsed="false">
      <c r="A48" s="34" t="str">
        <f aca="true">IF(AUTOEVENTO="Manual",IF(OFFSET(EVENTOS!$F$14,PLE!$B48,0)&gt;0,"F",""),IF(PLE!B48&lt;=MAX(CÁLCULO!$M$15:$M$59),"F",""))</f>
        <v/>
      </c>
      <c r="B48" s="428" t="n">
        <f aca="true">OFFSET(B48,-1,0)+1</f>
        <v>34</v>
      </c>
      <c r="C48" s="429" t="n">
        <f aca="true">IF(AUTOEVENTO="Manual",IF($B48&lt;&gt;1,OFFSET(EVENTOS!$D$14,$B48,0),0),IF(B48&lt;=MAX(CÁLCULO!$M$15:$M$59),VLOOKUP($B48,CÁLCULO!$M$15:$N$59,2,FALSE()),0))</f>
        <v>0</v>
      </c>
      <c r="D48" s="429"/>
      <c r="F48" s="430"/>
      <c r="H48" s="430"/>
      <c r="I48" s="430"/>
      <c r="J48" s="430"/>
      <c r="K48" s="430"/>
      <c r="L48" s="430"/>
      <c r="M48" s="430"/>
      <c r="N48" s="430"/>
      <c r="O48" s="430"/>
      <c r="P48" s="430"/>
      <c r="Q48" s="430"/>
      <c r="R48" s="430"/>
      <c r="S48" s="430"/>
      <c r="T48" s="430"/>
      <c r="U48" s="430"/>
      <c r="V48" s="430"/>
      <c r="W48" s="430"/>
      <c r="X48" s="430"/>
      <c r="Y48" s="430"/>
      <c r="Z48" s="430"/>
      <c r="AA48" s="430"/>
      <c r="AB48" s="430"/>
      <c r="AC48" s="430"/>
      <c r="AD48" s="430"/>
      <c r="AE48" s="430"/>
      <c r="AF48" s="430"/>
    </row>
    <row r="49" customFormat="false" ht="12.75" hidden="false" customHeight="false" outlineLevel="0" collapsed="false">
      <c r="A49" s="34" t="str">
        <f aca="true">IF(AUTOEVENTO="Manual",IF(OFFSET(EVENTOS!$F$14,PLE!$B49,0)&gt;0,"F",""),IF(PLE!B49&lt;=MAX(CÁLCULO!$M$15:$M$59),"F",""))</f>
        <v/>
      </c>
      <c r="B49" s="428" t="n">
        <f aca="true">OFFSET(B49,-1,0)+1</f>
        <v>35</v>
      </c>
      <c r="C49" s="429" t="n">
        <f aca="true">IF(AUTOEVENTO="Manual",IF($B49&lt;&gt;1,OFFSET(EVENTOS!$D$14,$B49,0),0),IF(B49&lt;=MAX(CÁLCULO!$M$15:$M$59),VLOOKUP($B49,CÁLCULO!$M$15:$N$59,2,FALSE()),0))</f>
        <v>0</v>
      </c>
      <c r="D49" s="429"/>
      <c r="F49" s="430"/>
      <c r="H49" s="430"/>
      <c r="I49" s="430"/>
      <c r="J49" s="430"/>
      <c r="K49" s="430"/>
      <c r="L49" s="430"/>
      <c r="M49" s="430"/>
      <c r="N49" s="430"/>
      <c r="O49" s="430"/>
      <c r="P49" s="430"/>
      <c r="Q49" s="430"/>
      <c r="R49" s="430"/>
      <c r="S49" s="430"/>
      <c r="T49" s="430"/>
      <c r="U49" s="430"/>
      <c r="V49" s="430"/>
      <c r="W49" s="430"/>
      <c r="X49" s="430"/>
      <c r="Y49" s="430"/>
      <c r="Z49" s="430"/>
      <c r="AA49" s="430"/>
      <c r="AB49" s="430"/>
      <c r="AC49" s="430"/>
      <c r="AD49" s="430"/>
      <c r="AE49" s="430"/>
      <c r="AF49" s="430"/>
    </row>
    <row r="50" customFormat="false" ht="12.75" hidden="false" customHeight="false" outlineLevel="0" collapsed="false">
      <c r="A50" s="34" t="str">
        <f aca="true">IF(AUTOEVENTO="Manual",IF(OFFSET(EVENTOS!$F$14,PLE!$B50,0)&gt;0,"F",""),IF(PLE!B50&lt;=MAX(CÁLCULO!$M$15:$M$59),"F",""))</f>
        <v/>
      </c>
      <c r="B50" s="428" t="n">
        <f aca="true">OFFSET(B50,-1,0)+1</f>
        <v>36</v>
      </c>
      <c r="C50" s="429" t="n">
        <f aca="true">IF(AUTOEVENTO="Manual",IF($B50&lt;&gt;1,OFFSET(EVENTOS!$D$14,$B50,0),0),IF(B50&lt;=MAX(CÁLCULO!$M$15:$M$59),VLOOKUP($B50,CÁLCULO!$M$15:$N$59,2,FALSE()),0))</f>
        <v>0</v>
      </c>
      <c r="D50" s="429"/>
      <c r="F50" s="430"/>
      <c r="H50" s="430"/>
      <c r="I50" s="430"/>
      <c r="J50" s="430"/>
      <c r="K50" s="430"/>
      <c r="L50" s="430"/>
      <c r="M50" s="430"/>
      <c r="N50" s="430"/>
      <c r="O50" s="430"/>
      <c r="P50" s="430"/>
      <c r="Q50" s="430"/>
      <c r="R50" s="430"/>
      <c r="S50" s="430"/>
      <c r="T50" s="430"/>
      <c r="U50" s="430"/>
      <c r="V50" s="430"/>
      <c r="W50" s="430"/>
      <c r="X50" s="430"/>
      <c r="Y50" s="430"/>
      <c r="Z50" s="430"/>
      <c r="AA50" s="430"/>
      <c r="AB50" s="430"/>
      <c r="AC50" s="430"/>
      <c r="AD50" s="430"/>
      <c r="AE50" s="430"/>
      <c r="AF50" s="430"/>
    </row>
    <row r="51" customFormat="false" ht="12.75" hidden="false" customHeight="false" outlineLevel="0" collapsed="false">
      <c r="A51" s="34" t="str">
        <f aca="true">IF(AUTOEVENTO="Manual",IF(OFFSET(EVENTOS!$F$14,PLE!$B51,0)&gt;0,"F",""),IF(PLE!B51&lt;=MAX(CÁLCULO!$M$15:$M$59),"F",""))</f>
        <v/>
      </c>
      <c r="B51" s="428" t="n">
        <f aca="true">OFFSET(B51,-1,0)+1</f>
        <v>37</v>
      </c>
      <c r="C51" s="429" t="n">
        <f aca="true">IF(AUTOEVENTO="Manual",IF($B51&lt;&gt;1,OFFSET(EVENTOS!$D$14,$B51,0),0),IF(B51&lt;=MAX(CÁLCULO!$M$15:$M$59),VLOOKUP($B51,CÁLCULO!$M$15:$N$59,2,FALSE()),0))</f>
        <v>0</v>
      </c>
      <c r="D51" s="429"/>
      <c r="F51" s="430"/>
      <c r="H51" s="430"/>
      <c r="I51" s="430"/>
      <c r="J51" s="430"/>
      <c r="K51" s="430"/>
      <c r="L51" s="430"/>
      <c r="M51" s="430"/>
      <c r="N51" s="430"/>
      <c r="O51" s="430"/>
      <c r="P51" s="430"/>
      <c r="Q51" s="430"/>
      <c r="R51" s="430"/>
      <c r="S51" s="430"/>
      <c r="T51" s="430"/>
      <c r="U51" s="430"/>
      <c r="V51" s="430"/>
      <c r="W51" s="430"/>
      <c r="X51" s="430"/>
      <c r="Y51" s="430"/>
      <c r="Z51" s="430"/>
      <c r="AA51" s="430"/>
      <c r="AB51" s="430"/>
      <c r="AC51" s="430"/>
      <c r="AD51" s="430"/>
      <c r="AE51" s="430"/>
      <c r="AF51" s="430"/>
    </row>
    <row r="52" customFormat="false" ht="12.75" hidden="false" customHeight="false" outlineLevel="0" collapsed="false">
      <c r="A52" s="34" t="str">
        <f aca="true">IF(AUTOEVENTO="Manual",IF(OFFSET(EVENTOS!$F$14,PLE!$B52,0)&gt;0,"F",""),IF(PLE!B52&lt;=MAX(CÁLCULO!$M$15:$M$59),"F",""))</f>
        <v/>
      </c>
      <c r="B52" s="428" t="n">
        <f aca="true">OFFSET(B52,-1,0)+1</f>
        <v>38</v>
      </c>
      <c r="C52" s="429" t="n">
        <f aca="true">IF(AUTOEVENTO="Manual",IF($B52&lt;&gt;1,OFFSET(EVENTOS!$D$14,$B52,0),0),IF(B52&lt;=MAX(CÁLCULO!$M$15:$M$59),VLOOKUP($B52,CÁLCULO!$M$15:$N$59,2,FALSE()),0))</f>
        <v>0</v>
      </c>
      <c r="D52" s="429"/>
      <c r="F52" s="430"/>
      <c r="H52" s="430"/>
      <c r="I52" s="430"/>
      <c r="J52" s="430"/>
      <c r="K52" s="430"/>
      <c r="L52" s="430"/>
      <c r="M52" s="430"/>
      <c r="N52" s="430"/>
      <c r="O52" s="430"/>
      <c r="P52" s="430"/>
      <c r="Q52" s="430"/>
      <c r="R52" s="430"/>
      <c r="S52" s="430"/>
      <c r="T52" s="430"/>
      <c r="U52" s="430"/>
      <c r="V52" s="430"/>
      <c r="W52" s="430"/>
      <c r="X52" s="430"/>
      <c r="Y52" s="430"/>
      <c r="Z52" s="430"/>
      <c r="AA52" s="430"/>
      <c r="AB52" s="430"/>
      <c r="AC52" s="430"/>
      <c r="AD52" s="430"/>
      <c r="AE52" s="430"/>
      <c r="AF52" s="430"/>
    </row>
    <row r="53" customFormat="false" ht="12.75" hidden="false" customHeight="false" outlineLevel="0" collapsed="false">
      <c r="A53" s="34" t="str">
        <f aca="true">IF(AUTOEVENTO="Manual",IF(OFFSET(EVENTOS!$F$14,PLE!$B53,0)&gt;0,"F",""),IF(PLE!B53&lt;=MAX(CÁLCULO!$M$15:$M$59),"F",""))</f>
        <v/>
      </c>
      <c r="B53" s="428" t="n">
        <f aca="true">OFFSET(B53,-1,0)+1</f>
        <v>39</v>
      </c>
      <c r="C53" s="429" t="n">
        <f aca="true">IF(AUTOEVENTO="Manual",IF($B53&lt;&gt;1,OFFSET(EVENTOS!$D$14,$B53,0),0),IF(B53&lt;=MAX(CÁLCULO!$M$15:$M$59),VLOOKUP($B53,CÁLCULO!$M$15:$N$59,2,FALSE()),0))</f>
        <v>0</v>
      </c>
      <c r="D53" s="429"/>
      <c r="F53" s="430"/>
      <c r="H53" s="430"/>
      <c r="I53" s="430"/>
      <c r="J53" s="430"/>
      <c r="K53" s="430"/>
      <c r="L53" s="430"/>
      <c r="M53" s="430"/>
      <c r="N53" s="430"/>
      <c r="O53" s="430"/>
      <c r="P53" s="430"/>
      <c r="Q53" s="430"/>
      <c r="R53" s="430"/>
      <c r="S53" s="430"/>
      <c r="T53" s="430"/>
      <c r="U53" s="430"/>
      <c r="V53" s="430"/>
      <c r="W53" s="430"/>
      <c r="X53" s="430"/>
      <c r="Y53" s="430"/>
      <c r="Z53" s="430"/>
      <c r="AA53" s="430"/>
      <c r="AB53" s="430"/>
      <c r="AC53" s="430"/>
      <c r="AD53" s="430"/>
      <c r="AE53" s="430"/>
      <c r="AF53" s="430"/>
    </row>
    <row r="54" customFormat="false" ht="12.75" hidden="false" customHeight="false" outlineLevel="0" collapsed="false">
      <c r="A54" s="34" t="str">
        <f aca="true">IF(AUTOEVENTO="Manual",IF(OFFSET(EVENTOS!$F$14,PLE!$B54,0)&gt;0,"F",""),IF(PLE!B54&lt;=MAX(CÁLCULO!$M$15:$M$59),"F",""))</f>
        <v/>
      </c>
      <c r="B54" s="428" t="n">
        <f aca="true">OFFSET(B54,-1,0)+1</f>
        <v>40</v>
      </c>
      <c r="C54" s="429" t="n">
        <f aca="true">IF(AUTOEVENTO="Manual",IF($B54&lt;&gt;1,OFFSET(EVENTOS!$D$14,$B54,0),0),IF(B54&lt;=MAX(CÁLCULO!$M$15:$M$59),VLOOKUP($B54,CÁLCULO!$M$15:$N$59,2,FALSE()),0))</f>
        <v>0</v>
      </c>
      <c r="D54" s="429"/>
      <c r="F54" s="430"/>
      <c r="H54" s="430"/>
      <c r="I54" s="430"/>
      <c r="J54" s="430"/>
      <c r="K54" s="430"/>
      <c r="L54" s="430"/>
      <c r="M54" s="430"/>
      <c r="N54" s="430"/>
      <c r="O54" s="430"/>
      <c r="P54" s="430"/>
      <c r="Q54" s="430"/>
      <c r="R54" s="430"/>
      <c r="S54" s="430"/>
      <c r="T54" s="430"/>
      <c r="U54" s="430"/>
      <c r="V54" s="430"/>
      <c r="W54" s="430"/>
      <c r="X54" s="430"/>
      <c r="Y54" s="430"/>
      <c r="Z54" s="430"/>
      <c r="AA54" s="430"/>
      <c r="AB54" s="430"/>
      <c r="AC54" s="430"/>
      <c r="AD54" s="430"/>
      <c r="AE54" s="430"/>
      <c r="AF54" s="430"/>
    </row>
    <row r="55" customFormat="false" ht="12.75" hidden="false" customHeight="false" outlineLevel="0" collapsed="false">
      <c r="A55" s="34" t="str">
        <f aca="true">IF(AUTOEVENTO="Manual",IF(OFFSET(EVENTOS!$F$14,PLE!$B55,0)&gt;0,"F",""),IF(PLE!B55&lt;=MAX(CÁLCULO!$M$15:$M$59),"F",""))</f>
        <v/>
      </c>
      <c r="B55" s="428" t="n">
        <f aca="true">OFFSET(B55,-1,0)+1</f>
        <v>41</v>
      </c>
      <c r="C55" s="429" t="n">
        <f aca="true">IF(AUTOEVENTO="Manual",IF($B55&lt;&gt;1,OFFSET(EVENTOS!$D$14,$B55,0),0),IF(B55&lt;=MAX(CÁLCULO!$M$15:$M$59),VLOOKUP($B55,CÁLCULO!$M$15:$N$59,2,FALSE()),0))</f>
        <v>0</v>
      </c>
      <c r="D55" s="429"/>
      <c r="F55" s="430"/>
      <c r="H55" s="430"/>
      <c r="I55" s="430"/>
      <c r="J55" s="430"/>
      <c r="K55" s="430"/>
      <c r="L55" s="430"/>
      <c r="M55" s="430"/>
      <c r="N55" s="430"/>
      <c r="O55" s="430"/>
      <c r="P55" s="430"/>
      <c r="Q55" s="430"/>
      <c r="R55" s="430"/>
      <c r="S55" s="430"/>
      <c r="T55" s="430"/>
      <c r="U55" s="430"/>
      <c r="V55" s="430"/>
      <c r="W55" s="430"/>
      <c r="X55" s="430"/>
      <c r="Y55" s="430"/>
      <c r="Z55" s="430"/>
      <c r="AA55" s="430"/>
      <c r="AB55" s="430"/>
      <c r="AC55" s="430"/>
      <c r="AD55" s="430"/>
      <c r="AE55" s="430"/>
      <c r="AF55" s="430"/>
    </row>
    <row r="56" customFormat="false" ht="12.75" hidden="false" customHeight="false" outlineLevel="0" collapsed="false">
      <c r="A56" s="34" t="str">
        <f aca="true">IF(AUTOEVENTO="Manual",IF(OFFSET(EVENTOS!$F$14,PLE!$B56,0)&gt;0,"F",""),IF(PLE!B56&lt;=MAX(CÁLCULO!$M$15:$M$59),"F",""))</f>
        <v/>
      </c>
      <c r="B56" s="428" t="n">
        <f aca="true">OFFSET(B56,-1,0)+1</f>
        <v>42</v>
      </c>
      <c r="C56" s="429" t="n">
        <f aca="true">IF(AUTOEVENTO="Manual",IF($B56&lt;&gt;1,OFFSET(EVENTOS!$D$14,$B56,0),0),IF(B56&lt;=MAX(CÁLCULO!$M$15:$M$59),VLOOKUP($B56,CÁLCULO!$M$15:$N$59,2,FALSE()),0))</f>
        <v>0</v>
      </c>
      <c r="D56" s="429"/>
      <c r="F56" s="430"/>
      <c r="H56" s="430"/>
      <c r="I56" s="430"/>
      <c r="J56" s="430"/>
      <c r="K56" s="430"/>
      <c r="L56" s="430"/>
      <c r="M56" s="430"/>
      <c r="N56" s="430"/>
      <c r="O56" s="430"/>
      <c r="P56" s="430"/>
      <c r="Q56" s="430"/>
      <c r="R56" s="430"/>
      <c r="S56" s="430"/>
      <c r="T56" s="430"/>
      <c r="U56" s="430"/>
      <c r="V56" s="430"/>
      <c r="W56" s="430"/>
      <c r="X56" s="430"/>
      <c r="Y56" s="430"/>
      <c r="Z56" s="430"/>
      <c r="AA56" s="430"/>
      <c r="AB56" s="430"/>
      <c r="AC56" s="430"/>
      <c r="AD56" s="430"/>
      <c r="AE56" s="430"/>
      <c r="AF56" s="430"/>
    </row>
    <row r="57" customFormat="false" ht="12.75" hidden="false" customHeight="false" outlineLevel="0" collapsed="false">
      <c r="A57" s="34" t="str">
        <f aca="true">IF(AUTOEVENTO="Manual",IF(OFFSET(EVENTOS!$F$14,PLE!$B57,0)&gt;0,"F",""),IF(PLE!B57&lt;=MAX(CÁLCULO!$M$15:$M$59),"F",""))</f>
        <v/>
      </c>
      <c r="B57" s="428" t="n">
        <f aca="true">OFFSET(B57,-1,0)+1</f>
        <v>43</v>
      </c>
      <c r="C57" s="429" t="n">
        <f aca="true">IF(AUTOEVENTO="Manual",IF($B57&lt;&gt;1,OFFSET(EVENTOS!$D$14,$B57,0),0),IF(B57&lt;=MAX(CÁLCULO!$M$15:$M$59),VLOOKUP($B57,CÁLCULO!$M$15:$N$59,2,FALSE()),0))</f>
        <v>0</v>
      </c>
      <c r="D57" s="429"/>
      <c r="F57" s="430"/>
      <c r="H57" s="430"/>
      <c r="I57" s="430"/>
      <c r="J57" s="430"/>
      <c r="K57" s="430"/>
      <c r="L57" s="430"/>
      <c r="M57" s="430"/>
      <c r="N57" s="430"/>
      <c r="O57" s="430"/>
      <c r="P57" s="430"/>
      <c r="Q57" s="430"/>
      <c r="R57" s="430"/>
      <c r="S57" s="430"/>
      <c r="T57" s="430"/>
      <c r="U57" s="430"/>
      <c r="V57" s="430"/>
      <c r="W57" s="430"/>
      <c r="X57" s="430"/>
      <c r="Y57" s="430"/>
      <c r="Z57" s="430"/>
      <c r="AA57" s="430"/>
      <c r="AB57" s="430"/>
      <c r="AC57" s="430"/>
      <c r="AD57" s="430"/>
      <c r="AE57" s="430"/>
      <c r="AF57" s="430"/>
    </row>
    <row r="58" customFormat="false" ht="12.75" hidden="false" customHeight="false" outlineLevel="0" collapsed="false">
      <c r="A58" s="34" t="str">
        <f aca="true">IF(AUTOEVENTO="Manual",IF(OFFSET(EVENTOS!$F$14,PLE!$B58,0)&gt;0,"F",""),IF(PLE!B58&lt;=MAX(CÁLCULO!$M$15:$M$59),"F",""))</f>
        <v/>
      </c>
      <c r="B58" s="428" t="n">
        <f aca="true">OFFSET(B58,-1,0)+1</f>
        <v>44</v>
      </c>
      <c r="C58" s="429" t="n">
        <f aca="true">IF(AUTOEVENTO="Manual",IF($B58&lt;&gt;1,OFFSET(EVENTOS!$D$14,$B58,0),0),IF(B58&lt;=MAX(CÁLCULO!$M$15:$M$59),VLOOKUP($B58,CÁLCULO!$M$15:$N$59,2,FALSE()),0))</f>
        <v>0</v>
      </c>
      <c r="D58" s="429"/>
      <c r="F58" s="430"/>
      <c r="H58" s="430"/>
      <c r="I58" s="430"/>
      <c r="J58" s="430"/>
      <c r="K58" s="430"/>
      <c r="L58" s="430"/>
      <c r="M58" s="430"/>
      <c r="N58" s="430"/>
      <c r="O58" s="430"/>
      <c r="P58" s="430"/>
      <c r="Q58" s="430"/>
      <c r="R58" s="430"/>
      <c r="S58" s="430"/>
      <c r="T58" s="430"/>
      <c r="U58" s="430"/>
      <c r="V58" s="430"/>
      <c r="W58" s="430"/>
      <c r="X58" s="430"/>
      <c r="Y58" s="430"/>
      <c r="Z58" s="430"/>
      <c r="AA58" s="430"/>
      <c r="AB58" s="430"/>
      <c r="AC58" s="430"/>
      <c r="AD58" s="430"/>
      <c r="AE58" s="430"/>
      <c r="AF58" s="430"/>
    </row>
    <row r="59" customFormat="false" ht="12.75" hidden="false" customHeight="false" outlineLevel="0" collapsed="false">
      <c r="A59" s="34" t="str">
        <f aca="true">IF(AUTOEVENTO="Manual",IF(OFFSET(EVENTOS!$F$14,PLE!$B59,0)&gt;0,"F",""),IF(PLE!B59&lt;=MAX(CÁLCULO!$M$15:$M$59),"F",""))</f>
        <v/>
      </c>
      <c r="B59" s="428" t="n">
        <f aca="true">OFFSET(B59,-1,0)+1</f>
        <v>45</v>
      </c>
      <c r="C59" s="429" t="n">
        <f aca="true">IF(AUTOEVENTO="Manual",IF($B59&lt;&gt;1,OFFSET(EVENTOS!$D$14,$B59,0),0),IF(B59&lt;=MAX(CÁLCULO!$M$15:$M$59),VLOOKUP($B59,CÁLCULO!$M$15:$N$59,2,FALSE()),0))</f>
        <v>0</v>
      </c>
      <c r="D59" s="429"/>
      <c r="F59" s="430"/>
      <c r="H59" s="430"/>
      <c r="I59" s="430"/>
      <c r="J59" s="430"/>
      <c r="K59" s="430"/>
      <c r="L59" s="430"/>
      <c r="M59" s="430"/>
      <c r="N59" s="430"/>
      <c r="O59" s="430"/>
      <c r="P59" s="430"/>
      <c r="Q59" s="430"/>
      <c r="R59" s="430"/>
      <c r="S59" s="430"/>
      <c r="T59" s="430"/>
      <c r="U59" s="430"/>
      <c r="V59" s="430"/>
      <c r="W59" s="430"/>
      <c r="X59" s="430"/>
      <c r="Y59" s="430"/>
      <c r="Z59" s="430"/>
      <c r="AA59" s="430"/>
      <c r="AB59" s="430"/>
      <c r="AC59" s="430"/>
      <c r="AD59" s="430"/>
      <c r="AE59" s="430"/>
      <c r="AF59" s="430"/>
    </row>
    <row r="60" customFormat="false" ht="12.75" hidden="false" customHeight="false" outlineLevel="0" collapsed="false">
      <c r="A60" s="34" t="str">
        <f aca="true">IF(AUTOEVENTO="Manual",IF(OFFSET(EVENTOS!$F$14,PLE!$B60,0)&gt;0,"F",""),IF(PLE!B60&lt;=MAX(CÁLCULO!$M$15:$M$59),"F",""))</f>
        <v/>
      </c>
      <c r="B60" s="428" t="n">
        <f aca="true">OFFSET(B60,-1,0)+1</f>
        <v>46</v>
      </c>
      <c r="C60" s="429" t="n">
        <f aca="true">IF(AUTOEVENTO="Manual",IF($B60&lt;&gt;1,OFFSET(EVENTOS!$D$14,$B60,0),0),IF(B60&lt;=MAX(CÁLCULO!$M$15:$M$59),VLOOKUP($B60,CÁLCULO!$M$15:$N$59,2,FALSE()),0))</f>
        <v>0</v>
      </c>
      <c r="D60" s="429"/>
      <c r="F60" s="430"/>
      <c r="H60" s="430"/>
      <c r="I60" s="430"/>
      <c r="J60" s="430"/>
      <c r="K60" s="430"/>
      <c r="L60" s="430"/>
      <c r="M60" s="430"/>
      <c r="N60" s="430"/>
      <c r="O60" s="430"/>
      <c r="P60" s="430"/>
      <c r="Q60" s="430"/>
      <c r="R60" s="430"/>
      <c r="S60" s="430"/>
      <c r="T60" s="430"/>
      <c r="U60" s="430"/>
      <c r="V60" s="430"/>
      <c r="W60" s="430"/>
      <c r="X60" s="430"/>
      <c r="Y60" s="430"/>
      <c r="Z60" s="430"/>
      <c r="AA60" s="430"/>
      <c r="AB60" s="430"/>
      <c r="AC60" s="430"/>
      <c r="AD60" s="430"/>
      <c r="AE60" s="430"/>
      <c r="AF60" s="430"/>
    </row>
    <row r="61" customFormat="false" ht="12.75" hidden="false" customHeight="false" outlineLevel="0" collapsed="false">
      <c r="A61" s="34" t="str">
        <f aca="true">IF(AUTOEVENTO="Manual",IF(OFFSET(EVENTOS!$F$14,PLE!$B61,0)&gt;0,"F",""),IF(PLE!B61&lt;=MAX(CÁLCULO!$M$15:$M$59),"F",""))</f>
        <v/>
      </c>
      <c r="B61" s="428" t="n">
        <f aca="true">OFFSET(B61,-1,0)+1</f>
        <v>47</v>
      </c>
      <c r="C61" s="429" t="n">
        <f aca="true">IF(AUTOEVENTO="Manual",IF($B61&lt;&gt;1,OFFSET(EVENTOS!$D$14,$B61,0),0),IF(B61&lt;=MAX(CÁLCULO!$M$15:$M$59),VLOOKUP($B61,CÁLCULO!$M$15:$N$59,2,FALSE()),0))</f>
        <v>0</v>
      </c>
      <c r="D61" s="429"/>
      <c r="F61" s="430"/>
      <c r="H61" s="430"/>
      <c r="I61" s="430"/>
      <c r="J61" s="430"/>
      <c r="K61" s="430"/>
      <c r="L61" s="430"/>
      <c r="M61" s="430"/>
      <c r="N61" s="430"/>
      <c r="O61" s="430"/>
      <c r="P61" s="430"/>
      <c r="Q61" s="430"/>
      <c r="R61" s="430"/>
      <c r="S61" s="430"/>
      <c r="T61" s="430"/>
      <c r="U61" s="430"/>
      <c r="V61" s="430"/>
      <c r="W61" s="430"/>
      <c r="X61" s="430"/>
      <c r="Y61" s="430"/>
      <c r="Z61" s="430"/>
      <c r="AA61" s="430"/>
      <c r="AB61" s="430"/>
      <c r="AC61" s="430"/>
      <c r="AD61" s="430"/>
      <c r="AE61" s="430"/>
      <c r="AF61" s="430"/>
    </row>
    <row r="62" customFormat="false" ht="12.75" hidden="false" customHeight="false" outlineLevel="0" collapsed="false">
      <c r="A62" s="34" t="str">
        <f aca="true">IF(AUTOEVENTO="Manual",IF(OFFSET(EVENTOS!$F$14,PLE!$B62,0)&gt;0,"F",""),IF(PLE!B62&lt;=MAX(CÁLCULO!$M$15:$M$59),"F",""))</f>
        <v/>
      </c>
      <c r="B62" s="428" t="n">
        <f aca="true">OFFSET(B62,-1,0)+1</f>
        <v>48</v>
      </c>
      <c r="C62" s="429" t="n">
        <f aca="true">IF(AUTOEVENTO="Manual",IF($B62&lt;&gt;1,OFFSET(EVENTOS!$D$14,$B62,0),0),IF(B62&lt;=MAX(CÁLCULO!$M$15:$M$59),VLOOKUP($B62,CÁLCULO!$M$15:$N$59,2,FALSE()),0))</f>
        <v>0</v>
      </c>
      <c r="D62" s="429"/>
      <c r="F62" s="430"/>
      <c r="H62" s="430"/>
      <c r="I62" s="430"/>
      <c r="J62" s="430"/>
      <c r="K62" s="430"/>
      <c r="L62" s="430"/>
      <c r="M62" s="430"/>
      <c r="N62" s="430"/>
      <c r="O62" s="430"/>
      <c r="P62" s="430"/>
      <c r="Q62" s="430"/>
      <c r="R62" s="430"/>
      <c r="S62" s="430"/>
      <c r="T62" s="430"/>
      <c r="U62" s="430"/>
      <c r="V62" s="430"/>
      <c r="W62" s="430"/>
      <c r="X62" s="430"/>
      <c r="Y62" s="430"/>
      <c r="Z62" s="430"/>
      <c r="AA62" s="430"/>
      <c r="AB62" s="430"/>
      <c r="AC62" s="430"/>
      <c r="AD62" s="430"/>
      <c r="AE62" s="430"/>
      <c r="AF62" s="430"/>
    </row>
    <row r="63" customFormat="false" ht="12.75" hidden="false" customHeight="false" outlineLevel="0" collapsed="false">
      <c r="A63" s="34" t="str">
        <f aca="true">IF(AUTOEVENTO="Manual",IF(OFFSET(EVENTOS!$F$14,PLE!$B63,0)&gt;0,"F",""),IF(PLE!B63&lt;=MAX(CÁLCULO!$M$15:$M$59),"F",""))</f>
        <v/>
      </c>
      <c r="B63" s="428" t="n">
        <f aca="true">OFFSET(B63,-1,0)+1</f>
        <v>49</v>
      </c>
      <c r="C63" s="429" t="n">
        <f aca="true">IF(AUTOEVENTO="Manual",IF($B63&lt;&gt;1,OFFSET(EVENTOS!$D$14,$B63,0),0),IF(B63&lt;=MAX(CÁLCULO!$M$15:$M$59),VLOOKUP($B63,CÁLCULO!$M$15:$N$59,2,FALSE()),0))</f>
        <v>0</v>
      </c>
      <c r="D63" s="429"/>
      <c r="F63" s="430"/>
      <c r="H63" s="430"/>
      <c r="I63" s="430"/>
      <c r="J63" s="430"/>
      <c r="K63" s="430"/>
      <c r="L63" s="430"/>
      <c r="M63" s="430"/>
      <c r="N63" s="430"/>
      <c r="O63" s="430"/>
      <c r="P63" s="430"/>
      <c r="Q63" s="430"/>
      <c r="R63" s="430"/>
      <c r="S63" s="430"/>
      <c r="T63" s="430"/>
      <c r="U63" s="430"/>
      <c r="V63" s="430"/>
      <c r="W63" s="430"/>
      <c r="X63" s="430"/>
      <c r="Y63" s="430"/>
      <c r="Z63" s="430"/>
      <c r="AA63" s="430"/>
      <c r="AB63" s="430"/>
      <c r="AC63" s="430"/>
      <c r="AD63" s="430"/>
      <c r="AE63" s="430"/>
      <c r="AF63" s="430"/>
    </row>
    <row r="64" customFormat="false" ht="12.75" hidden="false" customHeight="false" outlineLevel="0" collapsed="false">
      <c r="A64" s="34" t="str">
        <f aca="true">IF(AUTOEVENTO="Manual",IF(OFFSET(EVENTOS!$F$14,PLE!$B64,0)&gt;0,"F",""),IF(PLE!B64&lt;=MAX(CÁLCULO!$M$15:$M$59),"F",""))</f>
        <v/>
      </c>
      <c r="B64" s="428" t="n">
        <f aca="true">OFFSET(B64,-1,0)+1</f>
        <v>50</v>
      </c>
      <c r="C64" s="429" t="n">
        <f aca="true">IF(AUTOEVENTO="Manual",IF($B64&lt;&gt;1,OFFSET(EVENTOS!$D$14,$B64,0),0),IF(B64&lt;=MAX(CÁLCULO!$M$15:$M$59),VLOOKUP($B64,CÁLCULO!$M$15:$N$59,2,FALSE()),0))</f>
        <v>0</v>
      </c>
      <c r="D64" s="429"/>
      <c r="F64" s="430"/>
      <c r="H64" s="430"/>
      <c r="I64" s="430"/>
      <c r="J64" s="430"/>
      <c r="K64" s="430"/>
      <c r="L64" s="430"/>
      <c r="M64" s="430"/>
      <c r="N64" s="430"/>
      <c r="O64" s="430"/>
      <c r="P64" s="430"/>
      <c r="Q64" s="430"/>
      <c r="R64" s="430"/>
      <c r="S64" s="430"/>
      <c r="T64" s="430"/>
      <c r="U64" s="430"/>
      <c r="V64" s="430"/>
      <c r="W64" s="430"/>
      <c r="X64" s="430"/>
      <c r="Y64" s="430"/>
      <c r="Z64" s="430"/>
      <c r="AA64" s="430"/>
      <c r="AB64" s="430"/>
      <c r="AC64" s="430"/>
      <c r="AD64" s="430"/>
      <c r="AE64" s="430"/>
      <c r="AF64" s="430"/>
    </row>
    <row r="65" customFormat="false" ht="4.5" hidden="false" customHeight="true" outlineLevel="0" collapsed="false">
      <c r="A65" s="34" t="s">
        <v>206</v>
      </c>
      <c r="B65" s="227"/>
      <c r="C65" s="230"/>
      <c r="D65" s="228"/>
      <c r="F65" s="302"/>
      <c r="H65" s="227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0"/>
      <c r="U65" s="230"/>
      <c r="V65" s="230"/>
      <c r="W65" s="230"/>
      <c r="X65" s="230"/>
      <c r="Y65" s="230"/>
      <c r="Z65" s="230"/>
      <c r="AA65" s="230"/>
      <c r="AB65" s="230"/>
      <c r="AC65" s="230"/>
      <c r="AD65" s="230"/>
      <c r="AE65" s="230"/>
      <c r="AF65" s="228"/>
    </row>
    <row r="66" customFormat="false" ht="12.75" hidden="false" customHeight="false" outlineLevel="0" collapsed="false">
      <c r="A66" s="34" t="s">
        <v>206</v>
      </c>
    </row>
    <row r="67" customFormat="false" ht="12.75" hidden="false" customHeight="false" outlineLevel="0" collapsed="false">
      <c r="A67" s="34" t="s">
        <v>206</v>
      </c>
      <c r="I67" s="459" t="s">
        <v>427</v>
      </c>
      <c r="J67" s="459"/>
      <c r="K67" s="459"/>
      <c r="L67" s="459"/>
      <c r="M67" s="459"/>
      <c r="N67" s="459"/>
      <c r="O67" s="459"/>
      <c r="P67" s="459"/>
      <c r="Q67" s="459"/>
      <c r="R67" s="459"/>
      <c r="S67" s="459"/>
      <c r="T67" s="459"/>
      <c r="U67" s="459"/>
      <c r="V67" s="459"/>
      <c r="W67" s="459"/>
      <c r="X67" s="459"/>
      <c r="Y67" s="459"/>
      <c r="Z67" s="459"/>
      <c r="AA67" s="459"/>
      <c r="AB67" s="459"/>
      <c r="AC67" s="459"/>
      <c r="AD67" s="459"/>
      <c r="AE67" s="459"/>
      <c r="AF67" s="459"/>
    </row>
    <row r="68" customFormat="false" ht="12.75" hidden="false" customHeight="false" outlineLevel="0" collapsed="false">
      <c r="A68" s="34" t="s">
        <v>206</v>
      </c>
      <c r="I68" s="460"/>
      <c r="J68" s="460"/>
      <c r="K68" s="461"/>
      <c r="L68" s="461"/>
      <c r="M68" s="461"/>
      <c r="N68" s="461"/>
      <c r="O68" s="461"/>
      <c r="P68" s="461"/>
      <c r="Q68" s="461"/>
      <c r="R68" s="461"/>
      <c r="S68" s="461"/>
      <c r="T68" s="461"/>
      <c r="U68" s="461"/>
      <c r="V68" s="461"/>
      <c r="W68" s="461"/>
      <c r="X68" s="461"/>
      <c r="Y68" s="461"/>
      <c r="Z68" s="461"/>
      <c r="AA68" s="461"/>
      <c r="AB68" s="461"/>
      <c r="AC68" s="461"/>
      <c r="AD68" s="461"/>
      <c r="AE68" s="462"/>
      <c r="AF68" s="462"/>
    </row>
    <row r="69" customFormat="false" ht="12.75" hidden="false" customHeight="false" outlineLevel="0" collapsed="false">
      <c r="A69" s="34" t="s">
        <v>206</v>
      </c>
      <c r="D69" s="459" t="s">
        <v>428</v>
      </c>
      <c r="I69" s="463" t="n">
        <f aca="false">IF(PLE.Medicao&lt;=12,1,TRUNC((PLE.Medicao - 2)/11,0) * 11 + 1)</f>
        <v>1</v>
      </c>
      <c r="J69" s="463"/>
      <c r="K69" s="463" t="n">
        <f aca="false">I69+1</f>
        <v>2</v>
      </c>
      <c r="L69" s="463"/>
      <c r="M69" s="463" t="n">
        <f aca="false">K69+1</f>
        <v>3</v>
      </c>
      <c r="N69" s="463"/>
      <c r="O69" s="463" t="n">
        <f aca="false">M69+1</f>
        <v>4</v>
      </c>
      <c r="P69" s="463"/>
      <c r="Q69" s="463" t="n">
        <f aca="false">O69+1</f>
        <v>5</v>
      </c>
      <c r="R69" s="463"/>
      <c r="S69" s="463" t="n">
        <f aca="false">Q69+1</f>
        <v>6</v>
      </c>
      <c r="T69" s="463"/>
      <c r="U69" s="463" t="n">
        <f aca="false">S69+1</f>
        <v>7</v>
      </c>
      <c r="V69" s="463"/>
      <c r="W69" s="463" t="n">
        <f aca="false">U69+1</f>
        <v>8</v>
      </c>
      <c r="X69" s="463"/>
      <c r="Y69" s="463" t="n">
        <f aca="false">W69+1</f>
        <v>9</v>
      </c>
      <c r="Z69" s="463"/>
      <c r="AA69" s="463" t="n">
        <f aca="false">Y69+1</f>
        <v>10</v>
      </c>
      <c r="AB69" s="463"/>
      <c r="AC69" s="463" t="n">
        <f aca="false">AA69+1</f>
        <v>11</v>
      </c>
      <c r="AD69" s="463"/>
      <c r="AE69" s="463" t="n">
        <f aca="false">AC69+1</f>
        <v>12</v>
      </c>
      <c r="AF69" s="463"/>
    </row>
    <row r="70" customFormat="false" ht="12.75" hidden="false" customHeight="false" outlineLevel="0" collapsed="false">
      <c r="A70" s="34" t="s">
        <v>206</v>
      </c>
      <c r="D70" s="464" t="s">
        <v>412</v>
      </c>
      <c r="H70" s="465" t="s">
        <v>429</v>
      </c>
      <c r="I70" s="466" t="e">
        <f aca="false">ROUND(I71,2)/ORÇAMENTO!$X$15</f>
        <v>#DIV/0!</v>
      </c>
      <c r="J70" s="466"/>
      <c r="K70" s="467" t="e">
        <f aca="false">ROUND(K71,2)/ORÇAMENTO!$X$15</f>
        <v>#DIV/0!</v>
      </c>
      <c r="L70" s="467"/>
      <c r="M70" s="468" t="e">
        <f aca="false">ROUND(M71,2)/ORÇAMENTO!$X$15</f>
        <v>#DIV/0!</v>
      </c>
      <c r="N70" s="468"/>
      <c r="O70" s="467" t="e">
        <f aca="false">ROUND(O71,2)/ORÇAMENTO!$X$15</f>
        <v>#DIV/0!</v>
      </c>
      <c r="P70" s="467"/>
      <c r="Q70" s="468" t="e">
        <f aca="false">ROUND(Q71,2)/ORÇAMENTO!$X$15</f>
        <v>#DIV/0!</v>
      </c>
      <c r="R70" s="468"/>
      <c r="S70" s="467" t="e">
        <f aca="false">ROUND(S71,2)/ORÇAMENTO!$X$15</f>
        <v>#DIV/0!</v>
      </c>
      <c r="T70" s="467"/>
      <c r="U70" s="468" t="e">
        <f aca="false">ROUND(U71,2)/ORÇAMENTO!$X$15</f>
        <v>#DIV/0!</v>
      </c>
      <c r="V70" s="468"/>
      <c r="W70" s="467" t="e">
        <f aca="false">ROUND(W71,2)/ORÇAMENTO!$X$15</f>
        <v>#DIV/0!</v>
      </c>
      <c r="X70" s="467"/>
      <c r="Y70" s="468" t="e">
        <f aca="false">ROUND(Y71,2)/ORÇAMENTO!$X$15</f>
        <v>#DIV/0!</v>
      </c>
      <c r="Z70" s="468"/>
      <c r="AA70" s="467" t="e">
        <f aca="false">ROUND(AA71,2)/ORÇAMENTO!$X$15</f>
        <v>#DIV/0!</v>
      </c>
      <c r="AB70" s="467"/>
      <c r="AC70" s="468" t="e">
        <f aca="false">ROUND(AC71,2)/ORÇAMENTO!$X$15</f>
        <v>#DIV/0!</v>
      </c>
      <c r="AD70" s="468"/>
      <c r="AE70" s="467" t="e">
        <f aca="false">ROUND(AE71,2)/ORÇAMENTO!$X$15</f>
        <v>#DIV/0!</v>
      </c>
      <c r="AF70" s="467"/>
    </row>
    <row r="71" customFormat="false" ht="12.75" hidden="false" customHeight="false" outlineLevel="0" collapsed="false">
      <c r="A71" s="34" t="s">
        <v>206</v>
      </c>
      <c r="D71" s="464"/>
      <c r="H71" s="40" t="s">
        <v>430</v>
      </c>
      <c r="I71" s="469" t="e">
        <f aca="false">IF(I69=1,I73,ROUND(I73,2)-ROUND(SUMIF(CÁLCULO!$AX$15:$BH$59,"&lt;="&amp;PLE!I69-1,CÁLCULO!$AB$15:$AL$59)*(1+CÁLCULO.TotalAdmLocal/(ORÇAMENTO!$X$15-CÁLCULO.TotalAdmLocal)),2))</f>
        <v>#DIV/0!</v>
      </c>
      <c r="J71" s="469"/>
      <c r="K71" s="469" t="e">
        <f aca="false">ROUND(K73,2)-ROUND(I73,2)</f>
        <v>#DIV/0!</v>
      </c>
      <c r="L71" s="469"/>
      <c r="M71" s="470" t="e">
        <f aca="false">ROUND(M73,2)-ROUND(K73,2)</f>
        <v>#DIV/0!</v>
      </c>
      <c r="N71" s="470"/>
      <c r="O71" s="469" t="e">
        <f aca="false">ROUND(O73,2)-ROUND(M73,2)</f>
        <v>#DIV/0!</v>
      </c>
      <c r="P71" s="469"/>
      <c r="Q71" s="470" t="e">
        <f aca="false">ROUND(Q73,2)-ROUND(O73,2)</f>
        <v>#DIV/0!</v>
      </c>
      <c r="R71" s="470"/>
      <c r="S71" s="469" t="e">
        <f aca="false">ROUND(S73,2)-ROUND(Q73,2)</f>
        <v>#DIV/0!</v>
      </c>
      <c r="T71" s="469"/>
      <c r="U71" s="470" t="e">
        <f aca="false">ROUND(U73,2)-ROUND(S73,2)</f>
        <v>#DIV/0!</v>
      </c>
      <c r="V71" s="470"/>
      <c r="W71" s="469" t="e">
        <f aca="false">ROUND(W73,2)-ROUND(U73,2)</f>
        <v>#DIV/0!</v>
      </c>
      <c r="X71" s="469"/>
      <c r="Y71" s="470" t="e">
        <f aca="false">ROUND(Y73,2)-ROUND(W73,2)</f>
        <v>#DIV/0!</v>
      </c>
      <c r="Z71" s="470"/>
      <c r="AA71" s="469" t="e">
        <f aca="false">ROUND(AA73,2)-ROUND(Y73,2)</f>
        <v>#DIV/0!</v>
      </c>
      <c r="AB71" s="469"/>
      <c r="AC71" s="470" t="e">
        <f aca="false">ROUND(AC73,2)-ROUND(AA73,2)</f>
        <v>#DIV/0!</v>
      </c>
      <c r="AD71" s="470"/>
      <c r="AE71" s="469" t="e">
        <f aca="false">ROUND(AE73,2)-ROUND(AC73,2)</f>
        <v>#DIV/0!</v>
      </c>
      <c r="AF71" s="469"/>
    </row>
    <row r="72" customFormat="false" ht="12.75" hidden="false" customHeight="false" outlineLevel="0" collapsed="false">
      <c r="A72" s="34" t="s">
        <v>206</v>
      </c>
      <c r="D72" s="464" t="s">
        <v>416</v>
      </c>
      <c r="H72" s="465" t="s">
        <v>429</v>
      </c>
      <c r="I72" s="471" t="e">
        <f aca="false">ROUND(I73,2)/ORÇAMENTO!$X$15</f>
        <v>#DIV/0!</v>
      </c>
      <c r="J72" s="471"/>
      <c r="K72" s="472" t="e">
        <f aca="false">ROUND(K73,2)/ORÇAMENTO!$X$15</f>
        <v>#DIV/0!</v>
      </c>
      <c r="L72" s="472"/>
      <c r="M72" s="473" t="e">
        <f aca="false">ROUND(M73,2)/ORÇAMENTO!$X$15</f>
        <v>#DIV/0!</v>
      </c>
      <c r="N72" s="473"/>
      <c r="O72" s="472" t="e">
        <f aca="false">ROUND(O73,2)/ORÇAMENTO!$X$15</f>
        <v>#DIV/0!</v>
      </c>
      <c r="P72" s="472"/>
      <c r="Q72" s="473" t="e">
        <f aca="false">ROUND(Q73,2)/ORÇAMENTO!$X$15</f>
        <v>#DIV/0!</v>
      </c>
      <c r="R72" s="473"/>
      <c r="S72" s="472" t="e">
        <f aca="false">ROUND(S73,2)/ORÇAMENTO!$X$15</f>
        <v>#DIV/0!</v>
      </c>
      <c r="T72" s="472"/>
      <c r="U72" s="473" t="e">
        <f aca="false">ROUND(U73,2)/ORÇAMENTO!$X$15</f>
        <v>#DIV/0!</v>
      </c>
      <c r="V72" s="473"/>
      <c r="W72" s="472" t="e">
        <f aca="false">ROUND(W73,2)/ORÇAMENTO!$X$15</f>
        <v>#DIV/0!</v>
      </c>
      <c r="X72" s="472"/>
      <c r="Y72" s="473" t="e">
        <f aca="false">ROUND(Y73,2)/ORÇAMENTO!$X$15</f>
        <v>#DIV/0!</v>
      </c>
      <c r="Z72" s="473"/>
      <c r="AA72" s="472" t="e">
        <f aca="false">ROUND(AA73,2)/ORÇAMENTO!$X$15</f>
        <v>#DIV/0!</v>
      </c>
      <c r="AB72" s="472"/>
      <c r="AC72" s="473" t="e">
        <f aca="false">ROUND(AC73,2)/ORÇAMENTO!$X$15</f>
        <v>#DIV/0!</v>
      </c>
      <c r="AD72" s="473"/>
      <c r="AE72" s="472" t="e">
        <f aca="false">ROUND(AE73,2)/ORÇAMENTO!$X$15</f>
        <v>#DIV/0!</v>
      </c>
      <c r="AF72" s="472"/>
    </row>
    <row r="73" customFormat="false" ht="12.75" hidden="false" customHeight="false" outlineLevel="0" collapsed="false">
      <c r="A73" s="34" t="s">
        <v>206</v>
      </c>
      <c r="D73" s="464"/>
      <c r="H73" s="40" t="s">
        <v>430</v>
      </c>
      <c r="I73" s="474" t="e">
        <f aca="false">SUMIF(CÁLCULO!$AX$15:$BH$59,"&lt;="&amp;PLE!I69,CÁLCULO!$AB$15:$AL$59)*(1+CÁLCULO.TotalAdmLocal/(ORÇAMENTO!$X$15-CÁLCULO.TotalAdmLocal))</f>
        <v>#DIV/0!</v>
      </c>
      <c r="J73" s="474"/>
      <c r="K73" s="469" t="e">
        <f aca="false">SUMIF(CÁLCULO!$AX$15:$BH$59,"&lt;="&amp;PLE!K69,CÁLCULO!$AB$15:$AL$59)*(1+CÁLCULO.TotalAdmLocal/(ORÇAMENTO!$X$15-CÁLCULO.TotalAdmLocal))</f>
        <v>#DIV/0!</v>
      </c>
      <c r="L73" s="469"/>
      <c r="M73" s="470" t="e">
        <f aca="false">SUMIF(CÁLCULO!$AX$15:$BH$59,"&lt;="&amp;PLE!M69,CÁLCULO!$AB$15:$AL$59)*(1+CÁLCULO.TotalAdmLocal/(ORÇAMENTO!$X$15-CÁLCULO.TotalAdmLocal))</f>
        <v>#DIV/0!</v>
      </c>
      <c r="N73" s="470"/>
      <c r="O73" s="469" t="e">
        <f aca="false">SUMIF(CÁLCULO!$AX$15:$BH$59,"&lt;="&amp;PLE!O69,CÁLCULO!$AB$15:$AL$59)*(1+CÁLCULO.TotalAdmLocal/(ORÇAMENTO!$X$15-CÁLCULO.TotalAdmLocal))</f>
        <v>#DIV/0!</v>
      </c>
      <c r="P73" s="469"/>
      <c r="Q73" s="470" t="e">
        <f aca="false">SUMIF(CÁLCULO!$AX$15:$BH$59,"&lt;="&amp;PLE!Q69,CÁLCULO!$AB$15:$AL$59)*(1+CÁLCULO.TotalAdmLocal/(ORÇAMENTO!$X$15-CÁLCULO.TotalAdmLocal))</f>
        <v>#DIV/0!</v>
      </c>
      <c r="R73" s="470"/>
      <c r="S73" s="469" t="e">
        <f aca="false">SUMIF(CÁLCULO!$AX$15:$BH$59,"&lt;="&amp;PLE!S69,CÁLCULO!$AB$15:$AL$59)*(1+CÁLCULO.TotalAdmLocal/(ORÇAMENTO!$X$15-CÁLCULO.TotalAdmLocal))</f>
        <v>#DIV/0!</v>
      </c>
      <c r="T73" s="469"/>
      <c r="U73" s="470" t="e">
        <f aca="false">SUMIF(CÁLCULO!$AX$15:$BH$59,"&lt;="&amp;PLE!U69,CÁLCULO!$AB$15:$AL$59)*(1+CÁLCULO.TotalAdmLocal/(ORÇAMENTO!$X$15-CÁLCULO.TotalAdmLocal))</f>
        <v>#DIV/0!</v>
      </c>
      <c r="V73" s="470"/>
      <c r="W73" s="469" t="e">
        <f aca="false">SUMIF(CÁLCULO!$AX$15:$BH$59,"&lt;="&amp;PLE!W69,CÁLCULO!$AB$15:$AL$59)*(1+CÁLCULO.TotalAdmLocal/(ORÇAMENTO!$X$15-CÁLCULO.TotalAdmLocal))</f>
        <v>#DIV/0!</v>
      </c>
      <c r="X73" s="469"/>
      <c r="Y73" s="470" t="e">
        <f aca="false">SUMIF(CÁLCULO!$AX$15:$BH$59,"&lt;="&amp;PLE!Y69,CÁLCULO!$AB$15:$AL$59)*(1+CÁLCULO.TotalAdmLocal/(ORÇAMENTO!$X$15-CÁLCULO.TotalAdmLocal))</f>
        <v>#DIV/0!</v>
      </c>
      <c r="Z73" s="470"/>
      <c r="AA73" s="469" t="e">
        <f aca="false">SUMIF(CÁLCULO!$AX$15:$BH$59,"&lt;="&amp;PLE!AA69,CÁLCULO!$AB$15:$AL$59)*(1+CÁLCULO.TotalAdmLocal/(ORÇAMENTO!$X$15-CÁLCULO.TotalAdmLocal))</f>
        <v>#DIV/0!</v>
      </c>
      <c r="AB73" s="469"/>
      <c r="AC73" s="470" t="e">
        <f aca="false">SUMIF(CÁLCULO!$AX$15:$BH$59,"&lt;="&amp;PLE!AC69,CÁLCULO!$AB$15:$AL$59)*(1+CÁLCULO.TotalAdmLocal/(ORÇAMENTO!$X$15-CÁLCULO.TotalAdmLocal))</f>
        <v>#DIV/0!</v>
      </c>
      <c r="AD73" s="470"/>
      <c r="AE73" s="469" t="e">
        <f aca="false">SUMIF(CÁLCULO!$AX$15:$BH$59,"&lt;="&amp;PLE!AE69,CÁLCULO!$AB$15:$AL$59)*(1+CÁLCULO.TotalAdmLocal/(ORÇAMENTO!$X$15-CÁLCULO.TotalAdmLocal))</f>
        <v>#DIV/0!</v>
      </c>
      <c r="AF73" s="469"/>
    </row>
    <row r="74" customFormat="false" ht="20.25" hidden="false" customHeight="true" outlineLevel="0" collapsed="false">
      <c r="A74" s="34" t="s">
        <v>206</v>
      </c>
    </row>
    <row r="75" customFormat="false" ht="13.8" hidden="false" customHeight="false" outlineLevel="0" collapsed="false">
      <c r="A75" s="34" t="s">
        <v>206</v>
      </c>
      <c r="B75" s="240" t="str">
        <f aca="false">Import.Município</f>
        <v>Alpinópolis</v>
      </c>
      <c r="C75" s="240"/>
      <c r="D75" s="240"/>
      <c r="U75" s="241"/>
      <c r="V75" s="241"/>
      <c r="W75" s="241"/>
      <c r="X75" s="241"/>
      <c r="Y75" s="29"/>
      <c r="Z75" s="29"/>
      <c r="AA75" s="29"/>
      <c r="AB75" s="29"/>
      <c r="AC75" s="29"/>
      <c r="AD75" s="29"/>
    </row>
    <row r="76" customFormat="false" ht="12.75" hidden="false" customHeight="false" outlineLevel="0" collapsed="false">
      <c r="A76" s="34" t="s">
        <v>206</v>
      </c>
      <c r="B76" s="38" t="s">
        <v>239</v>
      </c>
      <c r="U76" s="242" t="s">
        <v>431</v>
      </c>
    </row>
    <row r="77" customFormat="false" ht="12.75" hidden="false" customHeight="false" outlineLevel="0" collapsed="false">
      <c r="A77" s="34" t="s">
        <v>206</v>
      </c>
      <c r="I77" s="136"/>
      <c r="U77" s="134" t="s">
        <v>123</v>
      </c>
      <c r="W77" s="475" t="n">
        <f aca="false" t="array" ref="W77:W80">Import.RespFiscalização</f>
        <v>0</v>
      </c>
    </row>
    <row r="78" customFormat="false" ht="12.75" hidden="false" customHeight="false" outlineLevel="0" collapsed="false">
      <c r="A78" s="34" t="s">
        <v>206</v>
      </c>
      <c r="B78" s="243" t="n">
        <f aca="false">DADOS!$F$48</f>
        <v>45849</v>
      </c>
      <c r="C78" s="243"/>
      <c r="D78" s="243"/>
      <c r="I78" s="136"/>
      <c r="U78" s="134" t="s">
        <v>147</v>
      </c>
      <c r="W78" s="475" t="n">
        <v>0</v>
      </c>
    </row>
    <row r="79" customFormat="false" ht="12.75" hidden="false" customHeight="false" outlineLevel="0" collapsed="false">
      <c r="A79" s="34" t="s">
        <v>206</v>
      </c>
      <c r="B79" s="244" t="s">
        <v>240</v>
      </c>
      <c r="C79" s="11"/>
      <c r="D79" s="11"/>
      <c r="I79" s="136"/>
      <c r="U79" s="134" t="s">
        <v>125</v>
      </c>
      <c r="W79" s="475" t="n">
        <v>0</v>
      </c>
    </row>
    <row r="80" customFormat="false" ht="12.75" hidden="false" customHeight="false" outlineLevel="0" collapsed="false">
      <c r="U80" s="134" t="s">
        <v>127</v>
      </c>
      <c r="W80" s="42" t="n">
        <v>0</v>
      </c>
    </row>
  </sheetData>
  <sheetProtection algorithmName="SHA-512" hashValue="+AhcW0MRNa7aACeXBSxtQ+zvCTd3cVaUDFEvJv9OiaD4uqtDRzi/TCxQWAyJTisZKBq6OUJ0X+L853bBEsb5aw==" saltValue="k61BN55TWt6v7HSzNdzYtg==" spinCount="100000" sheet="true" objects="true" scenarios="true" autoFilter="false"/>
  <autoFilter ref="A13:A79"/>
  <mergeCells count="143">
    <mergeCell ref="C1:D1"/>
    <mergeCell ref="AD3:AF3"/>
    <mergeCell ref="AD4:AF4"/>
    <mergeCell ref="AE6:AF6"/>
    <mergeCell ref="B7:C7"/>
    <mergeCell ref="H7:N7"/>
    <mergeCell ref="O7:U7"/>
    <mergeCell ref="V7:AD7"/>
    <mergeCell ref="AE7:AF7"/>
    <mergeCell ref="J9:K9"/>
    <mergeCell ref="N9:T9"/>
    <mergeCell ref="Y9:Z9"/>
    <mergeCell ref="AE9:AF9"/>
    <mergeCell ref="C11:D11"/>
    <mergeCell ref="B12:B13"/>
    <mergeCell ref="C12:D13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I67:AF67"/>
    <mergeCell ref="I68:J68"/>
    <mergeCell ref="K68:L68"/>
    <mergeCell ref="M68:N68"/>
    <mergeCell ref="O68:P68"/>
    <mergeCell ref="Q68:R68"/>
    <mergeCell ref="S68:T68"/>
    <mergeCell ref="U68:V68"/>
    <mergeCell ref="W68:X68"/>
    <mergeCell ref="Y68:Z68"/>
    <mergeCell ref="AA68:AB68"/>
    <mergeCell ref="AC68:AD68"/>
    <mergeCell ref="AE68:AF68"/>
    <mergeCell ref="I69:J69"/>
    <mergeCell ref="K69:L69"/>
    <mergeCell ref="M69:N69"/>
    <mergeCell ref="O69:P69"/>
    <mergeCell ref="Q69:R69"/>
    <mergeCell ref="S69:T69"/>
    <mergeCell ref="U69:V69"/>
    <mergeCell ref="W69:X69"/>
    <mergeCell ref="Y69:Z69"/>
    <mergeCell ref="AA69:AB69"/>
    <mergeCell ref="AC69:AD69"/>
    <mergeCell ref="AE69:AF69"/>
    <mergeCell ref="D70:D71"/>
    <mergeCell ref="I70:J70"/>
    <mergeCell ref="K70:L70"/>
    <mergeCell ref="M70:N70"/>
    <mergeCell ref="O70:P70"/>
    <mergeCell ref="Q70:R70"/>
    <mergeCell ref="S70:T70"/>
    <mergeCell ref="U70:V70"/>
    <mergeCell ref="W70:X70"/>
    <mergeCell ref="Y70:Z70"/>
    <mergeCell ref="AA70:AB70"/>
    <mergeCell ref="AC70:AD70"/>
    <mergeCell ref="AE70:AF70"/>
    <mergeCell ref="I71:J71"/>
    <mergeCell ref="K71:L71"/>
    <mergeCell ref="M71:N71"/>
    <mergeCell ref="O71:P71"/>
    <mergeCell ref="Q71:R71"/>
    <mergeCell ref="S71:T71"/>
    <mergeCell ref="U71:V71"/>
    <mergeCell ref="W71:X71"/>
    <mergeCell ref="Y71:Z71"/>
    <mergeCell ref="AA71:AB71"/>
    <mergeCell ref="AC71:AD71"/>
    <mergeCell ref="AE71:AF71"/>
    <mergeCell ref="D72:D73"/>
    <mergeCell ref="I72:J72"/>
    <mergeCell ref="K72:L72"/>
    <mergeCell ref="M72:N72"/>
    <mergeCell ref="O72:P72"/>
    <mergeCell ref="Q72:R72"/>
    <mergeCell ref="S72:T72"/>
    <mergeCell ref="U72:V72"/>
    <mergeCell ref="W72:X72"/>
    <mergeCell ref="Y72:Z72"/>
    <mergeCell ref="AA72:AB72"/>
    <mergeCell ref="AC72:AD72"/>
    <mergeCell ref="AE72:AF72"/>
    <mergeCell ref="I73:J73"/>
    <mergeCell ref="K73:L73"/>
    <mergeCell ref="M73:N73"/>
    <mergeCell ref="O73:P73"/>
    <mergeCell ref="Q73:R73"/>
    <mergeCell ref="S73:T73"/>
    <mergeCell ref="U73:V73"/>
    <mergeCell ref="W73:X73"/>
    <mergeCell ref="Y73:Z73"/>
    <mergeCell ref="AA73:AB73"/>
    <mergeCell ref="AC73:AD73"/>
    <mergeCell ref="AE73:AF73"/>
    <mergeCell ref="B75:D75"/>
    <mergeCell ref="B78:D78"/>
  </mergeCells>
  <conditionalFormatting sqref="F61:F64">
    <cfRule type="expression" priority="2" aboveAverage="0" equalAverage="0" bottom="0" percent="0" rank="0" text="" dxfId="335">
      <formula>IF(OR(ACOMPANHAMENTO="BM",F$12&gt;CÁLCULO.NúmeroDeFrentes),1,PLE.ValorDoEvento=0)</formula>
    </cfRule>
    <cfRule type="cellIs" priority="3" operator="equal" aboveAverage="0" equalAverage="0" bottom="0" percent="0" rank="0" text="" dxfId="336">
      <formula>$J$9</formula>
    </cfRule>
  </conditionalFormatting>
  <conditionalFormatting sqref="H61:AF64">
    <cfRule type="expression" priority="4" aboveAverage="0" equalAverage="0" bottom="0" percent="0" rank="0" text="" dxfId="337">
      <formula>IF(OR(ACOMPANHAMENTO="BM",TIPOORCAMENTO="Proposto",H$12&gt;CÁLCULO.NúmeroDeFrentes),1,PLE.ValorDoEvento=0)</formula>
    </cfRule>
    <cfRule type="cellIs" priority="5" operator="equal" aboveAverage="0" equalAverage="0" bottom="0" percent="0" rank="0" text="" dxfId="338">
      <formula>$J$9</formula>
    </cfRule>
  </conditionalFormatting>
  <conditionalFormatting sqref="F52:F60">
    <cfRule type="expression" priority="6" aboveAverage="0" equalAverage="0" bottom="0" percent="0" rank="0" text="" dxfId="339">
      <formula>IF(OR(ACOMPANHAMENTO="BM",F$12&gt;CÁLCULO.NúmeroDeFrentes),1,PLE.ValorDoEvento=0)</formula>
    </cfRule>
    <cfRule type="cellIs" priority="7" operator="equal" aboveAverage="0" equalAverage="0" bottom="0" percent="0" rank="0" text="" dxfId="340">
      <formula>$J$9</formula>
    </cfRule>
  </conditionalFormatting>
  <conditionalFormatting sqref="H52:AF60">
    <cfRule type="expression" priority="8" aboveAverage="0" equalAverage="0" bottom="0" percent="0" rank="0" text="" dxfId="341">
      <formula>IF(OR(ACOMPANHAMENTO="BM",TIPOORCAMENTO="Proposto",H$12&gt;CÁLCULO.NúmeroDeFrentes),1,PLE.ValorDoEvento=0)</formula>
    </cfRule>
    <cfRule type="cellIs" priority="9" operator="equal" aboveAverage="0" equalAverage="0" bottom="0" percent="0" rank="0" text="" dxfId="342">
      <formula>$J$9</formula>
    </cfRule>
  </conditionalFormatting>
  <conditionalFormatting sqref="F43:F51">
    <cfRule type="expression" priority="10" aboveAverage="0" equalAverage="0" bottom="0" percent="0" rank="0" text="" dxfId="343">
      <formula>IF(OR(ACOMPANHAMENTO="BM",F$12&gt;CÁLCULO.NúmeroDeFrentes),1,PLE.ValorDoEvento=0)</formula>
    </cfRule>
    <cfRule type="cellIs" priority="11" operator="equal" aboveAverage="0" equalAverage="0" bottom="0" percent="0" rank="0" text="" dxfId="344">
      <formula>$J$9</formula>
    </cfRule>
  </conditionalFormatting>
  <conditionalFormatting sqref="H43:AF51">
    <cfRule type="expression" priority="12" aboveAverage="0" equalAverage="0" bottom="0" percent="0" rank="0" text="" dxfId="345">
      <formula>IF(OR(ACOMPANHAMENTO="BM",TIPOORCAMENTO="Proposto",H$12&gt;CÁLCULO.NúmeroDeFrentes),1,PLE.ValorDoEvento=0)</formula>
    </cfRule>
    <cfRule type="cellIs" priority="13" operator="equal" aboveAverage="0" equalAverage="0" bottom="0" percent="0" rank="0" text="" dxfId="346">
      <formula>$J$9</formula>
    </cfRule>
  </conditionalFormatting>
  <conditionalFormatting sqref="F34:F42">
    <cfRule type="expression" priority="14" aboveAverage="0" equalAverage="0" bottom="0" percent="0" rank="0" text="" dxfId="347">
      <formula>IF(OR(ACOMPANHAMENTO="BM",F$12&gt;CÁLCULO.NúmeroDeFrentes),1,PLE.ValorDoEvento=0)</formula>
    </cfRule>
    <cfRule type="cellIs" priority="15" operator="equal" aboveAverage="0" equalAverage="0" bottom="0" percent="0" rank="0" text="" dxfId="348">
      <formula>$J$9</formula>
    </cfRule>
  </conditionalFormatting>
  <conditionalFormatting sqref="H34:AF42">
    <cfRule type="expression" priority="16" aboveAverage="0" equalAverage="0" bottom="0" percent="0" rank="0" text="" dxfId="349">
      <formula>IF(OR(ACOMPANHAMENTO="BM",TIPOORCAMENTO="Proposto",H$12&gt;CÁLCULO.NúmeroDeFrentes),1,PLE.ValorDoEvento=0)</formula>
    </cfRule>
    <cfRule type="cellIs" priority="17" operator="equal" aboveAverage="0" equalAverage="0" bottom="0" percent="0" rank="0" text="" dxfId="350">
      <formula>$J$9</formula>
    </cfRule>
  </conditionalFormatting>
  <conditionalFormatting sqref="F25:F33">
    <cfRule type="expression" priority="18" aboveAverage="0" equalAverage="0" bottom="0" percent="0" rank="0" text="" dxfId="351">
      <formula>IF(OR(ACOMPANHAMENTO="BM",F$12&gt;CÁLCULO.NúmeroDeFrentes),1,PLE.ValorDoEvento=0)</formula>
    </cfRule>
    <cfRule type="cellIs" priority="19" operator="equal" aboveAverage="0" equalAverage="0" bottom="0" percent="0" rank="0" text="" dxfId="352">
      <formula>$J$9</formula>
    </cfRule>
  </conditionalFormatting>
  <conditionalFormatting sqref="H25:AF33">
    <cfRule type="expression" priority="20" aboveAverage="0" equalAverage="0" bottom="0" percent="0" rank="0" text="" dxfId="353">
      <formula>IF(OR(ACOMPANHAMENTO="BM",TIPOORCAMENTO="Proposto",H$12&gt;CÁLCULO.NúmeroDeFrentes),1,PLE.ValorDoEvento=0)</formula>
    </cfRule>
    <cfRule type="cellIs" priority="21" operator="equal" aboveAverage="0" equalAverage="0" bottom="0" percent="0" rank="0" text="" dxfId="354">
      <formula>$J$9</formula>
    </cfRule>
  </conditionalFormatting>
  <conditionalFormatting sqref="F16:F24">
    <cfRule type="expression" priority="22" aboveAverage="0" equalAverage="0" bottom="0" percent="0" rank="0" text="" dxfId="355">
      <formula>IF(OR(ACOMPANHAMENTO="BM",F$12&gt;CÁLCULO.NúmeroDeFrentes),1,PLE.ValorDoEvento=0)</formula>
    </cfRule>
    <cfRule type="cellIs" priority="23" operator="equal" aboveAverage="0" equalAverage="0" bottom="0" percent="0" rank="0" text="" dxfId="356">
      <formula>$J$9</formula>
    </cfRule>
  </conditionalFormatting>
  <conditionalFormatting sqref="H16:AF24">
    <cfRule type="expression" priority="24" aboveAverage="0" equalAverage="0" bottom="0" percent="0" rank="0" text="" dxfId="357">
      <formula>IF(OR(ACOMPANHAMENTO="BM",TIPOORCAMENTO="Proposto",H$12&gt;CÁLCULO.NúmeroDeFrentes),1,PLE.ValorDoEvento=0)</formula>
    </cfRule>
    <cfRule type="cellIs" priority="25" operator="equal" aboveAverage="0" equalAverage="0" bottom="0" percent="0" rank="0" text="" dxfId="358">
      <formula>$J$9</formula>
    </cfRule>
  </conditionalFormatting>
  <conditionalFormatting sqref="I69:J69">
    <cfRule type="cellIs" priority="26" operator="notEqual" aboveAverage="0" equalAverage="0" bottom="0" percent="0" rank="0" text="" dxfId="359">
      <formula>1</formula>
    </cfRule>
  </conditionalFormatting>
  <conditionalFormatting sqref="F1:F2">
    <cfRule type="expression" priority="27" aboveAverage="0" equalAverage="0" bottom="0" percent="0" rank="0" text="" dxfId="360">
      <formula>IF(OR(ACOMPANHAMENTO="BM",F$12&gt;CÁLCULO.NúmeroDeFrentes),1,PLE.ValorDoEvento=0)</formula>
    </cfRule>
    <cfRule type="cellIs" priority="28" operator="equal" aboveAverage="0" equalAverage="0" bottom="0" percent="0" rank="0" text="" dxfId="361">
      <formula>$J$9</formula>
    </cfRule>
  </conditionalFormatting>
  <conditionalFormatting sqref="I70:AF70">
    <cfRule type="expression" priority="29" aboveAverage="0" equalAverage="0" bottom="0" percent="0" rank="0" text="" dxfId="362">
      <formula>I69=$J$9</formula>
    </cfRule>
  </conditionalFormatting>
  <conditionalFormatting sqref="I71:AF71">
    <cfRule type="expression" priority="30" aboveAverage="0" equalAverage="0" bottom="0" percent="0" rank="0" text="" dxfId="363">
      <formula>I69=$J$9</formula>
    </cfRule>
  </conditionalFormatting>
  <conditionalFormatting sqref="I72:AF72">
    <cfRule type="expression" priority="31" aboveAverage="0" equalAverage="0" bottom="0" percent="0" rank="0" text="" dxfId="364">
      <formula>I69=$J$9</formula>
    </cfRule>
  </conditionalFormatting>
  <conditionalFormatting sqref="I73:AF73">
    <cfRule type="expression" priority="32" aboveAverage="0" equalAverage="0" bottom="0" percent="0" rank="0" text="" dxfId="365">
      <formula>I69=$J$9</formula>
    </cfRule>
  </conditionalFormatting>
  <conditionalFormatting sqref="AE6:AE7">
    <cfRule type="expression" priority="33" aboveAverage="0" equalAverage="0" bottom="0" percent="0" rank="0" text="" dxfId="366">
      <formula>TIPOORCAMENTO&lt;&gt;"Licitado"</formula>
    </cfRule>
  </conditionalFormatting>
  <conditionalFormatting sqref="N9:T9">
    <cfRule type="expression" priority="34" aboveAverage="0" equalAverage="0" bottom="0" percent="0" rank="0" text="" dxfId="367">
      <formula>COLUMN(N9)&gt;COLUMN($AF$12)</formula>
    </cfRule>
    <cfRule type="expression" priority="35" aboveAverage="0" equalAverage="0" bottom="0" percent="0" rank="0" text="" dxfId="368">
      <formula>$N$9="DIGITE A DATA DA MEDIÇÃO"</formula>
    </cfRule>
  </conditionalFormatting>
  <conditionalFormatting sqref="I9:M9 U9:AF9">
    <cfRule type="expression" priority="36" aboveAverage="0" equalAverage="0" bottom="0" percent="0" rank="0" text="" dxfId="369">
      <formula>COLUMN(I9)&gt;COLUMN($AF$12)</formula>
    </cfRule>
  </conditionalFormatting>
  <conditionalFormatting sqref="H1:AF1">
    <cfRule type="expression" priority="37" aboveAverage="0" equalAverage="0" bottom="0" percent="0" rank="0" text="" dxfId="370">
      <formula>IF(OR(ACOMPANHAMENTO="BM",TIPOORCAMENTO="Proposto",H$12&gt;CÁLCULO.NúmeroDeFrentes),1,PLE.ValorDoEvento=0)</formula>
    </cfRule>
    <cfRule type="cellIs" priority="38" operator="equal" aboveAverage="0" equalAverage="0" bottom="0" percent="0" rank="0" text="" dxfId="371">
      <formula>$J$9</formula>
    </cfRule>
  </conditionalFormatting>
  <dataValidations count="3">
    <dataValidation allowBlank="true" errorStyle="stop" operator="greaterThan" showDropDown="false" showErrorMessage="true" showInputMessage="false" sqref="F1:F4 I3:AC4 J9:K9 F16:F64" type="whole">
      <formula1>0</formula1>
      <formula2>0</formula2>
    </dataValidation>
    <dataValidation allowBlank="true" errorStyle="stop" operator="between" prompt="Digite a data de medição abaixo dos eventos." showDropDown="false" showErrorMessage="true" showInputMessage="true" sqref="N9:T9" type="none">
      <formula1>0</formula1>
      <formula2>0</formula2>
    </dataValidation>
    <dataValidation allowBlank="true" error="Preencha somente com o número da medição atual." errorStyle="stop" errorTitle="Errp de entrada" operator="equal" showDropDown="false" showErrorMessage="true" showInputMessage="false" sqref="H1:AF1 H16:AF64" type="whole">
      <formula1>PLE.Medicao</formula1>
      <formula2>0</formula2>
    </dataValidation>
  </dataValidations>
  <printOptions headings="false" gridLines="false" gridLinesSet="true" horizontalCentered="true" verticalCentered="false"/>
  <pageMargins left="0.7875" right="0.7875" top="0.786805555555556" bottom="0.786805555555556" header="0.590277777777778" footer="0.590277777777778"/>
  <pageSetup paperSize="9" scale="69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&amp;C&amp;14I</oddHeader>
    <oddFooter>&amp;LPMv3.0.6&amp;R&amp;P / 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true">
    <pageSetUpPr fitToPage="true"/>
  </sheetPr>
  <dimension ref="A1:AE37"/>
  <sheetViews>
    <sheetView showFormulas="false" showGridLines="false" showRowColHeaders="true" showZeros="true" rightToLeft="false" tabSelected="false" showOutlineSymbols="true" defaultGridColor="true" view="normal" topLeftCell="C1" colorId="64" zoomScale="90" zoomScaleNormal="90" zoomScalePageLayoutView="90" workbookViewId="0">
      <pane xSplit="5" ySplit="13" topLeftCell="H14" activePane="bottomRight" state="frozen"/>
      <selection pane="topLeft" activeCell="C1" activeCellId="0" sqref="C1"/>
      <selection pane="topRight" activeCell="H1" activeCellId="0" sqref="H1"/>
      <selection pane="bottomLeft" activeCell="C14" activeCellId="0" sqref="C14"/>
      <selection pane="bottomRight" activeCell="H14" activeCellId="0" sqref="H14"/>
    </sheetView>
  </sheetViews>
  <sheetFormatPr defaultColWidth="8.6796875" defaultRowHeight="12.75" customHeight="true" zeroHeight="false" outlineLevelRow="0" outlineLevelCol="0"/>
  <cols>
    <col collapsed="false" customWidth="true" hidden="true" outlineLevel="0" max="1" min="1" style="0" width="15.85"/>
    <col collapsed="false" customWidth="true" hidden="true" outlineLevel="0" max="2" min="2" style="0" width="10.42"/>
    <col collapsed="false" customWidth="true" hidden="false" outlineLevel="0" max="3" min="3" style="0" width="3.71"/>
    <col collapsed="false" customWidth="true" hidden="false" outlineLevel="0" max="4" min="4" style="0" width="6.71"/>
    <col collapsed="false" customWidth="true" hidden="false" outlineLevel="0" max="5" min="5" style="0" width="18.71"/>
    <col collapsed="false" customWidth="true" hidden="false" outlineLevel="0" max="6" min="6" style="0" width="28.71"/>
    <col collapsed="false" customWidth="true" hidden="false" outlineLevel="0" max="7" min="7" style="0" width="35.71"/>
    <col collapsed="false" customWidth="true" hidden="false" outlineLevel="0" max="8" min="8" style="0" width="15.71"/>
    <col collapsed="false" customWidth="true" hidden="false" outlineLevel="0" max="9" min="9" style="0" width="12.71"/>
    <col collapsed="false" customWidth="true" hidden="false" outlineLevel="0" max="10" min="10" style="0" width="7.71"/>
    <col collapsed="false" customWidth="true" hidden="false" outlineLevel="0" max="15" min="11" style="0" width="16.71"/>
    <col collapsed="false" customWidth="true" hidden="false" outlineLevel="0" max="17" min="16" style="0" width="5.71"/>
    <col collapsed="false" customWidth="true" hidden="false" outlineLevel="0" max="18" min="18" style="0" width="35.71"/>
    <col collapsed="false" customWidth="true" hidden="false" outlineLevel="0" max="19" min="19" style="0" width="1.71"/>
    <col collapsed="false" customWidth="true" hidden="false" outlineLevel="0" max="21" min="20" style="0" width="16.71"/>
    <col collapsed="false" customWidth="true" hidden="false" outlineLevel="0" max="22" min="22" style="0" width="13.71"/>
    <col collapsed="false" customWidth="true" hidden="false" outlineLevel="0" max="24" min="23" style="0" width="16.71"/>
    <col collapsed="false" customWidth="true" hidden="false" outlineLevel="0" max="25" min="25" style="0" width="1.71"/>
    <col collapsed="false" customWidth="true" hidden="true" outlineLevel="0" max="28" min="26" style="0" width="9.14"/>
    <col collapsed="false" customWidth="true" hidden="true" outlineLevel="0" max="29" min="29" style="0" width="3.71"/>
    <col collapsed="false" customWidth="true" hidden="true" outlineLevel="0" max="30" min="30" style="0" width="13.42"/>
    <col collapsed="false" customWidth="true" hidden="true" outlineLevel="0" max="31" min="31" style="0" width="9.14"/>
  </cols>
  <sheetData>
    <row r="1" customFormat="false" ht="30" hidden="false" customHeight="true" outlineLevel="0" collapsed="false">
      <c r="F1" s="476" t="s">
        <v>432</v>
      </c>
      <c r="I1" s="35"/>
      <c r="J1" s="35"/>
    </row>
    <row r="2" customFormat="false" ht="12.75" hidden="false" customHeight="false" outlineLevel="0" collapsed="false">
      <c r="Z2" s="0" t="s">
        <v>433</v>
      </c>
      <c r="AA2" s="156" t="s">
        <v>434</v>
      </c>
      <c r="AB2" s="134"/>
    </row>
    <row r="3" customFormat="false" ht="12.75" hidden="false" customHeight="false" outlineLevel="0" collapsed="false">
      <c r="D3" s="89" t="s">
        <v>194</v>
      </c>
      <c r="E3" s="89"/>
      <c r="F3" s="148" t="s">
        <v>253</v>
      </c>
      <c r="G3" s="89" t="s">
        <v>196</v>
      </c>
      <c r="H3" s="89"/>
      <c r="I3" s="89"/>
      <c r="J3" s="477" t="s">
        <v>435</v>
      </c>
      <c r="K3" s="477"/>
      <c r="L3" s="477"/>
      <c r="M3" s="478" t="s">
        <v>436</v>
      </c>
      <c r="N3" s="478"/>
      <c r="O3" s="478"/>
      <c r="Z3" s="169" t="n">
        <f aca="false">MAX(Z7:AB7)</f>
        <v>0.001</v>
      </c>
      <c r="AA3" s="479" t="n">
        <f aca="false">IF(OR($O$24=ORÇAMENTO.SumINVMANUAL+QCI.SumINVMANUAL,$O$24=0),0,MIN(MAX(0,($Z$3*$O$24-ORÇAMENTO.SumCPMANUAL-QCI.SumCPMANUAL)/($O$24-ORÇAMENTO.SumINVMANUAL-QCI.SumINVMANUAL)),1))</f>
        <v>0</v>
      </c>
      <c r="AB3" s="151"/>
    </row>
    <row r="4" customFormat="false" ht="12.75" hidden="false" customHeight="false" outlineLevel="0" collapsed="false">
      <c r="D4" s="90" t="n">
        <f aca="false">Import.CR</f>
        <v>0</v>
      </c>
      <c r="E4" s="90"/>
      <c r="F4" s="90" t="n">
        <f aca="false">Import.TransfereGOV</f>
        <v>0</v>
      </c>
      <c r="G4" s="90" t="n">
        <f aca="false">Import.Proponente</f>
        <v>0</v>
      </c>
      <c r="H4" s="90"/>
      <c r="I4" s="90"/>
      <c r="J4" s="480" t="str">
        <f aca="false">Import.Município</f>
        <v>Alpinópolis</v>
      </c>
      <c r="K4" s="480"/>
      <c r="L4" s="480"/>
      <c r="M4" s="478"/>
      <c r="N4" s="478"/>
      <c r="O4" s="478"/>
      <c r="R4" s="200"/>
      <c r="Z4" s="151"/>
      <c r="AA4" s="151"/>
      <c r="AB4" s="151"/>
    </row>
    <row r="5" customFormat="false" ht="4.5" hidden="false" customHeight="true" outlineLevel="0" collapsed="false">
      <c r="M5" s="14"/>
      <c r="O5" s="16"/>
    </row>
    <row r="6" customFormat="false" ht="12.75" hidden="false" customHeight="false" outlineLevel="0" collapsed="false">
      <c r="D6" s="89" t="s">
        <v>254</v>
      </c>
      <c r="E6" s="89"/>
      <c r="F6" s="89"/>
      <c r="G6" s="89"/>
      <c r="H6" s="89"/>
      <c r="I6" s="89"/>
      <c r="J6" s="89"/>
      <c r="K6" s="89"/>
      <c r="L6" s="481" t="s">
        <v>261</v>
      </c>
      <c r="M6" s="148" t="str">
        <f aca="false">IF(import.recurso="FGTS","FINANCIAMENTO","REPASSE")</f>
        <v>REPASSE</v>
      </c>
      <c r="N6" s="148" t="s">
        <v>437</v>
      </c>
      <c r="O6" s="148" t="s">
        <v>438</v>
      </c>
      <c r="Z6" s="0" t="s">
        <v>439</v>
      </c>
      <c r="AA6" s="0" t="s">
        <v>440</v>
      </c>
      <c r="AB6" s="0" t="s">
        <v>441</v>
      </c>
    </row>
    <row r="7" customFormat="false" ht="12.75" hidden="false" customHeight="true" outlineLevel="0" collapsed="false">
      <c r="C7" s="91" t="s">
        <v>199</v>
      </c>
      <c r="D7" s="90" t="str">
        <f aca="false">Import.Apelido</f>
        <v>Pavimentação MG-446</v>
      </c>
      <c r="E7" s="90"/>
      <c r="F7" s="90"/>
      <c r="G7" s="90"/>
      <c r="H7" s="90"/>
      <c r="I7" s="90"/>
      <c r="J7" s="90"/>
      <c r="K7" s="90"/>
      <c r="L7" s="482" t="str">
        <f aca="false">import.recurso</f>
        <v>OGU</v>
      </c>
      <c r="M7" s="483" t="n">
        <f aca="false">Import.Repasse</f>
        <v>994700</v>
      </c>
      <c r="N7" s="483" t="n">
        <f aca="false">Import.Contrapartida</f>
        <v>994.7</v>
      </c>
      <c r="O7" s="483" t="n">
        <f aca="false">M7+N7</f>
        <v>995694.7</v>
      </c>
      <c r="Z7" s="169" t="n">
        <f aca="false">ROUND(Import.CPMinPerc,4)</f>
        <v>0.001</v>
      </c>
      <c r="AA7" s="169" t="n">
        <f aca="false">IF($O$24=0,0,Import.CPMinAbsoluta/$O$24)</f>
        <v>0</v>
      </c>
      <c r="AB7" s="169" t="n">
        <f aca="false">IF($O$24=0,0,($O$24-$AB$24-Import.Repasse)/($O$24))</f>
        <v>0</v>
      </c>
    </row>
    <row r="8" customFormat="false" ht="12.75" hidden="false" customHeight="false" outlineLevel="0" collapsed="false">
      <c r="C8" s="91"/>
      <c r="D8" s="151"/>
      <c r="E8" s="151"/>
      <c r="F8" s="484"/>
      <c r="G8" s="151"/>
      <c r="H8" s="151"/>
      <c r="I8" s="151"/>
      <c r="J8" s="151"/>
      <c r="K8" s="151"/>
      <c r="L8" s="151"/>
      <c r="M8" s="151"/>
      <c r="N8" s="151"/>
      <c r="O8" s="151"/>
    </row>
    <row r="9" customFormat="false" ht="12.75" hidden="false" customHeight="true" outlineLevel="0" collapsed="false">
      <c r="C9" s="91"/>
      <c r="G9" s="485" t="str">
        <f aca="true">CHOOSE(1+LOG(1+2*(AND($O$24&gt;0,$M$25&gt;Import.CPMaxPerc,Import.CPMaxPerc&gt;0))+4*(OR(AND($O$24&gt;0,$M$25&lt;QCI!$Z$7),$M$24&lt;ROUND(Import.CPMinAbsoluta,2)))+8*(OR($L$10&lt;0,$M$10&lt;0))+16*(COUNTIF($L$13:$L$24,"&lt;0")&gt;0)+32*(OFFSET($A$24,-1,0)&lt;OFFSET(ORÇAMENTO!$E$59,-1,0)),2),"","ERRO: CONTRAPARTIDA MAIOR QUE A MÁXIMA","ERRO: CONTRAPARTIDA MENOR QUE A MÍNIMA","ERRO: SALDO NEGATIVO","ERRO: VALORES DE REPASSE NEGATIVOS","ERRO: NÚMERO DE LINHAS DO QCI INSUFICIENTE. CLIQUE NO BOTÃO ADICIONAR LINHAS")</f>
        <v/>
      </c>
      <c r="H9" s="485"/>
      <c r="I9" s="485"/>
      <c r="J9" s="485"/>
      <c r="K9" s="486" t="s">
        <v>442</v>
      </c>
      <c r="L9" s="487" t="str">
        <f aca="false">$L$13</f>
        <v>Repasse (R$)</v>
      </c>
      <c r="M9" s="487" t="s">
        <v>288</v>
      </c>
      <c r="AD9" s="488"/>
      <c r="AE9" s="488"/>
    </row>
    <row r="10" customFormat="false" ht="12.75" hidden="false" customHeight="true" outlineLevel="0" collapsed="false">
      <c r="A10" s="489" t="s">
        <v>443</v>
      </c>
      <c r="C10" s="91"/>
      <c r="G10" s="485"/>
      <c r="H10" s="485"/>
      <c r="I10" s="485"/>
      <c r="J10" s="485"/>
      <c r="K10" s="486"/>
      <c r="L10" s="490" t="n">
        <f aca="false">Import.Repasse-L24</f>
        <v>994700</v>
      </c>
      <c r="M10" s="491" t="n">
        <f aca="false">Import.Contrapartida-M24</f>
        <v>994.7</v>
      </c>
      <c r="Z10" s="173" t="s">
        <v>267</v>
      </c>
      <c r="AA10" s="173"/>
      <c r="AB10" s="173"/>
      <c r="AD10" s="488" t="s">
        <v>444</v>
      </c>
      <c r="AE10" s="488"/>
    </row>
    <row r="11" customFormat="false" ht="19.5" hidden="false" customHeight="true" outlineLevel="0" collapsed="false">
      <c r="A11" s="489"/>
      <c r="C11" s="91"/>
      <c r="Z11" s="178" t="s">
        <v>445</v>
      </c>
      <c r="AA11" s="178" t="s">
        <v>288</v>
      </c>
      <c r="AB11" s="179" t="s">
        <v>289</v>
      </c>
    </row>
    <row r="12" customFormat="false" ht="12.75" hidden="true" customHeight="false" outlineLevel="0" collapsed="false">
      <c r="A12" s="492" t="n">
        <f aca="true">IF(NOT(ISBLANK(QCI.DescManual)),OFFSET(A12,-1,0),D12)</f>
        <v>-1</v>
      </c>
      <c r="B12" s="0" t="str">
        <f aca="false">IF(NOT(ISBLANK(QCI.DescManual)),IF(QCI.Divisao="Calculado","Manual","SemiAuto"),IF(ISERROR(MATCH($A12,ORÇAMENTO!$E$15:$E$59,0)),"Branco","Automático"))</f>
        <v>Branco</v>
      </c>
      <c r="C12" s="0" t="str">
        <f aca="false">IF(O12&gt;0,"F","")</f>
        <v/>
      </c>
      <c r="D12" s="493" t="n">
        <f aca="false">ROW()-ROW($D$13)</f>
        <v>-1</v>
      </c>
      <c r="E12" s="494"/>
      <c r="F12" s="494"/>
      <c r="G12" s="272" t="str">
        <f aca="false">IF(OR($B12="Manual",$B12="SemiAuto"),QCI.DescManual,IF($B12="Automático",INDEX(ORÇAMENTO!$R$15:$R$59,MATCH($A12,ORÇAMENTO!$E$15:$E$59,0)),""))</f>
        <v/>
      </c>
      <c r="H12" s="494"/>
      <c r="I12" s="495"/>
      <c r="J12" s="496" t="str">
        <f aca="true">IF(AND(ISBLANK(E12),ISBLANK(F12)),"",VLOOKUP($F12,OFFSET(DADOS!$A$2,1,MATCH(QCI!$E12,DADOS!$2:$2,0)-1,100,50),2,FALSE()))</f>
        <v/>
      </c>
      <c r="K12" s="497" t="str">
        <f aca="false">IF(OR($B12="Manual",$B12="SemiAuto"),QCI.LoteManual,IF($B12="Automático",IF(TIPOORCAMENTO="Licitado",Import.CTEF,"LOTE 1"),""))</f>
        <v/>
      </c>
      <c r="L12" s="498" t="n">
        <f aca="false">ROUND($O12,2)-ROUND($M12,2)-ROUND($N12,2)</f>
        <v>0</v>
      </c>
      <c r="M12" s="499" t="n">
        <f aca="false">ROUND($AA12,2)-ROUND($AE12,2)</f>
        <v>0</v>
      </c>
      <c r="N12" s="500" t="n">
        <f aca="false">ROUND($AB12,2)</f>
        <v>0</v>
      </c>
      <c r="O12" s="501" t="n">
        <f aca="false">IF($B12="Branco",0,IF(OR($B12="Manual",$B12="SemiAuto"),QCI.InvManual,INDEX(ORÇAMENTO!X$15:X$59,MATCH($A12,ORÇAMENTO!$E$15:$E$59,0))))</f>
        <v>0</v>
      </c>
      <c r="P12" s="502"/>
      <c r="R12" s="503"/>
      <c r="T12" s="504"/>
      <c r="U12" s="505"/>
      <c r="V12" s="506" t="s">
        <v>446</v>
      </c>
      <c r="W12" s="507" t="n">
        <f aca="false">$O12</f>
        <v>0</v>
      </c>
      <c r="X12" s="508" t="n">
        <v>0</v>
      </c>
      <c r="Z12" s="0" t="n">
        <f aca="false">$O12-$AA12-$AB12</f>
        <v>0</v>
      </c>
      <c r="AA12" s="0" t="n">
        <f aca="false">IF($B12="Branco",0,IF($B12="Manual",QCI.CPManual,IF($B12="SemiAuto",ROUND(QCI!$AA$3*QCI.InvManual,2),INDEX(ORÇAMENTO!$AA$15:$AA$59,MATCH($A12,ORÇAMENTO!$E$15:$E$59,0)))))</f>
        <v>0</v>
      </c>
      <c r="AB12" s="0" t="n">
        <f aca="false">IF($B12="Branco",0,IF($B12="Manual",QCI.OutrosManual,IF($B12="SemiAuto",0,INDEX(ORÇAMENTO!$AB$15:$AB$59,MATCH($A12,ORÇAMENTO!$E$15:$E$59,0)))))</f>
        <v>0</v>
      </c>
      <c r="AD12" s="509" t="n">
        <f aca="false">AND($AA$3&gt;0,$AA$3&lt;1,$O12&gt;0,OR($B12="Automático",$B12="SemiAuto"),OR(QCI!$Z$3=QCI!$Z$7,QCI!$Z$3=QCI!$AA$7,QCI!$Z$3=QCI!$AB$7))</f>
        <v>0</v>
      </c>
      <c r="AE12" s="509" t="n">
        <f aca="true">IF(AND($AD12,$O12&gt;0,COUNTIF(OFFSET($AD12,1,0):$AD$24,TRUE())=0),CHOOSE(1+LOG(1+2*(QCI!$Z$3=QCI!$Z$7)+4*(QCI!$Z$3=QCI!$AA$7)+8*(QCI!$Z$3=QCI!$AB$7),2),0,$AA$24-ROUND(Import.CPMinPerc*$O$24,2),$AA$24-Import.CPMinAbsoluta,Import.Repasse-$Z$24),0)</f>
        <v>0</v>
      </c>
    </row>
    <row r="13" customFormat="false" ht="25.5" hidden="false" customHeight="true" outlineLevel="0" collapsed="false">
      <c r="A13" s="146" t="n">
        <v>0</v>
      </c>
      <c r="B13" s="510" t="s">
        <v>447</v>
      </c>
      <c r="C13" s="97" t="s">
        <v>204</v>
      </c>
      <c r="D13" s="175" t="s">
        <v>247</v>
      </c>
      <c r="E13" s="175" t="s">
        <v>448</v>
      </c>
      <c r="F13" s="175" t="s">
        <v>449</v>
      </c>
      <c r="G13" s="175" t="s">
        <v>450</v>
      </c>
      <c r="H13" s="175" t="s">
        <v>213</v>
      </c>
      <c r="I13" s="175" t="s">
        <v>258</v>
      </c>
      <c r="J13" s="175" t="s">
        <v>451</v>
      </c>
      <c r="K13" s="175" t="s">
        <v>452</v>
      </c>
      <c r="L13" s="511" t="str">
        <f aca="false">IF(import.recurso="FGTS","Financiamento (R$)","Repasse (R$)")</f>
        <v>Repasse (R$)</v>
      </c>
      <c r="M13" s="512" t="s">
        <v>453</v>
      </c>
      <c r="N13" s="513" t="s">
        <v>289</v>
      </c>
      <c r="O13" s="175" t="s">
        <v>454</v>
      </c>
      <c r="R13" s="183" t="s">
        <v>450</v>
      </c>
      <c r="T13" s="183" t="s">
        <v>452</v>
      </c>
      <c r="U13" s="181" t="s">
        <v>454</v>
      </c>
      <c r="V13" s="514" t="s">
        <v>455</v>
      </c>
      <c r="W13" s="268" t="s">
        <v>453</v>
      </c>
      <c r="X13" s="184" t="s">
        <v>289</v>
      </c>
    </row>
    <row r="14" customFormat="false" ht="23.85" hidden="false" customHeight="false" outlineLevel="0" collapsed="false">
      <c r="A14" s="492" t="n">
        <f aca="true">IF(NOT(ISBLANK(QCI.DescManual)),OFFSET(A14,-1,0),D14)</f>
        <v>1</v>
      </c>
      <c r="B14" s="0" t="str">
        <f aca="false">IF(NOT(ISBLANK(QCI.DescManual)),IF(QCI.Divisao="Calculado","Manual","SemiAuto"),IF(ISERROR(MATCH($A14,ORÇAMENTO!$E$15:$E$59,0)),"Branco","Automático"))</f>
        <v>Automático</v>
      </c>
      <c r="C14" s="0" t="str">
        <f aca="false">IF(O14&gt;0,"F","")</f>
        <v/>
      </c>
      <c r="D14" s="493" t="n">
        <f aca="false">ROW()-ROW($D$13)</f>
        <v>1</v>
      </c>
      <c r="E14" s="494" t="s">
        <v>20</v>
      </c>
      <c r="F14" s="494" t="s">
        <v>93</v>
      </c>
      <c r="G14" s="272" t="str">
        <f aca="false">IF(OR($B14="Manual",$B14="SemiAuto"),QCI.DescManual,IF($B14="Automático",INDEX(ORÇAMENTO!$R$15:$R$59,MATCH($A14,ORÇAMENTO!$E$15:$E$59,0)),""))</f>
        <v>Pavimentação MG-446 - Trecho 2 (Est.70 a Est. 95)</v>
      </c>
      <c r="H14" s="494" t="s">
        <v>456</v>
      </c>
      <c r="I14" s="495" t="n">
        <v>4500</v>
      </c>
      <c r="J14" s="496" t="str">
        <f aca="true">IF(AND(ISBLANK(E14),ISBLANK(F14)),"",VLOOKUP($F14,OFFSET(DADOS!$A$2,1,MATCH(QCI!$E14,DADOS!$2:$2,0)-1,100,50),2,FALSE()))</f>
        <v>m²</v>
      </c>
      <c r="K14" s="497" t="str">
        <f aca="false">IF(OR($B14="Manual",$B14="SemiAuto"),QCI.LoteManual,IF($B14="Automático",IF(TIPOORCAMENTO="Licitado",Import.CTEF,"LOTE 1"),""))</f>
        <v>LOTE 1</v>
      </c>
      <c r="L14" s="498" t="n">
        <f aca="false">ROUND($O14,2)-ROUND($M14,2)-ROUND($N14,2)</f>
        <v>0</v>
      </c>
      <c r="M14" s="499" t="n">
        <f aca="false">ROUND($AA14,2)-ROUND($AE14,2)</f>
        <v>0</v>
      </c>
      <c r="N14" s="500" t="n">
        <f aca="false">ROUND($AB14,2)</f>
        <v>0</v>
      </c>
      <c r="O14" s="501" t="n">
        <f aca="false">IF($B14="Branco",0,IF(OR($B14="Manual",$B14="SemiAuto"),QCI.InvManual,INDEX(ORÇAMENTO!X$15:X$59,MATCH($A14,ORÇAMENTO!$E$15:$E$59,0))))</f>
        <v>0</v>
      </c>
      <c r="P14" s="502"/>
      <c r="R14" s="503"/>
      <c r="T14" s="504"/>
      <c r="U14" s="505"/>
      <c r="V14" s="506" t="s">
        <v>446</v>
      </c>
      <c r="W14" s="507" t="n">
        <f aca="false">$O14</f>
        <v>0</v>
      </c>
      <c r="X14" s="508" t="n">
        <v>0</v>
      </c>
      <c r="Z14" s="0" t="n">
        <f aca="false">$O14-$AA14-$AB14</f>
        <v>0</v>
      </c>
      <c r="AA14" s="0" t="n">
        <f aca="false">IF($B14="Branco",0,IF($B14="Manual",QCI.CPManual,IF($B14="SemiAuto",ROUND(QCI!$AA$3*QCI.InvManual,2),INDEX(ORÇAMENTO!$AA$15:$AA$59,MATCH($A14,ORÇAMENTO!$E$15:$E$59,0)))))</f>
        <v>0</v>
      </c>
      <c r="AB14" s="0" t="n">
        <f aca="false">IF($B14="Branco",0,IF($B14="Manual",QCI.OutrosManual,IF($B14="SemiAuto",0,INDEX(ORÇAMENTO!$AB$15:$AB$59,MATCH($A14,ORÇAMENTO!$E$15:$E$59,0)))))</f>
        <v>0</v>
      </c>
      <c r="AD14" s="509" t="n">
        <f aca="false">AND($AA$3&gt;0,$AA$3&lt;1,$O14&gt;0,OR($B14="Automático",$B14="SemiAuto"),OR(QCI!$Z$3=QCI!$Z$7,QCI!$Z$3=QCI!$AA$7,QCI!$Z$3=QCI!$AB$7))</f>
        <v>0</v>
      </c>
      <c r="AE14" s="509" t="n">
        <f aca="true">IF(AND($AD14,$O14&gt;0,COUNTIF(OFFSET($AD14,1,0):$AD$24,TRUE())=0),CHOOSE(1+LOG(1+2*(QCI!$Z$3=QCI!$Z$7)+4*(QCI!$Z$3=QCI!$AA$7)+8*(QCI!$Z$3=QCI!$AB$7),2),0,$AA$24-ROUND(Import.CPMinPerc*$O$24,2),$AA$24-Import.CPMinAbsoluta,Import.Repasse-$Z$24),0)</f>
        <v>0</v>
      </c>
    </row>
    <row r="15" customFormat="false" ht="12.75" hidden="true" customHeight="false" outlineLevel="0" collapsed="false">
      <c r="A15" s="492" t="n">
        <f aca="true">IF(NOT(ISBLANK(QCI.DescManual)),OFFSET(A15,-1,0),D15)</f>
        <v>2</v>
      </c>
      <c r="B15" s="0" t="str">
        <f aca="false">IF(NOT(ISBLANK(QCI.DescManual)),IF(QCI.Divisao="Calculado","Manual","SemiAuto"),IF(ISERROR(MATCH($A15,ORÇAMENTO!$E$15:$E$59,0)),"Branco","Automático"))</f>
        <v>Branco</v>
      </c>
      <c r="C15" s="0" t="str">
        <f aca="false">IF(O15&gt;0,"F","")</f>
        <v/>
      </c>
      <c r="D15" s="493" t="n">
        <f aca="false">ROW()-ROW($D$13)</f>
        <v>2</v>
      </c>
      <c r="E15" s="494"/>
      <c r="F15" s="494"/>
      <c r="G15" s="272" t="str">
        <f aca="false">IF(OR($B15="Manual",$B15="SemiAuto"),QCI.DescManual,IF($B15="Automático",INDEX(ORÇAMENTO!$R$15:$R$59,MATCH($A15,ORÇAMENTO!$E$15:$E$59,0)),""))</f>
        <v/>
      </c>
      <c r="H15" s="494"/>
      <c r="I15" s="495"/>
      <c r="J15" s="496" t="str">
        <f aca="true">IF(AND(ISBLANK(E15),ISBLANK(F15)),"",VLOOKUP($F15,OFFSET(DADOS!$A$2,1,MATCH(QCI!$E15,DADOS!$2:$2,0)-1,100,50),2,FALSE()))</f>
        <v/>
      </c>
      <c r="K15" s="497" t="str">
        <f aca="false">IF(OR($B15="Manual",$B15="SemiAuto"),QCI.LoteManual,IF($B15="Automático",IF(TIPOORCAMENTO="Licitado",Import.CTEF,"LOTE 1"),""))</f>
        <v/>
      </c>
      <c r="L15" s="498" t="n">
        <f aca="false">ROUND($O15,2)-ROUND($M15,2)-ROUND($N15,2)</f>
        <v>0</v>
      </c>
      <c r="M15" s="499" t="n">
        <f aca="false">ROUND($AA15,2)-ROUND($AE15,2)</f>
        <v>0</v>
      </c>
      <c r="N15" s="500" t="n">
        <f aca="false">ROUND($AB15,2)</f>
        <v>0</v>
      </c>
      <c r="O15" s="501" t="n">
        <f aca="false">IF($B15="Branco",0,IF(OR($B15="Manual",$B15="SemiAuto"),QCI.InvManual,INDEX(ORÇAMENTO!X$15:X$59,MATCH($A15,ORÇAMENTO!$E$15:$E$59,0))))</f>
        <v>0</v>
      </c>
      <c r="P15" s="502"/>
      <c r="R15" s="503"/>
      <c r="T15" s="504"/>
      <c r="U15" s="505"/>
      <c r="V15" s="506" t="s">
        <v>446</v>
      </c>
      <c r="W15" s="507" t="n">
        <f aca="false">$O15</f>
        <v>0</v>
      </c>
      <c r="X15" s="508" t="n">
        <v>0</v>
      </c>
      <c r="Z15" s="0" t="n">
        <f aca="false">$O15-$AA15-$AB15</f>
        <v>0</v>
      </c>
      <c r="AA15" s="0" t="n">
        <f aca="false">IF($B15="Branco",0,IF($B15="Manual",QCI.CPManual,IF($B15="SemiAuto",ROUND(QCI!$AA$3*QCI.InvManual,2),INDEX(ORÇAMENTO!$AA$15:$AA$59,MATCH($A15,ORÇAMENTO!$E$15:$E$59,0)))))</f>
        <v>0</v>
      </c>
      <c r="AB15" s="0" t="n">
        <f aca="false">IF($B15="Branco",0,IF($B15="Manual",QCI.OutrosManual,IF($B15="SemiAuto",0,INDEX(ORÇAMENTO!$AB$15:$AB$59,MATCH($A15,ORÇAMENTO!$E$15:$E$59,0)))))</f>
        <v>0</v>
      </c>
      <c r="AD15" s="509" t="n">
        <f aca="false">AND($AA$3&gt;0,$AA$3&lt;1,$O15&gt;0,OR($B15="Automático",$B15="SemiAuto"),OR(QCI!$Z$3=QCI!$Z$7,QCI!$Z$3=QCI!$AA$7,QCI!$Z$3=QCI!$AB$7))</f>
        <v>0</v>
      </c>
      <c r="AE15" s="509" t="n">
        <f aca="true">IF(AND($AD15,$O15&gt;0,COUNTIF(OFFSET($AD15,1,0):$AD$24,TRUE())=0),CHOOSE(1+LOG(1+2*(QCI!$Z$3=QCI!$Z$7)+4*(QCI!$Z$3=QCI!$AA$7)+8*(QCI!$Z$3=QCI!$AB$7),2),0,$AA$24-ROUND(Import.CPMinPerc*$O$24,2),$AA$24-Import.CPMinAbsoluta,Import.Repasse-$Z$24),0)</f>
        <v>0</v>
      </c>
    </row>
    <row r="16" customFormat="false" ht="12.75" hidden="true" customHeight="false" outlineLevel="0" collapsed="false">
      <c r="A16" s="492" t="n">
        <f aca="true">IF(NOT(ISBLANK(QCI.DescManual)),OFFSET(A16,-1,0),D16)</f>
        <v>3</v>
      </c>
      <c r="B16" s="0" t="str">
        <f aca="false">IF(NOT(ISBLANK(QCI.DescManual)),IF(QCI.Divisao="Calculado","Manual","SemiAuto"),IF(ISERROR(MATCH($A16,ORÇAMENTO!$E$15:$E$59,0)),"Branco","Automático"))</f>
        <v>Branco</v>
      </c>
      <c r="C16" s="0" t="str">
        <f aca="false">IF(O16&gt;0,"F","")</f>
        <v/>
      </c>
      <c r="D16" s="493" t="n">
        <f aca="false">ROW()-ROW($D$13)</f>
        <v>3</v>
      </c>
      <c r="E16" s="494"/>
      <c r="F16" s="494"/>
      <c r="G16" s="272" t="str">
        <f aca="false">IF(OR($B16="Manual",$B16="SemiAuto"),QCI.DescManual,IF($B16="Automático",INDEX(ORÇAMENTO!$R$15:$R$59,MATCH($A16,ORÇAMENTO!$E$15:$E$59,0)),""))</f>
        <v/>
      </c>
      <c r="H16" s="494"/>
      <c r="I16" s="495"/>
      <c r="J16" s="496" t="str">
        <f aca="true">IF(AND(ISBLANK(E16),ISBLANK(F16)),"",VLOOKUP($F16,OFFSET(DADOS!$A$2,1,MATCH(QCI!$E16,DADOS!$2:$2,0)-1,100,50),2,FALSE()))</f>
        <v/>
      </c>
      <c r="K16" s="497" t="str">
        <f aca="false">IF(OR($B16="Manual",$B16="SemiAuto"),QCI.LoteManual,IF($B16="Automático",IF(TIPOORCAMENTO="Licitado",Import.CTEF,"LOTE 1"),""))</f>
        <v/>
      </c>
      <c r="L16" s="498" t="n">
        <f aca="false">ROUND($O16,2)-ROUND($M16,2)-ROUND($N16,2)</f>
        <v>0</v>
      </c>
      <c r="M16" s="499" t="n">
        <f aca="false">ROUND($AA16,2)-ROUND($AE16,2)</f>
        <v>0</v>
      </c>
      <c r="N16" s="500" t="n">
        <f aca="false">ROUND($AB16,2)</f>
        <v>0</v>
      </c>
      <c r="O16" s="501" t="n">
        <f aca="false">IF($B16="Branco",0,IF(OR($B16="Manual",$B16="SemiAuto"),QCI.InvManual,INDEX(ORÇAMENTO!X$15:X$59,MATCH($A16,ORÇAMENTO!$E$15:$E$59,0))))</f>
        <v>0</v>
      </c>
      <c r="P16" s="502"/>
      <c r="R16" s="503"/>
      <c r="T16" s="504"/>
      <c r="U16" s="505"/>
      <c r="V16" s="506" t="s">
        <v>446</v>
      </c>
      <c r="W16" s="507" t="n">
        <f aca="false">$O16</f>
        <v>0</v>
      </c>
      <c r="X16" s="508" t="n">
        <v>0</v>
      </c>
      <c r="Z16" s="0" t="n">
        <f aca="false">$O16-$AA16-$AB16</f>
        <v>0</v>
      </c>
      <c r="AA16" s="0" t="n">
        <f aca="false">IF($B16="Branco",0,IF($B16="Manual",QCI.CPManual,IF($B16="SemiAuto",ROUND(QCI!$AA$3*QCI.InvManual,2),INDEX(ORÇAMENTO!$AA$15:$AA$59,MATCH($A16,ORÇAMENTO!$E$15:$E$59,0)))))</f>
        <v>0</v>
      </c>
      <c r="AB16" s="0" t="n">
        <f aca="false">IF($B16="Branco",0,IF($B16="Manual",QCI.OutrosManual,IF($B16="SemiAuto",0,INDEX(ORÇAMENTO!$AB$15:$AB$59,MATCH($A16,ORÇAMENTO!$E$15:$E$59,0)))))</f>
        <v>0</v>
      </c>
      <c r="AD16" s="509" t="n">
        <f aca="false">AND($AA$3&gt;0,$AA$3&lt;1,$O16&gt;0,OR($B16="Automático",$B16="SemiAuto"),OR(QCI!$Z$3=QCI!$Z$7,QCI!$Z$3=QCI!$AA$7,QCI!$Z$3=QCI!$AB$7))</f>
        <v>0</v>
      </c>
      <c r="AE16" s="509" t="n">
        <f aca="true">IF(AND($AD16,$O16&gt;0,COUNTIF(OFFSET($AD16,1,0):$AD$24,TRUE())=0),CHOOSE(1+LOG(1+2*(QCI!$Z$3=QCI!$Z$7)+4*(QCI!$Z$3=QCI!$AA$7)+8*(QCI!$Z$3=QCI!$AB$7),2),0,$AA$24-ROUND(Import.CPMinPerc*$O$24,2),$AA$24-Import.CPMinAbsoluta,Import.Repasse-$Z$24),0)</f>
        <v>0</v>
      </c>
    </row>
    <row r="17" customFormat="false" ht="12.75" hidden="true" customHeight="false" outlineLevel="0" collapsed="false">
      <c r="A17" s="492" t="n">
        <f aca="true">IF(NOT(ISBLANK(QCI.DescManual)),OFFSET(A17,-1,0),D17)</f>
        <v>4</v>
      </c>
      <c r="B17" s="0" t="str">
        <f aca="false">IF(NOT(ISBLANK(QCI.DescManual)),IF(QCI.Divisao="Calculado","Manual","SemiAuto"),IF(ISERROR(MATCH($A17,ORÇAMENTO!$E$15:$E$59,0)),"Branco","Automático"))</f>
        <v>Branco</v>
      </c>
      <c r="C17" s="0" t="str">
        <f aca="false">IF(O17&gt;0,"F","")</f>
        <v/>
      </c>
      <c r="D17" s="493" t="n">
        <f aca="false">ROW()-ROW($D$13)</f>
        <v>4</v>
      </c>
      <c r="E17" s="494"/>
      <c r="F17" s="494"/>
      <c r="G17" s="272" t="str">
        <f aca="false">IF(OR($B17="Manual",$B17="SemiAuto"),QCI.DescManual,IF($B17="Automático",INDEX(ORÇAMENTO!$R$15:$R$59,MATCH($A17,ORÇAMENTO!$E$15:$E$59,0)),""))</f>
        <v/>
      </c>
      <c r="H17" s="494"/>
      <c r="I17" s="495"/>
      <c r="J17" s="496" t="str">
        <f aca="true">IF(AND(ISBLANK(E17),ISBLANK(F17)),"",VLOOKUP($F17,OFFSET(DADOS!$A$2,1,MATCH(QCI!$E17,DADOS!$2:$2,0)-1,100,50),2,FALSE()))</f>
        <v/>
      </c>
      <c r="K17" s="497" t="str">
        <f aca="false">IF(OR($B17="Manual",$B17="SemiAuto"),QCI.LoteManual,IF($B17="Automático",IF(TIPOORCAMENTO="Licitado",Import.CTEF,"LOTE 1"),""))</f>
        <v/>
      </c>
      <c r="L17" s="498" t="n">
        <f aca="false">ROUND($O17,2)-ROUND($M17,2)-ROUND($N17,2)</f>
        <v>0</v>
      </c>
      <c r="M17" s="499" t="n">
        <f aca="false">ROUND($AA17,2)-ROUND($AE17,2)</f>
        <v>0</v>
      </c>
      <c r="N17" s="500" t="n">
        <f aca="false">ROUND($AB17,2)</f>
        <v>0</v>
      </c>
      <c r="O17" s="501" t="n">
        <f aca="false">IF($B17="Branco",0,IF(OR($B17="Manual",$B17="SemiAuto"),QCI.InvManual,INDEX(ORÇAMENTO!X$15:X$59,MATCH($A17,ORÇAMENTO!$E$15:$E$59,0))))</f>
        <v>0</v>
      </c>
      <c r="P17" s="502"/>
      <c r="R17" s="503"/>
      <c r="T17" s="504"/>
      <c r="U17" s="505"/>
      <c r="V17" s="506" t="s">
        <v>446</v>
      </c>
      <c r="W17" s="507" t="n">
        <f aca="false">$O17</f>
        <v>0</v>
      </c>
      <c r="X17" s="508" t="n">
        <v>0</v>
      </c>
      <c r="Z17" s="0" t="n">
        <f aca="false">$O17-$AA17-$AB17</f>
        <v>0</v>
      </c>
      <c r="AA17" s="0" t="n">
        <f aca="false">IF($B17="Branco",0,IF($B17="Manual",QCI.CPManual,IF($B17="SemiAuto",ROUND(QCI!$AA$3*QCI.InvManual,2),INDEX(ORÇAMENTO!$AA$15:$AA$59,MATCH($A17,ORÇAMENTO!$E$15:$E$59,0)))))</f>
        <v>0</v>
      </c>
      <c r="AB17" s="0" t="n">
        <f aca="false">IF($B17="Branco",0,IF($B17="Manual",QCI.OutrosManual,IF($B17="SemiAuto",0,INDEX(ORÇAMENTO!$AB$15:$AB$59,MATCH($A17,ORÇAMENTO!$E$15:$E$59,0)))))</f>
        <v>0</v>
      </c>
      <c r="AD17" s="509" t="n">
        <f aca="false">AND($AA$3&gt;0,$AA$3&lt;1,$O17&gt;0,OR($B17="Automático",$B17="SemiAuto"),OR(QCI!$Z$3=QCI!$Z$7,QCI!$Z$3=QCI!$AA$7,QCI!$Z$3=QCI!$AB$7))</f>
        <v>0</v>
      </c>
      <c r="AE17" s="509" t="n">
        <f aca="true">IF(AND($AD17,$O17&gt;0,COUNTIF(OFFSET($AD17,1,0):$AD$24,TRUE())=0),CHOOSE(1+LOG(1+2*(QCI!$Z$3=QCI!$Z$7)+4*(QCI!$Z$3=QCI!$AA$7)+8*(QCI!$Z$3=QCI!$AB$7),2),0,$AA$24-ROUND(Import.CPMinPerc*$O$24,2),$AA$24-Import.CPMinAbsoluta,Import.Repasse-$Z$24),0)</f>
        <v>0</v>
      </c>
    </row>
    <row r="18" customFormat="false" ht="12.75" hidden="true" customHeight="false" outlineLevel="0" collapsed="false">
      <c r="A18" s="492" t="n">
        <f aca="true">IF(NOT(ISBLANK(QCI.DescManual)),OFFSET(A18,-1,0),D18)</f>
        <v>5</v>
      </c>
      <c r="B18" s="0" t="str">
        <f aca="false">IF(NOT(ISBLANK(QCI.DescManual)),IF(QCI.Divisao="Calculado","Manual","SemiAuto"),IF(ISERROR(MATCH($A18,ORÇAMENTO!$E$15:$E$59,0)),"Branco","Automático"))</f>
        <v>Branco</v>
      </c>
      <c r="C18" s="0" t="str">
        <f aca="false">IF(O18&gt;0,"F","")</f>
        <v/>
      </c>
      <c r="D18" s="493" t="n">
        <f aca="false">ROW()-ROW($D$13)</f>
        <v>5</v>
      </c>
      <c r="E18" s="494"/>
      <c r="F18" s="494"/>
      <c r="G18" s="272" t="str">
        <f aca="false">IF(OR($B18="Manual",$B18="SemiAuto"),QCI.DescManual,IF($B18="Automático",INDEX(ORÇAMENTO!$R$15:$R$59,MATCH($A18,ORÇAMENTO!$E$15:$E$59,0)),""))</f>
        <v/>
      </c>
      <c r="H18" s="494"/>
      <c r="I18" s="495"/>
      <c r="J18" s="496" t="str">
        <f aca="true">IF(AND(ISBLANK(E18),ISBLANK(F18)),"",VLOOKUP($F18,OFFSET(DADOS!$A$2,1,MATCH(QCI!$E18,DADOS!$2:$2,0)-1,100,50),2,FALSE()))</f>
        <v/>
      </c>
      <c r="K18" s="497" t="str">
        <f aca="false">IF(OR($B18="Manual",$B18="SemiAuto"),QCI.LoteManual,IF($B18="Automático",IF(TIPOORCAMENTO="Licitado",Import.CTEF,"LOTE 1"),""))</f>
        <v/>
      </c>
      <c r="L18" s="498" t="n">
        <f aca="false">ROUND($O18,2)-ROUND($M18,2)-ROUND($N18,2)</f>
        <v>0</v>
      </c>
      <c r="M18" s="499" t="n">
        <f aca="false">ROUND($AA18,2)-ROUND($AE18,2)</f>
        <v>0</v>
      </c>
      <c r="N18" s="500" t="n">
        <f aca="false">ROUND($AB18,2)</f>
        <v>0</v>
      </c>
      <c r="O18" s="501" t="n">
        <f aca="false">IF($B18="Branco",0,IF(OR($B18="Manual",$B18="SemiAuto"),QCI.InvManual,INDEX(ORÇAMENTO!X$15:X$59,MATCH($A18,ORÇAMENTO!$E$15:$E$59,0))))</f>
        <v>0</v>
      </c>
      <c r="P18" s="502"/>
      <c r="R18" s="503"/>
      <c r="T18" s="504"/>
      <c r="U18" s="505"/>
      <c r="V18" s="506" t="s">
        <v>446</v>
      </c>
      <c r="W18" s="507" t="n">
        <f aca="false">$O18</f>
        <v>0</v>
      </c>
      <c r="X18" s="508" t="n">
        <v>0</v>
      </c>
      <c r="Z18" s="0" t="n">
        <f aca="false">$O18-$AA18-$AB18</f>
        <v>0</v>
      </c>
      <c r="AA18" s="0" t="n">
        <f aca="false">IF($B18="Branco",0,IF($B18="Manual",QCI.CPManual,IF($B18="SemiAuto",ROUND(QCI!$AA$3*QCI.InvManual,2),INDEX(ORÇAMENTO!$AA$15:$AA$59,MATCH($A18,ORÇAMENTO!$E$15:$E$59,0)))))</f>
        <v>0</v>
      </c>
      <c r="AB18" s="0" t="n">
        <f aca="false">IF($B18="Branco",0,IF($B18="Manual",QCI.OutrosManual,IF($B18="SemiAuto",0,INDEX(ORÇAMENTO!$AB$15:$AB$59,MATCH($A18,ORÇAMENTO!$E$15:$E$59,0)))))</f>
        <v>0</v>
      </c>
      <c r="AD18" s="509" t="n">
        <f aca="false">AND($AA$3&gt;0,$AA$3&lt;1,$O18&gt;0,OR($B18="Automático",$B18="SemiAuto"),OR(QCI!$Z$3=QCI!$Z$7,QCI!$Z$3=QCI!$AA$7,QCI!$Z$3=QCI!$AB$7))</f>
        <v>0</v>
      </c>
      <c r="AE18" s="509" t="n">
        <f aca="true">IF(AND($AD18,$O18&gt;0,COUNTIF(OFFSET($AD18,1,0):$AD$24,TRUE())=0),CHOOSE(1+LOG(1+2*(QCI!$Z$3=QCI!$Z$7)+4*(QCI!$Z$3=QCI!$AA$7)+8*(QCI!$Z$3=QCI!$AB$7),2),0,$AA$24-ROUND(Import.CPMinPerc*$O$24,2),$AA$24-Import.CPMinAbsoluta,Import.Repasse-$Z$24),0)</f>
        <v>0</v>
      </c>
    </row>
    <row r="19" customFormat="false" ht="12.75" hidden="true" customHeight="false" outlineLevel="0" collapsed="false">
      <c r="A19" s="492" t="n">
        <f aca="true">IF(NOT(ISBLANK(QCI.DescManual)),OFFSET(A19,-1,0),D19)</f>
        <v>6</v>
      </c>
      <c r="B19" s="0" t="str">
        <f aca="false">IF(NOT(ISBLANK(QCI.DescManual)),IF(QCI.Divisao="Calculado","Manual","SemiAuto"),IF(ISERROR(MATCH($A19,ORÇAMENTO!$E$15:$E$59,0)),"Branco","Automático"))</f>
        <v>Branco</v>
      </c>
      <c r="C19" s="0" t="str">
        <f aca="false">IF(O19&gt;0,"F","")</f>
        <v/>
      </c>
      <c r="D19" s="493" t="n">
        <f aca="false">ROW()-ROW($D$13)</f>
        <v>6</v>
      </c>
      <c r="E19" s="494"/>
      <c r="F19" s="494"/>
      <c r="G19" s="272" t="str">
        <f aca="false">IF(OR($B19="Manual",$B19="SemiAuto"),QCI.DescManual,IF($B19="Automático",INDEX(ORÇAMENTO!$R$15:$R$59,MATCH($A19,ORÇAMENTO!$E$15:$E$59,0)),""))</f>
        <v/>
      </c>
      <c r="H19" s="494"/>
      <c r="I19" s="495"/>
      <c r="J19" s="496" t="str">
        <f aca="true">IF(AND(ISBLANK(E19),ISBLANK(F19)),"",VLOOKUP($F19,OFFSET(DADOS!$A$2,1,MATCH(QCI!$E19,DADOS!$2:$2,0)-1,100,50),2,FALSE()))</f>
        <v/>
      </c>
      <c r="K19" s="497" t="str">
        <f aca="false">IF(OR($B19="Manual",$B19="SemiAuto"),QCI.LoteManual,IF($B19="Automático",IF(TIPOORCAMENTO="Licitado",Import.CTEF,"LOTE 1"),""))</f>
        <v/>
      </c>
      <c r="L19" s="498" t="n">
        <f aca="false">ROUND($O19,2)-ROUND($M19,2)-ROUND($N19,2)</f>
        <v>0</v>
      </c>
      <c r="M19" s="499" t="n">
        <f aca="false">ROUND($AA19,2)-ROUND($AE19,2)</f>
        <v>0</v>
      </c>
      <c r="N19" s="500" t="n">
        <f aca="false">ROUND($AB19,2)</f>
        <v>0</v>
      </c>
      <c r="O19" s="501" t="n">
        <f aca="false">IF($B19="Branco",0,IF(OR($B19="Manual",$B19="SemiAuto"),QCI.InvManual,INDEX(ORÇAMENTO!X$15:X$59,MATCH($A19,ORÇAMENTO!$E$15:$E$59,0))))</f>
        <v>0</v>
      </c>
      <c r="P19" s="502"/>
      <c r="R19" s="503"/>
      <c r="T19" s="504"/>
      <c r="U19" s="505"/>
      <c r="V19" s="506" t="s">
        <v>446</v>
      </c>
      <c r="W19" s="507" t="n">
        <f aca="false">$O19</f>
        <v>0</v>
      </c>
      <c r="X19" s="508" t="n">
        <v>0</v>
      </c>
      <c r="Z19" s="0" t="n">
        <f aca="false">$O19-$AA19-$AB19</f>
        <v>0</v>
      </c>
      <c r="AA19" s="0" t="n">
        <f aca="false">IF($B19="Branco",0,IF($B19="Manual",QCI.CPManual,IF($B19="SemiAuto",ROUND(QCI!$AA$3*QCI.InvManual,2),INDEX(ORÇAMENTO!$AA$15:$AA$59,MATCH($A19,ORÇAMENTO!$E$15:$E$59,0)))))</f>
        <v>0</v>
      </c>
      <c r="AB19" s="0" t="n">
        <f aca="false">IF($B19="Branco",0,IF($B19="Manual",QCI.OutrosManual,IF($B19="SemiAuto",0,INDEX(ORÇAMENTO!$AB$15:$AB$59,MATCH($A19,ORÇAMENTO!$E$15:$E$59,0)))))</f>
        <v>0</v>
      </c>
      <c r="AD19" s="509" t="n">
        <f aca="false">AND($AA$3&gt;0,$AA$3&lt;1,$O19&gt;0,OR($B19="Automático",$B19="SemiAuto"),OR(QCI!$Z$3=QCI!$Z$7,QCI!$Z$3=QCI!$AA$7,QCI!$Z$3=QCI!$AB$7))</f>
        <v>0</v>
      </c>
      <c r="AE19" s="509" t="n">
        <f aca="true">IF(AND($AD19,$O19&gt;0,COUNTIF(OFFSET($AD19,1,0):$AD$24,TRUE())=0),CHOOSE(1+LOG(1+2*(QCI!$Z$3=QCI!$Z$7)+4*(QCI!$Z$3=QCI!$AA$7)+8*(QCI!$Z$3=QCI!$AB$7),2),0,$AA$24-ROUND(Import.CPMinPerc*$O$24,2),$AA$24-Import.CPMinAbsoluta,Import.Repasse-$Z$24),0)</f>
        <v>0</v>
      </c>
    </row>
    <row r="20" customFormat="false" ht="12.75" hidden="true" customHeight="false" outlineLevel="0" collapsed="false">
      <c r="A20" s="492" t="n">
        <f aca="true">IF(NOT(ISBLANK(QCI.DescManual)),OFFSET(A20,-1,0),D20)</f>
        <v>7</v>
      </c>
      <c r="B20" s="0" t="str">
        <f aca="false">IF(NOT(ISBLANK(QCI.DescManual)),IF(QCI.Divisao="Calculado","Manual","SemiAuto"),IF(ISERROR(MATCH($A20,ORÇAMENTO!$E$15:$E$59,0)),"Branco","Automático"))</f>
        <v>Branco</v>
      </c>
      <c r="C20" s="0" t="str">
        <f aca="false">IF(O20&gt;0,"F","")</f>
        <v/>
      </c>
      <c r="D20" s="493" t="n">
        <f aca="false">ROW()-ROW($D$13)</f>
        <v>7</v>
      </c>
      <c r="E20" s="494"/>
      <c r="F20" s="494"/>
      <c r="G20" s="272" t="str">
        <f aca="false">IF(OR($B20="Manual",$B20="SemiAuto"),QCI.DescManual,IF($B20="Automático",INDEX(ORÇAMENTO!$R$15:$R$59,MATCH($A20,ORÇAMENTO!$E$15:$E$59,0)),""))</f>
        <v/>
      </c>
      <c r="H20" s="494"/>
      <c r="I20" s="495"/>
      <c r="J20" s="496" t="str">
        <f aca="true">IF(AND(ISBLANK(E20),ISBLANK(F20)),"",VLOOKUP($F20,OFFSET(DADOS!$A$2,1,MATCH(QCI!$E20,DADOS!$2:$2,0)-1,100,50),2,FALSE()))</f>
        <v/>
      </c>
      <c r="K20" s="497" t="str">
        <f aca="false">IF(OR($B20="Manual",$B20="SemiAuto"),QCI.LoteManual,IF($B20="Automático",IF(TIPOORCAMENTO="Licitado",Import.CTEF,"LOTE 1"),""))</f>
        <v/>
      </c>
      <c r="L20" s="498" t="n">
        <f aca="false">ROUND($O20,2)-ROUND($M20,2)-ROUND($N20,2)</f>
        <v>0</v>
      </c>
      <c r="M20" s="499" t="n">
        <f aca="false">ROUND($AA20,2)-ROUND($AE20,2)</f>
        <v>0</v>
      </c>
      <c r="N20" s="500" t="n">
        <f aca="false">ROUND($AB20,2)</f>
        <v>0</v>
      </c>
      <c r="O20" s="501" t="n">
        <f aca="false">IF($B20="Branco",0,IF(OR($B20="Manual",$B20="SemiAuto"),QCI.InvManual,INDEX(ORÇAMENTO!X$15:X$59,MATCH($A20,ORÇAMENTO!$E$15:$E$59,0))))</f>
        <v>0</v>
      </c>
      <c r="P20" s="502"/>
      <c r="R20" s="503"/>
      <c r="T20" s="504"/>
      <c r="U20" s="505"/>
      <c r="V20" s="506" t="s">
        <v>446</v>
      </c>
      <c r="W20" s="507" t="n">
        <f aca="false">$O20</f>
        <v>0</v>
      </c>
      <c r="X20" s="508" t="n">
        <v>0</v>
      </c>
      <c r="Z20" s="0" t="n">
        <f aca="false">$O20-$AA20-$AB20</f>
        <v>0</v>
      </c>
      <c r="AA20" s="0" t="n">
        <f aca="false">IF($B20="Branco",0,IF($B20="Manual",QCI.CPManual,IF($B20="SemiAuto",ROUND(QCI!$AA$3*QCI.InvManual,2),INDEX(ORÇAMENTO!$AA$15:$AA$59,MATCH($A20,ORÇAMENTO!$E$15:$E$59,0)))))</f>
        <v>0</v>
      </c>
      <c r="AB20" s="0" t="n">
        <f aca="false">IF($B20="Branco",0,IF($B20="Manual",QCI.OutrosManual,IF($B20="SemiAuto",0,INDEX(ORÇAMENTO!$AB$15:$AB$59,MATCH($A20,ORÇAMENTO!$E$15:$E$59,0)))))</f>
        <v>0</v>
      </c>
      <c r="AD20" s="509" t="n">
        <f aca="false">AND($AA$3&gt;0,$AA$3&lt;1,$O20&gt;0,OR($B20="Automático",$B20="SemiAuto"),OR(QCI!$Z$3=QCI!$Z$7,QCI!$Z$3=QCI!$AA$7,QCI!$Z$3=QCI!$AB$7))</f>
        <v>0</v>
      </c>
      <c r="AE20" s="509" t="n">
        <f aca="true">IF(AND($AD20,$O20&gt;0,COUNTIF(OFFSET($AD20,1,0):$AD$24,TRUE())=0),CHOOSE(1+LOG(1+2*(QCI!$Z$3=QCI!$Z$7)+4*(QCI!$Z$3=QCI!$AA$7)+8*(QCI!$Z$3=QCI!$AB$7),2),0,$AA$24-ROUND(Import.CPMinPerc*$O$24,2),$AA$24-Import.CPMinAbsoluta,Import.Repasse-$Z$24),0)</f>
        <v>0</v>
      </c>
    </row>
    <row r="21" customFormat="false" ht="12.75" hidden="true" customHeight="false" outlineLevel="0" collapsed="false">
      <c r="A21" s="492" t="n">
        <f aca="true">IF(NOT(ISBLANK(QCI.DescManual)),OFFSET(A21,-1,0),D21)</f>
        <v>8</v>
      </c>
      <c r="B21" s="0" t="str">
        <f aca="false">IF(NOT(ISBLANK(QCI.DescManual)),IF(QCI.Divisao="Calculado","Manual","SemiAuto"),IF(ISERROR(MATCH($A21,ORÇAMENTO!$E$15:$E$59,0)),"Branco","Automático"))</f>
        <v>Branco</v>
      </c>
      <c r="C21" s="0" t="str">
        <f aca="false">IF(O21&gt;0,"F","")</f>
        <v/>
      </c>
      <c r="D21" s="493" t="n">
        <f aca="false">ROW()-ROW($D$13)</f>
        <v>8</v>
      </c>
      <c r="E21" s="494"/>
      <c r="F21" s="494"/>
      <c r="G21" s="272" t="str">
        <f aca="false">IF(OR($B21="Manual",$B21="SemiAuto"),QCI.DescManual,IF($B21="Automático",INDEX(ORÇAMENTO!$R$15:$R$59,MATCH($A21,ORÇAMENTO!$E$15:$E$59,0)),""))</f>
        <v/>
      </c>
      <c r="H21" s="494"/>
      <c r="I21" s="495"/>
      <c r="J21" s="496" t="str">
        <f aca="true">IF(AND(ISBLANK(E21),ISBLANK(F21)),"",VLOOKUP($F21,OFFSET(DADOS!$A$2,1,MATCH(QCI!$E21,DADOS!$2:$2,0)-1,100,50),2,FALSE()))</f>
        <v/>
      </c>
      <c r="K21" s="497" t="str">
        <f aca="false">IF(OR($B21="Manual",$B21="SemiAuto"),QCI.LoteManual,IF($B21="Automático",IF(TIPOORCAMENTO="Licitado",Import.CTEF,"LOTE 1"),""))</f>
        <v/>
      </c>
      <c r="L21" s="498" t="n">
        <f aca="false">ROUND($O21,2)-ROUND($M21,2)-ROUND($N21,2)</f>
        <v>0</v>
      </c>
      <c r="M21" s="499" t="n">
        <f aca="false">ROUND($AA21,2)-ROUND($AE21,2)</f>
        <v>0</v>
      </c>
      <c r="N21" s="500" t="n">
        <f aca="false">ROUND($AB21,2)</f>
        <v>0</v>
      </c>
      <c r="O21" s="501" t="n">
        <f aca="false">IF($B21="Branco",0,IF(OR($B21="Manual",$B21="SemiAuto"),QCI.InvManual,INDEX(ORÇAMENTO!X$15:X$59,MATCH($A21,ORÇAMENTO!$E$15:$E$59,0))))</f>
        <v>0</v>
      </c>
      <c r="P21" s="502"/>
      <c r="R21" s="503"/>
      <c r="T21" s="504"/>
      <c r="U21" s="505"/>
      <c r="V21" s="506" t="s">
        <v>446</v>
      </c>
      <c r="W21" s="507" t="n">
        <f aca="false">$O21</f>
        <v>0</v>
      </c>
      <c r="X21" s="508" t="n">
        <v>0</v>
      </c>
      <c r="Z21" s="0" t="n">
        <f aca="false">$O21-$AA21-$AB21</f>
        <v>0</v>
      </c>
      <c r="AA21" s="0" t="n">
        <f aca="false">IF($B21="Branco",0,IF($B21="Manual",QCI.CPManual,IF($B21="SemiAuto",ROUND(QCI!$AA$3*QCI.InvManual,2),INDEX(ORÇAMENTO!$AA$15:$AA$59,MATCH($A21,ORÇAMENTO!$E$15:$E$59,0)))))</f>
        <v>0</v>
      </c>
      <c r="AB21" s="0" t="n">
        <f aca="false">IF($B21="Branco",0,IF($B21="Manual",QCI.OutrosManual,IF($B21="SemiAuto",0,INDEX(ORÇAMENTO!$AB$15:$AB$59,MATCH($A21,ORÇAMENTO!$E$15:$E$59,0)))))</f>
        <v>0</v>
      </c>
      <c r="AD21" s="509" t="n">
        <f aca="false">AND($AA$3&gt;0,$AA$3&lt;1,$O21&gt;0,OR($B21="Automático",$B21="SemiAuto"),OR(QCI!$Z$3=QCI!$Z$7,QCI!$Z$3=QCI!$AA$7,QCI!$Z$3=QCI!$AB$7))</f>
        <v>0</v>
      </c>
      <c r="AE21" s="509" t="n">
        <f aca="true">IF(AND($AD21,$O21&gt;0,COUNTIF(OFFSET($AD21,1,0):$AD$24,TRUE())=0),CHOOSE(1+LOG(1+2*(QCI!$Z$3=QCI!$Z$7)+4*(QCI!$Z$3=QCI!$AA$7)+8*(QCI!$Z$3=QCI!$AB$7),2),0,$AA$24-ROUND(Import.CPMinPerc*$O$24,2),$AA$24-Import.CPMinAbsoluta,Import.Repasse-$Z$24),0)</f>
        <v>0</v>
      </c>
    </row>
    <row r="22" customFormat="false" ht="12.75" hidden="true" customHeight="false" outlineLevel="0" collapsed="false">
      <c r="A22" s="492" t="n">
        <f aca="true">IF(NOT(ISBLANK(QCI.DescManual)),OFFSET(A22,-1,0),D22)</f>
        <v>9</v>
      </c>
      <c r="B22" s="0" t="str">
        <f aca="false">IF(NOT(ISBLANK(QCI.DescManual)),IF(QCI.Divisao="Calculado","Manual","SemiAuto"),IF(ISERROR(MATCH($A22,ORÇAMENTO!$E$15:$E$59,0)),"Branco","Automático"))</f>
        <v>Branco</v>
      </c>
      <c r="C22" s="0" t="str">
        <f aca="false">IF(O22&gt;0,"F","")</f>
        <v/>
      </c>
      <c r="D22" s="493" t="n">
        <f aca="false">ROW()-ROW($D$13)</f>
        <v>9</v>
      </c>
      <c r="E22" s="494"/>
      <c r="F22" s="494"/>
      <c r="G22" s="272" t="str">
        <f aca="false">IF(OR($B22="Manual",$B22="SemiAuto"),QCI.DescManual,IF($B22="Automático",INDEX(ORÇAMENTO!$R$15:$R$59,MATCH($A22,ORÇAMENTO!$E$15:$E$59,0)),""))</f>
        <v/>
      </c>
      <c r="H22" s="494"/>
      <c r="I22" s="495"/>
      <c r="J22" s="496" t="str">
        <f aca="true">IF(AND(ISBLANK(E22),ISBLANK(F22)),"",VLOOKUP($F22,OFFSET(DADOS!$A$2,1,MATCH(QCI!$E22,DADOS!$2:$2,0)-1,100,50),2,FALSE()))</f>
        <v/>
      </c>
      <c r="K22" s="497" t="str">
        <f aca="false">IF(OR($B22="Manual",$B22="SemiAuto"),QCI.LoteManual,IF($B22="Automático",IF(TIPOORCAMENTO="Licitado",Import.CTEF,"LOTE 1"),""))</f>
        <v/>
      </c>
      <c r="L22" s="498" t="n">
        <f aca="false">ROUND($O22,2)-ROUND($M22,2)-ROUND($N22,2)</f>
        <v>0</v>
      </c>
      <c r="M22" s="499" t="n">
        <f aca="false">ROUND($AA22,2)-ROUND($AE22,2)</f>
        <v>0</v>
      </c>
      <c r="N22" s="500" t="n">
        <f aca="false">ROUND($AB22,2)</f>
        <v>0</v>
      </c>
      <c r="O22" s="501" t="n">
        <f aca="false">IF($B22="Branco",0,IF(OR($B22="Manual",$B22="SemiAuto"),QCI.InvManual,INDEX(ORÇAMENTO!X$15:X$59,MATCH($A22,ORÇAMENTO!$E$15:$E$59,0))))</f>
        <v>0</v>
      </c>
      <c r="P22" s="502"/>
      <c r="R22" s="503"/>
      <c r="T22" s="504"/>
      <c r="U22" s="505"/>
      <c r="V22" s="506" t="s">
        <v>446</v>
      </c>
      <c r="W22" s="507" t="n">
        <f aca="false">$O22</f>
        <v>0</v>
      </c>
      <c r="X22" s="508" t="n">
        <v>0</v>
      </c>
      <c r="Z22" s="0" t="n">
        <f aca="false">$O22-$AA22-$AB22</f>
        <v>0</v>
      </c>
      <c r="AA22" s="0" t="n">
        <f aca="false">IF($B22="Branco",0,IF($B22="Manual",QCI.CPManual,IF($B22="SemiAuto",ROUND(QCI!$AA$3*QCI.InvManual,2),INDEX(ORÇAMENTO!$AA$15:$AA$59,MATCH($A22,ORÇAMENTO!$E$15:$E$59,0)))))</f>
        <v>0</v>
      </c>
      <c r="AB22" s="0" t="n">
        <f aca="false">IF($B22="Branco",0,IF($B22="Manual",QCI.OutrosManual,IF($B22="SemiAuto",0,INDEX(ORÇAMENTO!$AB$15:$AB$59,MATCH($A22,ORÇAMENTO!$E$15:$E$59,0)))))</f>
        <v>0</v>
      </c>
      <c r="AD22" s="509" t="n">
        <f aca="false">AND($AA$3&gt;0,$AA$3&lt;1,$O22&gt;0,OR($B22="Automático",$B22="SemiAuto"),OR(QCI!$Z$3=QCI!$Z$7,QCI!$Z$3=QCI!$AA$7,QCI!$Z$3=QCI!$AB$7))</f>
        <v>0</v>
      </c>
      <c r="AE22" s="509" t="n">
        <f aca="true">IF(AND($AD22,$O22&gt;0,COUNTIF(OFFSET($AD22,1,0):$AD$24,TRUE())=0),CHOOSE(1+LOG(1+2*(QCI!$Z$3=QCI!$Z$7)+4*(QCI!$Z$3=QCI!$AA$7)+8*(QCI!$Z$3=QCI!$AB$7),2),0,$AA$24-ROUND(Import.CPMinPerc*$O$24,2),$AA$24-Import.CPMinAbsoluta,Import.Repasse-$Z$24),0)</f>
        <v>0</v>
      </c>
    </row>
    <row r="23" customFormat="false" ht="12.75" hidden="true" customHeight="false" outlineLevel="0" collapsed="false">
      <c r="A23" s="492" t="n">
        <f aca="true">IF(NOT(ISBLANK(QCI.DescManual)),OFFSET(A23,-1,0),D23)</f>
        <v>10</v>
      </c>
      <c r="B23" s="0" t="str">
        <f aca="false">IF(NOT(ISBLANK(QCI.DescManual)),IF(QCI.Divisao="Calculado","Manual","SemiAuto"),IF(ISERROR(MATCH($A23,ORÇAMENTO!$E$15:$E$59,0)),"Branco","Automático"))</f>
        <v>Branco</v>
      </c>
      <c r="C23" s="0" t="str">
        <f aca="false">IF(O23&gt;0,"F","")</f>
        <v/>
      </c>
      <c r="D23" s="493" t="n">
        <f aca="false">ROW()-ROW($D$13)</f>
        <v>10</v>
      </c>
      <c r="E23" s="494"/>
      <c r="F23" s="494"/>
      <c r="G23" s="272" t="str">
        <f aca="false">IF(OR($B23="Manual",$B23="SemiAuto"),QCI.DescManual,IF($B23="Automático",INDEX(ORÇAMENTO!$R$15:$R$59,MATCH($A23,ORÇAMENTO!$E$15:$E$59,0)),""))</f>
        <v/>
      </c>
      <c r="H23" s="494"/>
      <c r="I23" s="495"/>
      <c r="J23" s="496" t="str">
        <f aca="true">IF(AND(ISBLANK(E23),ISBLANK(F23)),"",VLOOKUP($F23,OFFSET(DADOS!$A$2,1,MATCH(QCI!$E23,DADOS!$2:$2,0)-1,100,50),2,FALSE()))</f>
        <v/>
      </c>
      <c r="K23" s="497" t="str">
        <f aca="false">IF(OR($B23="Manual",$B23="SemiAuto"),QCI.LoteManual,IF($B23="Automático",IF(TIPOORCAMENTO="Licitado",Import.CTEF,"LOTE 1"),""))</f>
        <v/>
      </c>
      <c r="L23" s="498" t="n">
        <f aca="false">ROUND($O23,2)-ROUND($M23,2)-ROUND($N23,2)</f>
        <v>0</v>
      </c>
      <c r="M23" s="499" t="n">
        <f aca="false">ROUND($AA23,2)-ROUND($AE23,2)</f>
        <v>0</v>
      </c>
      <c r="N23" s="500" t="n">
        <f aca="false">ROUND($AB23,2)</f>
        <v>0</v>
      </c>
      <c r="O23" s="501" t="n">
        <f aca="false">IF($B23="Branco",0,IF(OR($B23="Manual",$B23="SemiAuto"),QCI.InvManual,INDEX(ORÇAMENTO!X$15:X$59,MATCH($A23,ORÇAMENTO!$E$15:$E$59,0))))</f>
        <v>0</v>
      </c>
      <c r="P23" s="502"/>
      <c r="R23" s="503"/>
      <c r="T23" s="504"/>
      <c r="U23" s="505"/>
      <c r="V23" s="506" t="s">
        <v>446</v>
      </c>
      <c r="W23" s="507" t="n">
        <f aca="false">$O23</f>
        <v>0</v>
      </c>
      <c r="X23" s="508" t="n">
        <v>0</v>
      </c>
      <c r="Z23" s="0" t="n">
        <f aca="false">$O23-$AA23-$AB23</f>
        <v>0</v>
      </c>
      <c r="AA23" s="0" t="n">
        <f aca="false">IF($B23="Branco",0,IF($B23="Manual",QCI.CPManual,IF($B23="SemiAuto",ROUND(QCI!$AA$3*QCI.InvManual,2),INDEX(ORÇAMENTO!$AA$15:$AA$59,MATCH($A23,ORÇAMENTO!$E$15:$E$59,0)))))</f>
        <v>0</v>
      </c>
      <c r="AB23" s="0" t="n">
        <f aca="false">IF($B23="Branco",0,IF($B23="Manual",QCI.OutrosManual,IF($B23="SemiAuto",0,INDEX(ORÇAMENTO!$AB$15:$AB$59,MATCH($A23,ORÇAMENTO!$E$15:$E$59,0)))))</f>
        <v>0</v>
      </c>
      <c r="AD23" s="509" t="n">
        <f aca="false">AND($AA$3&gt;0,$AA$3&lt;1,$O23&gt;0,OR($B23="Automático",$B23="SemiAuto"),OR(QCI!$Z$3=QCI!$Z$7,QCI!$Z$3=QCI!$AA$7,QCI!$Z$3=QCI!$AB$7))</f>
        <v>0</v>
      </c>
      <c r="AE23" s="509" t="n">
        <f aca="true">IF(AND($AD23,$O23&gt;0,COUNTIF(OFFSET($AD23,1,0):$AD$24,TRUE())=0),CHOOSE(1+LOG(1+2*(QCI!$Z$3=QCI!$Z$7)+4*(QCI!$Z$3=QCI!$AA$7)+8*(QCI!$Z$3=QCI!$AB$7),2),0,$AA$24-ROUND(Import.CPMinPerc*$O$24,2),$AA$24-Import.CPMinAbsoluta,Import.Repasse-$Z$24),0)</f>
        <v>0</v>
      </c>
    </row>
    <row r="24" customFormat="false" ht="14.15" hidden="false" customHeight="false" outlineLevel="0" collapsed="false">
      <c r="B24" s="0" t="s">
        <v>457</v>
      </c>
      <c r="C24" s="0" t="s">
        <v>206</v>
      </c>
      <c r="D24" s="515"/>
      <c r="E24" s="516"/>
      <c r="F24" s="516"/>
      <c r="G24" s="516"/>
      <c r="H24" s="516"/>
      <c r="I24" s="516"/>
      <c r="J24" s="516"/>
      <c r="K24" s="517" t="s">
        <v>458</v>
      </c>
      <c r="L24" s="518" t="n">
        <f aca="true">SUM(L13:OFFSET(L24,-1,0))</f>
        <v>0</v>
      </c>
      <c r="M24" s="519" t="n">
        <f aca="true">SUM(M13:OFFSET(M24,-1,0))</f>
        <v>0</v>
      </c>
      <c r="N24" s="520" t="n">
        <f aca="true">SUM(N13:OFFSET(N24,-1,0))</f>
        <v>0</v>
      </c>
      <c r="O24" s="521" t="n">
        <f aca="true">SUM(O13:OFFSET(O24,-1,0))</f>
        <v>0</v>
      </c>
      <c r="R24" s="522"/>
      <c r="T24" s="523"/>
      <c r="U24" s="524"/>
      <c r="V24" s="525"/>
      <c r="W24" s="526"/>
      <c r="X24" s="527"/>
      <c r="Z24" s="156" t="n">
        <f aca="true">SUMPRODUCT(ROUND(Z13:OFFSET(Z24,-1,0),2))</f>
        <v>0</v>
      </c>
      <c r="AA24" s="156" t="n">
        <f aca="true">SUMPRODUCT(ROUND(AA13:OFFSET(AA24,-1,0),2))</f>
        <v>0</v>
      </c>
      <c r="AB24" s="156" t="n">
        <f aca="true">SUM(AB13:OFFSET(AB24,-1,0))</f>
        <v>0</v>
      </c>
    </row>
    <row r="25" customFormat="false" ht="12.75" hidden="false" customHeight="false" outlineLevel="0" collapsed="false">
      <c r="B25" s="0" t="s">
        <v>459</v>
      </c>
      <c r="C25" s="0" t="s">
        <v>206</v>
      </c>
      <c r="D25" s="528"/>
      <c r="E25" s="529"/>
      <c r="F25" s="529"/>
      <c r="G25" s="529"/>
      <c r="H25" s="529"/>
      <c r="I25" s="529"/>
      <c r="J25" s="529"/>
      <c r="K25" s="517"/>
      <c r="L25" s="530" t="n">
        <f aca="false">IF(ISERROR(L24/$O24),0,ROUND(L24/$O24,4))</f>
        <v>0</v>
      </c>
      <c r="M25" s="531" t="n">
        <f aca="false">IF(ISERROR(M24/$O24),0,ROUND(M24/$O24,4))</f>
        <v>0</v>
      </c>
      <c r="N25" s="532" t="n">
        <f aca="false">IF(ISERROR(N24/$O24),0,ROUND(N24/$O24,4))</f>
        <v>0</v>
      </c>
      <c r="O25" s="533" t="n">
        <f aca="false">IF(ISERROR(O24/$O24),0,ROUND(O24/$O24,4))</f>
        <v>0</v>
      </c>
      <c r="R25" s="534"/>
      <c r="T25" s="535"/>
      <c r="U25" s="536"/>
      <c r="V25" s="537"/>
      <c r="W25" s="538"/>
      <c r="X25" s="539"/>
    </row>
    <row r="27" customFormat="false" ht="13.8" hidden="false" customHeight="false" outlineLevel="0" collapsed="false">
      <c r="D27" s="233" t="s">
        <v>235</v>
      </c>
    </row>
    <row r="28" customFormat="false" ht="12.75" hidden="false" customHeight="true" outlineLevel="0" collapsed="false"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</row>
    <row r="29" customFormat="false" ht="12.75" hidden="false" customHeight="true" outlineLevel="0" collapsed="false"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</row>
    <row r="30" customFormat="false" ht="12.75" hidden="false" customHeight="true" outlineLevel="0" collapsed="false"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</row>
    <row r="33" customFormat="false" ht="13.8" hidden="false" customHeight="false" outlineLevel="0" collapsed="false">
      <c r="D33" s="240" t="str">
        <f aca="false">Import.Município</f>
        <v>Alpinópolis</v>
      </c>
      <c r="E33" s="240"/>
      <c r="F33" s="240"/>
      <c r="I33" s="241"/>
      <c r="J33" s="241"/>
      <c r="K33" s="29"/>
      <c r="L33" s="29"/>
    </row>
    <row r="34" customFormat="false" ht="12.75" hidden="false" customHeight="false" outlineLevel="0" collapsed="false">
      <c r="D34" s="38" t="s">
        <v>239</v>
      </c>
      <c r="I34" s="242" t="s">
        <v>460</v>
      </c>
      <c r="J34" s="242"/>
    </row>
    <row r="35" customFormat="false" ht="12.75" hidden="false" customHeight="false" outlineLevel="0" collapsed="false">
      <c r="I35" s="134" t="str">
        <f aca="false">"Nome:" &amp;  " " &amp; DADOS!F28</f>
        <v>Nome: </v>
      </c>
    </row>
    <row r="36" customFormat="false" ht="12.75" hidden="false" customHeight="false" outlineLevel="0" collapsed="false">
      <c r="D36" s="243" t="n">
        <f aca="false">DADOS!$F$25</f>
        <v>45849</v>
      </c>
      <c r="E36" s="243"/>
      <c r="F36" s="243"/>
      <c r="I36" s="134" t="str">
        <f aca="false">"Cargo:"  &amp; " " &amp; DADOS!F29</f>
        <v>Cargo: </v>
      </c>
    </row>
    <row r="37" customFormat="false" ht="12.75" hidden="false" customHeight="false" outlineLevel="0" collapsed="false">
      <c r="D37" s="244" t="s">
        <v>240</v>
      </c>
      <c r="E37" s="11"/>
      <c r="F37" s="11"/>
      <c r="K37" s="134"/>
      <c r="L37" s="135"/>
    </row>
  </sheetData>
  <sheetProtection algorithmName="SHA-512" hashValue="bGLyEI1Mxtehr8ySZfu/kReOfg9b5kxKT2CfzrRI8/2rJTmIahpWTAqnusTVChm5w83SJ09Z2kQoId3TlK1OGQ==" saltValue="EvF9ONO1IJ3/EQFHvyVPFg==" spinCount="100000" sheet="true" objects="true" scenarios="true" autoFilter="false"/>
  <autoFilter ref="C13:C25">
    <filterColumn colId="0">
      <filters>
        <filter val="F"/>
      </filters>
    </filterColumn>
  </autoFilter>
  <mergeCells count="20">
    <mergeCell ref="D3:E3"/>
    <mergeCell ref="G3:I3"/>
    <mergeCell ref="J3:L3"/>
    <mergeCell ref="M3:O4"/>
    <mergeCell ref="D4:E4"/>
    <mergeCell ref="G4:I4"/>
    <mergeCell ref="J4:L4"/>
    <mergeCell ref="D6:K6"/>
    <mergeCell ref="C7:C11"/>
    <mergeCell ref="D7:K7"/>
    <mergeCell ref="G9:J10"/>
    <mergeCell ref="K9:K10"/>
    <mergeCell ref="AD9:AE9"/>
    <mergeCell ref="A10:A11"/>
    <mergeCell ref="Z10:AB10"/>
    <mergeCell ref="AD10:AE10"/>
    <mergeCell ref="K24:K25"/>
    <mergeCell ref="D28:O30"/>
    <mergeCell ref="D33:F33"/>
    <mergeCell ref="D36:F36"/>
  </mergeCells>
  <conditionalFormatting sqref="T23:V23">
    <cfRule type="expression" priority="2" aboveAverage="0" equalAverage="0" bottom="0" percent="0" rank="0" text="" dxfId="372">
      <formula>OR($B23="Automático",$B23="Branco")</formula>
    </cfRule>
  </conditionalFormatting>
  <conditionalFormatting sqref="L23">
    <cfRule type="expression" priority="3" aboveAverage="0" equalAverage="0" bottom="0" percent="0" rank="0" text="" dxfId="373">
      <formula>OR(L23&lt;0,AND(L$13="Contrapartida Financeira (R$)",$B23="T%",OR(L23&lt;Import.CPMinPerc,AND(L23&gt;Import.CPMaxPerc,Import.CPMaxPerc&gt;0))),AND(L$13="Contrapartida Financeira (R$)",$B23="TR$",L23&lt;Import.CPMinAbsoluta))</formula>
    </cfRule>
  </conditionalFormatting>
  <conditionalFormatting sqref="W23:X23">
    <cfRule type="expression" priority="4" aboveAverage="0" equalAverage="0" bottom="0" percent="0" rank="0" text="" dxfId="374">
      <formula>OR($B23="Automático",$B23="Branco",$V23&lt;&gt;"Calculado")</formula>
    </cfRule>
  </conditionalFormatting>
  <conditionalFormatting sqref="G23">
    <cfRule type="cellIs" priority="5" operator="equal" aboveAverage="0" equalAverage="0" bottom="0" percent="0" rank="0" text="" dxfId="375">
      <formula>"(digite a descrição aqui)"</formula>
    </cfRule>
  </conditionalFormatting>
  <conditionalFormatting sqref="T14:V22">
    <cfRule type="expression" priority="6" aboveAverage="0" equalAverage="0" bottom="0" percent="0" rank="0" text="" dxfId="376">
      <formula>OR($B14="Automático",$B14="Branco")</formula>
    </cfRule>
  </conditionalFormatting>
  <conditionalFormatting sqref="L14:L22">
    <cfRule type="expression" priority="7" aboveAverage="0" equalAverage="0" bottom="0" percent="0" rank="0" text="" dxfId="377">
      <formula>OR(L14&lt;0,AND(L$13="Contrapartida Financeira (R$)",$B14="T%",OR(L14&lt;Import.CPMinPerc,AND(L14&gt;Import.CPMaxPerc,Import.CPMaxPerc&gt;0))),AND(L$13="Contrapartida Financeira (R$)",$B14="TR$",L14&lt;Import.CPMinAbsoluta))</formula>
    </cfRule>
  </conditionalFormatting>
  <conditionalFormatting sqref="W14:X22">
    <cfRule type="expression" priority="8" aboveAverage="0" equalAverage="0" bottom="0" percent="0" rank="0" text="" dxfId="378">
      <formula>OR($B14="Automático",$B14="Branco",$V14&lt;&gt;"Calculado")</formula>
    </cfRule>
  </conditionalFormatting>
  <conditionalFormatting sqref="G14:G22">
    <cfRule type="cellIs" priority="9" operator="equal" aboveAverage="0" equalAverage="0" bottom="0" percent="0" rank="0" text="" dxfId="379">
      <formula>"(digite a descrição aqui)"</formula>
    </cfRule>
  </conditionalFormatting>
  <conditionalFormatting sqref="T12:V12">
    <cfRule type="expression" priority="10" aboveAverage="0" equalAverage="0" bottom="0" percent="0" rank="0" text="" dxfId="380">
      <formula>OR($B12="Automático",$B12="Branco")</formula>
    </cfRule>
  </conditionalFormatting>
  <conditionalFormatting sqref="L12">
    <cfRule type="expression" priority="11" aboveAverage="0" equalAverage="0" bottom="0" percent="0" rank="0" text="" dxfId="381">
      <formula>OR(L12&lt;0,AND(L$13="Contrapartida Financeira (R$)",$B12="T%",OR(L12&lt;Import.CPMinPerc,AND(L12&gt;Import.CPMaxPerc,Import.CPMaxPerc&gt;0))),AND(L$13="Contrapartida Financeira (R$)",$B12="TR$",L12&lt;Import.CPMinAbsoluta))</formula>
    </cfRule>
  </conditionalFormatting>
  <conditionalFormatting sqref="W12:X12">
    <cfRule type="expression" priority="12" aboveAverage="0" equalAverage="0" bottom="0" percent="0" rank="0" text="" dxfId="382">
      <formula>OR($B12="Automático",$B12="Branco",$V12&lt;&gt;"Calculado")</formula>
    </cfRule>
  </conditionalFormatting>
  <conditionalFormatting sqref="M25">
    <cfRule type="expression" priority="13" aboveAverage="0" equalAverage="0" bottom="0" percent="0" rank="0" text="" dxfId="383">
      <formula>AND($G$9&lt;&gt;"",OR($M$25&lt;Import.CPMinPerc,$M$25&gt;Import.CPMaxPerc))</formula>
    </cfRule>
  </conditionalFormatting>
  <conditionalFormatting sqref="M24">
    <cfRule type="expression" priority="14" aboveAverage="0" equalAverage="0" bottom="0" percent="0" rank="0" text="" dxfId="384">
      <formula>AND($G$9&lt;&gt;"",$M$24&lt;Import.CPMinAbsoluta)</formula>
    </cfRule>
  </conditionalFormatting>
  <conditionalFormatting sqref="L10:M10">
    <cfRule type="cellIs" priority="15" operator="lessThan" aboveAverage="0" equalAverage="0" bottom="0" percent="0" rank="0" text="" dxfId="385">
      <formula>0</formula>
    </cfRule>
  </conditionalFormatting>
  <conditionalFormatting sqref="G12">
    <cfRule type="cellIs" priority="16" operator="equal" aboveAverage="0" equalAverage="0" bottom="0" percent="0" rank="0" text="" dxfId="386">
      <formula>"(digite a descrição aqui)"</formula>
    </cfRule>
  </conditionalFormatting>
  <dataValidations count="9">
    <dataValidation allowBlank="true" error="Digite apenas números decimais maiores do que 0." errorStyle="stop" operator="greaterThan" showDropDown="false" showErrorMessage="true" showInputMessage="false" sqref="U12 U14:U23" type="decimal">
      <formula1>0</formula1>
      <formula2>0</formula2>
    </dataValidation>
    <dataValidation allowBlank="true" errorStyle="stop" operator="between" showDropDown="false" showErrorMessage="false" showInputMessage="false" sqref="E12 E14:E23" type="list">
      <formula1>QCI.ItemInvestimento</formula1>
      <formula2>0</formula2>
    </dataValidation>
    <dataValidation allowBlank="true" errorStyle="stop" operator="between" showDropDown="false" showErrorMessage="false" showInputMessage="false" sqref="F12 F14:F23" type="list">
      <formula1>QCI.SubItemInvestimento</formula1>
      <formula2>0</formula2>
    </dataValidation>
    <dataValidation allowBlank="true" errorStyle="stop" operator="between" showDropDown="false" showErrorMessage="false" showInputMessage="false" sqref="H12 H14:H23" type="list">
      <formula1>"Sem Projeto,Em Análise,Análise Concluída / A Licitar,Licitado / Em Execução,Concluído"</formula1>
      <formula2>0</formula2>
    </dataValidation>
    <dataValidation allowBlank="true" error="Digite valores maiores do que 0." errorStyle="stop" errorTitle="Erro" operator="greaterThan" showDropDown="false" showErrorMessage="true" showInputMessage="false" sqref="I12 I14:I23" type="decimal">
      <formula1>0</formula1>
      <formula2>0</formula2>
    </dataValidation>
    <dataValidation allowBlank="true" errorStyle="stop" operator="between" showDropDown="false" showErrorMessage="true" showInputMessage="false" sqref="V12 V14:V23" type="list">
      <formula1>"Proporcional,Calculado"</formula1>
      <formula2>0</formula2>
    </dataValidation>
    <dataValidation allowBlank="true" error="Digite somente valor de 0,00 ao valor do Investimento. A Somatória dos valores não deve ultrapassar o valor de Investimento." errorStyle="stop" errorTitle="Erro de valor" operator="between" prompt="Digite o valor de Contrapartida Financeira para esta Meta." promptTitle="Contrapartida Financeira:" showDropDown="false" showErrorMessage="true" showInputMessage="true" sqref="W12 W14:W23" type="decimal">
      <formula1>0</formula1>
      <formula2>QCI.MaxCPManual</formula2>
    </dataValidation>
    <dataValidation allowBlank="true" error="Digite somente valor de 0,00 ao valor do Investimento. A Somatória dos valores não deve ultrapassar o valor de Investimento." errorStyle="stop" errorTitle="Erro de valor" operator="between" prompt="Digite o valor de Contrapartida Física / Outros para esta Meta." promptTitle="Contrapartida Física / Outros:" showDropDown="false" showErrorMessage="true" showInputMessage="true" sqref="X12 X14:X23" type="decimal">
      <formula1>0</formula1>
      <formula2>QCI.MaxOUManual</formula2>
    </dataValidation>
    <dataValidation allowBlank="true" errorStyle="stop" operator="between" prompt="Preencha somente se a meta não fizer parte do Orçamento desta Plan. Mult." showDropDown="false" showErrorMessage="true" showInputMessage="true" sqref="R12 R14:R23" type="none">
      <formula1>0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&amp;L_&amp;C&amp;14I</oddHeader>
    <oddFooter>&amp;LPMv3.0.6&amp;R&amp;P / &amp;N</oddFooter>
  </headerFooter>
  <colBreaks count="1" manualBreakCount="1">
    <brk id="15" man="true" max="65535" min="0"/>
  </colBreak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O74"/>
  <sheetViews>
    <sheetView showFormulas="false" showGridLines="false" showRowColHeaders="true" showZeros="true" rightToLeft="false" tabSelected="false" showOutlineSymbols="true" defaultGridColor="true" view="normal" topLeftCell="C1" colorId="64" zoomScale="90" zoomScaleNormal="90" zoomScalePageLayoutView="90" workbookViewId="0">
      <pane xSplit="5" ySplit="15" topLeftCell="H16" activePane="bottomRight" state="frozen"/>
      <selection pane="topLeft" activeCell="C1" activeCellId="0" sqref="C1"/>
      <selection pane="topRight" activeCell="H1" activeCellId="0" sqref="H1"/>
      <selection pane="bottomLeft" activeCell="C16" activeCellId="0" sqref="C16"/>
      <selection pane="bottomRight" activeCell="A29" activeCellId="0" sqref="A29"/>
    </sheetView>
  </sheetViews>
  <sheetFormatPr defaultColWidth="8.6796875" defaultRowHeight="12.75" customHeight="true" zeroHeight="false" outlineLevelRow="0" outlineLevelCol="0"/>
  <cols>
    <col collapsed="false" customWidth="true" hidden="true" outlineLevel="0" max="2" min="1" style="0" width="6.71"/>
    <col collapsed="false" customWidth="true" hidden="false" outlineLevel="0" max="3" min="3" style="0" width="3.71"/>
    <col collapsed="false" customWidth="true" hidden="false" outlineLevel="0" max="4" min="4" style="0" width="10.71"/>
    <col collapsed="false" customWidth="true" hidden="false" outlineLevel="0" max="5" min="5" style="0" width="65.71"/>
    <col collapsed="false" customWidth="true" hidden="false" outlineLevel="0" max="6" min="6" style="0" width="7.71"/>
    <col collapsed="false" customWidth="true" hidden="false" outlineLevel="0" max="7" min="7" style="0" width="11.71"/>
    <col collapsed="false" customWidth="true" hidden="false" outlineLevel="0" max="8" min="8" style="0" width="14.71"/>
    <col collapsed="false" customWidth="true" hidden="false" outlineLevel="0" max="9" min="9" style="0" width="18.71"/>
    <col collapsed="false" customWidth="true" hidden="false" outlineLevel="0" max="12" min="10" style="0" width="11.71"/>
    <col collapsed="false" customWidth="true" hidden="false" outlineLevel="0" max="15" min="13" style="0" width="18.71"/>
    <col collapsed="false" customWidth="true" hidden="true" outlineLevel="0" max="18" min="17" style="0" width="11.71"/>
    <col collapsed="false" customWidth="true" hidden="true" outlineLevel="0" max="19" min="19" style="0" width="9.14"/>
    <col collapsed="false" customWidth="true" hidden="true" outlineLevel="0" max="20" min="20" style="0" width="10.71"/>
    <col collapsed="false" customWidth="true" hidden="true" outlineLevel="0" max="21" min="21" style="0" width="65.71"/>
    <col collapsed="false" customWidth="true" hidden="true" outlineLevel="0" max="22" min="22" style="0" width="7.71"/>
    <col collapsed="false" customWidth="true" hidden="true" outlineLevel="0" max="23" min="23" style="0" width="11.71"/>
    <col collapsed="false" customWidth="true" hidden="true" outlineLevel="0" max="24" min="24" style="0" width="14.71"/>
    <col collapsed="false" customWidth="true" hidden="true" outlineLevel="0" max="25" min="25" style="0" width="18.71"/>
    <col collapsed="false" customWidth="true" hidden="true" outlineLevel="0" max="26" min="26" style="0" width="25.71"/>
    <col collapsed="false" customWidth="true" hidden="true" outlineLevel="0" max="27" min="27" style="0" width="11.53"/>
    <col collapsed="false" customWidth="true" hidden="false" outlineLevel="0" max="39" min="28" style="0" width="11.71"/>
    <col collapsed="false" customWidth="true" hidden="false" outlineLevel="0" max="40" min="40" style="0" width="10.42"/>
    <col collapsed="false" customWidth="true" hidden="true" outlineLevel="0" max="41" min="41" style="0" width="9.14"/>
  </cols>
  <sheetData>
    <row r="1" customFormat="false" ht="15" hidden="false" customHeight="false" outlineLevel="0" collapsed="false">
      <c r="E1" s="540" t="str">
        <f aca="false">IF(CAIXA.Modo,"BA - Boletim de Aferição","BM - Boletim de Medição")</f>
        <v>BM - Boletim de Medição</v>
      </c>
      <c r="G1" s="541"/>
      <c r="J1" s="541"/>
      <c r="K1" s="541"/>
      <c r="L1" s="541"/>
      <c r="M1" s="541"/>
      <c r="N1" s="541"/>
      <c r="O1" s="86" t="s">
        <v>188</v>
      </c>
    </row>
    <row r="2" customFormat="false" ht="15" hidden="false" customHeight="false" outlineLevel="0" collapsed="false">
      <c r="A2" s="10" t="s">
        <v>461</v>
      </c>
      <c r="B2" s="12"/>
      <c r="E2" s="542" t="str">
        <f aca="true">IF(Import.RegimeExecução="(SELECIONAR)","Selecione o Regime de Execução na Aba Dados",Import.RegimeExecução&amp;" - "&amp;import.recurso)</f>
        <v>Selecione o Regime de Execução na Aba Dados</v>
      </c>
      <c r="O2" s="40" t="s">
        <v>191</v>
      </c>
    </row>
    <row r="3" customFormat="false" ht="12.75" hidden="false" customHeight="false" outlineLevel="0" collapsed="false">
      <c r="A3" s="543" t="b">
        <f aca="false">FALSE()</f>
        <v>0</v>
      </c>
      <c r="B3" s="543"/>
      <c r="E3" s="146"/>
    </row>
    <row r="4" customFormat="false" ht="12.75" hidden="false" customHeight="false" outlineLevel="0" collapsed="false">
      <c r="D4" s="89" t="s">
        <v>196</v>
      </c>
      <c r="E4" s="89"/>
      <c r="F4" s="158" t="s">
        <v>194</v>
      </c>
      <c r="G4" s="158"/>
      <c r="H4" s="158"/>
      <c r="I4" s="252" t="s">
        <v>253</v>
      </c>
      <c r="J4" s="89" t="s">
        <v>254</v>
      </c>
      <c r="K4" s="89"/>
      <c r="L4" s="89"/>
      <c r="M4" s="89"/>
      <c r="N4" s="89"/>
      <c r="O4" s="254" t="s">
        <v>462</v>
      </c>
    </row>
    <row r="5" customFormat="false" ht="12.75" hidden="false" customHeight="true" outlineLevel="0" collapsed="false">
      <c r="A5" s="0" t="s">
        <v>463</v>
      </c>
      <c r="D5" s="90" t="n">
        <f aca="false">Import.Proponente</f>
        <v>0</v>
      </c>
      <c r="E5" s="90"/>
      <c r="F5" s="166" t="n">
        <f aca="false">Import.CR</f>
        <v>0</v>
      </c>
      <c r="G5" s="166"/>
      <c r="H5" s="166"/>
      <c r="I5" s="544" t="n">
        <f aca="false">Import.TransfereGOV</f>
        <v>0</v>
      </c>
      <c r="J5" s="90" t="str">
        <f aca="false">Import.Apelido</f>
        <v>Pavimentação MG-446</v>
      </c>
      <c r="K5" s="90"/>
      <c r="L5" s="90"/>
      <c r="M5" s="90"/>
      <c r="N5" s="90"/>
      <c r="O5" s="545" t="n">
        <f aca="false">Import.DataInicioObra</f>
        <v>0</v>
      </c>
      <c r="AO5" s="546" t="s">
        <v>464</v>
      </c>
    </row>
    <row r="6" customFormat="false" ht="4.5" hidden="false" customHeight="true" outlineLevel="0" collapsed="false">
      <c r="D6" s="153"/>
      <c r="E6" s="154"/>
      <c r="F6" s="153"/>
      <c r="G6" s="153"/>
      <c r="H6" s="153"/>
      <c r="I6" s="153"/>
      <c r="J6" s="153"/>
      <c r="K6" s="153"/>
      <c r="L6" s="153"/>
      <c r="M6" s="153"/>
      <c r="N6" s="153"/>
      <c r="O6" s="153"/>
      <c r="AO6" s="547"/>
    </row>
    <row r="7" customFormat="false" ht="12.75" hidden="false" customHeight="true" outlineLevel="0" collapsed="false">
      <c r="A7" s="0" t="str">
        <f aca="true">RegimeExecucao</f>
        <v>Unitário</v>
      </c>
      <c r="D7" s="148" t="s">
        <v>465</v>
      </c>
      <c r="E7" s="148" t="s">
        <v>466</v>
      </c>
      <c r="F7" s="89" t="s">
        <v>467</v>
      </c>
      <c r="G7" s="89"/>
      <c r="H7" s="89"/>
      <c r="I7" s="89" t="str">
        <f aca="false">IF(TIPOORCAMENTO="Licitado","REGIME DE EXECUÇÃO","MUNICÍPIO / UF")</f>
        <v>MUNICÍPIO / UF</v>
      </c>
      <c r="J7" s="89"/>
      <c r="K7" s="89"/>
      <c r="L7" s="89"/>
      <c r="M7" s="89" t="s">
        <v>468</v>
      </c>
      <c r="N7" s="89"/>
      <c r="O7" s="148" t="s">
        <v>469</v>
      </c>
      <c r="AO7" s="482" t="n">
        <f aca="true">BM.MEDAcumulado</f>
        <v>0</v>
      </c>
    </row>
    <row r="8" customFormat="false" ht="12.75" hidden="false" customHeight="true" outlineLevel="0" collapsed="false">
      <c r="A8" s="10" t="s">
        <v>470</v>
      </c>
      <c r="B8" s="12"/>
      <c r="C8" s="91" t="s">
        <v>199</v>
      </c>
      <c r="D8" s="548" t="n">
        <f aca="false">Import.CTEF</f>
        <v>0</v>
      </c>
      <c r="E8" s="90" t="n">
        <f aca="false">Import.empresa</f>
        <v>0</v>
      </c>
      <c r="F8" s="90" t="n">
        <f aca="false">Import.CNPJ</f>
        <v>0</v>
      </c>
      <c r="G8" s="90"/>
      <c r="H8" s="90"/>
      <c r="I8" s="90" t="str">
        <f aca="true">IF(TIPOORCAMENTO="Licitado",Import.RegimeExecução,Import.Município)</f>
        <v>Alpinópolis</v>
      </c>
      <c r="J8" s="90"/>
      <c r="K8" s="90"/>
      <c r="L8" s="90"/>
      <c r="M8" s="90" t="str">
        <f aca="true">TEXT(IF(BM.medicao=1,Import.DataInicioObra,OFFSET($AB$12,0,BM.medicao-1-$AB$13)+1),"dd/mm/aaaa")&amp;" a "&amp;TEXT(OFFSET($AB$12,0,BM.medicao-$AB$13),"dd/mm/aaaa")</f>
        <v>28/10/Shabbat a 28/10/Shabbat</v>
      </c>
      <c r="N8" s="90"/>
      <c r="O8" s="549" t="n">
        <v>1</v>
      </c>
    </row>
    <row r="9" customFormat="false" ht="12.75" hidden="false" customHeight="true" outlineLevel="0" collapsed="false">
      <c r="A9" s="550" t="b">
        <f aca="false">TRUE()</f>
        <v>1</v>
      </c>
      <c r="B9" s="30"/>
      <c r="C9" s="91"/>
    </row>
    <row r="10" customFormat="false" ht="12.75" hidden="false" customHeight="false" outlineLevel="0" collapsed="false">
      <c r="C10" s="91"/>
      <c r="E10" s="551" t="str">
        <f aca="false">IF(ACOMPANHAMENTO="PLE","Foi selecionado na aba 'MENU' o acompanhamento por PLE.",IF(TIPOORCAMENTO="Proposto","Altere na aba 'MENU' o tipo de orçamento para 'Licitado'.",""))</f>
        <v>Foi selecionado na aba 'MENU' o acompanhamento por PLE.</v>
      </c>
      <c r="F10" s="551"/>
      <c r="G10" s="551"/>
      <c r="H10" s="551"/>
      <c r="I10" s="551"/>
      <c r="N10" s="552" t="str">
        <f aca="false">"Realizado Acumulado: "&amp;TEXT(ROUND($O$15/($I$15+10^-12),4),"0,00%")</f>
        <v>Realizado Acumulado: 000%</v>
      </c>
      <c r="O10" s="552"/>
    </row>
    <row r="11" customFormat="false" ht="15" hidden="false" customHeight="true" outlineLevel="0" collapsed="false">
      <c r="C11" s="91"/>
      <c r="E11" s="551"/>
      <c r="F11" s="551"/>
      <c r="G11" s="551"/>
      <c r="H11" s="551"/>
      <c r="I11" s="551"/>
      <c r="N11" s="552"/>
      <c r="O11" s="552"/>
      <c r="T11" s="553" t="s">
        <v>471</v>
      </c>
      <c r="U11" s="553"/>
      <c r="Z11" s="16"/>
      <c r="AB11" s="459" t="s">
        <v>472</v>
      </c>
      <c r="AC11" s="459"/>
      <c r="AD11" s="459"/>
      <c r="AE11" s="459"/>
      <c r="AF11" s="459"/>
      <c r="AG11" s="459"/>
      <c r="AH11" s="459"/>
      <c r="AI11" s="459"/>
      <c r="AJ11" s="459"/>
      <c r="AK11" s="459"/>
      <c r="AL11" s="459"/>
      <c r="AM11" s="459"/>
    </row>
    <row r="12" customFormat="false" ht="15" hidden="false" customHeight="true" outlineLevel="0" collapsed="false">
      <c r="C12" s="91"/>
      <c r="E12" s="144" t="s">
        <v>473</v>
      </c>
      <c r="J12" s="40" t="str">
        <f aca="true">"Evolução Física "&amp;CHOOSE(MATCH(RegimeExecucao,{"Unitário","Global"},0),"(Qtde.)","(%)")</f>
        <v>Evolução Física (Qtde.)</v>
      </c>
      <c r="K12" s="40"/>
      <c r="L12" s="40"/>
      <c r="M12" s="40" t="s">
        <v>474</v>
      </c>
      <c r="N12" s="40"/>
      <c r="O12" s="40"/>
      <c r="Q12" s="40" t="str">
        <f aca="true">"Aferido (CAIXA) "&amp;CHOOSE(MATCH(RegimeExecucao,{"Unitário","Global"},0),"(Qtde.)","(%)")</f>
        <v>Aferido (CAIXA) (Qtde.)</v>
      </c>
      <c r="R12" s="40"/>
      <c r="T12" s="554" t="s">
        <v>475</v>
      </c>
      <c r="U12" s="29"/>
      <c r="V12" s="29"/>
      <c r="W12" s="29"/>
      <c r="X12" s="29"/>
      <c r="Y12" s="29"/>
      <c r="Z12" s="30"/>
      <c r="AB12" s="555"/>
      <c r="AC12" s="556"/>
      <c r="AD12" s="556"/>
      <c r="AE12" s="556"/>
      <c r="AF12" s="556"/>
      <c r="AG12" s="556"/>
      <c r="AH12" s="556"/>
      <c r="AI12" s="556"/>
      <c r="AJ12" s="556"/>
      <c r="AK12" s="556"/>
      <c r="AL12" s="556"/>
      <c r="AM12" s="557"/>
    </row>
    <row r="13" customFormat="false" ht="45" hidden="false" customHeight="true" outlineLevel="0" collapsed="false">
      <c r="A13" s="175" t="s">
        <v>272</v>
      </c>
      <c r="B13" s="175" t="s">
        <v>271</v>
      </c>
      <c r="C13" s="97" t="s">
        <v>204</v>
      </c>
      <c r="D13" s="183" t="s">
        <v>281</v>
      </c>
      <c r="E13" s="183" t="s">
        <v>284</v>
      </c>
      <c r="F13" s="558" t="s">
        <v>285</v>
      </c>
      <c r="G13" s="183" t="s">
        <v>258</v>
      </c>
      <c r="H13" s="183" t="s">
        <v>286</v>
      </c>
      <c r="I13" s="183" t="s">
        <v>287</v>
      </c>
      <c r="J13" s="183" t="s">
        <v>476</v>
      </c>
      <c r="K13" s="183" t="s">
        <v>477</v>
      </c>
      <c r="L13" s="183" t="s">
        <v>478</v>
      </c>
      <c r="M13" s="183" t="s">
        <v>476</v>
      </c>
      <c r="N13" s="183" t="s">
        <v>477</v>
      </c>
      <c r="O13" s="183" t="s">
        <v>478</v>
      </c>
      <c r="Q13" s="183" t="s">
        <v>476</v>
      </c>
      <c r="R13" s="183" t="s">
        <v>478</v>
      </c>
      <c r="T13" s="183" t="s">
        <v>281</v>
      </c>
      <c r="U13" s="183" t="s">
        <v>284</v>
      </c>
      <c r="V13" s="558" t="str">
        <f aca="true">IF(RegimeExecucao="Unitário","Unidade","")</f>
        <v>Unidade</v>
      </c>
      <c r="W13" s="183" t="str">
        <f aca="true">CHOOSE(MATCH(RegimeExecucao,{"Unitário","Global"},0),"Quant. Glosada (unid)","Percentual Glosado (%)")</f>
        <v>Quant. Glosada (unid)</v>
      </c>
      <c r="X13" s="183" t="str">
        <f aca="true">CHOOSE(MATCH(RegimeExecucao,{"Unitário","Global"},0),"Preço Unitário (R$)","Valor Total do Item (R$)")</f>
        <v>Preço Unitário (R$)</v>
      </c>
      <c r="Y13" s="183" t="s">
        <v>479</v>
      </c>
      <c r="Z13" s="183" t="s">
        <v>480</v>
      </c>
      <c r="AA13" s="180"/>
      <c r="AB13" s="559" t="n">
        <f aca="true">IF(BM.medicao&lt;=12,1,TRUNC((BM.medicao - 2)/11,0) * 11 + 1)</f>
        <v>1</v>
      </c>
      <c r="AC13" s="559" t="n">
        <f aca="true">OFFSET(AC13,0,-1)+1</f>
        <v>2</v>
      </c>
      <c r="AD13" s="559" t="n">
        <f aca="true">OFFSET(AD13,0,-1)+1</f>
        <v>3</v>
      </c>
      <c r="AE13" s="559" t="n">
        <f aca="true">OFFSET(AE13,0,-1)+1</f>
        <v>4</v>
      </c>
      <c r="AF13" s="559" t="n">
        <f aca="true">OFFSET(AF13,0,-1)+1</f>
        <v>5</v>
      </c>
      <c r="AG13" s="559" t="n">
        <f aca="true">OFFSET(AG13,0,-1)+1</f>
        <v>6</v>
      </c>
      <c r="AH13" s="559" t="n">
        <f aca="true">OFFSET(AH13,0,-1)+1</f>
        <v>7</v>
      </c>
      <c r="AI13" s="559" t="n">
        <f aca="true">OFFSET(AI13,0,-1)+1</f>
        <v>8</v>
      </c>
      <c r="AJ13" s="559" t="n">
        <f aca="true">OFFSET(AJ13,0,-1)+1</f>
        <v>9</v>
      </c>
      <c r="AK13" s="559" t="n">
        <f aca="true">OFFSET(AK13,0,-1)+1</f>
        <v>10</v>
      </c>
      <c r="AL13" s="559" t="n">
        <f aca="true">OFFSET(AL13,0,-1)+1</f>
        <v>11</v>
      </c>
      <c r="AM13" s="559" t="n">
        <f aca="true">OFFSET(AM13,0,-1)+1</f>
        <v>12</v>
      </c>
      <c r="AO13" s="175" t="s">
        <v>481</v>
      </c>
    </row>
    <row r="14" customFormat="false" ht="12.75" hidden="true" customHeight="false" outlineLevel="0" collapsed="false">
      <c r="A14" s="0" t="str">
        <f aca="false">ORÇAMENTO!C14</f>
        <v>S</v>
      </c>
      <c r="B14" s="0" t="n">
        <f aca="false">ORÇAMENTO!D14</f>
        <v>0</v>
      </c>
      <c r="C14" s="185" t="str">
        <f aca="false">IF(OR($I14&gt;0,$A14=1,$A14=2,$A14=3,$A14=4),"F","")</f>
        <v/>
      </c>
      <c r="D14" s="188" t="str">
        <f aca="false">ORÇAMENTO!O14</f>
        <v>-</v>
      </c>
      <c r="E14" s="272" t="str">
        <f aca="false">ORÇAMENTO.Descricao</f>
        <v>(abra o arquivo 'Referência 02-Thursday.xlsm)</v>
      </c>
      <c r="F14" s="273" t="str">
        <f aca="true">IF(RegimeExecucao="Global","",ORÇAMENTO.Unidade)</f>
        <v>-</v>
      </c>
      <c r="G14" s="193" t="n">
        <f aca="true">IF(RegimeExecucao="Global","",ORÇAMENTO!T14)</f>
        <v>0</v>
      </c>
      <c r="H14" s="193" t="n">
        <f aca="true">IF(RegimeExecucao="Global","",ORÇAMENTO!W14)</f>
        <v>0</v>
      </c>
      <c r="I14" s="196" t="n">
        <f aca="false">ORÇAMENTO!X14</f>
        <v>0</v>
      </c>
      <c r="J14" s="560" t="n">
        <f aca="true">IF($A14="S",IF(CAIXA.Modo,BM.AFAnterior,BM.MEDAnterior),IF(AND(RegimeExecucao="Global",$I14&gt;0,COUNTIF($AB$13:$AM$13,BM.medicao-1)&gt;0),M14/$I14*100,0))</f>
        <v>0</v>
      </c>
      <c r="K14" s="193" t="n">
        <f aca="false">L14-J14</f>
        <v>0</v>
      </c>
      <c r="L14" s="561" t="n">
        <f aca="true">IF($A14="S",IF(CAIXA.Modo,BM.AFAcumulado,BM.MEDAcumulado),IF(AND(RegimeExecucao="Global",$I14&gt;0,COUNTIF($AB$13:$AM$13,BM.medicao)&gt;0),O14/$I14*100,0))</f>
        <v>0</v>
      </c>
      <c r="M14" s="562" t="n">
        <f aca="true">IF($A14="S",VTOTALBM,IF($A14=0,0,ROUND(SomaAgrupBM,15-13*ORÇAMENTO!$AF$11)))</f>
        <v>0</v>
      </c>
      <c r="N14" s="206" t="n">
        <f aca="false">O14-M14</f>
        <v>0</v>
      </c>
      <c r="O14" s="196" t="n">
        <f aca="true">IF($A14="S",VTOTALBM,IF($A14=0,0,ROUND(SomaAgrupBM,15-13*ORÇAMENTO!$AF$11)))</f>
        <v>0</v>
      </c>
      <c r="Q14" s="563"/>
      <c r="R14" s="564"/>
      <c r="T14" s="188" t="str">
        <f aca="false">IF($W14&gt;0,$D14,"")</f>
        <v/>
      </c>
      <c r="U14" s="272" t="str">
        <f aca="false">IF($W14&gt;0,$E14,"")</f>
        <v/>
      </c>
      <c r="V14" s="273" t="str">
        <f aca="true">IF(AND($W14&gt;0,RegimeExecucao="Unitário"),$F14,"")</f>
        <v/>
      </c>
      <c r="W14" s="565" t="n">
        <f aca="true">IF($Y14&gt;0,CHOOSE(MATCH(RegimeExecucao,{"Unitário","Global"},0),IF($A14="S",$Y14/$X14,""),($Y14/$X14)*100),0)</f>
        <v>0</v>
      </c>
      <c r="X14" s="566" t="str">
        <f aca="true">IF($Y14&gt;0,CHOOSE(MATCH(RegimeExecucao,{"Unitário","Global"},0),IF($A14="S",ROUND($H14,ORÇAMENTO!$AF$10),""),ROUND($I14,ORÇAMENTO!$AF$11)),"")</f>
        <v/>
      </c>
      <c r="Y14" s="566" t="n">
        <f aca="false">AO14-O14</f>
        <v>0</v>
      </c>
      <c r="Z14" s="567"/>
      <c r="AB14" s="563"/>
      <c r="AC14" s="568"/>
      <c r="AD14" s="568"/>
      <c r="AE14" s="568"/>
      <c r="AF14" s="568"/>
      <c r="AG14" s="568"/>
      <c r="AH14" s="568"/>
      <c r="AI14" s="568"/>
      <c r="AJ14" s="568"/>
      <c r="AK14" s="568"/>
      <c r="AL14" s="568"/>
      <c r="AM14" s="564"/>
      <c r="AO14" s="0" t="n">
        <f aca="true">IF($A14="S",IF(BM!$I14=0,0,CHOOSE(MATCH(RegimeExecucao,{"Global","Unitário"},0),ROUND(ROUND(BM.MEDAcumulado,15-13*BM!$A$9)/100*BM!$I14,15-13*ORÇAMENTO!$AF$11),ROUND(ROUND(BM.MEDAcumulado,15-13*BM!$A$9)*ROUND(BM!$H14,15-13*ORÇAMENTO!$AF$10),15-13*ORÇAMENTO!$AF$11))),IF($A14=0,0,ROUND(SomaAgrupBM,15-13*ORÇAMENTO!$AF$11)))</f>
        <v>0</v>
      </c>
    </row>
    <row r="15" customFormat="false" ht="12.75" hidden="false" customHeight="false" outlineLevel="0" collapsed="false">
      <c r="C15" s="185" t="s">
        <v>206</v>
      </c>
      <c r="D15" s="569" t="str">
        <f aca="false">"Objeto do CTEF: "&amp;Import.DescLote</f>
        <v>Objeto do CTEF: Pavimentação MG-446</v>
      </c>
      <c r="E15" s="569"/>
      <c r="F15" s="570"/>
      <c r="G15" s="571"/>
      <c r="H15" s="571" t="s">
        <v>482</v>
      </c>
      <c r="I15" s="572" t="n">
        <f aca="false">IF(OR(ACOMPANHAMENTO="PLE",TIPOORCAMENTO="Proposto"),0,ORÇAMENTO!$X$15)</f>
        <v>0</v>
      </c>
      <c r="J15" s="573" t="n">
        <f aca="true">IF(M$15=0,0,IF(RegimeExecucao="Global",M$15/$I$15*100,0))</f>
        <v>0</v>
      </c>
      <c r="K15" s="573" t="n">
        <f aca="false">L15-J15</f>
        <v>0</v>
      </c>
      <c r="L15" s="573" t="n">
        <f aca="true">IF(O$15=0,0,IF(RegimeExecucao="Global",O$15/$I$15*100,0))</f>
        <v>0</v>
      </c>
      <c r="M15" s="574" t="n">
        <f aca="true">IF(OR(ACOMPANHAMENTO="PLE",TIPOORCAMENTO="Proposto"),0,SUMIF(OFFSET($A15,1,0):$A$59,"S",OFFSET(M15,1,0):M$59))</f>
        <v>0</v>
      </c>
      <c r="N15" s="574" t="n">
        <f aca="false">O15-M15</f>
        <v>0</v>
      </c>
      <c r="O15" s="574" t="n">
        <f aca="true">IF(OR(ACOMPANHAMENTO="PLE",TIPOORCAMENTO="Proposto"),0,SUMIF(OFFSET($A15,1,0):$A$59,"S",OFFSET(O15,1,0):O$59))</f>
        <v>0</v>
      </c>
      <c r="Q15" s="575"/>
      <c r="R15" s="575"/>
      <c r="T15" s="576"/>
      <c r="U15" s="577"/>
      <c r="V15" s="577"/>
      <c r="W15" s="577"/>
      <c r="X15" s="577"/>
      <c r="Y15" s="577"/>
      <c r="Z15" s="578"/>
      <c r="AB15" s="579" t="str">
        <f aca="true">"Preencher abaixo com a "&amp;CHOOSE(MATCH(RegimeExecucao,{"Unitário","Global"},0),"QUANTIDADE","PORCENTAGEM")&amp;" executada no PERÍODO"</f>
        <v>Preencher abaixo com a QUANTIDADE executada no PERÍODO</v>
      </c>
      <c r="AC15" s="579"/>
      <c r="AD15" s="579"/>
      <c r="AE15" s="579"/>
      <c r="AF15" s="579"/>
      <c r="AG15" s="579"/>
      <c r="AH15" s="579"/>
      <c r="AI15" s="579"/>
      <c r="AJ15" s="579"/>
      <c r="AK15" s="579"/>
      <c r="AL15" s="579"/>
      <c r="AM15" s="579"/>
    </row>
    <row r="16" customFormat="false" ht="12.75" hidden="false" customHeight="false" outlineLevel="0" collapsed="false">
      <c r="A16" s="0" t="n">
        <f aca="false">ORÇAMENTO!C16</f>
        <v>1</v>
      </c>
      <c r="B16" s="0" t="n">
        <f aca="false">ORÇAMENTO!D16</f>
        <v>43</v>
      </c>
      <c r="C16" s="185" t="str">
        <f aca="false">IF(OR($I16&gt;0,$A16=1,$A16=2,$A16=3,$A16=4),"F","")</f>
        <v>F</v>
      </c>
      <c r="D16" s="188" t="str">
        <f aca="false">ORÇAMENTO!O16</f>
        <v>1.</v>
      </c>
      <c r="E16" s="272" t="str">
        <f aca="false">ORÇAMENTO.Descricao</f>
        <v>Pavimentação MG-446 - Trecho 2 (Est.70 a Est. 95)</v>
      </c>
      <c r="F16" s="273" t="str">
        <f aca="true">IF(RegimeExecucao="Global","",ORÇAMENTO.Unidade)</f>
        <v>-</v>
      </c>
      <c r="G16" s="193" t="n">
        <f aca="true">IF(RegimeExecucao="Global","",ORÇAMENTO!T16)</f>
        <v>0</v>
      </c>
      <c r="H16" s="193" t="n">
        <f aca="true">IF(RegimeExecucao="Global","",ORÇAMENTO!W16)</f>
        <v>0</v>
      </c>
      <c r="I16" s="196" t="n">
        <f aca="false">ORÇAMENTO!X16</f>
        <v>0</v>
      </c>
      <c r="J16" s="560" t="n">
        <f aca="true">IF($A16="S",IF(CAIXA.Modo,BM.AFAnterior,BM.MEDAnterior),IF(AND(RegimeExecucao="Global",$I16&gt;0,COUNTIF($AB$13:$AM$13,BM.medicao-1)&gt;0),M16/$I16*100,0))</f>
        <v>0</v>
      </c>
      <c r="K16" s="193" t="n">
        <f aca="false">L16-J16</f>
        <v>0</v>
      </c>
      <c r="L16" s="561" t="n">
        <f aca="true">IF($A16="S",IF(CAIXA.Modo,BM.AFAcumulado,BM.MEDAcumulado),IF(AND(RegimeExecucao="Global",$I16&gt;0,COUNTIF($AB$13:$AM$13,BM.medicao)&gt;0),O16/$I16*100,0))</f>
        <v>0</v>
      </c>
      <c r="M16" s="562" t="n">
        <f aca="true">IF($A16="S",VTOTALBM,IF($A16=0,0,ROUND(SomaAgrupBM,15-13*ORÇAMENTO!$AF$11)))</f>
        <v>0</v>
      </c>
      <c r="N16" s="206" t="n">
        <f aca="false">O16-M16</f>
        <v>0</v>
      </c>
      <c r="O16" s="196" t="n">
        <f aca="true">IF($A16="S",VTOTALBM,IF($A16=0,0,ROUND(SomaAgrupBM,15-13*ORÇAMENTO!$AF$11)))</f>
        <v>0</v>
      </c>
      <c r="Q16" s="563"/>
      <c r="R16" s="564"/>
      <c r="T16" s="188" t="str">
        <f aca="false">IF($W16&gt;0,$D16,"")</f>
        <v/>
      </c>
      <c r="U16" s="272" t="str">
        <f aca="false">IF($W16&gt;0,$E16,"")</f>
        <v/>
      </c>
      <c r="V16" s="273" t="str">
        <f aca="true">IF(AND($W16&gt;0,RegimeExecucao="Unitário"),$F16,"")</f>
        <v/>
      </c>
      <c r="W16" s="565" t="n">
        <f aca="true">IF($Y16&gt;0,CHOOSE(MATCH(RegimeExecucao,{"Unitário","Global"},0),IF($A16="S",$Y16/$X16,""),($Y16/$X16)*100),0)</f>
        <v>0</v>
      </c>
      <c r="X16" s="566" t="str">
        <f aca="true">IF($Y16&gt;0,CHOOSE(MATCH(RegimeExecucao,{"Unitário","Global"},0),IF($A16="S",ROUND($H16,ORÇAMENTO!$AF$10),""),ROUND($I16,ORÇAMENTO!$AF$11)),"")</f>
        <v/>
      </c>
      <c r="Y16" s="566" t="n">
        <f aca="false">AO16-O16</f>
        <v>0</v>
      </c>
      <c r="Z16" s="567"/>
      <c r="AB16" s="563"/>
      <c r="AC16" s="568"/>
      <c r="AD16" s="568"/>
      <c r="AE16" s="568"/>
      <c r="AF16" s="568"/>
      <c r="AG16" s="568"/>
      <c r="AH16" s="568"/>
      <c r="AI16" s="568"/>
      <c r="AJ16" s="568"/>
      <c r="AK16" s="568"/>
      <c r="AL16" s="568"/>
      <c r="AM16" s="564"/>
      <c r="AO16" s="0" t="n">
        <f aca="true">IF($A16="S",IF(BM!$I16=0,0,CHOOSE(MATCH(RegimeExecucao,{"Global","Unitário"},0),ROUND(ROUND(BM.MEDAcumulado,15-13*BM!$A$9)/100*BM!$I16,15-13*ORÇAMENTO!$AF$11),ROUND(ROUND(BM.MEDAcumulado,15-13*BM!$A$9)*ROUND(BM!$H16,15-13*ORÇAMENTO!$AF$10),15-13*ORÇAMENTO!$AF$11))),IF($A16=0,0,ROUND(SomaAgrupBM,15-13*ORÇAMENTO!$AF$11)))</f>
        <v>0</v>
      </c>
    </row>
    <row r="17" customFormat="false" ht="12.75" hidden="false" customHeight="false" outlineLevel="0" collapsed="false">
      <c r="A17" s="0" t="n">
        <f aca="false">ORÇAMENTO!C17</f>
        <v>2</v>
      </c>
      <c r="B17" s="0" t="n">
        <f aca="false">ORÇAMENTO!D17</f>
        <v>2</v>
      </c>
      <c r="C17" s="185" t="str">
        <f aca="false">IF(OR($I17&gt;0,$A17=1,$A17=2,$A17=3,$A17=4),"F","")</f>
        <v>F</v>
      </c>
      <c r="D17" s="188" t="str">
        <f aca="false">ORÇAMENTO!O17</f>
        <v>1.1.</v>
      </c>
      <c r="E17" s="272" t="str">
        <f aca="false">ORÇAMENTO.Descricao</f>
        <v>Serviços Iniciais</v>
      </c>
      <c r="F17" s="273" t="str">
        <f aca="true">IF(RegimeExecucao="Global","",ORÇAMENTO.Unidade)</f>
        <v>-</v>
      </c>
      <c r="G17" s="193" t="n">
        <f aca="true">IF(RegimeExecucao="Global","",ORÇAMENTO!T17)</f>
        <v>0</v>
      </c>
      <c r="H17" s="193" t="n">
        <f aca="true">IF(RegimeExecucao="Global","",ORÇAMENTO!W17)</f>
        <v>0</v>
      </c>
      <c r="I17" s="196" t="n">
        <f aca="false">ORÇAMENTO!X17</f>
        <v>0</v>
      </c>
      <c r="J17" s="560" t="n">
        <f aca="true">IF($A17="S",IF(CAIXA.Modo,BM.AFAnterior,BM.MEDAnterior),IF(AND(RegimeExecucao="Global",$I17&gt;0,COUNTIF($AB$13:$AM$13,BM.medicao-1)&gt;0),M17/$I17*100,0))</f>
        <v>0</v>
      </c>
      <c r="K17" s="193" t="n">
        <f aca="false">L17-J17</f>
        <v>0</v>
      </c>
      <c r="L17" s="561" t="n">
        <f aca="true">IF($A17="S",IF(CAIXA.Modo,BM.AFAcumulado,BM.MEDAcumulado),IF(AND(RegimeExecucao="Global",$I17&gt;0,COUNTIF($AB$13:$AM$13,BM.medicao)&gt;0),O17/$I17*100,0))</f>
        <v>0</v>
      </c>
      <c r="M17" s="562" t="n">
        <f aca="true">IF($A17="S",VTOTALBM,IF($A17=0,0,ROUND(SomaAgrupBM,15-13*ORÇAMENTO!$AF$11)))</f>
        <v>0</v>
      </c>
      <c r="N17" s="206" t="n">
        <f aca="false">O17-M17</f>
        <v>0</v>
      </c>
      <c r="O17" s="196" t="n">
        <f aca="true">IF($A17="S",VTOTALBM,IF($A17=0,0,ROUND(SomaAgrupBM,15-13*ORÇAMENTO!$AF$11)))</f>
        <v>0</v>
      </c>
      <c r="Q17" s="563"/>
      <c r="R17" s="564"/>
      <c r="T17" s="188" t="str">
        <f aca="false">IF($W17&gt;0,$D17,"")</f>
        <v/>
      </c>
      <c r="U17" s="272" t="str">
        <f aca="false">IF($W17&gt;0,$E17,"")</f>
        <v/>
      </c>
      <c r="V17" s="273" t="str">
        <f aca="true">IF(AND($W17&gt;0,RegimeExecucao="Unitário"),$F17,"")</f>
        <v/>
      </c>
      <c r="W17" s="565" t="n">
        <f aca="true">IF($Y17&gt;0,CHOOSE(MATCH(RegimeExecucao,{"Unitário","Global"},0),IF($A17="S",$Y17/$X17,""),($Y17/$X17)*100),0)</f>
        <v>0</v>
      </c>
      <c r="X17" s="566" t="str">
        <f aca="true">IF($Y17&gt;0,CHOOSE(MATCH(RegimeExecucao,{"Unitário","Global"},0),IF($A17="S",ROUND($H17,ORÇAMENTO!$AF$10),""),ROUND($I17,ORÇAMENTO!$AF$11)),"")</f>
        <v/>
      </c>
      <c r="Y17" s="566" t="n">
        <f aca="false">AO17-O17</f>
        <v>0</v>
      </c>
      <c r="Z17" s="567"/>
      <c r="AB17" s="563"/>
      <c r="AC17" s="568"/>
      <c r="AD17" s="568"/>
      <c r="AE17" s="568"/>
      <c r="AF17" s="568"/>
      <c r="AG17" s="568"/>
      <c r="AH17" s="568"/>
      <c r="AI17" s="568"/>
      <c r="AJ17" s="568"/>
      <c r="AK17" s="568"/>
      <c r="AL17" s="568"/>
      <c r="AM17" s="564"/>
      <c r="AO17" s="0" t="n">
        <f aca="true">IF($A17="S",IF(BM!$I17=0,0,CHOOSE(MATCH(RegimeExecucao,{"Global","Unitário"},0),ROUND(ROUND(BM.MEDAcumulado,15-13*BM!$A$9)/100*BM!$I17,15-13*ORÇAMENTO!$AF$11),ROUND(ROUND(BM.MEDAcumulado,15-13*BM!$A$9)*ROUND(BM!$H17,15-13*ORÇAMENTO!$AF$10),15-13*ORÇAMENTO!$AF$11))),IF($A17=0,0,ROUND(SomaAgrupBM,15-13*ORÇAMENTO!$AF$11)))</f>
        <v>0</v>
      </c>
    </row>
    <row r="18" customFormat="false" ht="12.75" hidden="false" customHeight="false" outlineLevel="0" collapsed="false">
      <c r="A18" s="0" t="str">
        <f aca="false">ORÇAMENTO!C18</f>
        <v>S</v>
      </c>
      <c r="B18" s="0" t="n">
        <f aca="false">ORÇAMENTO!D18</f>
        <v>0</v>
      </c>
      <c r="C18" s="185" t="str">
        <f aca="false">IF(OR($I18&gt;0,$A18=1,$A18=2,$A18=3,$A18=4),"F","")</f>
        <v/>
      </c>
      <c r="D18" s="188" t="str">
        <f aca="false">ORÇAMENTO!O18</f>
        <v>-</v>
      </c>
      <c r="E18" s="272" t="str">
        <f aca="false">ORÇAMENTO.Descricao</f>
        <v>(abra o arquivo 'Referência 02-Thursday.xlsm)</v>
      </c>
      <c r="F18" s="273" t="str">
        <f aca="true">IF(RegimeExecucao="Global","",ORÇAMENTO.Unidade)</f>
        <v>-</v>
      </c>
      <c r="G18" s="193" t="n">
        <f aca="true">IF(RegimeExecucao="Global","",ORÇAMENTO!T18)</f>
        <v>1</v>
      </c>
      <c r="H18" s="193" t="n">
        <f aca="true">IF(RegimeExecucao="Global","",ORÇAMENTO!W18)</f>
        <v>0</v>
      </c>
      <c r="I18" s="196" t="n">
        <f aca="false">ORÇAMENTO!X18</f>
        <v>0</v>
      </c>
      <c r="J18" s="560" t="n">
        <f aca="true">IF($A18="S",IF(CAIXA.Modo,BM.AFAnterior,BM.MEDAnterior),IF(AND(RegimeExecucao="Global",$I18&gt;0,COUNTIF($AB$13:$AM$13,BM.medicao-1)&gt;0),M18/$I18*100,0))</f>
        <v>0</v>
      </c>
      <c r="K18" s="193" t="n">
        <f aca="false">L18-J18</f>
        <v>0</v>
      </c>
      <c r="L18" s="561" t="n">
        <f aca="true">IF($A18="S",IF(CAIXA.Modo,BM.AFAcumulado,BM.MEDAcumulado),IF(AND(RegimeExecucao="Global",$I18&gt;0,COUNTIF($AB$13:$AM$13,BM.medicao)&gt;0),O18/$I18*100,0))</f>
        <v>0</v>
      </c>
      <c r="M18" s="562" t="n">
        <f aca="true">IF($A18="S",VTOTALBM,IF($A18=0,0,ROUND(SomaAgrupBM,15-13*ORÇAMENTO!$AF$11)))</f>
        <v>0</v>
      </c>
      <c r="N18" s="206" t="n">
        <f aca="false">O18-M18</f>
        <v>0</v>
      </c>
      <c r="O18" s="196" t="n">
        <f aca="true">IF($A18="S",VTOTALBM,IF($A18=0,0,ROUND(SomaAgrupBM,15-13*ORÇAMENTO!$AF$11)))</f>
        <v>0</v>
      </c>
      <c r="Q18" s="563"/>
      <c r="R18" s="564"/>
      <c r="T18" s="188" t="str">
        <f aca="false">IF($W18&gt;0,$D18,"")</f>
        <v/>
      </c>
      <c r="U18" s="272" t="str">
        <f aca="false">IF($W18&gt;0,$E18,"")</f>
        <v/>
      </c>
      <c r="V18" s="273" t="str">
        <f aca="true">IF(AND($W18&gt;0,RegimeExecucao="Unitário"),$F18,"")</f>
        <v/>
      </c>
      <c r="W18" s="565" t="n">
        <f aca="true">IF($Y18&gt;0,CHOOSE(MATCH(RegimeExecucao,{"Unitário","Global"},0),IF($A18="S",$Y18/$X18,""),($Y18/$X18)*100),0)</f>
        <v>0</v>
      </c>
      <c r="X18" s="566" t="str">
        <f aca="true">IF($Y18&gt;0,CHOOSE(MATCH(RegimeExecucao,{"Unitário","Global"},0),IF($A18="S",ROUND($H18,ORÇAMENTO!$AF$10),""),ROUND($I18,ORÇAMENTO!$AF$11)),"")</f>
        <v/>
      </c>
      <c r="Y18" s="566" t="n">
        <f aca="false">AO18-O18</f>
        <v>0</v>
      </c>
      <c r="Z18" s="567"/>
      <c r="AB18" s="563"/>
      <c r="AC18" s="568"/>
      <c r="AD18" s="568"/>
      <c r="AE18" s="568"/>
      <c r="AF18" s="568"/>
      <c r="AG18" s="568"/>
      <c r="AH18" s="568"/>
      <c r="AI18" s="568"/>
      <c r="AJ18" s="568"/>
      <c r="AK18" s="568"/>
      <c r="AL18" s="568"/>
      <c r="AM18" s="564"/>
      <c r="AO18" s="0" t="n">
        <f aca="true">IF($A18="S",IF(BM!$I18=0,0,CHOOSE(MATCH(RegimeExecucao,{"Global","Unitário"},0),ROUND(ROUND(BM.MEDAcumulado,15-13*BM!$A$9)/100*BM!$I18,15-13*ORÇAMENTO!$AF$11),ROUND(ROUND(BM.MEDAcumulado,15-13*BM!$A$9)*ROUND(BM!$H18,15-13*ORÇAMENTO!$AF$10),15-13*ORÇAMENTO!$AF$11))),IF($A18=0,0,ROUND(SomaAgrupBM,15-13*ORÇAMENTO!$AF$11)))</f>
        <v>0</v>
      </c>
    </row>
    <row r="19" customFormat="false" ht="12.75" hidden="false" customHeight="false" outlineLevel="0" collapsed="false">
      <c r="A19" s="0" t="n">
        <f aca="false">ORÇAMENTO!C19</f>
        <v>2</v>
      </c>
      <c r="B19" s="0" t="n">
        <f aca="false">ORÇAMENTO!D19</f>
        <v>2</v>
      </c>
      <c r="C19" s="185" t="str">
        <f aca="false">IF(OR($I19&gt;0,$A19=1,$A19=2,$A19=3,$A19=4),"F","")</f>
        <v>F</v>
      </c>
      <c r="D19" s="188" t="str">
        <f aca="false">ORÇAMENTO!O19</f>
        <v>1.2.</v>
      </c>
      <c r="E19" s="272" t="str">
        <f aca="false">ORÇAMENTO.Descricao</f>
        <v>Acompanhamento de Obra</v>
      </c>
      <c r="F19" s="273" t="str">
        <f aca="true">IF(RegimeExecucao="Global","",ORÇAMENTO.Unidade)</f>
        <v>-</v>
      </c>
      <c r="G19" s="193" t="n">
        <f aca="true">IF(RegimeExecucao="Global","",ORÇAMENTO!T19)</f>
        <v>0</v>
      </c>
      <c r="H19" s="193" t="n">
        <f aca="true">IF(RegimeExecucao="Global","",ORÇAMENTO!W19)</f>
        <v>0</v>
      </c>
      <c r="I19" s="196" t="n">
        <f aca="false">ORÇAMENTO!X19</f>
        <v>0</v>
      </c>
      <c r="J19" s="560" t="n">
        <f aca="true">IF($A19="S",IF(CAIXA.Modo,BM.AFAnterior,BM.MEDAnterior),IF(AND(RegimeExecucao="Global",$I19&gt;0,COUNTIF($AB$13:$AM$13,BM.medicao-1)&gt;0),M19/$I19*100,0))</f>
        <v>0</v>
      </c>
      <c r="K19" s="193" t="n">
        <f aca="false">L19-J19</f>
        <v>0</v>
      </c>
      <c r="L19" s="561" t="n">
        <f aca="true">IF($A19="S",IF(CAIXA.Modo,BM.AFAcumulado,BM.MEDAcumulado),IF(AND(RegimeExecucao="Global",$I19&gt;0,COUNTIF($AB$13:$AM$13,BM.medicao)&gt;0),O19/$I19*100,0))</f>
        <v>0</v>
      </c>
      <c r="M19" s="562" t="n">
        <f aca="true">IF($A19="S",VTOTALBM,IF($A19=0,0,ROUND(SomaAgrupBM,15-13*ORÇAMENTO!$AF$11)))</f>
        <v>0</v>
      </c>
      <c r="N19" s="206" t="n">
        <f aca="false">O19-M19</f>
        <v>0</v>
      </c>
      <c r="O19" s="196" t="n">
        <f aca="true">IF($A19="S",VTOTALBM,IF($A19=0,0,ROUND(SomaAgrupBM,15-13*ORÇAMENTO!$AF$11)))</f>
        <v>0</v>
      </c>
      <c r="Q19" s="563"/>
      <c r="R19" s="564"/>
      <c r="T19" s="188" t="str">
        <f aca="false">IF($W19&gt;0,$D19,"")</f>
        <v/>
      </c>
      <c r="U19" s="272" t="str">
        <f aca="false">IF($W19&gt;0,$E19,"")</f>
        <v/>
      </c>
      <c r="V19" s="273" t="str">
        <f aca="true">IF(AND($W19&gt;0,RegimeExecucao="Unitário"),$F19,"")</f>
        <v/>
      </c>
      <c r="W19" s="565" t="n">
        <f aca="true">IF($Y19&gt;0,CHOOSE(MATCH(RegimeExecucao,{"Unitário","Global"},0),IF($A19="S",$Y19/$X19,""),($Y19/$X19)*100),0)</f>
        <v>0</v>
      </c>
      <c r="X19" s="566" t="str">
        <f aca="true">IF($Y19&gt;0,CHOOSE(MATCH(RegimeExecucao,{"Unitário","Global"},0),IF($A19="S",ROUND($H19,ORÇAMENTO!$AF$10),""),ROUND($I19,ORÇAMENTO!$AF$11)),"")</f>
        <v/>
      </c>
      <c r="Y19" s="566" t="n">
        <f aca="false">AO19-O19</f>
        <v>0</v>
      </c>
      <c r="Z19" s="567"/>
      <c r="AB19" s="563"/>
      <c r="AC19" s="568"/>
      <c r="AD19" s="568"/>
      <c r="AE19" s="568"/>
      <c r="AF19" s="568"/>
      <c r="AG19" s="568"/>
      <c r="AH19" s="568"/>
      <c r="AI19" s="568"/>
      <c r="AJ19" s="568"/>
      <c r="AK19" s="568"/>
      <c r="AL19" s="568"/>
      <c r="AM19" s="564"/>
      <c r="AO19" s="0" t="n">
        <f aca="true">IF($A19="S",IF(BM!$I19=0,0,CHOOSE(MATCH(RegimeExecucao,{"Global","Unitário"},0),ROUND(ROUND(BM.MEDAcumulado,15-13*BM!$A$9)/100*BM!$I19,15-13*ORÇAMENTO!$AF$11),ROUND(ROUND(BM.MEDAcumulado,15-13*BM!$A$9)*ROUND(BM!$H19,15-13*ORÇAMENTO!$AF$10),15-13*ORÇAMENTO!$AF$11))),IF($A19=0,0,ROUND(SomaAgrupBM,15-13*ORÇAMENTO!$AF$11)))</f>
        <v>0</v>
      </c>
    </row>
    <row r="20" customFormat="false" ht="12.75" hidden="false" customHeight="false" outlineLevel="0" collapsed="false">
      <c r="A20" s="0" t="str">
        <f aca="false">ORÇAMENTO!C20</f>
        <v>S</v>
      </c>
      <c r="B20" s="0" t="n">
        <f aca="false">ORÇAMENTO!D20</f>
        <v>0</v>
      </c>
      <c r="C20" s="185" t="str">
        <f aca="false">IF(OR($I20&gt;0,$A20=1,$A20=2,$A20=3,$A20=4),"F","")</f>
        <v/>
      </c>
      <c r="D20" s="188" t="str">
        <f aca="false">ORÇAMENTO!O20</f>
        <v>-</v>
      </c>
      <c r="E20" s="272" t="str">
        <f aca="false">ORÇAMENTO.Descricao</f>
        <v>(abra o arquivo 'Referência 02-Thursday.xlsm)</v>
      </c>
      <c r="F20" s="273" t="str">
        <f aca="true">IF(RegimeExecucao="Global","",ORÇAMENTO.Unidade)</f>
        <v>-</v>
      </c>
      <c r="G20" s="193" t="n">
        <f aca="true">IF(RegimeExecucao="Global","",ORÇAMENTO!T20)</f>
        <v>3</v>
      </c>
      <c r="H20" s="193" t="n">
        <f aca="true">IF(RegimeExecucao="Global","",ORÇAMENTO!W20)</f>
        <v>0</v>
      </c>
      <c r="I20" s="196" t="n">
        <f aca="false">ORÇAMENTO!X20</f>
        <v>0</v>
      </c>
      <c r="J20" s="560" t="n">
        <f aca="true">IF($A20="S",IF(CAIXA.Modo,BM.AFAnterior,BM.MEDAnterior),IF(AND(RegimeExecucao="Global",$I20&gt;0,COUNTIF($AB$13:$AM$13,BM.medicao-1)&gt;0),M20/$I20*100,0))</f>
        <v>0</v>
      </c>
      <c r="K20" s="193" t="n">
        <f aca="false">L20-J20</f>
        <v>0</v>
      </c>
      <c r="L20" s="561" t="n">
        <f aca="true">IF($A20="S",IF(CAIXA.Modo,BM.AFAcumulado,BM.MEDAcumulado),IF(AND(RegimeExecucao="Global",$I20&gt;0,COUNTIF($AB$13:$AM$13,BM.medicao)&gt;0),O20/$I20*100,0))</f>
        <v>0</v>
      </c>
      <c r="M20" s="562" t="n">
        <f aca="true">IF($A20="S",VTOTALBM,IF($A20=0,0,ROUND(SomaAgrupBM,15-13*ORÇAMENTO!$AF$11)))</f>
        <v>0</v>
      </c>
      <c r="N20" s="206" t="n">
        <f aca="false">O20-M20</f>
        <v>0</v>
      </c>
      <c r="O20" s="196" t="n">
        <f aca="true">IF($A20="S",VTOTALBM,IF($A20=0,0,ROUND(SomaAgrupBM,15-13*ORÇAMENTO!$AF$11)))</f>
        <v>0</v>
      </c>
      <c r="Q20" s="563"/>
      <c r="R20" s="564"/>
      <c r="T20" s="188" t="str">
        <f aca="false">IF($W20&gt;0,$D20,"")</f>
        <v/>
      </c>
      <c r="U20" s="272" t="str">
        <f aca="false">IF($W20&gt;0,$E20,"")</f>
        <v/>
      </c>
      <c r="V20" s="273" t="str">
        <f aca="true">IF(AND($W20&gt;0,RegimeExecucao="Unitário"),$F20,"")</f>
        <v/>
      </c>
      <c r="W20" s="565" t="n">
        <f aca="true">IF($Y20&gt;0,CHOOSE(MATCH(RegimeExecucao,{"Unitário","Global"},0),IF($A20="S",$Y20/$X20,""),($Y20/$X20)*100),0)</f>
        <v>0</v>
      </c>
      <c r="X20" s="566" t="str">
        <f aca="true">IF($Y20&gt;0,CHOOSE(MATCH(RegimeExecucao,{"Unitário","Global"},0),IF($A20="S",ROUND($H20,ORÇAMENTO!$AF$10),""),ROUND($I20,ORÇAMENTO!$AF$11)),"")</f>
        <v/>
      </c>
      <c r="Y20" s="566" t="n">
        <f aca="false">AO20-O20</f>
        <v>0</v>
      </c>
      <c r="Z20" s="567"/>
      <c r="AB20" s="563"/>
      <c r="AC20" s="568"/>
      <c r="AD20" s="568"/>
      <c r="AE20" s="568"/>
      <c r="AF20" s="568"/>
      <c r="AG20" s="568"/>
      <c r="AH20" s="568"/>
      <c r="AI20" s="568"/>
      <c r="AJ20" s="568"/>
      <c r="AK20" s="568"/>
      <c r="AL20" s="568"/>
      <c r="AM20" s="564"/>
      <c r="AO20" s="0" t="n">
        <f aca="true">IF($A20="S",IF(BM!$I20=0,0,CHOOSE(MATCH(RegimeExecucao,{"Global","Unitário"},0),ROUND(ROUND(BM.MEDAcumulado,15-13*BM!$A$9)/100*BM!$I20,15-13*ORÇAMENTO!$AF$11),ROUND(ROUND(BM.MEDAcumulado,15-13*BM!$A$9)*ROUND(BM!$H20,15-13*ORÇAMENTO!$AF$10),15-13*ORÇAMENTO!$AF$11))),IF($A20=0,0,ROUND(SomaAgrupBM,15-13*ORÇAMENTO!$AF$11)))</f>
        <v>0</v>
      </c>
    </row>
    <row r="21" customFormat="false" ht="12.75" hidden="false" customHeight="false" outlineLevel="0" collapsed="false">
      <c r="A21" s="0" t="n">
        <f aca="false">ORÇAMENTO!C21</f>
        <v>2</v>
      </c>
      <c r="B21" s="0" t="n">
        <f aca="false">ORÇAMENTO!D21</f>
        <v>8</v>
      </c>
      <c r="C21" s="185" t="str">
        <f aca="false">IF(OR($I21&gt;0,$A21=1,$A21=2,$A21=3,$A21=4),"F","")</f>
        <v>F</v>
      </c>
      <c r="D21" s="188" t="str">
        <f aca="false">ORÇAMENTO!O21</f>
        <v>1.3.</v>
      </c>
      <c r="E21" s="272" t="str">
        <f aca="false">ORÇAMENTO.Descricao</f>
        <v>Canteiro</v>
      </c>
      <c r="F21" s="273" t="str">
        <f aca="true">IF(RegimeExecucao="Global","",ORÇAMENTO.Unidade)</f>
        <v>-</v>
      </c>
      <c r="G21" s="193" t="n">
        <f aca="true">IF(RegimeExecucao="Global","",ORÇAMENTO!T21)</f>
        <v>0</v>
      </c>
      <c r="H21" s="193" t="n">
        <f aca="true">IF(RegimeExecucao="Global","",ORÇAMENTO!W21)</f>
        <v>0</v>
      </c>
      <c r="I21" s="196" t="n">
        <f aca="false">ORÇAMENTO!X21</f>
        <v>0</v>
      </c>
      <c r="J21" s="560" t="n">
        <f aca="true">IF($A21="S",IF(CAIXA.Modo,BM.AFAnterior,BM.MEDAnterior),IF(AND(RegimeExecucao="Global",$I21&gt;0,COUNTIF($AB$13:$AM$13,BM.medicao-1)&gt;0),M21/$I21*100,0))</f>
        <v>0</v>
      </c>
      <c r="K21" s="193" t="n">
        <f aca="false">L21-J21</f>
        <v>0</v>
      </c>
      <c r="L21" s="561" t="n">
        <f aca="true">IF($A21="S",IF(CAIXA.Modo,BM.AFAcumulado,BM.MEDAcumulado),IF(AND(RegimeExecucao="Global",$I21&gt;0,COUNTIF($AB$13:$AM$13,BM.medicao)&gt;0),O21/$I21*100,0))</f>
        <v>0</v>
      </c>
      <c r="M21" s="562" t="n">
        <f aca="true">IF($A21="S",VTOTALBM,IF($A21=0,0,ROUND(SomaAgrupBM,15-13*ORÇAMENTO!$AF$11)))</f>
        <v>0</v>
      </c>
      <c r="N21" s="206" t="n">
        <f aca="false">O21-M21</f>
        <v>0</v>
      </c>
      <c r="O21" s="196" t="n">
        <f aca="true">IF($A21="S",VTOTALBM,IF($A21=0,0,ROUND(SomaAgrupBM,15-13*ORÇAMENTO!$AF$11)))</f>
        <v>0</v>
      </c>
      <c r="Q21" s="563"/>
      <c r="R21" s="564"/>
      <c r="T21" s="188" t="str">
        <f aca="false">IF($W21&gt;0,$D21,"")</f>
        <v/>
      </c>
      <c r="U21" s="272" t="str">
        <f aca="false">IF($W21&gt;0,$E21,"")</f>
        <v/>
      </c>
      <c r="V21" s="273" t="str">
        <f aca="true">IF(AND($W21&gt;0,RegimeExecucao="Unitário"),$F21,"")</f>
        <v/>
      </c>
      <c r="W21" s="565" t="n">
        <f aca="true">IF($Y21&gt;0,CHOOSE(MATCH(RegimeExecucao,{"Unitário","Global"},0),IF($A21="S",$Y21/$X21,""),($Y21/$X21)*100),0)</f>
        <v>0</v>
      </c>
      <c r="X21" s="566" t="str">
        <f aca="true">IF($Y21&gt;0,CHOOSE(MATCH(RegimeExecucao,{"Unitário","Global"},0),IF($A21="S",ROUND($H21,ORÇAMENTO!$AF$10),""),ROUND($I21,ORÇAMENTO!$AF$11)),"")</f>
        <v/>
      </c>
      <c r="Y21" s="566" t="n">
        <f aca="false">AO21-O21</f>
        <v>0</v>
      </c>
      <c r="Z21" s="567"/>
      <c r="AB21" s="563"/>
      <c r="AC21" s="568"/>
      <c r="AD21" s="568"/>
      <c r="AE21" s="568"/>
      <c r="AF21" s="568"/>
      <c r="AG21" s="568"/>
      <c r="AH21" s="568"/>
      <c r="AI21" s="568"/>
      <c r="AJ21" s="568"/>
      <c r="AK21" s="568"/>
      <c r="AL21" s="568"/>
      <c r="AM21" s="564"/>
      <c r="AO21" s="0" t="n">
        <f aca="true">IF($A21="S",IF(BM!$I21=0,0,CHOOSE(MATCH(RegimeExecucao,{"Global","Unitário"},0),ROUND(ROUND(BM.MEDAcumulado,15-13*BM!$A$9)/100*BM!$I21,15-13*ORÇAMENTO!$AF$11),ROUND(ROUND(BM.MEDAcumulado,15-13*BM!$A$9)*ROUND(BM!$H21,15-13*ORÇAMENTO!$AF$10),15-13*ORÇAMENTO!$AF$11))),IF($A21=0,0,ROUND(SomaAgrupBM,15-13*ORÇAMENTO!$AF$11)))</f>
        <v>0</v>
      </c>
    </row>
    <row r="22" customFormat="false" ht="12.75" hidden="false" customHeight="false" outlineLevel="0" collapsed="false">
      <c r="A22" s="0" t="str">
        <f aca="false">ORÇAMENTO!C22</f>
        <v>S</v>
      </c>
      <c r="B22" s="0" t="n">
        <f aca="false">ORÇAMENTO!D22</f>
        <v>0</v>
      </c>
      <c r="C22" s="185" t="str">
        <f aca="false">IF(OR($I22&gt;0,$A22=1,$A22=2,$A22=3,$A22=4),"F","")</f>
        <v/>
      </c>
      <c r="D22" s="188" t="str">
        <f aca="false">ORÇAMENTO!O22</f>
        <v>-</v>
      </c>
      <c r="E22" s="272" t="str">
        <f aca="false">ORÇAMENTO.Descricao</f>
        <v>(abra o arquivo 'Referência 02-Thursday.xlsm)</v>
      </c>
      <c r="F22" s="273" t="str">
        <f aca="true">IF(RegimeExecucao="Global","",ORÇAMENTO.Unidade)</f>
        <v>-</v>
      </c>
      <c r="G22" s="193" t="n">
        <f aca="true">IF(RegimeExecucao="Global","",ORÇAMENTO!T22)</f>
        <v>3</v>
      </c>
      <c r="H22" s="193" t="n">
        <f aca="true">IF(RegimeExecucao="Global","",ORÇAMENTO!W22)</f>
        <v>0</v>
      </c>
      <c r="I22" s="196" t="n">
        <f aca="false">ORÇAMENTO!X22</f>
        <v>0</v>
      </c>
      <c r="J22" s="560" t="n">
        <f aca="true">IF($A22="S",IF(CAIXA.Modo,BM.AFAnterior,BM.MEDAnterior),IF(AND(RegimeExecucao="Global",$I22&gt;0,COUNTIF($AB$13:$AM$13,BM.medicao-1)&gt;0),M22/$I22*100,0))</f>
        <v>0</v>
      </c>
      <c r="K22" s="193" t="n">
        <f aca="false">L22-J22</f>
        <v>0</v>
      </c>
      <c r="L22" s="561" t="n">
        <f aca="true">IF($A22="S",IF(CAIXA.Modo,BM.AFAcumulado,BM.MEDAcumulado),IF(AND(RegimeExecucao="Global",$I22&gt;0,COUNTIF($AB$13:$AM$13,BM.medicao)&gt;0),O22/$I22*100,0))</f>
        <v>0</v>
      </c>
      <c r="M22" s="562" t="n">
        <f aca="true">IF($A22="S",VTOTALBM,IF($A22=0,0,ROUND(SomaAgrupBM,15-13*ORÇAMENTO!$AF$11)))</f>
        <v>0</v>
      </c>
      <c r="N22" s="206" t="n">
        <f aca="false">O22-M22</f>
        <v>0</v>
      </c>
      <c r="O22" s="196" t="n">
        <f aca="true">IF($A22="S",VTOTALBM,IF($A22=0,0,ROUND(SomaAgrupBM,15-13*ORÇAMENTO!$AF$11)))</f>
        <v>0</v>
      </c>
      <c r="Q22" s="563"/>
      <c r="R22" s="564"/>
      <c r="T22" s="188" t="str">
        <f aca="false">IF($W22&gt;0,$D22,"")</f>
        <v/>
      </c>
      <c r="U22" s="272" t="str">
        <f aca="false">IF($W22&gt;0,$E22,"")</f>
        <v/>
      </c>
      <c r="V22" s="273" t="str">
        <f aca="true">IF(AND($W22&gt;0,RegimeExecucao="Unitário"),$F22,"")</f>
        <v/>
      </c>
      <c r="W22" s="565" t="n">
        <f aca="true">IF($Y22&gt;0,CHOOSE(MATCH(RegimeExecucao,{"Unitário","Global"},0),IF($A22="S",$Y22/$X22,""),($Y22/$X22)*100),0)</f>
        <v>0</v>
      </c>
      <c r="X22" s="566" t="str">
        <f aca="true">IF($Y22&gt;0,CHOOSE(MATCH(RegimeExecucao,{"Unitário","Global"},0),IF($A22="S",ROUND($H22,ORÇAMENTO!$AF$10),""),ROUND($I22,ORÇAMENTO!$AF$11)),"")</f>
        <v/>
      </c>
      <c r="Y22" s="566" t="n">
        <f aca="false">AO22-O22</f>
        <v>0</v>
      </c>
      <c r="Z22" s="567"/>
      <c r="AB22" s="563"/>
      <c r="AC22" s="568"/>
      <c r="AD22" s="568"/>
      <c r="AE22" s="568"/>
      <c r="AF22" s="568"/>
      <c r="AG22" s="568"/>
      <c r="AH22" s="568"/>
      <c r="AI22" s="568"/>
      <c r="AJ22" s="568"/>
      <c r="AK22" s="568"/>
      <c r="AL22" s="568"/>
      <c r="AM22" s="564"/>
      <c r="AO22" s="0" t="n">
        <f aca="true">IF($A22="S",IF(BM!$I22=0,0,CHOOSE(MATCH(RegimeExecucao,{"Global","Unitário"},0),ROUND(ROUND(BM.MEDAcumulado,15-13*BM!$A$9)/100*BM!$I22,15-13*ORÇAMENTO!$AF$11),ROUND(ROUND(BM.MEDAcumulado,15-13*BM!$A$9)*ROUND(BM!$H22,15-13*ORÇAMENTO!$AF$10),15-13*ORÇAMENTO!$AF$11))),IF($A22=0,0,ROUND(SomaAgrupBM,15-13*ORÇAMENTO!$AF$11)))</f>
        <v>0</v>
      </c>
    </row>
    <row r="23" customFormat="false" ht="12.75" hidden="false" customHeight="false" outlineLevel="0" collapsed="false">
      <c r="A23" s="0" t="str">
        <f aca="false">ORÇAMENTO!C23</f>
        <v>S</v>
      </c>
      <c r="B23" s="0" t="n">
        <f aca="false">ORÇAMENTO!D23</f>
        <v>0</v>
      </c>
      <c r="C23" s="185" t="str">
        <f aca="false">IF(OR($I23&gt;0,$A23=1,$A23=2,$A23=3,$A23=4),"F","")</f>
        <v/>
      </c>
      <c r="D23" s="188" t="str">
        <f aca="false">ORÇAMENTO!O23</f>
        <v>-</v>
      </c>
      <c r="E23" s="272" t="str">
        <f aca="false">ORÇAMENTO.Descricao</f>
        <v>(abra o arquivo 'Referência 02-Thursday.xlsm)</v>
      </c>
      <c r="F23" s="273" t="str">
        <f aca="true">IF(RegimeExecucao="Global","",ORÇAMENTO.Unidade)</f>
        <v>-</v>
      </c>
      <c r="G23" s="193" t="n">
        <f aca="true">IF(RegimeExecucao="Global","",ORÇAMENTO!T23)</f>
        <v>1</v>
      </c>
      <c r="H23" s="193" t="n">
        <f aca="true">IF(RegimeExecucao="Global","",ORÇAMENTO!W23)</f>
        <v>0</v>
      </c>
      <c r="I23" s="196" t="n">
        <f aca="false">ORÇAMENTO!X23</f>
        <v>0</v>
      </c>
      <c r="J23" s="560" t="n">
        <f aca="true">IF($A23="S",IF(CAIXA.Modo,BM.AFAnterior,BM.MEDAnterior),IF(AND(RegimeExecucao="Global",$I23&gt;0,COUNTIF($AB$13:$AM$13,BM.medicao-1)&gt;0),M23/$I23*100,0))</f>
        <v>0</v>
      </c>
      <c r="K23" s="193" t="n">
        <f aca="false">L23-J23</f>
        <v>0</v>
      </c>
      <c r="L23" s="561" t="n">
        <f aca="true">IF($A23="S",IF(CAIXA.Modo,BM.AFAcumulado,BM.MEDAcumulado),IF(AND(RegimeExecucao="Global",$I23&gt;0,COUNTIF($AB$13:$AM$13,BM.medicao)&gt;0),O23/$I23*100,0))</f>
        <v>0</v>
      </c>
      <c r="M23" s="562" t="n">
        <f aca="true">IF($A23="S",VTOTALBM,IF($A23=0,0,ROUND(SomaAgrupBM,15-13*ORÇAMENTO!$AF$11)))</f>
        <v>0</v>
      </c>
      <c r="N23" s="206" t="n">
        <f aca="false">O23-M23</f>
        <v>0</v>
      </c>
      <c r="O23" s="196" t="n">
        <f aca="true">IF($A23="S",VTOTALBM,IF($A23=0,0,ROUND(SomaAgrupBM,15-13*ORÇAMENTO!$AF$11)))</f>
        <v>0</v>
      </c>
      <c r="Q23" s="563"/>
      <c r="R23" s="564"/>
      <c r="T23" s="188" t="str">
        <f aca="false">IF($W23&gt;0,$D23,"")</f>
        <v/>
      </c>
      <c r="U23" s="272" t="str">
        <f aca="false">IF($W23&gt;0,$E23,"")</f>
        <v/>
      </c>
      <c r="V23" s="273" t="str">
        <f aca="true">IF(AND($W23&gt;0,RegimeExecucao="Unitário"),$F23,"")</f>
        <v/>
      </c>
      <c r="W23" s="565" t="n">
        <f aca="true">IF($Y23&gt;0,CHOOSE(MATCH(RegimeExecucao,{"Unitário","Global"},0),IF($A23="S",$Y23/$X23,""),($Y23/$X23)*100),0)</f>
        <v>0</v>
      </c>
      <c r="X23" s="566" t="str">
        <f aca="true">IF($Y23&gt;0,CHOOSE(MATCH(RegimeExecucao,{"Unitário","Global"},0),IF($A23="S",ROUND($H23,ORÇAMENTO!$AF$10),""),ROUND($I23,ORÇAMENTO!$AF$11)),"")</f>
        <v/>
      </c>
      <c r="Y23" s="566" t="n">
        <f aca="false">AO23-O23</f>
        <v>0</v>
      </c>
      <c r="Z23" s="567"/>
      <c r="AB23" s="563"/>
      <c r="AC23" s="568"/>
      <c r="AD23" s="568"/>
      <c r="AE23" s="568"/>
      <c r="AF23" s="568"/>
      <c r="AG23" s="568"/>
      <c r="AH23" s="568"/>
      <c r="AI23" s="568"/>
      <c r="AJ23" s="568"/>
      <c r="AK23" s="568"/>
      <c r="AL23" s="568"/>
      <c r="AM23" s="564"/>
      <c r="AO23" s="0" t="n">
        <f aca="true">IF($A23="S",IF(BM!$I23=0,0,CHOOSE(MATCH(RegimeExecucao,{"Global","Unitário"},0),ROUND(ROUND(BM.MEDAcumulado,15-13*BM!$A$9)/100*BM!$I23,15-13*ORÇAMENTO!$AF$11),ROUND(ROUND(BM.MEDAcumulado,15-13*BM!$A$9)*ROUND(BM!$H23,15-13*ORÇAMENTO!$AF$10),15-13*ORÇAMENTO!$AF$11))),IF($A23=0,0,ROUND(SomaAgrupBM,15-13*ORÇAMENTO!$AF$11)))</f>
        <v>0</v>
      </c>
    </row>
    <row r="24" customFormat="false" ht="12.75" hidden="false" customHeight="false" outlineLevel="0" collapsed="false">
      <c r="A24" s="0" t="str">
        <f aca="false">ORÇAMENTO!C24</f>
        <v>S</v>
      </c>
      <c r="B24" s="0" t="n">
        <f aca="false">ORÇAMENTO!D24</f>
        <v>0</v>
      </c>
      <c r="C24" s="185" t="str">
        <f aca="false">IF(OR($I24&gt;0,$A24=1,$A24=2,$A24=3,$A24=4),"F","")</f>
        <v/>
      </c>
      <c r="D24" s="188" t="str">
        <f aca="false">ORÇAMENTO!O24</f>
        <v>-</v>
      </c>
      <c r="E24" s="272" t="str">
        <f aca="false">ORÇAMENTO.Descricao</f>
        <v>(abra o arquivo 'Referência 02-Thursday.xlsm)</v>
      </c>
      <c r="F24" s="273" t="str">
        <f aca="true">IF(RegimeExecucao="Global","",ORÇAMENTO.Unidade)</f>
        <v>-</v>
      </c>
      <c r="G24" s="193" t="n">
        <f aca="true">IF(RegimeExecucao="Global","",ORÇAMENTO!T24)</f>
        <v>3</v>
      </c>
      <c r="H24" s="193" t="n">
        <f aca="true">IF(RegimeExecucao="Global","",ORÇAMENTO!W24)</f>
        <v>0</v>
      </c>
      <c r="I24" s="196" t="n">
        <f aca="false">ORÇAMENTO!X24</f>
        <v>0</v>
      </c>
      <c r="J24" s="560" t="n">
        <f aca="true">IF($A24="S",IF(CAIXA.Modo,BM.AFAnterior,BM.MEDAnterior),IF(AND(RegimeExecucao="Global",$I24&gt;0,COUNTIF($AB$13:$AM$13,BM.medicao-1)&gt;0),M24/$I24*100,0))</f>
        <v>0</v>
      </c>
      <c r="K24" s="193" t="n">
        <f aca="false">L24-J24</f>
        <v>0</v>
      </c>
      <c r="L24" s="561" t="n">
        <f aca="true">IF($A24="S",IF(CAIXA.Modo,BM.AFAcumulado,BM.MEDAcumulado),IF(AND(RegimeExecucao="Global",$I24&gt;0,COUNTIF($AB$13:$AM$13,BM.medicao)&gt;0),O24/$I24*100,0))</f>
        <v>0</v>
      </c>
      <c r="M24" s="562" t="n">
        <f aca="true">IF($A24="S",VTOTALBM,IF($A24=0,0,ROUND(SomaAgrupBM,15-13*ORÇAMENTO!$AF$11)))</f>
        <v>0</v>
      </c>
      <c r="N24" s="206" t="n">
        <f aca="false">O24-M24</f>
        <v>0</v>
      </c>
      <c r="O24" s="196" t="n">
        <f aca="true">IF($A24="S",VTOTALBM,IF($A24=0,0,ROUND(SomaAgrupBM,15-13*ORÇAMENTO!$AF$11)))</f>
        <v>0</v>
      </c>
      <c r="Q24" s="563"/>
      <c r="R24" s="564"/>
      <c r="T24" s="188" t="str">
        <f aca="false">IF($W24&gt;0,$D24,"")</f>
        <v/>
      </c>
      <c r="U24" s="272" t="str">
        <f aca="false">IF($W24&gt;0,$E24,"")</f>
        <v/>
      </c>
      <c r="V24" s="273" t="str">
        <f aca="true">IF(AND($W24&gt;0,RegimeExecucao="Unitário"),$F24,"")</f>
        <v/>
      </c>
      <c r="W24" s="565" t="n">
        <f aca="true">IF($Y24&gt;0,CHOOSE(MATCH(RegimeExecucao,{"Unitário","Global"},0),IF($A24="S",$Y24/$X24,""),($Y24/$X24)*100),0)</f>
        <v>0</v>
      </c>
      <c r="X24" s="566" t="str">
        <f aca="true">IF($Y24&gt;0,CHOOSE(MATCH(RegimeExecucao,{"Unitário","Global"},0),IF($A24="S",ROUND($H24,ORÇAMENTO!$AF$10),""),ROUND($I24,ORÇAMENTO!$AF$11)),"")</f>
        <v/>
      </c>
      <c r="Y24" s="566" t="n">
        <f aca="false">AO24-O24</f>
        <v>0</v>
      </c>
      <c r="Z24" s="567"/>
      <c r="AB24" s="563"/>
      <c r="AC24" s="568"/>
      <c r="AD24" s="568"/>
      <c r="AE24" s="568"/>
      <c r="AF24" s="568"/>
      <c r="AG24" s="568"/>
      <c r="AH24" s="568"/>
      <c r="AI24" s="568"/>
      <c r="AJ24" s="568"/>
      <c r="AK24" s="568"/>
      <c r="AL24" s="568"/>
      <c r="AM24" s="564"/>
      <c r="AO24" s="0" t="n">
        <f aca="true">IF($A24="S",IF(BM!$I24=0,0,CHOOSE(MATCH(RegimeExecucao,{"Global","Unitário"},0),ROUND(ROUND(BM.MEDAcumulado,15-13*BM!$A$9)/100*BM!$I24,15-13*ORÇAMENTO!$AF$11),ROUND(ROUND(BM.MEDAcumulado,15-13*BM!$A$9)*ROUND(BM!$H24,15-13*ORÇAMENTO!$AF$10),15-13*ORÇAMENTO!$AF$11))),IF($A24=0,0,ROUND(SomaAgrupBM,15-13*ORÇAMENTO!$AF$11)))</f>
        <v>0</v>
      </c>
    </row>
    <row r="25" customFormat="false" ht="12.75" hidden="false" customHeight="false" outlineLevel="0" collapsed="false">
      <c r="A25" s="0" t="str">
        <f aca="false">ORÇAMENTO!C25</f>
        <v>S</v>
      </c>
      <c r="B25" s="0" t="n">
        <f aca="false">ORÇAMENTO!D25</f>
        <v>0</v>
      </c>
      <c r="C25" s="185" t="str">
        <f aca="false">IF(OR($I25&gt;0,$A25=1,$A25=2,$A25=3,$A25=4),"F","")</f>
        <v/>
      </c>
      <c r="D25" s="188" t="str">
        <f aca="false">ORÇAMENTO!O25</f>
        <v>-</v>
      </c>
      <c r="E25" s="272" t="str">
        <f aca="false">ORÇAMENTO.Descricao</f>
        <v>(abra o arquivo 'Referência 02-Thursday.xlsm)</v>
      </c>
      <c r="F25" s="273" t="str">
        <f aca="true">IF(RegimeExecucao="Global","",ORÇAMENTO.Unidade)</f>
        <v>-</v>
      </c>
      <c r="G25" s="193" t="n">
        <f aca="true">IF(RegimeExecucao="Global","",ORÇAMENTO!T25)</f>
        <v>1</v>
      </c>
      <c r="H25" s="193" t="n">
        <f aca="true">IF(RegimeExecucao="Global","",ORÇAMENTO!W25)</f>
        <v>0</v>
      </c>
      <c r="I25" s="196" t="n">
        <f aca="false">ORÇAMENTO!X25</f>
        <v>0</v>
      </c>
      <c r="J25" s="560" t="n">
        <f aca="true">IF($A25="S",IF(CAIXA.Modo,BM.AFAnterior,BM.MEDAnterior),IF(AND(RegimeExecucao="Global",$I25&gt;0,COUNTIF($AB$13:$AM$13,BM.medicao-1)&gt;0),M25/$I25*100,0))</f>
        <v>0</v>
      </c>
      <c r="K25" s="193" t="n">
        <f aca="false">L25-J25</f>
        <v>0</v>
      </c>
      <c r="L25" s="561" t="n">
        <f aca="true">IF($A25="S",IF(CAIXA.Modo,BM.AFAcumulado,BM.MEDAcumulado),IF(AND(RegimeExecucao="Global",$I25&gt;0,COUNTIF($AB$13:$AM$13,BM.medicao)&gt;0),O25/$I25*100,0))</f>
        <v>0</v>
      </c>
      <c r="M25" s="562" t="n">
        <f aca="true">IF($A25="S",VTOTALBM,IF($A25=0,0,ROUND(SomaAgrupBM,15-13*ORÇAMENTO!$AF$11)))</f>
        <v>0</v>
      </c>
      <c r="N25" s="206" t="n">
        <f aca="false">O25-M25</f>
        <v>0</v>
      </c>
      <c r="O25" s="196" t="n">
        <f aca="true">IF($A25="S",VTOTALBM,IF($A25=0,0,ROUND(SomaAgrupBM,15-13*ORÇAMENTO!$AF$11)))</f>
        <v>0</v>
      </c>
      <c r="Q25" s="563"/>
      <c r="R25" s="564"/>
      <c r="T25" s="188" t="str">
        <f aca="false">IF($W25&gt;0,$D25,"")</f>
        <v/>
      </c>
      <c r="U25" s="272" t="str">
        <f aca="false">IF($W25&gt;0,$E25,"")</f>
        <v/>
      </c>
      <c r="V25" s="273" t="str">
        <f aca="true">IF(AND($W25&gt;0,RegimeExecucao="Unitário"),$F25,"")</f>
        <v/>
      </c>
      <c r="W25" s="565" t="n">
        <f aca="true">IF($Y25&gt;0,CHOOSE(MATCH(RegimeExecucao,{"Unitário","Global"},0),IF($A25="S",$Y25/$X25,""),($Y25/$X25)*100),0)</f>
        <v>0</v>
      </c>
      <c r="X25" s="566" t="str">
        <f aca="true">IF($Y25&gt;0,CHOOSE(MATCH(RegimeExecucao,{"Unitário","Global"},0),IF($A25="S",ROUND($H25,ORÇAMENTO!$AF$10),""),ROUND($I25,ORÇAMENTO!$AF$11)),"")</f>
        <v/>
      </c>
      <c r="Y25" s="566" t="n">
        <f aca="false">AO25-O25</f>
        <v>0</v>
      </c>
      <c r="Z25" s="567"/>
      <c r="AB25" s="563"/>
      <c r="AC25" s="568"/>
      <c r="AD25" s="568"/>
      <c r="AE25" s="568"/>
      <c r="AF25" s="568"/>
      <c r="AG25" s="568"/>
      <c r="AH25" s="568"/>
      <c r="AI25" s="568"/>
      <c r="AJ25" s="568"/>
      <c r="AK25" s="568"/>
      <c r="AL25" s="568"/>
      <c r="AM25" s="564"/>
      <c r="AO25" s="0" t="n">
        <f aca="true">IF($A25="S",IF(BM!$I25=0,0,CHOOSE(MATCH(RegimeExecucao,{"Global","Unitário"},0),ROUND(ROUND(BM.MEDAcumulado,15-13*BM!$A$9)/100*BM!$I25,15-13*ORÇAMENTO!$AF$11),ROUND(ROUND(BM.MEDAcumulado,15-13*BM!$A$9)*ROUND(BM!$H25,15-13*ORÇAMENTO!$AF$10),15-13*ORÇAMENTO!$AF$11))),IF($A25=0,0,ROUND(SomaAgrupBM,15-13*ORÇAMENTO!$AF$11)))</f>
        <v>0</v>
      </c>
    </row>
    <row r="26" customFormat="false" ht="12.75" hidden="false" customHeight="false" outlineLevel="0" collapsed="false">
      <c r="A26" s="0" t="str">
        <f aca="false">ORÇAMENTO!C26</f>
        <v>S</v>
      </c>
      <c r="B26" s="0" t="n">
        <f aca="false">ORÇAMENTO!D26</f>
        <v>0</v>
      </c>
      <c r="C26" s="185" t="str">
        <f aca="false">IF(OR($I26&gt;0,$A26=1,$A26=2,$A26=3,$A26=4),"F","")</f>
        <v/>
      </c>
      <c r="D26" s="188" t="str">
        <f aca="false">ORÇAMENTO!O26</f>
        <v>-</v>
      </c>
      <c r="E26" s="272" t="str">
        <f aca="false">ORÇAMENTO.Descricao</f>
        <v>(abra o arquivo 'Referência 02-Thursday.xlsm)</v>
      </c>
      <c r="F26" s="273" t="str">
        <f aca="true">IF(RegimeExecucao="Global","",ORÇAMENTO.Unidade)</f>
        <v>-</v>
      </c>
      <c r="G26" s="193" t="n">
        <f aca="true">IF(RegimeExecucao="Global","",ORÇAMENTO!T26)</f>
        <v>3</v>
      </c>
      <c r="H26" s="193" t="n">
        <f aca="true">IF(RegimeExecucao="Global","",ORÇAMENTO!W26)</f>
        <v>0</v>
      </c>
      <c r="I26" s="196" t="n">
        <f aca="false">ORÇAMENTO!X26</f>
        <v>0</v>
      </c>
      <c r="J26" s="560" t="n">
        <f aca="true">IF($A26="S",IF(CAIXA.Modo,BM.AFAnterior,BM.MEDAnterior),IF(AND(RegimeExecucao="Global",$I26&gt;0,COUNTIF($AB$13:$AM$13,BM.medicao-1)&gt;0),M26/$I26*100,0))</f>
        <v>0</v>
      </c>
      <c r="K26" s="193" t="n">
        <f aca="false">L26-J26</f>
        <v>0</v>
      </c>
      <c r="L26" s="561" t="n">
        <f aca="true">IF($A26="S",IF(CAIXA.Modo,BM.AFAcumulado,BM.MEDAcumulado),IF(AND(RegimeExecucao="Global",$I26&gt;0,COUNTIF($AB$13:$AM$13,BM.medicao)&gt;0),O26/$I26*100,0))</f>
        <v>0</v>
      </c>
      <c r="M26" s="562" t="n">
        <f aca="true">IF($A26="S",VTOTALBM,IF($A26=0,0,ROUND(SomaAgrupBM,15-13*ORÇAMENTO!$AF$11)))</f>
        <v>0</v>
      </c>
      <c r="N26" s="206" t="n">
        <f aca="false">O26-M26</f>
        <v>0</v>
      </c>
      <c r="O26" s="196" t="n">
        <f aca="true">IF($A26="S",VTOTALBM,IF($A26=0,0,ROUND(SomaAgrupBM,15-13*ORÇAMENTO!$AF$11)))</f>
        <v>0</v>
      </c>
      <c r="Q26" s="563"/>
      <c r="R26" s="564"/>
      <c r="T26" s="188" t="str">
        <f aca="false">IF($W26&gt;0,$D26,"")</f>
        <v/>
      </c>
      <c r="U26" s="272" t="str">
        <f aca="false">IF($W26&gt;0,$E26,"")</f>
        <v/>
      </c>
      <c r="V26" s="273" t="str">
        <f aca="true">IF(AND($W26&gt;0,RegimeExecucao="Unitário"),$F26,"")</f>
        <v/>
      </c>
      <c r="W26" s="565" t="n">
        <f aca="true">IF($Y26&gt;0,CHOOSE(MATCH(RegimeExecucao,{"Unitário","Global"},0),IF($A26="S",$Y26/$X26,""),($Y26/$X26)*100),0)</f>
        <v>0</v>
      </c>
      <c r="X26" s="566" t="str">
        <f aca="true">IF($Y26&gt;0,CHOOSE(MATCH(RegimeExecucao,{"Unitário","Global"},0),IF($A26="S",ROUND($H26,ORÇAMENTO!$AF$10),""),ROUND($I26,ORÇAMENTO!$AF$11)),"")</f>
        <v/>
      </c>
      <c r="Y26" s="566" t="n">
        <f aca="false">AO26-O26</f>
        <v>0</v>
      </c>
      <c r="Z26" s="567"/>
      <c r="AB26" s="563"/>
      <c r="AC26" s="568"/>
      <c r="AD26" s="568"/>
      <c r="AE26" s="568"/>
      <c r="AF26" s="568"/>
      <c r="AG26" s="568"/>
      <c r="AH26" s="568"/>
      <c r="AI26" s="568"/>
      <c r="AJ26" s="568"/>
      <c r="AK26" s="568"/>
      <c r="AL26" s="568"/>
      <c r="AM26" s="564"/>
      <c r="AO26" s="0" t="n">
        <f aca="true">IF($A26="S",IF(BM!$I26=0,0,CHOOSE(MATCH(RegimeExecucao,{"Global","Unitário"},0),ROUND(ROUND(BM.MEDAcumulado,15-13*BM!$A$9)/100*BM!$I26,15-13*ORÇAMENTO!$AF$11),ROUND(ROUND(BM.MEDAcumulado,15-13*BM!$A$9)*ROUND(BM!$H26,15-13*ORÇAMENTO!$AF$10),15-13*ORÇAMENTO!$AF$11))),IF($A26=0,0,ROUND(SomaAgrupBM,15-13*ORÇAMENTO!$AF$11)))</f>
        <v>0</v>
      </c>
    </row>
    <row r="27" customFormat="false" ht="12.75" hidden="false" customHeight="false" outlineLevel="0" collapsed="false">
      <c r="A27" s="0" t="str">
        <f aca="false">ORÇAMENTO!C27</f>
        <v>S</v>
      </c>
      <c r="B27" s="0" t="n">
        <f aca="false">ORÇAMENTO!D27</f>
        <v>0</v>
      </c>
      <c r="C27" s="185" t="str">
        <f aca="false">IF(OR($I27&gt;0,$A27=1,$A27=2,$A27=3,$A27=4),"F","")</f>
        <v/>
      </c>
      <c r="D27" s="188" t="str">
        <f aca="false">ORÇAMENTO!O27</f>
        <v>-</v>
      </c>
      <c r="E27" s="272" t="str">
        <f aca="false">ORÇAMENTO.Descricao</f>
        <v>(abra o arquivo 'Referência 02-Thursday.xlsm)</v>
      </c>
      <c r="F27" s="273" t="str">
        <f aca="true">IF(RegimeExecucao="Global","",ORÇAMENTO.Unidade)</f>
        <v>-</v>
      </c>
      <c r="G27" s="193" t="n">
        <f aca="true">IF(RegimeExecucao="Global","",ORÇAMENTO!T27)</f>
        <v>1</v>
      </c>
      <c r="H27" s="193" t="n">
        <f aca="true">IF(RegimeExecucao="Global","",ORÇAMENTO!W27)</f>
        <v>0</v>
      </c>
      <c r="I27" s="196" t="n">
        <f aca="false">ORÇAMENTO!X27</f>
        <v>0</v>
      </c>
      <c r="J27" s="560" t="n">
        <f aca="true">IF($A27="S",IF(CAIXA.Modo,BM.AFAnterior,BM.MEDAnterior),IF(AND(RegimeExecucao="Global",$I27&gt;0,COUNTIF($AB$13:$AM$13,BM.medicao-1)&gt;0),M27/$I27*100,0))</f>
        <v>0</v>
      </c>
      <c r="K27" s="193" t="n">
        <f aca="false">L27-J27</f>
        <v>0</v>
      </c>
      <c r="L27" s="561" t="n">
        <f aca="true">IF($A27="S",IF(CAIXA.Modo,BM.AFAcumulado,BM.MEDAcumulado),IF(AND(RegimeExecucao="Global",$I27&gt;0,COUNTIF($AB$13:$AM$13,BM.medicao)&gt;0),O27/$I27*100,0))</f>
        <v>0</v>
      </c>
      <c r="M27" s="562" t="n">
        <f aca="true">IF($A27="S",VTOTALBM,IF($A27=0,0,ROUND(SomaAgrupBM,15-13*ORÇAMENTO!$AF$11)))</f>
        <v>0</v>
      </c>
      <c r="N27" s="206" t="n">
        <f aca="false">O27-M27</f>
        <v>0</v>
      </c>
      <c r="O27" s="196" t="n">
        <f aca="true">IF($A27="S",VTOTALBM,IF($A27=0,0,ROUND(SomaAgrupBM,15-13*ORÇAMENTO!$AF$11)))</f>
        <v>0</v>
      </c>
      <c r="Q27" s="563"/>
      <c r="R27" s="564"/>
      <c r="T27" s="188" t="str">
        <f aca="false">IF($W27&gt;0,$D27,"")</f>
        <v/>
      </c>
      <c r="U27" s="272" t="str">
        <f aca="false">IF($W27&gt;0,$E27,"")</f>
        <v/>
      </c>
      <c r="V27" s="273" t="str">
        <f aca="true">IF(AND($W27&gt;0,RegimeExecucao="Unitário"),$F27,"")</f>
        <v/>
      </c>
      <c r="W27" s="565" t="n">
        <f aca="true">IF($Y27&gt;0,CHOOSE(MATCH(RegimeExecucao,{"Unitário","Global"},0),IF($A27="S",$Y27/$X27,""),($Y27/$X27)*100),0)</f>
        <v>0</v>
      </c>
      <c r="X27" s="566" t="str">
        <f aca="true">IF($Y27&gt;0,CHOOSE(MATCH(RegimeExecucao,{"Unitário","Global"},0),IF($A27="S",ROUND($H27,ORÇAMENTO!$AF$10),""),ROUND($I27,ORÇAMENTO!$AF$11)),"")</f>
        <v/>
      </c>
      <c r="Y27" s="566" t="n">
        <f aca="false">AO27-O27</f>
        <v>0</v>
      </c>
      <c r="Z27" s="567"/>
      <c r="AB27" s="563"/>
      <c r="AC27" s="568"/>
      <c r="AD27" s="568"/>
      <c r="AE27" s="568"/>
      <c r="AF27" s="568"/>
      <c r="AG27" s="568"/>
      <c r="AH27" s="568"/>
      <c r="AI27" s="568"/>
      <c r="AJ27" s="568"/>
      <c r="AK27" s="568"/>
      <c r="AL27" s="568"/>
      <c r="AM27" s="564"/>
      <c r="AO27" s="0" t="n">
        <f aca="true">IF($A27="S",IF(BM!$I27=0,0,CHOOSE(MATCH(RegimeExecucao,{"Global","Unitário"},0),ROUND(ROUND(BM.MEDAcumulado,15-13*BM!$A$9)/100*BM!$I27,15-13*ORÇAMENTO!$AF$11),ROUND(ROUND(BM.MEDAcumulado,15-13*BM!$A$9)*ROUND(BM!$H27,15-13*ORÇAMENTO!$AF$10),15-13*ORÇAMENTO!$AF$11))),IF($A27=0,0,ROUND(SomaAgrupBM,15-13*ORÇAMENTO!$AF$11)))</f>
        <v>0</v>
      </c>
    </row>
    <row r="28" customFormat="false" ht="12.75" hidden="false" customHeight="false" outlineLevel="0" collapsed="false">
      <c r="A28" s="0" t="str">
        <f aca="false">ORÇAMENTO!C28</f>
        <v>S</v>
      </c>
      <c r="B28" s="0" t="n">
        <f aca="false">ORÇAMENTO!D28</f>
        <v>0</v>
      </c>
      <c r="C28" s="185" t="str">
        <f aca="false">IF(OR($I28&gt;0,$A28=1,$A28=2,$A28=3,$A28=4),"F","")</f>
        <v/>
      </c>
      <c r="D28" s="188" t="str">
        <f aca="false">ORÇAMENTO!O28</f>
        <v>-</v>
      </c>
      <c r="E28" s="272" t="str">
        <f aca="false">ORÇAMENTO.Descricao</f>
        <v>(abra o arquivo 'Referência 02-Thursday.xlsm)</v>
      </c>
      <c r="F28" s="273" t="str">
        <f aca="true">IF(RegimeExecucao="Global","",ORÇAMENTO.Unidade)</f>
        <v>-</v>
      </c>
      <c r="G28" s="193" t="n">
        <f aca="true">IF(RegimeExecucao="Global","",ORÇAMENTO!T28)</f>
        <v>3</v>
      </c>
      <c r="H28" s="193" t="n">
        <f aca="true">IF(RegimeExecucao="Global","",ORÇAMENTO!W28)</f>
        <v>0</v>
      </c>
      <c r="I28" s="196" t="n">
        <f aca="false">ORÇAMENTO!X28</f>
        <v>0</v>
      </c>
      <c r="J28" s="560" t="n">
        <f aca="true">IF($A28="S",IF(CAIXA.Modo,BM.AFAnterior,BM.MEDAnterior),IF(AND(RegimeExecucao="Global",$I28&gt;0,COUNTIF($AB$13:$AM$13,BM.medicao-1)&gt;0),M28/$I28*100,0))</f>
        <v>0</v>
      </c>
      <c r="K28" s="193" t="n">
        <f aca="false">L28-J28</f>
        <v>0</v>
      </c>
      <c r="L28" s="561" t="n">
        <f aca="true">IF($A28="S",IF(CAIXA.Modo,BM.AFAcumulado,BM.MEDAcumulado),IF(AND(RegimeExecucao="Global",$I28&gt;0,COUNTIF($AB$13:$AM$13,BM.medicao)&gt;0),O28/$I28*100,0))</f>
        <v>0</v>
      </c>
      <c r="M28" s="562" t="n">
        <f aca="true">IF($A28="S",VTOTALBM,IF($A28=0,0,ROUND(SomaAgrupBM,15-13*ORÇAMENTO!$AF$11)))</f>
        <v>0</v>
      </c>
      <c r="N28" s="206" t="n">
        <f aca="false">O28-M28</f>
        <v>0</v>
      </c>
      <c r="O28" s="196" t="n">
        <f aca="true">IF($A28="S",VTOTALBM,IF($A28=0,0,ROUND(SomaAgrupBM,15-13*ORÇAMENTO!$AF$11)))</f>
        <v>0</v>
      </c>
      <c r="Q28" s="563"/>
      <c r="R28" s="564"/>
      <c r="T28" s="188" t="str">
        <f aca="false">IF($W28&gt;0,$D28,"")</f>
        <v/>
      </c>
      <c r="U28" s="272" t="str">
        <f aca="false">IF($W28&gt;0,$E28,"")</f>
        <v/>
      </c>
      <c r="V28" s="273" t="str">
        <f aca="true">IF(AND($W28&gt;0,RegimeExecucao="Unitário"),$F28,"")</f>
        <v/>
      </c>
      <c r="W28" s="565" t="n">
        <f aca="true">IF($Y28&gt;0,CHOOSE(MATCH(RegimeExecucao,{"Unitário","Global"},0),IF($A28="S",$Y28/$X28,""),($Y28/$X28)*100),0)</f>
        <v>0</v>
      </c>
      <c r="X28" s="566" t="str">
        <f aca="true">IF($Y28&gt;0,CHOOSE(MATCH(RegimeExecucao,{"Unitário","Global"},0),IF($A28="S",ROUND($H28,ORÇAMENTO!$AF$10),""),ROUND($I28,ORÇAMENTO!$AF$11)),"")</f>
        <v/>
      </c>
      <c r="Y28" s="566" t="n">
        <f aca="false">AO28-O28</f>
        <v>0</v>
      </c>
      <c r="Z28" s="567"/>
      <c r="AB28" s="563"/>
      <c r="AC28" s="568"/>
      <c r="AD28" s="568"/>
      <c r="AE28" s="568"/>
      <c r="AF28" s="568"/>
      <c r="AG28" s="568"/>
      <c r="AH28" s="568"/>
      <c r="AI28" s="568"/>
      <c r="AJ28" s="568"/>
      <c r="AK28" s="568"/>
      <c r="AL28" s="568"/>
      <c r="AM28" s="564"/>
      <c r="AO28" s="0" t="n">
        <f aca="true">IF($A28="S",IF(BM!$I28=0,0,CHOOSE(MATCH(RegimeExecucao,{"Global","Unitário"},0),ROUND(ROUND(BM.MEDAcumulado,15-13*BM!$A$9)/100*BM!$I28,15-13*ORÇAMENTO!$AF$11),ROUND(ROUND(BM.MEDAcumulado,15-13*BM!$A$9)*ROUND(BM!$H28,15-13*ORÇAMENTO!$AF$10),15-13*ORÇAMENTO!$AF$11))),IF($A28=0,0,ROUND(SomaAgrupBM,15-13*ORÇAMENTO!$AF$11)))</f>
        <v>0</v>
      </c>
    </row>
    <row r="29" customFormat="false" ht="12.75" hidden="false" customHeight="false" outlineLevel="0" collapsed="false">
      <c r="A29" s="0" t="n">
        <f aca="false">ORÇAMENTO!C29</f>
        <v>2</v>
      </c>
      <c r="B29" s="0" t="n">
        <f aca="false">ORÇAMENTO!D29</f>
        <v>2</v>
      </c>
      <c r="C29" s="185" t="str">
        <f aca="false">IF(OR($I29&gt;0,$A29=1,$A29=2,$A29=3,$A29=4),"F","")</f>
        <v>F</v>
      </c>
      <c r="D29" s="188" t="str">
        <f aca="false">ORÇAMENTO!O29</f>
        <v>1.4.</v>
      </c>
      <c r="E29" s="272" t="str">
        <f aca="false">ORÇAMENTO.Descricao</f>
        <v>MOBILIZAÇÃO E DESMOBILIZAÇÃO</v>
      </c>
      <c r="F29" s="273" t="str">
        <f aca="true">IF(RegimeExecucao="Global","",ORÇAMENTO.Unidade)</f>
        <v>-</v>
      </c>
      <c r="G29" s="193" t="n">
        <f aca="true">IF(RegimeExecucao="Global","",ORÇAMENTO!T29)</f>
        <v>0</v>
      </c>
      <c r="H29" s="193" t="n">
        <f aca="true">IF(RegimeExecucao="Global","",ORÇAMENTO!W29)</f>
        <v>0</v>
      </c>
      <c r="I29" s="196" t="n">
        <f aca="false">ORÇAMENTO!X29</f>
        <v>0</v>
      </c>
      <c r="J29" s="560" t="n">
        <f aca="true">IF($A29="S",IF(CAIXA.Modo,BM.AFAnterior,BM.MEDAnterior),IF(AND(RegimeExecucao="Global",$I29&gt;0,COUNTIF($AB$13:$AM$13,BM.medicao-1)&gt;0),M29/$I29*100,0))</f>
        <v>0</v>
      </c>
      <c r="K29" s="193" t="n">
        <f aca="false">L29-J29</f>
        <v>0</v>
      </c>
      <c r="L29" s="561" t="n">
        <f aca="true">IF($A29="S",IF(CAIXA.Modo,BM.AFAcumulado,BM.MEDAcumulado),IF(AND(RegimeExecucao="Global",$I29&gt;0,COUNTIF($AB$13:$AM$13,BM.medicao)&gt;0),O29/$I29*100,0))</f>
        <v>0</v>
      </c>
      <c r="M29" s="562" t="n">
        <f aca="true">IF($A29="S",VTOTALBM,IF($A29=0,0,ROUND(SomaAgrupBM,15-13*ORÇAMENTO!$AF$11)))</f>
        <v>0</v>
      </c>
      <c r="N29" s="206" t="n">
        <f aca="false">O29-M29</f>
        <v>0</v>
      </c>
      <c r="O29" s="196" t="n">
        <f aca="true">IF($A29="S",VTOTALBM,IF($A29=0,0,ROUND(SomaAgrupBM,15-13*ORÇAMENTO!$AF$11)))</f>
        <v>0</v>
      </c>
      <c r="Q29" s="563"/>
      <c r="R29" s="564"/>
      <c r="T29" s="188" t="str">
        <f aca="false">IF($W29&gt;0,$D29,"")</f>
        <v/>
      </c>
      <c r="U29" s="272" t="str">
        <f aca="false">IF($W29&gt;0,$E29,"")</f>
        <v/>
      </c>
      <c r="V29" s="273" t="str">
        <f aca="true">IF(AND($W29&gt;0,RegimeExecucao="Unitário"),$F29,"")</f>
        <v/>
      </c>
      <c r="W29" s="565" t="n">
        <f aca="true">IF($Y29&gt;0,CHOOSE(MATCH(RegimeExecucao,{"Unitário","Global"},0),IF($A29="S",$Y29/$X29,""),($Y29/$X29)*100),0)</f>
        <v>0</v>
      </c>
      <c r="X29" s="566" t="str">
        <f aca="true">IF($Y29&gt;0,CHOOSE(MATCH(RegimeExecucao,{"Unitário","Global"},0),IF($A29="S",ROUND($H29,ORÇAMENTO!$AF$10),""),ROUND($I29,ORÇAMENTO!$AF$11)),"")</f>
        <v/>
      </c>
      <c r="Y29" s="566" t="n">
        <f aca="false">AO29-O29</f>
        <v>0</v>
      </c>
      <c r="Z29" s="567"/>
      <c r="AB29" s="563"/>
      <c r="AC29" s="568"/>
      <c r="AD29" s="568"/>
      <c r="AE29" s="568"/>
      <c r="AF29" s="568"/>
      <c r="AG29" s="568"/>
      <c r="AH29" s="568"/>
      <c r="AI29" s="568"/>
      <c r="AJ29" s="568"/>
      <c r="AK29" s="568"/>
      <c r="AL29" s="568"/>
      <c r="AM29" s="564"/>
      <c r="AO29" s="0" t="n">
        <f aca="true">IF($A29="S",IF(BM!$I29=0,0,CHOOSE(MATCH(RegimeExecucao,{"Global","Unitário"},0),ROUND(ROUND(BM.MEDAcumulado,15-13*BM!$A$9)/100*BM!$I29,15-13*ORÇAMENTO!$AF$11),ROUND(ROUND(BM.MEDAcumulado,15-13*BM!$A$9)*ROUND(BM!$H29,15-13*ORÇAMENTO!$AF$10),15-13*ORÇAMENTO!$AF$11))),IF($A29=0,0,ROUND(SomaAgrupBM,15-13*ORÇAMENTO!$AF$11)))</f>
        <v>0</v>
      </c>
    </row>
    <row r="30" customFormat="false" ht="12.75" hidden="false" customHeight="false" outlineLevel="0" collapsed="false">
      <c r="A30" s="0" t="str">
        <f aca="false">ORÇAMENTO!C30</f>
        <v>S</v>
      </c>
      <c r="B30" s="0" t="n">
        <f aca="false">ORÇAMENTO!D30</f>
        <v>0</v>
      </c>
      <c r="C30" s="185" t="str">
        <f aca="false">IF(OR($I30&gt;0,$A30=1,$A30=2,$A30=3,$A30=4),"F","")</f>
        <v/>
      </c>
      <c r="D30" s="188" t="str">
        <f aca="false">ORÇAMENTO!O30</f>
        <v>-</v>
      </c>
      <c r="E30" s="272" t="str">
        <f aca="false">ORÇAMENTO.Descricao</f>
        <v>(abra o arquivo 'Referência 02-Thursday.xlsm)</v>
      </c>
      <c r="F30" s="273" t="str">
        <f aca="true">IF(RegimeExecucao="Global","",ORÇAMENTO.Unidade)</f>
        <v>-</v>
      </c>
      <c r="G30" s="193" t="n">
        <f aca="true">IF(RegimeExecucao="Global","",ORÇAMENTO!T30)</f>
        <v>2</v>
      </c>
      <c r="H30" s="193" t="n">
        <f aca="true">IF(RegimeExecucao="Global","",ORÇAMENTO!W30)</f>
        <v>0</v>
      </c>
      <c r="I30" s="196" t="n">
        <f aca="false">ORÇAMENTO!X30</f>
        <v>0</v>
      </c>
      <c r="J30" s="560" t="n">
        <f aca="true">IF($A30="S",IF(CAIXA.Modo,BM.AFAnterior,BM.MEDAnterior),IF(AND(RegimeExecucao="Global",$I30&gt;0,COUNTIF($AB$13:$AM$13,BM.medicao-1)&gt;0),M30/$I30*100,0))</f>
        <v>0</v>
      </c>
      <c r="K30" s="193" t="n">
        <f aca="false">L30-J30</f>
        <v>0</v>
      </c>
      <c r="L30" s="561" t="n">
        <f aca="true">IF($A30="S",IF(CAIXA.Modo,BM.AFAcumulado,BM.MEDAcumulado),IF(AND(RegimeExecucao="Global",$I30&gt;0,COUNTIF($AB$13:$AM$13,BM.medicao)&gt;0),O30/$I30*100,0))</f>
        <v>0</v>
      </c>
      <c r="M30" s="562" t="n">
        <f aca="true">IF($A30="S",VTOTALBM,IF($A30=0,0,ROUND(SomaAgrupBM,15-13*ORÇAMENTO!$AF$11)))</f>
        <v>0</v>
      </c>
      <c r="N30" s="206" t="n">
        <f aca="false">O30-M30</f>
        <v>0</v>
      </c>
      <c r="O30" s="196" t="n">
        <f aca="true">IF($A30="S",VTOTALBM,IF($A30=0,0,ROUND(SomaAgrupBM,15-13*ORÇAMENTO!$AF$11)))</f>
        <v>0</v>
      </c>
      <c r="Q30" s="563"/>
      <c r="R30" s="564"/>
      <c r="T30" s="188" t="str">
        <f aca="false">IF($W30&gt;0,$D30,"")</f>
        <v/>
      </c>
      <c r="U30" s="272" t="str">
        <f aca="false">IF($W30&gt;0,$E30,"")</f>
        <v/>
      </c>
      <c r="V30" s="273" t="str">
        <f aca="true">IF(AND($W30&gt;0,RegimeExecucao="Unitário"),$F30,"")</f>
        <v/>
      </c>
      <c r="W30" s="565" t="n">
        <f aca="true">IF($Y30&gt;0,CHOOSE(MATCH(RegimeExecucao,{"Unitário","Global"},0),IF($A30="S",$Y30/$X30,""),($Y30/$X30)*100),0)</f>
        <v>0</v>
      </c>
      <c r="X30" s="566" t="str">
        <f aca="true">IF($Y30&gt;0,CHOOSE(MATCH(RegimeExecucao,{"Unitário","Global"},0),IF($A30="S",ROUND($H30,ORÇAMENTO!$AF$10),""),ROUND($I30,ORÇAMENTO!$AF$11)),"")</f>
        <v/>
      </c>
      <c r="Y30" s="566" t="n">
        <f aca="false">AO30-O30</f>
        <v>0</v>
      </c>
      <c r="Z30" s="567"/>
      <c r="AB30" s="563"/>
      <c r="AC30" s="568"/>
      <c r="AD30" s="568"/>
      <c r="AE30" s="568"/>
      <c r="AF30" s="568"/>
      <c r="AG30" s="568"/>
      <c r="AH30" s="568"/>
      <c r="AI30" s="568"/>
      <c r="AJ30" s="568"/>
      <c r="AK30" s="568"/>
      <c r="AL30" s="568"/>
      <c r="AM30" s="564"/>
      <c r="AO30" s="0" t="n">
        <f aca="true">IF($A30="S",IF(BM!$I30=0,0,CHOOSE(MATCH(RegimeExecucao,{"Global","Unitário"},0),ROUND(ROUND(BM.MEDAcumulado,15-13*BM!$A$9)/100*BM!$I30,15-13*ORÇAMENTO!$AF$11),ROUND(ROUND(BM.MEDAcumulado,15-13*BM!$A$9)*ROUND(BM!$H30,15-13*ORÇAMENTO!$AF$10),15-13*ORÇAMENTO!$AF$11))),IF($A30=0,0,ROUND(SomaAgrupBM,15-13*ORÇAMENTO!$AF$11)))</f>
        <v>0</v>
      </c>
    </row>
    <row r="31" customFormat="false" ht="12.75" hidden="false" customHeight="false" outlineLevel="0" collapsed="false">
      <c r="A31" s="0" t="n">
        <f aca="false">ORÇAMENTO!C31</f>
        <v>2</v>
      </c>
      <c r="B31" s="0" t="n">
        <f aca="false">ORÇAMENTO!D31</f>
        <v>4</v>
      </c>
      <c r="C31" s="185" t="str">
        <f aca="false">IF(OR($I31&gt;0,$A31=1,$A31=2,$A31=3,$A31=4),"F","")</f>
        <v>F</v>
      </c>
      <c r="D31" s="188" t="str">
        <f aca="false">ORÇAMENTO!O31</f>
        <v>1.5.</v>
      </c>
      <c r="E31" s="272" t="str">
        <f aca="false">ORÇAMENTO.Descricao</f>
        <v>Terraplanagem</v>
      </c>
      <c r="F31" s="273" t="str">
        <f aca="true">IF(RegimeExecucao="Global","",ORÇAMENTO.Unidade)</f>
        <v>-</v>
      </c>
      <c r="G31" s="193" t="n">
        <f aca="true">IF(RegimeExecucao="Global","",ORÇAMENTO!T31)</f>
        <v>0</v>
      </c>
      <c r="H31" s="193" t="n">
        <f aca="true">IF(RegimeExecucao="Global","",ORÇAMENTO!W31)</f>
        <v>0</v>
      </c>
      <c r="I31" s="196" t="n">
        <f aca="false">ORÇAMENTO!X31</f>
        <v>0</v>
      </c>
      <c r="J31" s="560" t="n">
        <f aca="true">IF($A31="S",IF(CAIXA.Modo,BM.AFAnterior,BM.MEDAnterior),IF(AND(RegimeExecucao="Global",$I31&gt;0,COUNTIF($AB$13:$AM$13,BM.medicao-1)&gt;0),M31/$I31*100,0))</f>
        <v>0</v>
      </c>
      <c r="K31" s="193" t="n">
        <f aca="false">L31-J31</f>
        <v>0</v>
      </c>
      <c r="L31" s="561" t="n">
        <f aca="true">IF($A31="S",IF(CAIXA.Modo,BM.AFAcumulado,BM.MEDAcumulado),IF(AND(RegimeExecucao="Global",$I31&gt;0,COUNTIF($AB$13:$AM$13,BM.medicao)&gt;0),O31/$I31*100,0))</f>
        <v>0</v>
      </c>
      <c r="M31" s="562" t="n">
        <f aca="true">IF($A31="S",VTOTALBM,IF($A31=0,0,ROUND(SomaAgrupBM,15-13*ORÇAMENTO!$AF$11)))</f>
        <v>0</v>
      </c>
      <c r="N31" s="206" t="n">
        <f aca="false">O31-M31</f>
        <v>0</v>
      </c>
      <c r="O31" s="196" t="n">
        <f aca="true">IF($A31="S",VTOTALBM,IF($A31=0,0,ROUND(SomaAgrupBM,15-13*ORÇAMENTO!$AF$11)))</f>
        <v>0</v>
      </c>
      <c r="Q31" s="563"/>
      <c r="R31" s="564"/>
      <c r="T31" s="188" t="str">
        <f aca="false">IF($W31&gt;0,$D31,"")</f>
        <v/>
      </c>
      <c r="U31" s="272" t="str">
        <f aca="false">IF($W31&gt;0,$E31,"")</f>
        <v/>
      </c>
      <c r="V31" s="273" t="str">
        <f aca="true">IF(AND($W31&gt;0,RegimeExecucao="Unitário"),$F31,"")</f>
        <v/>
      </c>
      <c r="W31" s="565" t="n">
        <f aca="true">IF($Y31&gt;0,CHOOSE(MATCH(RegimeExecucao,{"Unitário","Global"},0),IF($A31="S",$Y31/$X31,""),($Y31/$X31)*100),0)</f>
        <v>0</v>
      </c>
      <c r="X31" s="566" t="str">
        <f aca="true">IF($Y31&gt;0,CHOOSE(MATCH(RegimeExecucao,{"Unitário","Global"},0),IF($A31="S",ROUND($H31,ORÇAMENTO!$AF$10),""),ROUND($I31,ORÇAMENTO!$AF$11)),"")</f>
        <v/>
      </c>
      <c r="Y31" s="566" t="n">
        <f aca="false">AO31-O31</f>
        <v>0</v>
      </c>
      <c r="Z31" s="567"/>
      <c r="AB31" s="563"/>
      <c r="AC31" s="568"/>
      <c r="AD31" s="568"/>
      <c r="AE31" s="568"/>
      <c r="AF31" s="568"/>
      <c r="AG31" s="568"/>
      <c r="AH31" s="568"/>
      <c r="AI31" s="568"/>
      <c r="AJ31" s="568"/>
      <c r="AK31" s="568"/>
      <c r="AL31" s="568"/>
      <c r="AM31" s="564"/>
      <c r="AO31" s="0" t="n">
        <f aca="true">IF($A31="S",IF(BM!$I31=0,0,CHOOSE(MATCH(RegimeExecucao,{"Global","Unitário"},0),ROUND(ROUND(BM.MEDAcumulado,15-13*BM!$A$9)/100*BM!$I31,15-13*ORÇAMENTO!$AF$11),ROUND(ROUND(BM.MEDAcumulado,15-13*BM!$A$9)*ROUND(BM!$H31,15-13*ORÇAMENTO!$AF$10),15-13*ORÇAMENTO!$AF$11))),IF($A31=0,0,ROUND(SomaAgrupBM,15-13*ORÇAMENTO!$AF$11)))</f>
        <v>0</v>
      </c>
    </row>
    <row r="32" customFormat="false" ht="12.75" hidden="false" customHeight="false" outlineLevel="0" collapsed="false">
      <c r="A32" s="0" t="str">
        <f aca="false">ORÇAMENTO!C32</f>
        <v>S</v>
      </c>
      <c r="B32" s="0" t="n">
        <f aca="false">ORÇAMENTO!D32</f>
        <v>0</v>
      </c>
      <c r="C32" s="185" t="str">
        <f aca="false">IF(OR($I32&gt;0,$A32=1,$A32=2,$A32=3,$A32=4),"F","")</f>
        <v/>
      </c>
      <c r="D32" s="188" t="str">
        <f aca="false">ORÇAMENTO!O32</f>
        <v>-</v>
      </c>
      <c r="E32" s="272" t="str">
        <f aca="false">ORÇAMENTO.Descricao</f>
        <v>(abra o arquivo 'Referência 02-Thursday.xlsm)</v>
      </c>
      <c r="F32" s="273" t="str">
        <f aca="true">IF(RegimeExecucao="Global","",ORÇAMENTO.Unidade)</f>
        <v>-</v>
      </c>
      <c r="G32" s="193" t="n">
        <f aca="true">IF(RegimeExecucao="Global","",ORÇAMENTO!T32)</f>
        <v>5860.76</v>
      </c>
      <c r="H32" s="193" t="n">
        <f aca="true">IF(RegimeExecucao="Global","",ORÇAMENTO!W32)</f>
        <v>0</v>
      </c>
      <c r="I32" s="196" t="n">
        <f aca="false">ORÇAMENTO!X32</f>
        <v>0</v>
      </c>
      <c r="J32" s="560" t="n">
        <f aca="true">IF($A32="S",IF(CAIXA.Modo,BM.AFAnterior,BM.MEDAnterior),IF(AND(RegimeExecucao="Global",$I32&gt;0,COUNTIF($AB$13:$AM$13,BM.medicao-1)&gt;0),M32/$I32*100,0))</f>
        <v>0</v>
      </c>
      <c r="K32" s="193" t="n">
        <f aca="false">L32-J32</f>
        <v>0</v>
      </c>
      <c r="L32" s="561" t="n">
        <f aca="true">IF($A32="S",IF(CAIXA.Modo,BM.AFAcumulado,BM.MEDAcumulado),IF(AND(RegimeExecucao="Global",$I32&gt;0,COUNTIF($AB$13:$AM$13,BM.medicao)&gt;0),O32/$I32*100,0))</f>
        <v>0</v>
      </c>
      <c r="M32" s="562" t="n">
        <f aca="true">IF($A32="S",VTOTALBM,IF($A32=0,0,ROUND(SomaAgrupBM,15-13*ORÇAMENTO!$AF$11)))</f>
        <v>0</v>
      </c>
      <c r="N32" s="206" t="n">
        <f aca="false">O32-M32</f>
        <v>0</v>
      </c>
      <c r="O32" s="196" t="n">
        <f aca="true">IF($A32="S",VTOTALBM,IF($A32=0,0,ROUND(SomaAgrupBM,15-13*ORÇAMENTO!$AF$11)))</f>
        <v>0</v>
      </c>
      <c r="Q32" s="563"/>
      <c r="R32" s="564"/>
      <c r="T32" s="188" t="str">
        <f aca="false">IF($W32&gt;0,$D32,"")</f>
        <v/>
      </c>
      <c r="U32" s="272" t="str">
        <f aca="false">IF($W32&gt;0,$E32,"")</f>
        <v/>
      </c>
      <c r="V32" s="273" t="str">
        <f aca="true">IF(AND($W32&gt;0,RegimeExecucao="Unitário"),$F32,"")</f>
        <v/>
      </c>
      <c r="W32" s="565" t="n">
        <f aca="true">IF($Y32&gt;0,CHOOSE(MATCH(RegimeExecucao,{"Unitário","Global"},0),IF($A32="S",$Y32/$X32,""),($Y32/$X32)*100),0)</f>
        <v>0</v>
      </c>
      <c r="X32" s="566" t="str">
        <f aca="true">IF($Y32&gt;0,CHOOSE(MATCH(RegimeExecucao,{"Unitário","Global"},0),IF($A32="S",ROUND($H32,ORÇAMENTO!$AF$10),""),ROUND($I32,ORÇAMENTO!$AF$11)),"")</f>
        <v/>
      </c>
      <c r="Y32" s="566" t="n">
        <f aca="false">AO32-O32</f>
        <v>0</v>
      </c>
      <c r="Z32" s="567"/>
      <c r="AB32" s="563"/>
      <c r="AC32" s="568"/>
      <c r="AD32" s="568"/>
      <c r="AE32" s="568"/>
      <c r="AF32" s="568"/>
      <c r="AG32" s="568"/>
      <c r="AH32" s="568"/>
      <c r="AI32" s="568"/>
      <c r="AJ32" s="568"/>
      <c r="AK32" s="568"/>
      <c r="AL32" s="568"/>
      <c r="AM32" s="564"/>
      <c r="AO32" s="0" t="n">
        <f aca="true">IF($A32="S",IF(BM!$I32=0,0,CHOOSE(MATCH(RegimeExecucao,{"Global","Unitário"},0),ROUND(ROUND(BM.MEDAcumulado,15-13*BM!$A$9)/100*BM!$I32,15-13*ORÇAMENTO!$AF$11),ROUND(ROUND(BM.MEDAcumulado,15-13*BM!$A$9)*ROUND(BM!$H32,15-13*ORÇAMENTO!$AF$10),15-13*ORÇAMENTO!$AF$11))),IF($A32=0,0,ROUND(SomaAgrupBM,15-13*ORÇAMENTO!$AF$11)))</f>
        <v>0</v>
      </c>
    </row>
    <row r="33" customFormat="false" ht="12.75" hidden="false" customHeight="false" outlineLevel="0" collapsed="false">
      <c r="A33" s="0" t="str">
        <f aca="false">ORÇAMENTO!C33</f>
        <v>S</v>
      </c>
      <c r="B33" s="0" t="n">
        <f aca="false">ORÇAMENTO!D33</f>
        <v>0</v>
      </c>
      <c r="C33" s="185" t="str">
        <f aca="false">IF(OR($I33&gt;0,$A33=1,$A33=2,$A33=3,$A33=4),"F","")</f>
        <v/>
      </c>
      <c r="D33" s="188" t="str">
        <f aca="false">ORÇAMENTO!O33</f>
        <v>-</v>
      </c>
      <c r="E33" s="272" t="str">
        <f aca="false">ORÇAMENTO.Descricao</f>
        <v>(abra o arquivo 'Referência 02-Thursday.xlsm)</v>
      </c>
      <c r="F33" s="273" t="str">
        <f aca="true">IF(RegimeExecucao="Global","",ORÇAMENTO.Unidade)</f>
        <v>-</v>
      </c>
      <c r="G33" s="193" t="n">
        <f aca="true">IF(RegimeExecucao="Global","",ORÇAMENTO!T33)</f>
        <v>1464.31</v>
      </c>
      <c r="H33" s="193" t="n">
        <f aca="true">IF(RegimeExecucao="Global","",ORÇAMENTO!W33)</f>
        <v>0</v>
      </c>
      <c r="I33" s="196" t="n">
        <f aca="false">ORÇAMENTO!X33</f>
        <v>0</v>
      </c>
      <c r="J33" s="560" t="n">
        <f aca="true">IF($A33="S",IF(CAIXA.Modo,BM.AFAnterior,BM.MEDAnterior),IF(AND(RegimeExecucao="Global",$I33&gt;0,COUNTIF($AB$13:$AM$13,BM.medicao-1)&gt;0),M33/$I33*100,0))</f>
        <v>0</v>
      </c>
      <c r="K33" s="193" t="n">
        <f aca="false">L33-J33</f>
        <v>0</v>
      </c>
      <c r="L33" s="561" t="n">
        <f aca="true">IF($A33="S",IF(CAIXA.Modo,BM.AFAcumulado,BM.MEDAcumulado),IF(AND(RegimeExecucao="Global",$I33&gt;0,COUNTIF($AB$13:$AM$13,BM.medicao)&gt;0),O33/$I33*100,0))</f>
        <v>0</v>
      </c>
      <c r="M33" s="562" t="n">
        <f aca="true">IF($A33="S",VTOTALBM,IF($A33=0,0,ROUND(SomaAgrupBM,15-13*ORÇAMENTO!$AF$11)))</f>
        <v>0</v>
      </c>
      <c r="N33" s="206" t="n">
        <f aca="false">O33-M33</f>
        <v>0</v>
      </c>
      <c r="O33" s="196" t="n">
        <f aca="true">IF($A33="S",VTOTALBM,IF($A33=0,0,ROUND(SomaAgrupBM,15-13*ORÇAMENTO!$AF$11)))</f>
        <v>0</v>
      </c>
      <c r="Q33" s="563"/>
      <c r="R33" s="564"/>
      <c r="T33" s="188" t="str">
        <f aca="false">IF($W33&gt;0,$D33,"")</f>
        <v/>
      </c>
      <c r="U33" s="272" t="str">
        <f aca="false">IF($W33&gt;0,$E33,"")</f>
        <v/>
      </c>
      <c r="V33" s="273" t="str">
        <f aca="true">IF(AND($W33&gt;0,RegimeExecucao="Unitário"),$F33,"")</f>
        <v/>
      </c>
      <c r="W33" s="565" t="n">
        <f aca="true">IF($Y33&gt;0,CHOOSE(MATCH(RegimeExecucao,{"Unitário","Global"},0),IF($A33="S",$Y33/$X33,""),($Y33/$X33)*100),0)</f>
        <v>0</v>
      </c>
      <c r="X33" s="566" t="str">
        <f aca="true">IF($Y33&gt;0,CHOOSE(MATCH(RegimeExecucao,{"Unitário","Global"},0),IF($A33="S",ROUND($H33,ORÇAMENTO!$AF$10),""),ROUND($I33,ORÇAMENTO!$AF$11)),"")</f>
        <v/>
      </c>
      <c r="Y33" s="566" t="n">
        <f aca="false">AO33-O33</f>
        <v>0</v>
      </c>
      <c r="Z33" s="567"/>
      <c r="AB33" s="563"/>
      <c r="AC33" s="568"/>
      <c r="AD33" s="568"/>
      <c r="AE33" s="568"/>
      <c r="AF33" s="568"/>
      <c r="AG33" s="568"/>
      <c r="AH33" s="568"/>
      <c r="AI33" s="568"/>
      <c r="AJ33" s="568"/>
      <c r="AK33" s="568"/>
      <c r="AL33" s="568"/>
      <c r="AM33" s="564"/>
      <c r="AO33" s="0" t="n">
        <f aca="true">IF($A33="S",IF(BM!$I33=0,0,CHOOSE(MATCH(RegimeExecucao,{"Global","Unitário"},0),ROUND(ROUND(BM.MEDAcumulado,15-13*BM!$A$9)/100*BM!$I33,15-13*ORÇAMENTO!$AF$11),ROUND(ROUND(BM.MEDAcumulado,15-13*BM!$A$9)*ROUND(BM!$H33,15-13*ORÇAMENTO!$AF$10),15-13*ORÇAMENTO!$AF$11))),IF($A33=0,0,ROUND(SomaAgrupBM,15-13*ORÇAMENTO!$AF$11)))</f>
        <v>0</v>
      </c>
    </row>
    <row r="34" customFormat="false" ht="12.75" hidden="false" customHeight="false" outlineLevel="0" collapsed="false">
      <c r="A34" s="0" t="str">
        <f aca="false">ORÇAMENTO!C34</f>
        <v>S</v>
      </c>
      <c r="B34" s="0" t="n">
        <f aca="false">ORÇAMENTO!D34</f>
        <v>0</v>
      </c>
      <c r="C34" s="185" t="str">
        <f aca="false">IF(OR($I34&gt;0,$A34=1,$A34=2,$A34=3,$A34=4),"F","")</f>
        <v/>
      </c>
      <c r="D34" s="188" t="str">
        <f aca="false">ORÇAMENTO!O34</f>
        <v>-</v>
      </c>
      <c r="E34" s="272" t="str">
        <f aca="false">ORÇAMENTO.Descricao</f>
        <v>(abra o arquivo 'Referência 02-Thursday.xlsm)</v>
      </c>
      <c r="F34" s="273" t="str">
        <f aca="true">IF(RegimeExecucao="Global","",ORÇAMENTO.Unidade)</f>
        <v>-</v>
      </c>
      <c r="G34" s="193" t="n">
        <f aca="true">IF(RegimeExecucao="Global","",ORÇAMENTO!T34)</f>
        <v>4500</v>
      </c>
      <c r="H34" s="193" t="n">
        <f aca="true">IF(RegimeExecucao="Global","",ORÇAMENTO!W34)</f>
        <v>0</v>
      </c>
      <c r="I34" s="196" t="n">
        <f aca="false">ORÇAMENTO!X34</f>
        <v>0</v>
      </c>
      <c r="J34" s="560" t="n">
        <f aca="true">IF($A34="S",IF(CAIXA.Modo,BM.AFAnterior,BM.MEDAnterior),IF(AND(RegimeExecucao="Global",$I34&gt;0,COUNTIF($AB$13:$AM$13,BM.medicao-1)&gt;0),M34/$I34*100,0))</f>
        <v>0</v>
      </c>
      <c r="K34" s="193" t="n">
        <f aca="false">L34-J34</f>
        <v>0</v>
      </c>
      <c r="L34" s="561" t="n">
        <f aca="true">IF($A34="S",IF(CAIXA.Modo,BM.AFAcumulado,BM.MEDAcumulado),IF(AND(RegimeExecucao="Global",$I34&gt;0,COUNTIF($AB$13:$AM$13,BM.medicao)&gt;0),O34/$I34*100,0))</f>
        <v>0</v>
      </c>
      <c r="M34" s="562" t="n">
        <f aca="true">IF($A34="S",VTOTALBM,IF($A34=0,0,ROUND(SomaAgrupBM,15-13*ORÇAMENTO!$AF$11)))</f>
        <v>0</v>
      </c>
      <c r="N34" s="206" t="n">
        <f aca="false">O34-M34</f>
        <v>0</v>
      </c>
      <c r="O34" s="196" t="n">
        <f aca="true">IF($A34="S",VTOTALBM,IF($A34=0,0,ROUND(SomaAgrupBM,15-13*ORÇAMENTO!$AF$11)))</f>
        <v>0</v>
      </c>
      <c r="Q34" s="563"/>
      <c r="R34" s="564"/>
      <c r="T34" s="188" t="str">
        <f aca="false">IF($W34&gt;0,$D34,"")</f>
        <v/>
      </c>
      <c r="U34" s="272" t="str">
        <f aca="false">IF($W34&gt;0,$E34,"")</f>
        <v/>
      </c>
      <c r="V34" s="273" t="str">
        <f aca="true">IF(AND($W34&gt;0,RegimeExecucao="Unitário"),$F34,"")</f>
        <v/>
      </c>
      <c r="W34" s="565" t="n">
        <f aca="true">IF($Y34&gt;0,CHOOSE(MATCH(RegimeExecucao,{"Unitário","Global"},0),IF($A34="S",$Y34/$X34,""),($Y34/$X34)*100),0)</f>
        <v>0</v>
      </c>
      <c r="X34" s="566" t="str">
        <f aca="true">IF($Y34&gt;0,CHOOSE(MATCH(RegimeExecucao,{"Unitário","Global"},0),IF($A34="S",ROUND($H34,ORÇAMENTO!$AF$10),""),ROUND($I34,ORÇAMENTO!$AF$11)),"")</f>
        <v/>
      </c>
      <c r="Y34" s="566" t="n">
        <f aca="false">AO34-O34</f>
        <v>0</v>
      </c>
      <c r="Z34" s="567"/>
      <c r="AB34" s="563"/>
      <c r="AC34" s="568"/>
      <c r="AD34" s="568"/>
      <c r="AE34" s="568"/>
      <c r="AF34" s="568"/>
      <c r="AG34" s="568"/>
      <c r="AH34" s="568"/>
      <c r="AI34" s="568"/>
      <c r="AJ34" s="568"/>
      <c r="AK34" s="568"/>
      <c r="AL34" s="568"/>
      <c r="AM34" s="564"/>
      <c r="AO34" s="0" t="n">
        <f aca="true">IF($A34="S",IF(BM!$I34=0,0,CHOOSE(MATCH(RegimeExecucao,{"Global","Unitário"},0),ROUND(ROUND(BM.MEDAcumulado,15-13*BM!$A$9)/100*BM!$I34,15-13*ORÇAMENTO!$AF$11),ROUND(ROUND(BM.MEDAcumulado,15-13*BM!$A$9)*ROUND(BM!$H34,15-13*ORÇAMENTO!$AF$10),15-13*ORÇAMENTO!$AF$11))),IF($A34=0,0,ROUND(SomaAgrupBM,15-13*ORÇAMENTO!$AF$11)))</f>
        <v>0</v>
      </c>
    </row>
    <row r="35" customFormat="false" ht="12.75" hidden="false" customHeight="false" outlineLevel="0" collapsed="false">
      <c r="A35" s="0" t="n">
        <f aca="false">ORÇAMENTO!C35</f>
        <v>2</v>
      </c>
      <c r="B35" s="0" t="n">
        <f aca="false">ORÇAMENTO!D35</f>
        <v>3</v>
      </c>
      <c r="C35" s="185" t="str">
        <f aca="false">IF(OR($I35&gt;0,$A35=1,$A35=2,$A35=3,$A35=4),"F","")</f>
        <v>F</v>
      </c>
      <c r="D35" s="188" t="str">
        <f aca="false">ORÇAMENTO!O35</f>
        <v>1.6.</v>
      </c>
      <c r="E35" s="272" t="str">
        <f aca="false">ORÇAMENTO.Descricao</f>
        <v>Subbase</v>
      </c>
      <c r="F35" s="273" t="str">
        <f aca="true">IF(RegimeExecucao="Global","",ORÇAMENTO.Unidade)</f>
        <v>-</v>
      </c>
      <c r="G35" s="193" t="n">
        <f aca="true">IF(RegimeExecucao="Global","",ORÇAMENTO!T35)</f>
        <v>0</v>
      </c>
      <c r="H35" s="193" t="n">
        <f aca="true">IF(RegimeExecucao="Global","",ORÇAMENTO!W35)</f>
        <v>0</v>
      </c>
      <c r="I35" s="196" t="n">
        <f aca="false">ORÇAMENTO!X35</f>
        <v>0</v>
      </c>
      <c r="J35" s="560" t="n">
        <f aca="true">IF($A35="S",IF(CAIXA.Modo,BM.AFAnterior,BM.MEDAnterior),IF(AND(RegimeExecucao="Global",$I35&gt;0,COUNTIF($AB$13:$AM$13,BM.medicao-1)&gt;0),M35/$I35*100,0))</f>
        <v>0</v>
      </c>
      <c r="K35" s="193" t="n">
        <f aca="false">L35-J35</f>
        <v>0</v>
      </c>
      <c r="L35" s="561" t="n">
        <f aca="true">IF($A35="S",IF(CAIXA.Modo,BM.AFAcumulado,BM.MEDAcumulado),IF(AND(RegimeExecucao="Global",$I35&gt;0,COUNTIF($AB$13:$AM$13,BM.medicao)&gt;0),O35/$I35*100,0))</f>
        <v>0</v>
      </c>
      <c r="M35" s="562" t="n">
        <f aca="true">IF($A35="S",VTOTALBM,IF($A35=0,0,ROUND(SomaAgrupBM,15-13*ORÇAMENTO!$AF$11)))</f>
        <v>0</v>
      </c>
      <c r="N35" s="206" t="n">
        <f aca="false">O35-M35</f>
        <v>0</v>
      </c>
      <c r="O35" s="196" t="n">
        <f aca="true">IF($A35="S",VTOTALBM,IF($A35=0,0,ROUND(SomaAgrupBM,15-13*ORÇAMENTO!$AF$11)))</f>
        <v>0</v>
      </c>
      <c r="Q35" s="563"/>
      <c r="R35" s="564"/>
      <c r="T35" s="188" t="str">
        <f aca="false">IF($W35&gt;0,$D35,"")</f>
        <v/>
      </c>
      <c r="U35" s="272" t="str">
        <f aca="false">IF($W35&gt;0,$E35,"")</f>
        <v/>
      </c>
      <c r="V35" s="273" t="str">
        <f aca="true">IF(AND($W35&gt;0,RegimeExecucao="Unitário"),$F35,"")</f>
        <v/>
      </c>
      <c r="W35" s="565" t="n">
        <f aca="true">IF($Y35&gt;0,CHOOSE(MATCH(RegimeExecucao,{"Unitário","Global"},0),IF($A35="S",$Y35/$X35,""),($Y35/$X35)*100),0)</f>
        <v>0</v>
      </c>
      <c r="X35" s="566" t="str">
        <f aca="true">IF($Y35&gt;0,CHOOSE(MATCH(RegimeExecucao,{"Unitário","Global"},0),IF($A35="S",ROUND($H35,ORÇAMENTO!$AF$10),""),ROUND($I35,ORÇAMENTO!$AF$11)),"")</f>
        <v/>
      </c>
      <c r="Y35" s="566" t="n">
        <f aca="false">AO35-O35</f>
        <v>0</v>
      </c>
      <c r="Z35" s="567"/>
      <c r="AB35" s="563"/>
      <c r="AC35" s="568"/>
      <c r="AD35" s="568"/>
      <c r="AE35" s="568"/>
      <c r="AF35" s="568"/>
      <c r="AG35" s="568"/>
      <c r="AH35" s="568"/>
      <c r="AI35" s="568"/>
      <c r="AJ35" s="568"/>
      <c r="AK35" s="568"/>
      <c r="AL35" s="568"/>
      <c r="AM35" s="564"/>
      <c r="AO35" s="0" t="n">
        <f aca="true">IF($A35="S",IF(BM!$I35=0,0,CHOOSE(MATCH(RegimeExecucao,{"Global","Unitário"},0),ROUND(ROUND(BM.MEDAcumulado,15-13*BM!$A$9)/100*BM!$I35,15-13*ORÇAMENTO!$AF$11),ROUND(ROUND(BM.MEDAcumulado,15-13*BM!$A$9)*ROUND(BM!$H35,15-13*ORÇAMENTO!$AF$10),15-13*ORÇAMENTO!$AF$11))),IF($A35=0,0,ROUND(SomaAgrupBM,15-13*ORÇAMENTO!$AF$11)))</f>
        <v>0</v>
      </c>
    </row>
    <row r="36" customFormat="false" ht="12.75" hidden="false" customHeight="false" outlineLevel="0" collapsed="false">
      <c r="A36" s="0" t="str">
        <f aca="false">ORÇAMENTO!C36</f>
        <v>S</v>
      </c>
      <c r="B36" s="0" t="n">
        <f aca="false">ORÇAMENTO!D36</f>
        <v>0</v>
      </c>
      <c r="C36" s="185" t="str">
        <f aca="false">IF(OR($I36&gt;0,$A36=1,$A36=2,$A36=3,$A36=4),"F","")</f>
        <v/>
      </c>
      <c r="D36" s="188" t="str">
        <f aca="false">ORÇAMENTO!O36</f>
        <v>-</v>
      </c>
      <c r="E36" s="272" t="str">
        <f aca="false">ORÇAMENTO.Descricao</f>
        <v>(abra o arquivo 'Referência 02-Thursday.xlsm)</v>
      </c>
      <c r="F36" s="273" t="str">
        <f aca="true">IF(RegimeExecucao="Global","",ORÇAMENTO.Unidade)</f>
        <v>-</v>
      </c>
      <c r="G36" s="193" t="n">
        <f aca="true">IF(RegimeExecucao="Global","",ORÇAMENTO!T36)</f>
        <v>675</v>
      </c>
      <c r="H36" s="193" t="n">
        <f aca="true">IF(RegimeExecucao="Global","",ORÇAMENTO!W36)</f>
        <v>0</v>
      </c>
      <c r="I36" s="196" t="n">
        <f aca="false">ORÇAMENTO!X36</f>
        <v>0</v>
      </c>
      <c r="J36" s="560" t="n">
        <f aca="true">IF($A36="S",IF(CAIXA.Modo,BM.AFAnterior,BM.MEDAnterior),IF(AND(RegimeExecucao="Global",$I36&gt;0,COUNTIF($AB$13:$AM$13,BM.medicao-1)&gt;0),M36/$I36*100,0))</f>
        <v>0</v>
      </c>
      <c r="K36" s="193" t="n">
        <f aca="false">L36-J36</f>
        <v>0</v>
      </c>
      <c r="L36" s="561" t="n">
        <f aca="true">IF($A36="S",IF(CAIXA.Modo,BM.AFAcumulado,BM.MEDAcumulado),IF(AND(RegimeExecucao="Global",$I36&gt;0,COUNTIF($AB$13:$AM$13,BM.medicao)&gt;0),O36/$I36*100,0))</f>
        <v>0</v>
      </c>
      <c r="M36" s="562" t="n">
        <f aca="true">IF($A36="S",VTOTALBM,IF($A36=0,0,ROUND(SomaAgrupBM,15-13*ORÇAMENTO!$AF$11)))</f>
        <v>0</v>
      </c>
      <c r="N36" s="206" t="n">
        <f aca="false">O36-M36</f>
        <v>0</v>
      </c>
      <c r="O36" s="196" t="n">
        <f aca="true">IF($A36="S",VTOTALBM,IF($A36=0,0,ROUND(SomaAgrupBM,15-13*ORÇAMENTO!$AF$11)))</f>
        <v>0</v>
      </c>
      <c r="Q36" s="563"/>
      <c r="R36" s="564"/>
      <c r="T36" s="188" t="str">
        <f aca="false">IF($W36&gt;0,$D36,"")</f>
        <v/>
      </c>
      <c r="U36" s="272" t="str">
        <f aca="false">IF($W36&gt;0,$E36,"")</f>
        <v/>
      </c>
      <c r="V36" s="273" t="str">
        <f aca="true">IF(AND($W36&gt;0,RegimeExecucao="Unitário"),$F36,"")</f>
        <v/>
      </c>
      <c r="W36" s="565" t="n">
        <f aca="true">IF($Y36&gt;0,CHOOSE(MATCH(RegimeExecucao,{"Unitário","Global"},0),IF($A36="S",$Y36/$X36,""),($Y36/$X36)*100),0)</f>
        <v>0</v>
      </c>
      <c r="X36" s="566" t="str">
        <f aca="true">IF($Y36&gt;0,CHOOSE(MATCH(RegimeExecucao,{"Unitário","Global"},0),IF($A36="S",ROUND($H36,ORÇAMENTO!$AF$10),""),ROUND($I36,ORÇAMENTO!$AF$11)),"")</f>
        <v/>
      </c>
      <c r="Y36" s="566" t="n">
        <f aca="false">AO36-O36</f>
        <v>0</v>
      </c>
      <c r="Z36" s="567"/>
      <c r="AB36" s="563"/>
      <c r="AC36" s="568"/>
      <c r="AD36" s="568"/>
      <c r="AE36" s="568"/>
      <c r="AF36" s="568"/>
      <c r="AG36" s="568"/>
      <c r="AH36" s="568"/>
      <c r="AI36" s="568"/>
      <c r="AJ36" s="568"/>
      <c r="AK36" s="568"/>
      <c r="AL36" s="568"/>
      <c r="AM36" s="564"/>
      <c r="AO36" s="0" t="n">
        <f aca="true">IF($A36="S",IF(BM!$I36=0,0,CHOOSE(MATCH(RegimeExecucao,{"Global","Unitário"},0),ROUND(ROUND(BM.MEDAcumulado,15-13*BM!$A$9)/100*BM!$I36,15-13*ORÇAMENTO!$AF$11),ROUND(ROUND(BM.MEDAcumulado,15-13*BM!$A$9)*ROUND(BM!$H36,15-13*ORÇAMENTO!$AF$10),15-13*ORÇAMENTO!$AF$11))),IF($A36=0,0,ROUND(SomaAgrupBM,15-13*ORÇAMENTO!$AF$11)))</f>
        <v>0</v>
      </c>
    </row>
    <row r="37" customFormat="false" ht="12.75" hidden="false" customHeight="false" outlineLevel="0" collapsed="false">
      <c r="A37" s="0" t="str">
        <f aca="false">ORÇAMENTO!C37</f>
        <v>S</v>
      </c>
      <c r="B37" s="0" t="n">
        <f aca="false">ORÇAMENTO!D37</f>
        <v>0</v>
      </c>
      <c r="C37" s="185" t="str">
        <f aca="false">IF(OR($I37&gt;0,$A37=1,$A37=2,$A37=3,$A37=4),"F","")</f>
        <v/>
      </c>
      <c r="D37" s="188" t="str">
        <f aca="false">ORÇAMENTO!O37</f>
        <v>-</v>
      </c>
      <c r="E37" s="272" t="str">
        <f aca="false">ORÇAMENTO.Descricao</f>
        <v>(abra o arquivo 'Referência 02-Thursday.xlsm)</v>
      </c>
      <c r="F37" s="273" t="str">
        <f aca="true">IF(RegimeExecucao="Global","",ORÇAMENTO.Unidade)</f>
        <v>-</v>
      </c>
      <c r="G37" s="193" t="n">
        <f aca="true">IF(RegimeExecucao="Global","",ORÇAMENTO!T37)</f>
        <v>121975.88</v>
      </c>
      <c r="H37" s="193" t="n">
        <f aca="true">IF(RegimeExecucao="Global","",ORÇAMENTO!W37)</f>
        <v>0</v>
      </c>
      <c r="I37" s="196" t="n">
        <f aca="false">ORÇAMENTO!X37</f>
        <v>0</v>
      </c>
      <c r="J37" s="560" t="n">
        <f aca="true">IF($A37="S",IF(CAIXA.Modo,BM.AFAnterior,BM.MEDAnterior),IF(AND(RegimeExecucao="Global",$I37&gt;0,COUNTIF($AB$13:$AM$13,BM.medicao-1)&gt;0),M37/$I37*100,0))</f>
        <v>0</v>
      </c>
      <c r="K37" s="193" t="n">
        <f aca="false">L37-J37</f>
        <v>0</v>
      </c>
      <c r="L37" s="561" t="n">
        <f aca="true">IF($A37="S",IF(CAIXA.Modo,BM.AFAcumulado,BM.MEDAcumulado),IF(AND(RegimeExecucao="Global",$I37&gt;0,COUNTIF($AB$13:$AM$13,BM.medicao)&gt;0),O37/$I37*100,0))</f>
        <v>0</v>
      </c>
      <c r="M37" s="562" t="n">
        <f aca="true">IF($A37="S",VTOTALBM,IF($A37=0,0,ROUND(SomaAgrupBM,15-13*ORÇAMENTO!$AF$11)))</f>
        <v>0</v>
      </c>
      <c r="N37" s="206" t="n">
        <f aca="false">O37-M37</f>
        <v>0</v>
      </c>
      <c r="O37" s="196" t="n">
        <f aca="true">IF($A37="S",VTOTALBM,IF($A37=0,0,ROUND(SomaAgrupBM,15-13*ORÇAMENTO!$AF$11)))</f>
        <v>0</v>
      </c>
      <c r="Q37" s="563"/>
      <c r="R37" s="564"/>
      <c r="T37" s="188" t="str">
        <f aca="false">IF($W37&gt;0,$D37,"")</f>
        <v/>
      </c>
      <c r="U37" s="272" t="str">
        <f aca="false">IF($W37&gt;0,$E37,"")</f>
        <v/>
      </c>
      <c r="V37" s="273" t="str">
        <f aca="true">IF(AND($W37&gt;0,RegimeExecucao="Unitário"),$F37,"")</f>
        <v/>
      </c>
      <c r="W37" s="565" t="n">
        <f aca="true">IF($Y37&gt;0,CHOOSE(MATCH(RegimeExecucao,{"Unitário","Global"},0),IF($A37="S",$Y37/$X37,""),($Y37/$X37)*100),0)</f>
        <v>0</v>
      </c>
      <c r="X37" s="566" t="str">
        <f aca="true">IF($Y37&gt;0,CHOOSE(MATCH(RegimeExecucao,{"Unitário","Global"},0),IF($A37="S",ROUND($H37,ORÇAMENTO!$AF$10),""),ROUND($I37,ORÇAMENTO!$AF$11)),"")</f>
        <v/>
      </c>
      <c r="Y37" s="566" t="n">
        <f aca="false">AO37-O37</f>
        <v>0</v>
      </c>
      <c r="Z37" s="567"/>
      <c r="AB37" s="563"/>
      <c r="AC37" s="568"/>
      <c r="AD37" s="568"/>
      <c r="AE37" s="568"/>
      <c r="AF37" s="568"/>
      <c r="AG37" s="568"/>
      <c r="AH37" s="568"/>
      <c r="AI37" s="568"/>
      <c r="AJ37" s="568"/>
      <c r="AK37" s="568"/>
      <c r="AL37" s="568"/>
      <c r="AM37" s="564"/>
      <c r="AO37" s="0" t="n">
        <f aca="true">IF($A37="S",IF(BM!$I37=0,0,CHOOSE(MATCH(RegimeExecucao,{"Global","Unitário"},0),ROUND(ROUND(BM.MEDAcumulado,15-13*BM!$A$9)/100*BM!$I37,15-13*ORÇAMENTO!$AF$11),ROUND(ROUND(BM.MEDAcumulado,15-13*BM!$A$9)*ROUND(BM!$H37,15-13*ORÇAMENTO!$AF$10),15-13*ORÇAMENTO!$AF$11))),IF($A37=0,0,ROUND(SomaAgrupBM,15-13*ORÇAMENTO!$AF$11)))</f>
        <v>0</v>
      </c>
    </row>
    <row r="38" customFormat="false" ht="12.75" hidden="false" customHeight="false" outlineLevel="0" collapsed="false">
      <c r="A38" s="0" t="n">
        <f aca="false">ORÇAMENTO!C38</f>
        <v>2</v>
      </c>
      <c r="B38" s="0" t="n">
        <f aca="false">ORÇAMENTO!D38</f>
        <v>9</v>
      </c>
      <c r="C38" s="185" t="str">
        <f aca="false">IF(OR($I38&gt;0,$A38=1,$A38=2,$A38=3,$A38=4),"F","")</f>
        <v>F</v>
      </c>
      <c r="D38" s="188" t="str">
        <f aca="false">ORÇAMENTO!O38</f>
        <v>1.7.</v>
      </c>
      <c r="E38" s="272" t="str">
        <f aca="false">ORÇAMENTO.Descricao</f>
        <v>Base  </v>
      </c>
      <c r="F38" s="273" t="str">
        <f aca="true">IF(RegimeExecucao="Global","",ORÇAMENTO.Unidade)</f>
        <v>-</v>
      </c>
      <c r="G38" s="193" t="n">
        <f aca="true">IF(RegimeExecucao="Global","",ORÇAMENTO!T38)</f>
        <v>0</v>
      </c>
      <c r="H38" s="193" t="n">
        <f aca="true">IF(RegimeExecucao="Global","",ORÇAMENTO!W38)</f>
        <v>0</v>
      </c>
      <c r="I38" s="196" t="n">
        <f aca="false">ORÇAMENTO!X38</f>
        <v>0</v>
      </c>
      <c r="J38" s="560" t="n">
        <f aca="true">IF($A38="S",IF(CAIXA.Modo,BM.AFAnterior,BM.MEDAnterior),IF(AND(RegimeExecucao="Global",$I38&gt;0,COUNTIF($AB$13:$AM$13,BM.medicao-1)&gt;0),M38/$I38*100,0))</f>
        <v>0</v>
      </c>
      <c r="K38" s="193" t="n">
        <f aca="false">L38-J38</f>
        <v>0</v>
      </c>
      <c r="L38" s="561" t="n">
        <f aca="true">IF($A38="S",IF(CAIXA.Modo,BM.AFAcumulado,BM.MEDAcumulado),IF(AND(RegimeExecucao="Global",$I38&gt;0,COUNTIF($AB$13:$AM$13,BM.medicao)&gt;0),O38/$I38*100,0))</f>
        <v>0</v>
      </c>
      <c r="M38" s="562" t="n">
        <f aca="true">IF($A38="S",VTOTALBM,IF($A38=0,0,ROUND(SomaAgrupBM,15-13*ORÇAMENTO!$AF$11)))</f>
        <v>0</v>
      </c>
      <c r="N38" s="206" t="n">
        <f aca="false">O38-M38</f>
        <v>0</v>
      </c>
      <c r="O38" s="196" t="n">
        <f aca="true">IF($A38="S",VTOTALBM,IF($A38=0,0,ROUND(SomaAgrupBM,15-13*ORÇAMENTO!$AF$11)))</f>
        <v>0</v>
      </c>
      <c r="Q38" s="563"/>
      <c r="R38" s="564"/>
      <c r="T38" s="188" t="str">
        <f aca="false">IF($W38&gt;0,$D38,"")</f>
        <v/>
      </c>
      <c r="U38" s="272" t="str">
        <f aca="false">IF($W38&gt;0,$E38,"")</f>
        <v/>
      </c>
      <c r="V38" s="273" t="str">
        <f aca="true">IF(AND($W38&gt;0,RegimeExecucao="Unitário"),$F38,"")</f>
        <v/>
      </c>
      <c r="W38" s="565" t="n">
        <f aca="true">IF($Y38&gt;0,CHOOSE(MATCH(RegimeExecucao,{"Unitário","Global"},0),IF($A38="S",$Y38/$X38,""),($Y38/$X38)*100),0)</f>
        <v>0</v>
      </c>
      <c r="X38" s="566" t="str">
        <f aca="true">IF($Y38&gt;0,CHOOSE(MATCH(RegimeExecucao,{"Unitário","Global"},0),IF($A38="S",ROUND($H38,ORÇAMENTO!$AF$10),""),ROUND($I38,ORÇAMENTO!$AF$11)),"")</f>
        <v/>
      </c>
      <c r="Y38" s="566" t="n">
        <f aca="false">AO38-O38</f>
        <v>0</v>
      </c>
      <c r="Z38" s="567"/>
      <c r="AB38" s="563"/>
      <c r="AC38" s="568"/>
      <c r="AD38" s="568"/>
      <c r="AE38" s="568"/>
      <c r="AF38" s="568"/>
      <c r="AG38" s="568"/>
      <c r="AH38" s="568"/>
      <c r="AI38" s="568"/>
      <c r="AJ38" s="568"/>
      <c r="AK38" s="568"/>
      <c r="AL38" s="568"/>
      <c r="AM38" s="564"/>
      <c r="AO38" s="0" t="n">
        <f aca="true">IF($A38="S",IF(BM!$I38=0,0,CHOOSE(MATCH(RegimeExecucao,{"Global","Unitário"},0),ROUND(ROUND(BM.MEDAcumulado,15-13*BM!$A$9)/100*BM!$I38,15-13*ORÇAMENTO!$AF$11),ROUND(ROUND(BM.MEDAcumulado,15-13*BM!$A$9)*ROUND(BM!$H38,15-13*ORÇAMENTO!$AF$10),15-13*ORÇAMENTO!$AF$11))),IF($A38=0,0,ROUND(SomaAgrupBM,15-13*ORÇAMENTO!$AF$11)))</f>
        <v>0</v>
      </c>
    </row>
    <row r="39" customFormat="false" ht="12.75" hidden="false" customHeight="false" outlineLevel="0" collapsed="false">
      <c r="A39" s="0" t="str">
        <f aca="false">ORÇAMENTO!C39</f>
        <v>S</v>
      </c>
      <c r="B39" s="0" t="n">
        <f aca="false">ORÇAMENTO!D39</f>
        <v>0</v>
      </c>
      <c r="C39" s="185" t="str">
        <f aca="false">IF(OR($I39&gt;0,$A39=1,$A39=2,$A39=3,$A39=4),"F","")</f>
        <v/>
      </c>
      <c r="D39" s="188" t="str">
        <f aca="false">ORÇAMENTO!O39</f>
        <v>-</v>
      </c>
      <c r="E39" s="272" t="str">
        <f aca="false">ORÇAMENTO.Descricao</f>
        <v>(abra o arquivo 'Referência 02-Thursday.xlsm)</v>
      </c>
      <c r="F39" s="273" t="str">
        <f aca="true">IF(RegimeExecucao="Global","",ORÇAMENTO.Unidade)</f>
        <v>-</v>
      </c>
      <c r="G39" s="193" t="n">
        <f aca="true">IF(RegimeExecucao="Global","",ORÇAMENTO!T39)</f>
        <v>675</v>
      </c>
      <c r="H39" s="193" t="n">
        <f aca="true">IF(RegimeExecucao="Global","",ORÇAMENTO!W39)</f>
        <v>0</v>
      </c>
      <c r="I39" s="196" t="n">
        <f aca="false">ORÇAMENTO!X39</f>
        <v>0</v>
      </c>
      <c r="J39" s="560" t="n">
        <f aca="true">IF($A39="S",IF(CAIXA.Modo,BM.AFAnterior,BM.MEDAnterior),IF(AND(RegimeExecucao="Global",$I39&gt;0,COUNTIF($AB$13:$AM$13,BM.medicao-1)&gt;0),M39/$I39*100,0))</f>
        <v>0</v>
      </c>
      <c r="K39" s="193" t="n">
        <f aca="false">L39-J39</f>
        <v>0</v>
      </c>
      <c r="L39" s="561" t="n">
        <f aca="true">IF($A39="S",IF(CAIXA.Modo,BM.AFAcumulado,BM.MEDAcumulado),IF(AND(RegimeExecucao="Global",$I39&gt;0,COUNTIF($AB$13:$AM$13,BM.medicao)&gt;0),O39/$I39*100,0))</f>
        <v>0</v>
      </c>
      <c r="M39" s="562" t="n">
        <f aca="true">IF($A39="S",VTOTALBM,IF($A39=0,0,ROUND(SomaAgrupBM,15-13*ORÇAMENTO!$AF$11)))</f>
        <v>0</v>
      </c>
      <c r="N39" s="206" t="n">
        <f aca="false">O39-M39</f>
        <v>0</v>
      </c>
      <c r="O39" s="196" t="n">
        <f aca="true">IF($A39="S",VTOTALBM,IF($A39=0,0,ROUND(SomaAgrupBM,15-13*ORÇAMENTO!$AF$11)))</f>
        <v>0</v>
      </c>
      <c r="Q39" s="563"/>
      <c r="R39" s="564"/>
      <c r="T39" s="188" t="str">
        <f aca="false">IF($W39&gt;0,$D39,"")</f>
        <v/>
      </c>
      <c r="U39" s="272" t="str">
        <f aca="false">IF($W39&gt;0,$E39,"")</f>
        <v/>
      </c>
      <c r="V39" s="273" t="str">
        <f aca="true">IF(AND($W39&gt;0,RegimeExecucao="Unitário"),$F39,"")</f>
        <v/>
      </c>
      <c r="W39" s="565" t="n">
        <f aca="true">IF($Y39&gt;0,CHOOSE(MATCH(RegimeExecucao,{"Unitário","Global"},0),IF($A39="S",$Y39/$X39,""),($Y39/$X39)*100),0)</f>
        <v>0</v>
      </c>
      <c r="X39" s="566" t="str">
        <f aca="true">IF($Y39&gt;0,CHOOSE(MATCH(RegimeExecucao,{"Unitário","Global"},0),IF($A39="S",ROUND($H39,ORÇAMENTO!$AF$10),""),ROUND($I39,ORÇAMENTO!$AF$11)),"")</f>
        <v/>
      </c>
      <c r="Y39" s="566" t="n">
        <f aca="false">AO39-O39</f>
        <v>0</v>
      </c>
      <c r="Z39" s="567"/>
      <c r="AB39" s="563"/>
      <c r="AC39" s="568"/>
      <c r="AD39" s="568"/>
      <c r="AE39" s="568"/>
      <c r="AF39" s="568"/>
      <c r="AG39" s="568"/>
      <c r="AH39" s="568"/>
      <c r="AI39" s="568"/>
      <c r="AJ39" s="568"/>
      <c r="AK39" s="568"/>
      <c r="AL39" s="568"/>
      <c r="AM39" s="564"/>
      <c r="AO39" s="0" t="n">
        <f aca="true">IF($A39="S",IF(BM!$I39=0,0,CHOOSE(MATCH(RegimeExecucao,{"Global","Unitário"},0),ROUND(ROUND(BM.MEDAcumulado,15-13*BM!$A$9)/100*BM!$I39,15-13*ORÇAMENTO!$AF$11),ROUND(ROUND(BM.MEDAcumulado,15-13*BM!$A$9)*ROUND(BM!$H39,15-13*ORÇAMENTO!$AF$10),15-13*ORÇAMENTO!$AF$11))),IF($A39=0,0,ROUND(SomaAgrupBM,15-13*ORÇAMENTO!$AF$11)))</f>
        <v>0</v>
      </c>
    </row>
    <row r="40" customFormat="false" ht="12.75" hidden="false" customHeight="false" outlineLevel="0" collapsed="false">
      <c r="A40" s="0" t="str">
        <f aca="false">ORÇAMENTO!C40</f>
        <v>S</v>
      </c>
      <c r="B40" s="0" t="n">
        <f aca="false">ORÇAMENTO!D40</f>
        <v>0</v>
      </c>
      <c r="C40" s="185" t="str">
        <f aca="false">IF(OR($I40&gt;0,$A40=1,$A40=2,$A40=3,$A40=4),"F","")</f>
        <v/>
      </c>
      <c r="D40" s="188" t="str">
        <f aca="false">ORÇAMENTO!O40</f>
        <v>-</v>
      </c>
      <c r="E40" s="272" t="str">
        <f aca="false">ORÇAMENTO.Descricao</f>
        <v>(abra o arquivo 'Referência 02-Thursday.xlsm)</v>
      </c>
      <c r="F40" s="273" t="str">
        <f aca="true">IF(RegimeExecucao="Global","",ORÇAMENTO.Unidade)</f>
        <v>-</v>
      </c>
      <c r="G40" s="193" t="n">
        <f aca="true">IF(RegimeExecucao="Global","",ORÇAMENTO!T40)</f>
        <v>121975.88</v>
      </c>
      <c r="H40" s="193" t="n">
        <f aca="true">IF(RegimeExecucao="Global","",ORÇAMENTO!W40)</f>
        <v>0</v>
      </c>
      <c r="I40" s="196" t="n">
        <f aca="false">ORÇAMENTO!X40</f>
        <v>0</v>
      </c>
      <c r="J40" s="560" t="n">
        <f aca="true">IF($A40="S",IF(CAIXA.Modo,BM.AFAnterior,BM.MEDAnterior),IF(AND(RegimeExecucao="Global",$I40&gt;0,COUNTIF($AB$13:$AM$13,BM.medicao-1)&gt;0),M40/$I40*100,0))</f>
        <v>0</v>
      </c>
      <c r="K40" s="193" t="n">
        <f aca="false">L40-J40</f>
        <v>0</v>
      </c>
      <c r="L40" s="561" t="n">
        <f aca="true">IF($A40="S",IF(CAIXA.Modo,BM.AFAcumulado,BM.MEDAcumulado),IF(AND(RegimeExecucao="Global",$I40&gt;0,COUNTIF($AB$13:$AM$13,BM.medicao)&gt;0),O40/$I40*100,0))</f>
        <v>0</v>
      </c>
      <c r="M40" s="562" t="n">
        <f aca="true">IF($A40="S",VTOTALBM,IF($A40=0,0,ROUND(SomaAgrupBM,15-13*ORÇAMENTO!$AF$11)))</f>
        <v>0</v>
      </c>
      <c r="N40" s="206" t="n">
        <f aca="false">O40-M40</f>
        <v>0</v>
      </c>
      <c r="O40" s="196" t="n">
        <f aca="true">IF($A40="S",VTOTALBM,IF($A40=0,0,ROUND(SomaAgrupBM,15-13*ORÇAMENTO!$AF$11)))</f>
        <v>0</v>
      </c>
      <c r="Q40" s="563"/>
      <c r="R40" s="564"/>
      <c r="T40" s="188" t="str">
        <f aca="false">IF($W40&gt;0,$D40,"")</f>
        <v/>
      </c>
      <c r="U40" s="272" t="str">
        <f aca="false">IF($W40&gt;0,$E40,"")</f>
        <v/>
      </c>
      <c r="V40" s="273" t="str">
        <f aca="true">IF(AND($W40&gt;0,RegimeExecucao="Unitário"),$F40,"")</f>
        <v/>
      </c>
      <c r="W40" s="565" t="n">
        <f aca="true">IF($Y40&gt;0,CHOOSE(MATCH(RegimeExecucao,{"Unitário","Global"},0),IF($A40="S",$Y40/$X40,""),($Y40/$X40)*100),0)</f>
        <v>0</v>
      </c>
      <c r="X40" s="566" t="str">
        <f aca="true">IF($Y40&gt;0,CHOOSE(MATCH(RegimeExecucao,{"Unitário","Global"},0),IF($A40="S",ROUND($H40,ORÇAMENTO!$AF$10),""),ROUND($I40,ORÇAMENTO!$AF$11)),"")</f>
        <v/>
      </c>
      <c r="Y40" s="566" t="n">
        <f aca="false">AO40-O40</f>
        <v>0</v>
      </c>
      <c r="Z40" s="567"/>
      <c r="AB40" s="563"/>
      <c r="AC40" s="568"/>
      <c r="AD40" s="568"/>
      <c r="AE40" s="568"/>
      <c r="AF40" s="568"/>
      <c r="AG40" s="568"/>
      <c r="AH40" s="568"/>
      <c r="AI40" s="568"/>
      <c r="AJ40" s="568"/>
      <c r="AK40" s="568"/>
      <c r="AL40" s="568"/>
      <c r="AM40" s="564"/>
      <c r="AO40" s="0" t="n">
        <f aca="true">IF($A40="S",IF(BM!$I40=0,0,CHOOSE(MATCH(RegimeExecucao,{"Global","Unitário"},0),ROUND(ROUND(BM.MEDAcumulado,15-13*BM!$A$9)/100*BM!$I40,15-13*ORÇAMENTO!$AF$11),ROUND(ROUND(BM.MEDAcumulado,15-13*BM!$A$9)*ROUND(BM!$H40,15-13*ORÇAMENTO!$AF$10),15-13*ORÇAMENTO!$AF$11))),IF($A40=0,0,ROUND(SomaAgrupBM,15-13*ORÇAMENTO!$AF$11)))</f>
        <v>0</v>
      </c>
    </row>
    <row r="41" customFormat="false" ht="12.75" hidden="false" customHeight="false" outlineLevel="0" collapsed="false">
      <c r="A41" s="0" t="str">
        <f aca="false">ORÇAMENTO!C41</f>
        <v>S</v>
      </c>
      <c r="B41" s="0" t="n">
        <f aca="false">ORÇAMENTO!D41</f>
        <v>0</v>
      </c>
      <c r="C41" s="185" t="str">
        <f aca="false">IF(OR($I41&gt;0,$A41=1,$A41=2,$A41=3,$A41=4),"F","")</f>
        <v/>
      </c>
      <c r="D41" s="188" t="str">
        <f aca="false">ORÇAMENTO!O41</f>
        <v>-</v>
      </c>
      <c r="E41" s="272" t="str">
        <f aca="false">ORÇAMENTO.Descricao</f>
        <v>(abra o arquivo 'Referência 02-Thursday.xlsm)</v>
      </c>
      <c r="F41" s="273" t="str">
        <f aca="true">IF(RegimeExecucao="Global","",ORÇAMENTO.Unidade)</f>
        <v>-</v>
      </c>
      <c r="G41" s="193" t="n">
        <f aca="true">IF(RegimeExecucao="Global","",ORÇAMENTO!T41)</f>
        <v>3375</v>
      </c>
      <c r="H41" s="193" t="n">
        <f aca="true">IF(RegimeExecucao="Global","",ORÇAMENTO!W41)</f>
        <v>0</v>
      </c>
      <c r="I41" s="196" t="n">
        <f aca="false">ORÇAMENTO!X41</f>
        <v>0</v>
      </c>
      <c r="J41" s="560" t="n">
        <f aca="true">IF($A41="S",IF(CAIXA.Modo,BM.AFAnterior,BM.MEDAnterior),IF(AND(RegimeExecucao="Global",$I41&gt;0,COUNTIF($AB$13:$AM$13,BM.medicao-1)&gt;0),M41/$I41*100,0))</f>
        <v>0</v>
      </c>
      <c r="K41" s="193" t="n">
        <f aca="false">L41-J41</f>
        <v>0</v>
      </c>
      <c r="L41" s="561" t="n">
        <f aca="true">IF($A41="S",IF(CAIXA.Modo,BM.AFAcumulado,BM.MEDAcumulado),IF(AND(RegimeExecucao="Global",$I41&gt;0,COUNTIF($AB$13:$AM$13,BM.medicao)&gt;0),O41/$I41*100,0))</f>
        <v>0</v>
      </c>
      <c r="M41" s="562" t="n">
        <f aca="true">IF($A41="S",VTOTALBM,IF($A41=0,0,ROUND(SomaAgrupBM,15-13*ORÇAMENTO!$AF$11)))</f>
        <v>0</v>
      </c>
      <c r="N41" s="206" t="n">
        <f aca="false">O41-M41</f>
        <v>0</v>
      </c>
      <c r="O41" s="196" t="n">
        <f aca="true">IF($A41="S",VTOTALBM,IF($A41=0,0,ROUND(SomaAgrupBM,15-13*ORÇAMENTO!$AF$11)))</f>
        <v>0</v>
      </c>
      <c r="Q41" s="563"/>
      <c r="R41" s="564"/>
      <c r="T41" s="188" t="str">
        <f aca="false">IF($W41&gt;0,$D41,"")</f>
        <v/>
      </c>
      <c r="U41" s="272" t="str">
        <f aca="false">IF($W41&gt;0,$E41,"")</f>
        <v/>
      </c>
      <c r="V41" s="273" t="str">
        <f aca="true">IF(AND($W41&gt;0,RegimeExecucao="Unitário"),$F41,"")</f>
        <v/>
      </c>
      <c r="W41" s="565" t="n">
        <f aca="true">IF($Y41&gt;0,CHOOSE(MATCH(RegimeExecucao,{"Unitário","Global"},0),IF($A41="S",$Y41/$X41,""),($Y41/$X41)*100),0)</f>
        <v>0</v>
      </c>
      <c r="X41" s="566" t="str">
        <f aca="true">IF($Y41&gt;0,CHOOSE(MATCH(RegimeExecucao,{"Unitário","Global"},0),IF($A41="S",ROUND($H41,ORÇAMENTO!$AF$10),""),ROUND($I41,ORÇAMENTO!$AF$11)),"")</f>
        <v/>
      </c>
      <c r="Y41" s="566" t="n">
        <f aca="false">AO41-O41</f>
        <v>0</v>
      </c>
      <c r="Z41" s="567"/>
      <c r="AB41" s="563"/>
      <c r="AC41" s="568"/>
      <c r="AD41" s="568"/>
      <c r="AE41" s="568"/>
      <c r="AF41" s="568"/>
      <c r="AG41" s="568"/>
      <c r="AH41" s="568"/>
      <c r="AI41" s="568"/>
      <c r="AJ41" s="568"/>
      <c r="AK41" s="568"/>
      <c r="AL41" s="568"/>
      <c r="AM41" s="564"/>
      <c r="AO41" s="0" t="n">
        <f aca="true">IF($A41="S",IF(BM!$I41=0,0,CHOOSE(MATCH(RegimeExecucao,{"Global","Unitário"},0),ROUND(ROUND(BM.MEDAcumulado,15-13*BM!$A$9)/100*BM!$I41,15-13*ORÇAMENTO!$AF$11),ROUND(ROUND(BM.MEDAcumulado,15-13*BM!$A$9)*ROUND(BM!$H41,15-13*ORÇAMENTO!$AF$10),15-13*ORÇAMENTO!$AF$11))),IF($A41=0,0,ROUND(SomaAgrupBM,15-13*ORÇAMENTO!$AF$11)))</f>
        <v>0</v>
      </c>
    </row>
    <row r="42" customFormat="false" ht="12.75" hidden="false" customHeight="false" outlineLevel="0" collapsed="false">
      <c r="A42" s="0" t="str">
        <f aca="false">ORÇAMENTO!C42</f>
        <v>S</v>
      </c>
      <c r="B42" s="0" t="n">
        <f aca="false">ORÇAMENTO!D42</f>
        <v>0</v>
      </c>
      <c r="C42" s="185" t="str">
        <f aca="false">IF(OR($I42&gt;0,$A42=1,$A42=2,$A42=3,$A42=4),"F","")</f>
        <v/>
      </c>
      <c r="D42" s="188" t="str">
        <f aca="false">ORÇAMENTO!O42</f>
        <v>-</v>
      </c>
      <c r="E42" s="272" t="str">
        <f aca="false">ORÇAMENTO.Descricao</f>
        <v>(abra o arquivo 'Referência 02-Thursday.xlsm)</v>
      </c>
      <c r="F42" s="273" t="str">
        <f aca="true">IF(RegimeExecucao="Global","",ORÇAMENTO.Unidade)</f>
        <v>-</v>
      </c>
      <c r="G42" s="193" t="n">
        <f aca="true">IF(RegimeExecucao="Global","",ORÇAMENTO!T42)</f>
        <v>121.5</v>
      </c>
      <c r="H42" s="193" t="n">
        <f aca="true">IF(RegimeExecucao="Global","",ORÇAMENTO!W42)</f>
        <v>0</v>
      </c>
      <c r="I42" s="196" t="n">
        <f aca="false">ORÇAMENTO!X42</f>
        <v>0</v>
      </c>
      <c r="J42" s="560" t="n">
        <f aca="true">IF($A42="S",IF(CAIXA.Modo,BM.AFAnterior,BM.MEDAnterior),IF(AND(RegimeExecucao="Global",$I42&gt;0,COUNTIF($AB$13:$AM$13,BM.medicao-1)&gt;0),M42/$I42*100,0))</f>
        <v>0</v>
      </c>
      <c r="K42" s="193" t="n">
        <f aca="false">L42-J42</f>
        <v>0</v>
      </c>
      <c r="L42" s="561" t="n">
        <f aca="true">IF($A42="S",IF(CAIXA.Modo,BM.AFAcumulado,BM.MEDAcumulado),IF(AND(RegimeExecucao="Global",$I42&gt;0,COUNTIF($AB$13:$AM$13,BM.medicao)&gt;0),O42/$I42*100,0))</f>
        <v>0</v>
      </c>
      <c r="M42" s="562" t="n">
        <f aca="true">IF($A42="S",VTOTALBM,IF($A42=0,0,ROUND(SomaAgrupBM,15-13*ORÇAMENTO!$AF$11)))</f>
        <v>0</v>
      </c>
      <c r="N42" s="206" t="n">
        <f aca="false">O42-M42</f>
        <v>0</v>
      </c>
      <c r="O42" s="196" t="n">
        <f aca="true">IF($A42="S",VTOTALBM,IF($A42=0,0,ROUND(SomaAgrupBM,15-13*ORÇAMENTO!$AF$11)))</f>
        <v>0</v>
      </c>
      <c r="Q42" s="563"/>
      <c r="R42" s="564"/>
      <c r="T42" s="188" t="str">
        <f aca="false">IF($W42&gt;0,$D42,"")</f>
        <v/>
      </c>
      <c r="U42" s="272" t="str">
        <f aca="false">IF($W42&gt;0,$E42,"")</f>
        <v/>
      </c>
      <c r="V42" s="273" t="str">
        <f aca="true">IF(AND($W42&gt;0,RegimeExecucao="Unitário"),$F42,"")</f>
        <v/>
      </c>
      <c r="W42" s="565" t="n">
        <f aca="true">IF($Y42&gt;0,CHOOSE(MATCH(RegimeExecucao,{"Unitário","Global"},0),IF($A42="S",$Y42/$X42,""),($Y42/$X42)*100),0)</f>
        <v>0</v>
      </c>
      <c r="X42" s="566" t="str">
        <f aca="true">IF($Y42&gt;0,CHOOSE(MATCH(RegimeExecucao,{"Unitário","Global"},0),IF($A42="S",ROUND($H42,ORÇAMENTO!$AF$10),""),ROUND($I42,ORÇAMENTO!$AF$11)),"")</f>
        <v/>
      </c>
      <c r="Y42" s="566" t="n">
        <f aca="false">AO42-O42</f>
        <v>0</v>
      </c>
      <c r="Z42" s="567"/>
      <c r="AB42" s="563"/>
      <c r="AC42" s="568"/>
      <c r="AD42" s="568"/>
      <c r="AE42" s="568"/>
      <c r="AF42" s="568"/>
      <c r="AG42" s="568"/>
      <c r="AH42" s="568"/>
      <c r="AI42" s="568"/>
      <c r="AJ42" s="568"/>
      <c r="AK42" s="568"/>
      <c r="AL42" s="568"/>
      <c r="AM42" s="564"/>
      <c r="AO42" s="0" t="n">
        <f aca="true">IF($A42="S",IF(BM!$I42=0,0,CHOOSE(MATCH(RegimeExecucao,{"Global","Unitário"},0),ROUND(ROUND(BM.MEDAcumulado,15-13*BM!$A$9)/100*BM!$I42,15-13*ORÇAMENTO!$AF$11),ROUND(ROUND(BM.MEDAcumulado,15-13*BM!$A$9)*ROUND(BM!$H42,15-13*ORÇAMENTO!$AF$10),15-13*ORÇAMENTO!$AF$11))),IF($A42=0,0,ROUND(SomaAgrupBM,15-13*ORÇAMENTO!$AF$11)))</f>
        <v>0</v>
      </c>
    </row>
    <row r="43" customFormat="false" ht="12.75" hidden="false" customHeight="false" outlineLevel="0" collapsed="false">
      <c r="A43" s="0" t="str">
        <f aca="false">ORÇAMENTO!C43</f>
        <v>S</v>
      </c>
      <c r="B43" s="0" t="n">
        <f aca="false">ORÇAMENTO!D43</f>
        <v>0</v>
      </c>
      <c r="C43" s="185" t="str">
        <f aca="false">IF(OR($I43&gt;0,$A43=1,$A43=2,$A43=3,$A43=4),"F","")</f>
        <v/>
      </c>
      <c r="D43" s="188" t="str">
        <f aca="false">ORÇAMENTO!O43</f>
        <v>-</v>
      </c>
      <c r="E43" s="272" t="str">
        <f aca="false">ORÇAMENTO.Descricao</f>
        <v>(abra o arquivo 'Referência 02-Thursday.xlsm)</v>
      </c>
      <c r="F43" s="273" t="str">
        <f aca="true">IF(RegimeExecucao="Global","",ORÇAMENTO.Unidade)</f>
        <v>-</v>
      </c>
      <c r="G43" s="193" t="n">
        <f aca="true">IF(RegimeExecucao="Global","",ORÇAMENTO!T43)</f>
        <v>1255.5</v>
      </c>
      <c r="H43" s="193" t="n">
        <f aca="true">IF(RegimeExecucao="Global","",ORÇAMENTO!W43)</f>
        <v>0</v>
      </c>
      <c r="I43" s="196" t="n">
        <f aca="false">ORÇAMENTO!X43</f>
        <v>0</v>
      </c>
      <c r="J43" s="560" t="n">
        <f aca="true">IF($A43="S",IF(CAIXA.Modo,BM.AFAnterior,BM.MEDAnterior),IF(AND(RegimeExecucao="Global",$I43&gt;0,COUNTIF($AB$13:$AM$13,BM.medicao-1)&gt;0),M43/$I43*100,0))</f>
        <v>0</v>
      </c>
      <c r="K43" s="193" t="n">
        <f aca="false">L43-J43</f>
        <v>0</v>
      </c>
      <c r="L43" s="561" t="n">
        <f aca="true">IF($A43="S",IF(CAIXA.Modo,BM.AFAcumulado,BM.MEDAcumulado),IF(AND(RegimeExecucao="Global",$I43&gt;0,COUNTIF($AB$13:$AM$13,BM.medicao)&gt;0),O43/$I43*100,0))</f>
        <v>0</v>
      </c>
      <c r="M43" s="562" t="n">
        <f aca="true">IF($A43="S",VTOTALBM,IF($A43=0,0,ROUND(SomaAgrupBM,15-13*ORÇAMENTO!$AF$11)))</f>
        <v>0</v>
      </c>
      <c r="N43" s="206" t="n">
        <f aca="false">O43-M43</f>
        <v>0</v>
      </c>
      <c r="O43" s="196" t="n">
        <f aca="true">IF($A43="S",VTOTALBM,IF($A43=0,0,ROUND(SomaAgrupBM,15-13*ORÇAMENTO!$AF$11)))</f>
        <v>0</v>
      </c>
      <c r="Q43" s="563"/>
      <c r="R43" s="564"/>
      <c r="T43" s="188" t="str">
        <f aca="false">IF($W43&gt;0,$D43,"")</f>
        <v/>
      </c>
      <c r="U43" s="272" t="str">
        <f aca="false">IF($W43&gt;0,$E43,"")</f>
        <v/>
      </c>
      <c r="V43" s="273" t="str">
        <f aca="true">IF(AND($W43&gt;0,RegimeExecucao="Unitário"),$F43,"")</f>
        <v/>
      </c>
      <c r="W43" s="565" t="n">
        <f aca="true">IF($Y43&gt;0,CHOOSE(MATCH(RegimeExecucao,{"Unitário","Global"},0),IF($A43="S",$Y43/$X43,""),($Y43/$X43)*100),0)</f>
        <v>0</v>
      </c>
      <c r="X43" s="566" t="str">
        <f aca="true">IF($Y43&gt;0,CHOOSE(MATCH(RegimeExecucao,{"Unitário","Global"},0),IF($A43="S",ROUND($H43,ORÇAMENTO!$AF$10),""),ROUND($I43,ORÇAMENTO!$AF$11)),"")</f>
        <v/>
      </c>
      <c r="Y43" s="566" t="n">
        <f aca="false">AO43-O43</f>
        <v>0</v>
      </c>
      <c r="Z43" s="567"/>
      <c r="AB43" s="563"/>
      <c r="AC43" s="568"/>
      <c r="AD43" s="568"/>
      <c r="AE43" s="568"/>
      <c r="AF43" s="568"/>
      <c r="AG43" s="568"/>
      <c r="AH43" s="568"/>
      <c r="AI43" s="568"/>
      <c r="AJ43" s="568"/>
      <c r="AK43" s="568"/>
      <c r="AL43" s="568"/>
      <c r="AM43" s="564"/>
      <c r="AO43" s="0" t="n">
        <f aca="true">IF($A43="S",IF(BM!$I43=0,0,CHOOSE(MATCH(RegimeExecucao,{"Global","Unitário"},0),ROUND(ROUND(BM.MEDAcumulado,15-13*BM!$A$9)/100*BM!$I43,15-13*ORÇAMENTO!$AF$11),ROUND(ROUND(BM.MEDAcumulado,15-13*BM!$A$9)*ROUND(BM!$H43,15-13*ORÇAMENTO!$AF$10),15-13*ORÇAMENTO!$AF$11))),IF($A43=0,0,ROUND(SomaAgrupBM,15-13*ORÇAMENTO!$AF$11)))</f>
        <v>0</v>
      </c>
    </row>
    <row r="44" customFormat="false" ht="12.75" hidden="false" customHeight="false" outlineLevel="0" collapsed="false">
      <c r="A44" s="0" t="str">
        <f aca="false">ORÇAMENTO!C44</f>
        <v>S</v>
      </c>
      <c r="B44" s="0" t="n">
        <f aca="false">ORÇAMENTO!D44</f>
        <v>0</v>
      </c>
      <c r="C44" s="185" t="str">
        <f aca="false">IF(OR($I44&gt;0,$A44=1,$A44=2,$A44=3,$A44=4),"F","")</f>
        <v/>
      </c>
      <c r="D44" s="188" t="str">
        <f aca="false">ORÇAMENTO!O44</f>
        <v>-</v>
      </c>
      <c r="E44" s="272" t="str">
        <f aca="false">ORÇAMENTO.Descricao</f>
        <v>(abra o arquivo 'Referência 02-Thursday.xlsm)</v>
      </c>
      <c r="F44" s="273" t="str">
        <f aca="true">IF(RegimeExecucao="Global","",ORÇAMENTO.Unidade)</f>
        <v>-</v>
      </c>
      <c r="G44" s="193" t="n">
        <f aca="true">IF(RegimeExecucao="Global","",ORÇAMENTO!T44)</f>
        <v>3375</v>
      </c>
      <c r="H44" s="193" t="n">
        <f aca="true">IF(RegimeExecucao="Global","",ORÇAMENTO!W44)</f>
        <v>0</v>
      </c>
      <c r="I44" s="196" t="n">
        <f aca="false">ORÇAMENTO!X44</f>
        <v>0</v>
      </c>
      <c r="J44" s="560" t="n">
        <f aca="true">IF($A44="S",IF(CAIXA.Modo,BM.AFAnterior,BM.MEDAnterior),IF(AND(RegimeExecucao="Global",$I44&gt;0,COUNTIF($AB$13:$AM$13,BM.medicao-1)&gt;0),M44/$I44*100,0))</f>
        <v>0</v>
      </c>
      <c r="K44" s="193" t="n">
        <f aca="false">L44-J44</f>
        <v>0</v>
      </c>
      <c r="L44" s="561" t="n">
        <f aca="true">IF($A44="S",IF(CAIXA.Modo,BM.AFAcumulado,BM.MEDAcumulado),IF(AND(RegimeExecucao="Global",$I44&gt;0,COUNTIF($AB$13:$AM$13,BM.medicao)&gt;0),O44/$I44*100,0))</f>
        <v>0</v>
      </c>
      <c r="M44" s="562" t="n">
        <f aca="true">IF($A44="S",VTOTALBM,IF($A44=0,0,ROUND(SomaAgrupBM,15-13*ORÇAMENTO!$AF$11)))</f>
        <v>0</v>
      </c>
      <c r="N44" s="206" t="n">
        <f aca="false">O44-M44</f>
        <v>0</v>
      </c>
      <c r="O44" s="196" t="n">
        <f aca="true">IF($A44="S",VTOTALBM,IF($A44=0,0,ROUND(SomaAgrupBM,15-13*ORÇAMENTO!$AF$11)))</f>
        <v>0</v>
      </c>
      <c r="Q44" s="563"/>
      <c r="R44" s="564"/>
      <c r="T44" s="188" t="str">
        <f aca="false">IF($W44&gt;0,$D44,"")</f>
        <v/>
      </c>
      <c r="U44" s="272" t="str">
        <f aca="false">IF($W44&gt;0,$E44,"")</f>
        <v/>
      </c>
      <c r="V44" s="273" t="str">
        <f aca="true">IF(AND($W44&gt;0,RegimeExecucao="Unitário"),$F44,"")</f>
        <v/>
      </c>
      <c r="W44" s="565" t="n">
        <f aca="true">IF($Y44&gt;0,CHOOSE(MATCH(RegimeExecucao,{"Unitário","Global"},0),IF($A44="S",$Y44/$X44,""),($Y44/$X44)*100),0)</f>
        <v>0</v>
      </c>
      <c r="X44" s="566" t="str">
        <f aca="true">IF($Y44&gt;0,CHOOSE(MATCH(RegimeExecucao,{"Unitário","Global"},0),IF($A44="S",ROUND($H44,ORÇAMENTO!$AF$10),""),ROUND($I44,ORÇAMENTO!$AF$11)),"")</f>
        <v/>
      </c>
      <c r="Y44" s="566" t="n">
        <f aca="false">AO44-O44</f>
        <v>0</v>
      </c>
      <c r="Z44" s="567"/>
      <c r="AB44" s="563"/>
      <c r="AC44" s="568"/>
      <c r="AD44" s="568"/>
      <c r="AE44" s="568"/>
      <c r="AF44" s="568"/>
      <c r="AG44" s="568"/>
      <c r="AH44" s="568"/>
      <c r="AI44" s="568"/>
      <c r="AJ44" s="568"/>
      <c r="AK44" s="568"/>
      <c r="AL44" s="568"/>
      <c r="AM44" s="564"/>
      <c r="AO44" s="0" t="n">
        <f aca="true">IF($A44="S",IF(BM!$I44=0,0,CHOOSE(MATCH(RegimeExecucao,{"Global","Unitário"},0),ROUND(ROUND(BM.MEDAcumulado,15-13*BM!$A$9)/100*BM!$I44,15-13*ORÇAMENTO!$AF$11),ROUND(ROUND(BM.MEDAcumulado,15-13*BM!$A$9)*ROUND(BM!$H44,15-13*ORÇAMENTO!$AF$10),15-13*ORÇAMENTO!$AF$11))),IF($A44=0,0,ROUND(SomaAgrupBM,15-13*ORÇAMENTO!$AF$11)))</f>
        <v>0</v>
      </c>
    </row>
    <row r="45" customFormat="false" ht="12.75" hidden="false" customHeight="false" outlineLevel="0" collapsed="false">
      <c r="A45" s="0" t="str">
        <f aca="false">ORÇAMENTO!C45</f>
        <v>S</v>
      </c>
      <c r="B45" s="0" t="n">
        <f aca="false">ORÇAMENTO!D45</f>
        <v>0</v>
      </c>
      <c r="C45" s="185" t="str">
        <f aca="false">IF(OR($I45&gt;0,$A45=1,$A45=2,$A45=3,$A45=4),"F","")</f>
        <v/>
      </c>
      <c r="D45" s="188" t="str">
        <f aca="false">ORÇAMENTO!O45</f>
        <v>-</v>
      </c>
      <c r="E45" s="272" t="str">
        <f aca="false">ORÇAMENTO.Descricao</f>
        <v>(abra o arquivo 'Referência 02-Thursday.xlsm)</v>
      </c>
      <c r="F45" s="273" t="str">
        <f aca="true">IF(RegimeExecucao="Global","",ORÇAMENTO.Unidade)</f>
        <v>-</v>
      </c>
      <c r="G45" s="193" t="n">
        <f aca="true">IF(RegimeExecucao="Global","",ORÇAMENTO!T45)</f>
        <v>50.63</v>
      </c>
      <c r="H45" s="193" t="n">
        <f aca="true">IF(RegimeExecucao="Global","",ORÇAMENTO!W45)</f>
        <v>0</v>
      </c>
      <c r="I45" s="196" t="n">
        <f aca="false">ORÇAMENTO!X45</f>
        <v>0</v>
      </c>
      <c r="J45" s="560" t="n">
        <f aca="true">IF($A45="S",IF(CAIXA.Modo,BM.AFAnterior,BM.MEDAnterior),IF(AND(RegimeExecucao="Global",$I45&gt;0,COUNTIF($AB$13:$AM$13,BM.medicao-1)&gt;0),M45/$I45*100,0))</f>
        <v>0</v>
      </c>
      <c r="K45" s="193" t="n">
        <f aca="false">L45-J45</f>
        <v>0</v>
      </c>
      <c r="L45" s="561" t="n">
        <f aca="true">IF($A45="S",IF(CAIXA.Modo,BM.AFAcumulado,BM.MEDAcumulado),IF(AND(RegimeExecucao="Global",$I45&gt;0,COUNTIF($AB$13:$AM$13,BM.medicao)&gt;0),O45/$I45*100,0))</f>
        <v>0</v>
      </c>
      <c r="M45" s="562" t="n">
        <f aca="true">IF($A45="S",VTOTALBM,IF($A45=0,0,ROUND(SomaAgrupBM,15-13*ORÇAMENTO!$AF$11)))</f>
        <v>0</v>
      </c>
      <c r="N45" s="206" t="n">
        <f aca="false">O45-M45</f>
        <v>0</v>
      </c>
      <c r="O45" s="196" t="n">
        <f aca="true">IF($A45="S",VTOTALBM,IF($A45=0,0,ROUND(SomaAgrupBM,15-13*ORÇAMENTO!$AF$11)))</f>
        <v>0</v>
      </c>
      <c r="Q45" s="563"/>
      <c r="R45" s="564"/>
      <c r="T45" s="188" t="str">
        <f aca="false">IF($W45&gt;0,$D45,"")</f>
        <v/>
      </c>
      <c r="U45" s="272" t="str">
        <f aca="false">IF($W45&gt;0,$E45,"")</f>
        <v/>
      </c>
      <c r="V45" s="273" t="str">
        <f aca="true">IF(AND($W45&gt;0,RegimeExecucao="Unitário"),$F45,"")</f>
        <v/>
      </c>
      <c r="W45" s="565" t="n">
        <f aca="true">IF($Y45&gt;0,CHOOSE(MATCH(RegimeExecucao,{"Unitário","Global"},0),IF($A45="S",$Y45/$X45,""),($Y45/$X45)*100),0)</f>
        <v>0</v>
      </c>
      <c r="X45" s="566" t="str">
        <f aca="true">IF($Y45&gt;0,CHOOSE(MATCH(RegimeExecucao,{"Unitário","Global"},0),IF($A45="S",ROUND($H45,ORÇAMENTO!$AF$10),""),ROUND($I45,ORÇAMENTO!$AF$11)),"")</f>
        <v/>
      </c>
      <c r="Y45" s="566" t="n">
        <f aca="false">AO45-O45</f>
        <v>0</v>
      </c>
      <c r="Z45" s="567"/>
      <c r="AB45" s="563"/>
      <c r="AC45" s="568"/>
      <c r="AD45" s="568"/>
      <c r="AE45" s="568"/>
      <c r="AF45" s="568"/>
      <c r="AG45" s="568"/>
      <c r="AH45" s="568"/>
      <c r="AI45" s="568"/>
      <c r="AJ45" s="568"/>
      <c r="AK45" s="568"/>
      <c r="AL45" s="568"/>
      <c r="AM45" s="564"/>
      <c r="AO45" s="0" t="n">
        <f aca="true">IF($A45="S",IF(BM!$I45=0,0,CHOOSE(MATCH(RegimeExecucao,{"Global","Unitário"},0),ROUND(ROUND(BM.MEDAcumulado,15-13*BM!$A$9)/100*BM!$I45,15-13*ORÇAMENTO!$AF$11),ROUND(ROUND(BM.MEDAcumulado,15-13*BM!$A$9)*ROUND(BM!$H45,15-13*ORÇAMENTO!$AF$10),15-13*ORÇAMENTO!$AF$11))),IF($A45=0,0,ROUND(SomaAgrupBM,15-13*ORÇAMENTO!$AF$11)))</f>
        <v>0</v>
      </c>
    </row>
    <row r="46" customFormat="false" ht="12.75" hidden="false" customHeight="false" outlineLevel="0" collapsed="false">
      <c r="A46" s="0" t="str">
        <f aca="false">ORÇAMENTO!C46</f>
        <v>S</v>
      </c>
      <c r="B46" s="0" t="n">
        <f aca="false">ORÇAMENTO!D46</f>
        <v>0</v>
      </c>
      <c r="C46" s="185" t="str">
        <f aca="false">IF(OR($I46&gt;0,$A46=1,$A46=2,$A46=3,$A46=4),"F","")</f>
        <v/>
      </c>
      <c r="D46" s="188" t="str">
        <f aca="false">ORÇAMENTO!O46</f>
        <v>-</v>
      </c>
      <c r="E46" s="272" t="str">
        <f aca="false">ORÇAMENTO.Descricao</f>
        <v>(abra o arquivo 'Referência 02-Thursday.xlsm)</v>
      </c>
      <c r="F46" s="273" t="str">
        <f aca="true">IF(RegimeExecucao="Global","",ORÇAMENTO.Unidade)</f>
        <v>-</v>
      </c>
      <c r="G46" s="193" t="n">
        <f aca="true">IF(RegimeExecucao="Global","",ORÇAMENTO!T46)</f>
        <v>523.13</v>
      </c>
      <c r="H46" s="193" t="n">
        <f aca="true">IF(RegimeExecucao="Global","",ORÇAMENTO!W46)</f>
        <v>0</v>
      </c>
      <c r="I46" s="196" t="n">
        <f aca="false">ORÇAMENTO!X46</f>
        <v>0</v>
      </c>
      <c r="J46" s="560" t="n">
        <f aca="true">IF($A46="S",IF(CAIXA.Modo,BM.AFAnterior,BM.MEDAnterior),IF(AND(RegimeExecucao="Global",$I46&gt;0,COUNTIF($AB$13:$AM$13,BM.medicao-1)&gt;0),M46/$I46*100,0))</f>
        <v>0</v>
      </c>
      <c r="K46" s="193" t="n">
        <f aca="false">L46-J46</f>
        <v>0</v>
      </c>
      <c r="L46" s="561" t="n">
        <f aca="true">IF($A46="S",IF(CAIXA.Modo,BM.AFAcumulado,BM.MEDAcumulado),IF(AND(RegimeExecucao="Global",$I46&gt;0,COUNTIF($AB$13:$AM$13,BM.medicao)&gt;0),O46/$I46*100,0))</f>
        <v>0</v>
      </c>
      <c r="M46" s="562" t="n">
        <f aca="true">IF($A46="S",VTOTALBM,IF($A46=0,0,ROUND(SomaAgrupBM,15-13*ORÇAMENTO!$AF$11)))</f>
        <v>0</v>
      </c>
      <c r="N46" s="206" t="n">
        <f aca="false">O46-M46</f>
        <v>0</v>
      </c>
      <c r="O46" s="196" t="n">
        <f aca="true">IF($A46="S",VTOTALBM,IF($A46=0,0,ROUND(SomaAgrupBM,15-13*ORÇAMENTO!$AF$11)))</f>
        <v>0</v>
      </c>
      <c r="Q46" s="563"/>
      <c r="R46" s="564"/>
      <c r="T46" s="188" t="str">
        <f aca="false">IF($W46&gt;0,$D46,"")</f>
        <v/>
      </c>
      <c r="U46" s="272" t="str">
        <f aca="false">IF($W46&gt;0,$E46,"")</f>
        <v/>
      </c>
      <c r="V46" s="273" t="str">
        <f aca="true">IF(AND($W46&gt;0,RegimeExecucao="Unitário"),$F46,"")</f>
        <v/>
      </c>
      <c r="W46" s="565" t="n">
        <f aca="true">IF($Y46&gt;0,CHOOSE(MATCH(RegimeExecucao,{"Unitário","Global"},0),IF($A46="S",$Y46/$X46,""),($Y46/$X46)*100),0)</f>
        <v>0</v>
      </c>
      <c r="X46" s="566" t="str">
        <f aca="true">IF($Y46&gt;0,CHOOSE(MATCH(RegimeExecucao,{"Unitário","Global"},0),IF($A46="S",ROUND($H46,ORÇAMENTO!$AF$10),""),ROUND($I46,ORÇAMENTO!$AF$11)),"")</f>
        <v/>
      </c>
      <c r="Y46" s="566" t="n">
        <f aca="false">AO46-O46</f>
        <v>0</v>
      </c>
      <c r="Z46" s="567"/>
      <c r="AB46" s="563"/>
      <c r="AC46" s="568"/>
      <c r="AD46" s="568"/>
      <c r="AE46" s="568"/>
      <c r="AF46" s="568"/>
      <c r="AG46" s="568"/>
      <c r="AH46" s="568"/>
      <c r="AI46" s="568"/>
      <c r="AJ46" s="568"/>
      <c r="AK46" s="568"/>
      <c r="AL46" s="568"/>
      <c r="AM46" s="564"/>
      <c r="AO46" s="0" t="n">
        <f aca="true">IF($A46="S",IF(BM!$I46=0,0,CHOOSE(MATCH(RegimeExecucao,{"Global","Unitário"},0),ROUND(ROUND(BM.MEDAcumulado,15-13*BM!$A$9)/100*BM!$I46,15-13*ORÇAMENTO!$AF$11),ROUND(ROUND(BM.MEDAcumulado,15-13*BM!$A$9)*ROUND(BM!$H46,15-13*ORÇAMENTO!$AF$10),15-13*ORÇAMENTO!$AF$11))),IF($A46=0,0,ROUND(SomaAgrupBM,15-13*ORÇAMENTO!$AF$11)))</f>
        <v>0</v>
      </c>
    </row>
    <row r="47" customFormat="false" ht="12.75" hidden="false" customHeight="false" outlineLevel="0" collapsed="false">
      <c r="A47" s="0" t="n">
        <f aca="false">ORÇAMENTO!C47</f>
        <v>2</v>
      </c>
      <c r="B47" s="0" t="n">
        <f aca="false">ORÇAMENTO!D47</f>
        <v>4</v>
      </c>
      <c r="C47" s="185" t="str">
        <f aca="false">IF(OR($I47&gt;0,$A47=1,$A47=2,$A47=3,$A47=4),"F","")</f>
        <v>F</v>
      </c>
      <c r="D47" s="188" t="str">
        <f aca="false">ORÇAMENTO!O47</f>
        <v>1.8.</v>
      </c>
      <c r="E47" s="272" t="str">
        <f aca="false">ORÇAMENTO.Descricao</f>
        <v>Concreto Asfáltico</v>
      </c>
      <c r="F47" s="273" t="str">
        <f aca="true">IF(RegimeExecucao="Global","",ORÇAMENTO.Unidade)</f>
        <v>-</v>
      </c>
      <c r="G47" s="193" t="n">
        <f aca="true">IF(RegimeExecucao="Global","",ORÇAMENTO!T47)</f>
        <v>0</v>
      </c>
      <c r="H47" s="193" t="n">
        <f aca="true">IF(RegimeExecucao="Global","",ORÇAMENTO!W47)</f>
        <v>0</v>
      </c>
      <c r="I47" s="196" t="n">
        <f aca="false">ORÇAMENTO!X47</f>
        <v>0</v>
      </c>
      <c r="J47" s="560" t="n">
        <f aca="true">IF($A47="S",IF(CAIXA.Modo,BM.AFAnterior,BM.MEDAnterior),IF(AND(RegimeExecucao="Global",$I47&gt;0,COUNTIF($AB$13:$AM$13,BM.medicao-1)&gt;0),M47/$I47*100,0))</f>
        <v>0</v>
      </c>
      <c r="K47" s="193" t="n">
        <f aca="false">L47-J47</f>
        <v>0</v>
      </c>
      <c r="L47" s="561" t="n">
        <f aca="true">IF($A47="S",IF(CAIXA.Modo,BM.AFAcumulado,BM.MEDAcumulado),IF(AND(RegimeExecucao="Global",$I47&gt;0,COUNTIF($AB$13:$AM$13,BM.medicao)&gt;0),O47/$I47*100,0))</f>
        <v>0</v>
      </c>
      <c r="M47" s="562" t="n">
        <f aca="true">IF($A47="S",VTOTALBM,IF($A47=0,0,ROUND(SomaAgrupBM,15-13*ORÇAMENTO!$AF$11)))</f>
        <v>0</v>
      </c>
      <c r="N47" s="206" t="n">
        <f aca="false">O47-M47</f>
        <v>0</v>
      </c>
      <c r="O47" s="196" t="n">
        <f aca="true">IF($A47="S",VTOTALBM,IF($A47=0,0,ROUND(SomaAgrupBM,15-13*ORÇAMENTO!$AF$11)))</f>
        <v>0</v>
      </c>
      <c r="Q47" s="563"/>
      <c r="R47" s="564"/>
      <c r="T47" s="188" t="str">
        <f aca="false">IF($W47&gt;0,$D47,"")</f>
        <v/>
      </c>
      <c r="U47" s="272" t="str">
        <f aca="false">IF($W47&gt;0,$E47,"")</f>
        <v/>
      </c>
      <c r="V47" s="273" t="str">
        <f aca="true">IF(AND($W47&gt;0,RegimeExecucao="Unitário"),$F47,"")</f>
        <v/>
      </c>
      <c r="W47" s="565" t="n">
        <f aca="true">IF($Y47&gt;0,CHOOSE(MATCH(RegimeExecucao,{"Unitário","Global"},0),IF($A47="S",$Y47/$X47,""),($Y47/$X47)*100),0)</f>
        <v>0</v>
      </c>
      <c r="X47" s="566" t="str">
        <f aca="true">IF($Y47&gt;0,CHOOSE(MATCH(RegimeExecucao,{"Unitário","Global"},0),IF($A47="S",ROUND($H47,ORÇAMENTO!$AF$10),""),ROUND($I47,ORÇAMENTO!$AF$11)),"")</f>
        <v/>
      </c>
      <c r="Y47" s="566" t="n">
        <f aca="false">AO47-O47</f>
        <v>0</v>
      </c>
      <c r="Z47" s="567"/>
      <c r="AB47" s="563"/>
      <c r="AC47" s="568"/>
      <c r="AD47" s="568"/>
      <c r="AE47" s="568"/>
      <c r="AF47" s="568"/>
      <c r="AG47" s="568"/>
      <c r="AH47" s="568"/>
      <c r="AI47" s="568"/>
      <c r="AJ47" s="568"/>
      <c r="AK47" s="568"/>
      <c r="AL47" s="568"/>
      <c r="AM47" s="564"/>
      <c r="AO47" s="0" t="n">
        <f aca="true">IF($A47="S",IF(BM!$I47=0,0,CHOOSE(MATCH(RegimeExecucao,{"Global","Unitário"},0),ROUND(ROUND(BM.MEDAcumulado,15-13*BM!$A$9)/100*BM!$I47,15-13*ORÇAMENTO!$AF$11),ROUND(ROUND(BM.MEDAcumulado,15-13*BM!$A$9)*ROUND(BM!$H47,15-13*ORÇAMENTO!$AF$10),15-13*ORÇAMENTO!$AF$11))),IF($A47=0,0,ROUND(SomaAgrupBM,15-13*ORÇAMENTO!$AF$11)))</f>
        <v>0</v>
      </c>
    </row>
    <row r="48" customFormat="false" ht="12.75" hidden="false" customHeight="false" outlineLevel="0" collapsed="false">
      <c r="A48" s="0" t="str">
        <f aca="false">ORÇAMENTO!C48</f>
        <v>S</v>
      </c>
      <c r="B48" s="0" t="n">
        <f aca="false">ORÇAMENTO!D48</f>
        <v>0</v>
      </c>
      <c r="C48" s="185" t="str">
        <f aca="false">IF(OR($I48&gt;0,$A48=1,$A48=2,$A48=3,$A48=4),"F","")</f>
        <v/>
      </c>
      <c r="D48" s="188" t="str">
        <f aca="false">ORÇAMENTO!O48</f>
        <v>-</v>
      </c>
      <c r="E48" s="272" t="str">
        <f aca="false">ORÇAMENTO.Descricao</f>
        <v>(abra o arquivo 'Referência 02-Thursday.xlsm)</v>
      </c>
      <c r="F48" s="273" t="str">
        <f aca="true">IF(RegimeExecucao="Global","",ORÇAMENTO.Unidade)</f>
        <v>-</v>
      </c>
      <c r="G48" s="193" t="n">
        <f aca="true">IF(RegimeExecucao="Global","",ORÇAMENTO!T48)</f>
        <v>225</v>
      </c>
      <c r="H48" s="193" t="n">
        <f aca="true">IF(RegimeExecucao="Global","",ORÇAMENTO!W48)</f>
        <v>0</v>
      </c>
      <c r="I48" s="196" t="n">
        <f aca="false">ORÇAMENTO!X48</f>
        <v>0</v>
      </c>
      <c r="J48" s="560" t="n">
        <f aca="true">IF($A48="S",IF(CAIXA.Modo,BM.AFAnterior,BM.MEDAnterior),IF(AND(RegimeExecucao="Global",$I48&gt;0,COUNTIF($AB$13:$AM$13,BM.medicao-1)&gt;0),M48/$I48*100,0))</f>
        <v>0</v>
      </c>
      <c r="K48" s="193" t="n">
        <f aca="false">L48-J48</f>
        <v>0</v>
      </c>
      <c r="L48" s="561" t="n">
        <f aca="true">IF($A48="S",IF(CAIXA.Modo,BM.AFAcumulado,BM.MEDAcumulado),IF(AND(RegimeExecucao="Global",$I48&gt;0,COUNTIF($AB$13:$AM$13,BM.medicao)&gt;0),O48/$I48*100,0))</f>
        <v>0</v>
      </c>
      <c r="M48" s="562" t="n">
        <f aca="true">IF($A48="S",VTOTALBM,IF($A48=0,0,ROUND(SomaAgrupBM,15-13*ORÇAMENTO!$AF$11)))</f>
        <v>0</v>
      </c>
      <c r="N48" s="206" t="n">
        <f aca="false">O48-M48</f>
        <v>0</v>
      </c>
      <c r="O48" s="196" t="n">
        <f aca="true">IF($A48="S",VTOTALBM,IF($A48=0,0,ROUND(SomaAgrupBM,15-13*ORÇAMENTO!$AF$11)))</f>
        <v>0</v>
      </c>
      <c r="Q48" s="563"/>
      <c r="R48" s="564"/>
      <c r="T48" s="188" t="str">
        <f aca="false">IF($W48&gt;0,$D48,"")</f>
        <v/>
      </c>
      <c r="U48" s="272" t="str">
        <f aca="false">IF($W48&gt;0,$E48,"")</f>
        <v/>
      </c>
      <c r="V48" s="273" t="str">
        <f aca="true">IF(AND($W48&gt;0,RegimeExecucao="Unitário"),$F48,"")</f>
        <v/>
      </c>
      <c r="W48" s="565" t="n">
        <f aca="true">IF($Y48&gt;0,CHOOSE(MATCH(RegimeExecucao,{"Unitário","Global"},0),IF($A48="S",$Y48/$X48,""),($Y48/$X48)*100),0)</f>
        <v>0</v>
      </c>
      <c r="X48" s="566" t="str">
        <f aca="true">IF($Y48&gt;0,CHOOSE(MATCH(RegimeExecucao,{"Unitário","Global"},0),IF($A48="S",ROUND($H48,ORÇAMENTO!$AF$10),""),ROUND($I48,ORÇAMENTO!$AF$11)),"")</f>
        <v/>
      </c>
      <c r="Y48" s="566" t="n">
        <f aca="false">AO48-O48</f>
        <v>0</v>
      </c>
      <c r="Z48" s="567"/>
      <c r="AB48" s="563"/>
      <c r="AC48" s="568"/>
      <c r="AD48" s="568"/>
      <c r="AE48" s="568"/>
      <c r="AF48" s="568"/>
      <c r="AG48" s="568"/>
      <c r="AH48" s="568"/>
      <c r="AI48" s="568"/>
      <c r="AJ48" s="568"/>
      <c r="AK48" s="568"/>
      <c r="AL48" s="568"/>
      <c r="AM48" s="564"/>
      <c r="AO48" s="0" t="n">
        <f aca="true">IF($A48="S",IF(BM!$I48=0,0,CHOOSE(MATCH(RegimeExecucao,{"Global","Unitário"},0),ROUND(ROUND(BM.MEDAcumulado,15-13*BM!$A$9)/100*BM!$I48,15-13*ORÇAMENTO!$AF$11),ROUND(ROUND(BM.MEDAcumulado,15-13*BM!$A$9)*ROUND(BM!$H48,15-13*ORÇAMENTO!$AF$10),15-13*ORÇAMENTO!$AF$11))),IF($A48=0,0,ROUND(SomaAgrupBM,15-13*ORÇAMENTO!$AF$11)))</f>
        <v>0</v>
      </c>
    </row>
    <row r="49" customFormat="false" ht="12.75" hidden="false" customHeight="false" outlineLevel="0" collapsed="false">
      <c r="A49" s="0" t="str">
        <f aca="false">ORÇAMENTO!C49</f>
        <v>S</v>
      </c>
      <c r="B49" s="0" t="n">
        <f aca="false">ORÇAMENTO!D49</f>
        <v>0</v>
      </c>
      <c r="C49" s="185" t="str">
        <f aca="false">IF(OR($I49&gt;0,$A49=1,$A49=2,$A49=3,$A49=4),"F","")</f>
        <v/>
      </c>
      <c r="D49" s="188" t="str">
        <f aca="false">ORÇAMENTO!O49</f>
        <v>-</v>
      </c>
      <c r="E49" s="272" t="str">
        <f aca="false">ORÇAMENTO.Descricao</f>
        <v>(abra o arquivo 'Referência 02-Thursday.xlsm)</v>
      </c>
      <c r="F49" s="273" t="str">
        <f aca="true">IF(RegimeExecucao="Global","",ORÇAMENTO.Unidade)</f>
        <v>-</v>
      </c>
      <c r="G49" s="193" t="n">
        <f aca="true">IF(RegimeExecucao="Global","",ORÇAMENTO!T49)</f>
        <v>6750</v>
      </c>
      <c r="H49" s="193" t="n">
        <f aca="true">IF(RegimeExecucao="Global","",ORÇAMENTO!W49)</f>
        <v>0</v>
      </c>
      <c r="I49" s="196" t="n">
        <f aca="false">ORÇAMENTO!X49</f>
        <v>0</v>
      </c>
      <c r="J49" s="560" t="n">
        <f aca="true">IF($A49="S",IF(CAIXA.Modo,BM.AFAnterior,BM.MEDAnterior),IF(AND(RegimeExecucao="Global",$I49&gt;0,COUNTIF($AB$13:$AM$13,BM.medicao-1)&gt;0),M49/$I49*100,0))</f>
        <v>0</v>
      </c>
      <c r="K49" s="193" t="n">
        <f aca="false">L49-J49</f>
        <v>0</v>
      </c>
      <c r="L49" s="561" t="n">
        <f aca="true">IF($A49="S",IF(CAIXA.Modo,BM.AFAcumulado,BM.MEDAcumulado),IF(AND(RegimeExecucao="Global",$I49&gt;0,COUNTIF($AB$13:$AM$13,BM.medicao)&gt;0),O49/$I49*100,0))</f>
        <v>0</v>
      </c>
      <c r="M49" s="562" t="n">
        <f aca="true">IF($A49="S",VTOTALBM,IF($A49=0,0,ROUND(SomaAgrupBM,15-13*ORÇAMENTO!$AF$11)))</f>
        <v>0</v>
      </c>
      <c r="N49" s="206" t="n">
        <f aca="false">O49-M49</f>
        <v>0</v>
      </c>
      <c r="O49" s="196" t="n">
        <f aca="true">IF($A49="S",VTOTALBM,IF($A49=0,0,ROUND(SomaAgrupBM,15-13*ORÇAMENTO!$AF$11)))</f>
        <v>0</v>
      </c>
      <c r="Q49" s="563"/>
      <c r="R49" s="564"/>
      <c r="T49" s="188" t="str">
        <f aca="false">IF($W49&gt;0,$D49,"")</f>
        <v/>
      </c>
      <c r="U49" s="272" t="str">
        <f aca="false">IF($W49&gt;0,$E49,"")</f>
        <v/>
      </c>
      <c r="V49" s="273" t="str">
        <f aca="true">IF(AND($W49&gt;0,RegimeExecucao="Unitário"),$F49,"")</f>
        <v/>
      </c>
      <c r="W49" s="565" t="n">
        <f aca="true">IF($Y49&gt;0,CHOOSE(MATCH(RegimeExecucao,{"Unitário","Global"},0),IF($A49="S",$Y49/$X49,""),($Y49/$X49)*100),0)</f>
        <v>0</v>
      </c>
      <c r="X49" s="566" t="str">
        <f aca="true">IF($Y49&gt;0,CHOOSE(MATCH(RegimeExecucao,{"Unitário","Global"},0),IF($A49="S",ROUND($H49,ORÇAMENTO!$AF$10),""),ROUND($I49,ORÇAMENTO!$AF$11)),"")</f>
        <v/>
      </c>
      <c r="Y49" s="566" t="n">
        <f aca="false">AO49-O49</f>
        <v>0</v>
      </c>
      <c r="Z49" s="567"/>
      <c r="AB49" s="563"/>
      <c r="AC49" s="568"/>
      <c r="AD49" s="568"/>
      <c r="AE49" s="568"/>
      <c r="AF49" s="568"/>
      <c r="AG49" s="568"/>
      <c r="AH49" s="568"/>
      <c r="AI49" s="568"/>
      <c r="AJ49" s="568"/>
      <c r="AK49" s="568"/>
      <c r="AL49" s="568"/>
      <c r="AM49" s="564"/>
      <c r="AO49" s="0" t="n">
        <f aca="true">IF($A49="S",IF(BM!$I49=0,0,CHOOSE(MATCH(RegimeExecucao,{"Global","Unitário"},0),ROUND(ROUND(BM.MEDAcumulado,15-13*BM!$A$9)/100*BM!$I49,15-13*ORÇAMENTO!$AF$11),ROUND(ROUND(BM.MEDAcumulado,15-13*BM!$A$9)*ROUND(BM!$H49,15-13*ORÇAMENTO!$AF$10),15-13*ORÇAMENTO!$AF$11))),IF($A49=0,0,ROUND(SomaAgrupBM,15-13*ORÇAMENTO!$AF$11)))</f>
        <v>0</v>
      </c>
    </row>
    <row r="50" customFormat="false" ht="12.75" hidden="false" customHeight="false" outlineLevel="0" collapsed="false">
      <c r="A50" s="0" t="str">
        <f aca="false">ORÇAMENTO!C50</f>
        <v>S</v>
      </c>
      <c r="B50" s="0" t="n">
        <f aca="false">ORÇAMENTO!D50</f>
        <v>0</v>
      </c>
      <c r="C50" s="185" t="str">
        <f aca="false">IF(OR($I50&gt;0,$A50=1,$A50=2,$A50=3,$A50=4),"F","")</f>
        <v/>
      </c>
      <c r="D50" s="188" t="str">
        <f aca="false">ORÇAMENTO!O50</f>
        <v>-</v>
      </c>
      <c r="E50" s="272" t="str">
        <f aca="false">ORÇAMENTO.Descricao</f>
        <v>(abra o arquivo 'Referência 02-Thursday.xlsm)</v>
      </c>
      <c r="F50" s="273" t="str">
        <f aca="true">IF(RegimeExecucao="Global","",ORÇAMENTO.Unidade)</f>
        <v>-</v>
      </c>
      <c r="G50" s="193" t="n">
        <f aca="true">IF(RegimeExecucao="Global","",ORÇAMENTO!T50)</f>
        <v>9573.75</v>
      </c>
      <c r="H50" s="193" t="n">
        <f aca="true">IF(RegimeExecucao="Global","",ORÇAMENTO!W50)</f>
        <v>0</v>
      </c>
      <c r="I50" s="196" t="n">
        <f aca="false">ORÇAMENTO!X50</f>
        <v>0</v>
      </c>
      <c r="J50" s="560" t="n">
        <f aca="true">IF($A50="S",IF(CAIXA.Modo,BM.AFAnterior,BM.MEDAnterior),IF(AND(RegimeExecucao="Global",$I50&gt;0,COUNTIF($AB$13:$AM$13,BM.medicao-1)&gt;0),M50/$I50*100,0))</f>
        <v>0</v>
      </c>
      <c r="K50" s="193" t="n">
        <f aca="false">L50-J50</f>
        <v>0</v>
      </c>
      <c r="L50" s="561" t="n">
        <f aca="true">IF($A50="S",IF(CAIXA.Modo,BM.AFAcumulado,BM.MEDAcumulado),IF(AND(RegimeExecucao="Global",$I50&gt;0,COUNTIF($AB$13:$AM$13,BM.medicao)&gt;0),O50/$I50*100,0))</f>
        <v>0</v>
      </c>
      <c r="M50" s="562" t="n">
        <f aca="true">IF($A50="S",VTOTALBM,IF($A50=0,0,ROUND(SomaAgrupBM,15-13*ORÇAMENTO!$AF$11)))</f>
        <v>0</v>
      </c>
      <c r="N50" s="206" t="n">
        <f aca="false">O50-M50</f>
        <v>0</v>
      </c>
      <c r="O50" s="196" t="n">
        <f aca="true">IF($A50="S",VTOTALBM,IF($A50=0,0,ROUND(SomaAgrupBM,15-13*ORÇAMENTO!$AF$11)))</f>
        <v>0</v>
      </c>
      <c r="Q50" s="563"/>
      <c r="R50" s="564"/>
      <c r="T50" s="188" t="str">
        <f aca="false">IF($W50&gt;0,$D50,"")</f>
        <v/>
      </c>
      <c r="U50" s="272" t="str">
        <f aca="false">IF($W50&gt;0,$E50,"")</f>
        <v/>
      </c>
      <c r="V50" s="273" t="str">
        <f aca="true">IF(AND($W50&gt;0,RegimeExecucao="Unitário"),$F50,"")</f>
        <v/>
      </c>
      <c r="W50" s="565" t="n">
        <f aca="true">IF($Y50&gt;0,CHOOSE(MATCH(RegimeExecucao,{"Unitário","Global"},0),IF($A50="S",$Y50/$X50,""),($Y50/$X50)*100),0)</f>
        <v>0</v>
      </c>
      <c r="X50" s="566" t="str">
        <f aca="true">IF($Y50&gt;0,CHOOSE(MATCH(RegimeExecucao,{"Unitário","Global"},0),IF($A50="S",ROUND($H50,ORÇAMENTO!$AF$10),""),ROUND($I50,ORÇAMENTO!$AF$11)),"")</f>
        <v/>
      </c>
      <c r="Y50" s="566" t="n">
        <f aca="false">AO50-O50</f>
        <v>0</v>
      </c>
      <c r="Z50" s="567"/>
      <c r="AB50" s="563"/>
      <c r="AC50" s="568"/>
      <c r="AD50" s="568"/>
      <c r="AE50" s="568"/>
      <c r="AF50" s="568"/>
      <c r="AG50" s="568"/>
      <c r="AH50" s="568"/>
      <c r="AI50" s="568"/>
      <c r="AJ50" s="568"/>
      <c r="AK50" s="568"/>
      <c r="AL50" s="568"/>
      <c r="AM50" s="564"/>
      <c r="AO50" s="0" t="n">
        <f aca="true">IF($A50="S",IF(BM!$I50=0,0,CHOOSE(MATCH(RegimeExecucao,{"Global","Unitário"},0),ROUND(ROUND(BM.MEDAcumulado,15-13*BM!$A$9)/100*BM!$I50,15-13*ORÇAMENTO!$AF$11),ROUND(ROUND(BM.MEDAcumulado,15-13*BM!$A$9)*ROUND(BM!$H50,15-13*ORÇAMENTO!$AF$10),15-13*ORÇAMENTO!$AF$11))),IF($A50=0,0,ROUND(SomaAgrupBM,15-13*ORÇAMENTO!$AF$11)))</f>
        <v>0</v>
      </c>
    </row>
    <row r="51" customFormat="false" ht="12.75" hidden="false" customHeight="false" outlineLevel="0" collapsed="false">
      <c r="A51" s="0" t="n">
        <f aca="false">ORÇAMENTO!C51</f>
        <v>2</v>
      </c>
      <c r="B51" s="0" t="n">
        <f aca="false">ORÇAMENTO!D51</f>
        <v>3</v>
      </c>
      <c r="C51" s="185" t="str">
        <f aca="false">IF(OR($I51&gt;0,$A51=1,$A51=2,$A51=3,$A51=4),"F","")</f>
        <v>F</v>
      </c>
      <c r="D51" s="188" t="str">
        <f aca="false">ORÇAMENTO!O51</f>
        <v>1.9.</v>
      </c>
      <c r="E51" s="272" t="str">
        <f aca="false">ORÇAMENTO.Descricao</f>
        <v>Drenagem</v>
      </c>
      <c r="F51" s="273" t="str">
        <f aca="true">IF(RegimeExecucao="Global","",ORÇAMENTO.Unidade)</f>
        <v>-</v>
      </c>
      <c r="G51" s="193" t="n">
        <f aca="true">IF(RegimeExecucao="Global","",ORÇAMENTO!T51)</f>
        <v>0</v>
      </c>
      <c r="H51" s="193" t="n">
        <f aca="true">IF(RegimeExecucao="Global","",ORÇAMENTO!W51)</f>
        <v>0</v>
      </c>
      <c r="I51" s="196" t="n">
        <f aca="false">ORÇAMENTO!X51</f>
        <v>0</v>
      </c>
      <c r="J51" s="560" t="n">
        <f aca="true">IF($A51="S",IF(CAIXA.Modo,BM.AFAnterior,BM.MEDAnterior),IF(AND(RegimeExecucao="Global",$I51&gt;0,COUNTIF($AB$13:$AM$13,BM.medicao-1)&gt;0),M51/$I51*100,0))</f>
        <v>0</v>
      </c>
      <c r="K51" s="193" t="n">
        <f aca="false">L51-J51</f>
        <v>0</v>
      </c>
      <c r="L51" s="561" t="n">
        <f aca="true">IF($A51="S",IF(CAIXA.Modo,BM.AFAcumulado,BM.MEDAcumulado),IF(AND(RegimeExecucao="Global",$I51&gt;0,COUNTIF($AB$13:$AM$13,BM.medicao)&gt;0),O51/$I51*100,0))</f>
        <v>0</v>
      </c>
      <c r="M51" s="562" t="n">
        <f aca="true">IF($A51="S",VTOTALBM,IF($A51=0,0,ROUND(SomaAgrupBM,15-13*ORÇAMENTO!$AF$11)))</f>
        <v>0</v>
      </c>
      <c r="N51" s="206" t="n">
        <f aca="false">O51-M51</f>
        <v>0</v>
      </c>
      <c r="O51" s="196" t="n">
        <f aca="true">IF($A51="S",VTOTALBM,IF($A51=0,0,ROUND(SomaAgrupBM,15-13*ORÇAMENTO!$AF$11)))</f>
        <v>0</v>
      </c>
      <c r="Q51" s="563"/>
      <c r="R51" s="564"/>
      <c r="T51" s="188" t="str">
        <f aca="false">IF($W51&gt;0,$D51,"")</f>
        <v/>
      </c>
      <c r="U51" s="272" t="str">
        <f aca="false">IF($W51&gt;0,$E51,"")</f>
        <v/>
      </c>
      <c r="V51" s="273" t="str">
        <f aca="true">IF(AND($W51&gt;0,RegimeExecucao="Unitário"),$F51,"")</f>
        <v/>
      </c>
      <c r="W51" s="565" t="n">
        <f aca="true">IF($Y51&gt;0,CHOOSE(MATCH(RegimeExecucao,{"Unitário","Global"},0),IF($A51="S",$Y51/$X51,""),($Y51/$X51)*100),0)</f>
        <v>0</v>
      </c>
      <c r="X51" s="566" t="str">
        <f aca="true">IF($Y51&gt;0,CHOOSE(MATCH(RegimeExecucao,{"Unitário","Global"},0),IF($A51="S",ROUND($H51,ORÇAMENTO!$AF$10),""),ROUND($I51,ORÇAMENTO!$AF$11)),"")</f>
        <v/>
      </c>
      <c r="Y51" s="566" t="n">
        <f aca="false">AO51-O51</f>
        <v>0</v>
      </c>
      <c r="Z51" s="567"/>
      <c r="AB51" s="563"/>
      <c r="AC51" s="568"/>
      <c r="AD51" s="568"/>
      <c r="AE51" s="568"/>
      <c r="AF51" s="568"/>
      <c r="AG51" s="568"/>
      <c r="AH51" s="568"/>
      <c r="AI51" s="568"/>
      <c r="AJ51" s="568"/>
      <c r="AK51" s="568"/>
      <c r="AL51" s="568"/>
      <c r="AM51" s="564"/>
      <c r="AO51" s="0" t="n">
        <f aca="true">IF($A51="S",IF(BM!$I51=0,0,CHOOSE(MATCH(RegimeExecucao,{"Global","Unitário"},0),ROUND(ROUND(BM.MEDAcumulado,15-13*BM!$A$9)/100*BM!$I51,15-13*ORÇAMENTO!$AF$11),ROUND(ROUND(BM.MEDAcumulado,15-13*BM!$A$9)*ROUND(BM!$H51,15-13*ORÇAMENTO!$AF$10),15-13*ORÇAMENTO!$AF$11))),IF($A51=0,0,ROUND(SomaAgrupBM,15-13*ORÇAMENTO!$AF$11)))</f>
        <v>0</v>
      </c>
    </row>
    <row r="52" customFormat="false" ht="12.75" hidden="false" customHeight="false" outlineLevel="0" collapsed="false">
      <c r="A52" s="0" t="str">
        <f aca="false">ORÇAMENTO!C52</f>
        <v>S</v>
      </c>
      <c r="B52" s="0" t="n">
        <f aca="false">ORÇAMENTO!D52</f>
        <v>0</v>
      </c>
      <c r="C52" s="185" t="str">
        <f aca="false">IF(OR($I52&gt;0,$A52=1,$A52=2,$A52=3,$A52=4),"F","")</f>
        <v/>
      </c>
      <c r="D52" s="188" t="str">
        <f aca="false">ORÇAMENTO!O52</f>
        <v>-</v>
      </c>
      <c r="E52" s="272" t="str">
        <f aca="false">ORÇAMENTO.Descricao</f>
        <v>(abra o arquivo 'Referência 02-Thursday.xlsm)</v>
      </c>
      <c r="F52" s="273" t="str">
        <f aca="true">IF(RegimeExecucao="Global","",ORÇAMENTO.Unidade)</f>
        <v>-</v>
      </c>
      <c r="G52" s="193" t="n">
        <f aca="true">IF(RegimeExecucao="Global","",ORÇAMENTO!T52)</f>
        <v>680</v>
      </c>
      <c r="H52" s="193" t="n">
        <f aca="true">IF(RegimeExecucao="Global","",ORÇAMENTO!W52)</f>
        <v>0</v>
      </c>
      <c r="I52" s="196" t="n">
        <f aca="false">ORÇAMENTO!X52</f>
        <v>0</v>
      </c>
      <c r="J52" s="560" t="n">
        <f aca="true">IF($A52="S",IF(CAIXA.Modo,BM.AFAnterior,BM.MEDAnterior),IF(AND(RegimeExecucao="Global",$I52&gt;0,COUNTIF($AB$13:$AM$13,BM.medicao-1)&gt;0),M52/$I52*100,0))</f>
        <v>0</v>
      </c>
      <c r="K52" s="193" t="n">
        <f aca="false">L52-J52</f>
        <v>0</v>
      </c>
      <c r="L52" s="561" t="n">
        <f aca="true">IF($A52="S",IF(CAIXA.Modo,BM.AFAcumulado,BM.MEDAcumulado),IF(AND(RegimeExecucao="Global",$I52&gt;0,COUNTIF($AB$13:$AM$13,BM.medicao)&gt;0),O52/$I52*100,0))</f>
        <v>0</v>
      </c>
      <c r="M52" s="562" t="n">
        <f aca="true">IF($A52="S",VTOTALBM,IF($A52=0,0,ROUND(SomaAgrupBM,15-13*ORÇAMENTO!$AF$11)))</f>
        <v>0</v>
      </c>
      <c r="N52" s="206" t="n">
        <f aca="false">O52-M52</f>
        <v>0</v>
      </c>
      <c r="O52" s="196" t="n">
        <f aca="true">IF($A52="S",VTOTALBM,IF($A52=0,0,ROUND(SomaAgrupBM,15-13*ORÇAMENTO!$AF$11)))</f>
        <v>0</v>
      </c>
      <c r="Q52" s="563"/>
      <c r="R52" s="564"/>
      <c r="T52" s="188" t="str">
        <f aca="false">IF($W52&gt;0,$D52,"")</f>
        <v/>
      </c>
      <c r="U52" s="272" t="str">
        <f aca="false">IF($W52&gt;0,$E52,"")</f>
        <v/>
      </c>
      <c r="V52" s="273" t="str">
        <f aca="true">IF(AND($W52&gt;0,RegimeExecucao="Unitário"),$F52,"")</f>
        <v/>
      </c>
      <c r="W52" s="565" t="n">
        <f aca="true">IF($Y52&gt;0,CHOOSE(MATCH(RegimeExecucao,{"Unitário","Global"},0),IF($A52="S",$Y52/$X52,""),($Y52/$X52)*100),0)</f>
        <v>0</v>
      </c>
      <c r="X52" s="566" t="str">
        <f aca="true">IF($Y52&gt;0,CHOOSE(MATCH(RegimeExecucao,{"Unitário","Global"},0),IF($A52="S",ROUND($H52,ORÇAMENTO!$AF$10),""),ROUND($I52,ORÇAMENTO!$AF$11)),"")</f>
        <v/>
      </c>
      <c r="Y52" s="566" t="n">
        <f aca="false">AO52-O52</f>
        <v>0</v>
      </c>
      <c r="Z52" s="567"/>
      <c r="AB52" s="563"/>
      <c r="AC52" s="568"/>
      <c r="AD52" s="568"/>
      <c r="AE52" s="568"/>
      <c r="AF52" s="568"/>
      <c r="AG52" s="568"/>
      <c r="AH52" s="568"/>
      <c r="AI52" s="568"/>
      <c r="AJ52" s="568"/>
      <c r="AK52" s="568"/>
      <c r="AL52" s="568"/>
      <c r="AM52" s="564"/>
      <c r="AO52" s="0" t="n">
        <f aca="true">IF($A52="S",IF(BM!$I52=0,0,CHOOSE(MATCH(RegimeExecucao,{"Global","Unitário"},0),ROUND(ROUND(BM.MEDAcumulado,15-13*BM!$A$9)/100*BM!$I52,15-13*ORÇAMENTO!$AF$11),ROUND(ROUND(BM.MEDAcumulado,15-13*BM!$A$9)*ROUND(BM!$H52,15-13*ORÇAMENTO!$AF$10),15-13*ORÇAMENTO!$AF$11))),IF($A52=0,0,ROUND(SomaAgrupBM,15-13*ORÇAMENTO!$AF$11)))</f>
        <v>0</v>
      </c>
    </row>
    <row r="53" customFormat="false" ht="12.75" hidden="false" customHeight="false" outlineLevel="0" collapsed="false">
      <c r="A53" s="0" t="str">
        <f aca="false">ORÇAMENTO!C53</f>
        <v>S</v>
      </c>
      <c r="B53" s="0" t="n">
        <f aca="false">ORÇAMENTO!D53</f>
        <v>0</v>
      </c>
      <c r="C53" s="185" t="str">
        <f aca="false">IF(OR($I53&gt;0,$A53=1,$A53=2,$A53=3,$A53=4),"F","")</f>
        <v/>
      </c>
      <c r="D53" s="188" t="str">
        <f aca="false">ORÇAMENTO!O53</f>
        <v>-</v>
      </c>
      <c r="E53" s="272" t="str">
        <f aca="false">ORÇAMENTO.Descricao</f>
        <v>(abra o arquivo 'Referência 02-Thursday.xlsm)</v>
      </c>
      <c r="F53" s="273" t="str">
        <f aca="true">IF(RegimeExecucao="Global","",ORÇAMENTO.Unidade)</f>
        <v>-</v>
      </c>
      <c r="G53" s="193" t="n">
        <f aca="true">IF(RegimeExecucao="Global","",ORÇAMENTO!T53)</f>
        <v>2</v>
      </c>
      <c r="H53" s="193" t="n">
        <f aca="true">IF(RegimeExecucao="Global","",ORÇAMENTO!W53)</f>
        <v>0</v>
      </c>
      <c r="I53" s="196" t="n">
        <f aca="false">ORÇAMENTO!X53</f>
        <v>0</v>
      </c>
      <c r="J53" s="560" t="n">
        <f aca="true">IF($A53="S",IF(CAIXA.Modo,BM.AFAnterior,BM.MEDAnterior),IF(AND(RegimeExecucao="Global",$I53&gt;0,COUNTIF($AB$13:$AM$13,BM.medicao-1)&gt;0),M53/$I53*100,0))</f>
        <v>0</v>
      </c>
      <c r="K53" s="193" t="n">
        <f aca="false">L53-J53</f>
        <v>0</v>
      </c>
      <c r="L53" s="561" t="n">
        <f aca="true">IF($A53="S",IF(CAIXA.Modo,BM.AFAcumulado,BM.MEDAcumulado),IF(AND(RegimeExecucao="Global",$I53&gt;0,COUNTIF($AB$13:$AM$13,BM.medicao)&gt;0),O53/$I53*100,0))</f>
        <v>0</v>
      </c>
      <c r="M53" s="562" t="n">
        <f aca="true">IF($A53="S",VTOTALBM,IF($A53=0,0,ROUND(SomaAgrupBM,15-13*ORÇAMENTO!$AF$11)))</f>
        <v>0</v>
      </c>
      <c r="N53" s="206" t="n">
        <f aca="false">O53-M53</f>
        <v>0</v>
      </c>
      <c r="O53" s="196" t="n">
        <f aca="true">IF($A53="S",VTOTALBM,IF($A53=0,0,ROUND(SomaAgrupBM,15-13*ORÇAMENTO!$AF$11)))</f>
        <v>0</v>
      </c>
      <c r="Q53" s="563"/>
      <c r="R53" s="564"/>
      <c r="T53" s="188" t="str">
        <f aca="false">IF($W53&gt;0,$D53,"")</f>
        <v/>
      </c>
      <c r="U53" s="272" t="str">
        <f aca="false">IF($W53&gt;0,$E53,"")</f>
        <v/>
      </c>
      <c r="V53" s="273" t="str">
        <f aca="true">IF(AND($W53&gt;0,RegimeExecucao="Unitário"),$F53,"")</f>
        <v/>
      </c>
      <c r="W53" s="565" t="n">
        <f aca="true">IF($Y53&gt;0,CHOOSE(MATCH(RegimeExecucao,{"Unitário","Global"},0),IF($A53="S",$Y53/$X53,""),($Y53/$X53)*100),0)</f>
        <v>0</v>
      </c>
      <c r="X53" s="566" t="str">
        <f aca="true">IF($Y53&gt;0,CHOOSE(MATCH(RegimeExecucao,{"Unitário","Global"},0),IF($A53="S",ROUND($H53,ORÇAMENTO!$AF$10),""),ROUND($I53,ORÇAMENTO!$AF$11)),"")</f>
        <v/>
      </c>
      <c r="Y53" s="566" t="n">
        <f aca="false">AO53-O53</f>
        <v>0</v>
      </c>
      <c r="Z53" s="567"/>
      <c r="AB53" s="563"/>
      <c r="AC53" s="568"/>
      <c r="AD53" s="568"/>
      <c r="AE53" s="568"/>
      <c r="AF53" s="568"/>
      <c r="AG53" s="568"/>
      <c r="AH53" s="568"/>
      <c r="AI53" s="568"/>
      <c r="AJ53" s="568"/>
      <c r="AK53" s="568"/>
      <c r="AL53" s="568"/>
      <c r="AM53" s="564"/>
      <c r="AO53" s="0" t="n">
        <f aca="true">IF($A53="S",IF(BM!$I53=0,0,CHOOSE(MATCH(RegimeExecucao,{"Global","Unitário"},0),ROUND(ROUND(BM.MEDAcumulado,15-13*BM!$A$9)/100*BM!$I53,15-13*ORÇAMENTO!$AF$11),ROUND(ROUND(BM.MEDAcumulado,15-13*BM!$A$9)*ROUND(BM!$H53,15-13*ORÇAMENTO!$AF$10),15-13*ORÇAMENTO!$AF$11))),IF($A53=0,0,ROUND(SomaAgrupBM,15-13*ORÇAMENTO!$AF$11)))</f>
        <v>0</v>
      </c>
    </row>
    <row r="54" customFormat="false" ht="12.75" hidden="false" customHeight="false" outlineLevel="0" collapsed="false">
      <c r="A54" s="0" t="n">
        <f aca="false">ORÇAMENTO!C54</f>
        <v>2</v>
      </c>
      <c r="B54" s="0" t="n">
        <f aca="false">ORÇAMENTO!D54</f>
        <v>5</v>
      </c>
      <c r="C54" s="185" t="str">
        <f aca="false">IF(OR($I54&gt;0,$A54=1,$A54=2,$A54=3,$A54=4),"F","")</f>
        <v>F</v>
      </c>
      <c r="D54" s="188" t="str">
        <f aca="false">ORÇAMENTO!O54</f>
        <v>1.10.</v>
      </c>
      <c r="E54" s="272" t="str">
        <f aca="false">ORÇAMENTO.Descricao</f>
        <v>Sinalização</v>
      </c>
      <c r="F54" s="273" t="str">
        <f aca="true">IF(RegimeExecucao="Global","",ORÇAMENTO.Unidade)</f>
        <v>-</v>
      </c>
      <c r="G54" s="193" t="n">
        <f aca="true">IF(RegimeExecucao="Global","",ORÇAMENTO!T54)</f>
        <v>0</v>
      </c>
      <c r="H54" s="193" t="n">
        <f aca="true">IF(RegimeExecucao="Global","",ORÇAMENTO!W54)</f>
        <v>0</v>
      </c>
      <c r="I54" s="196" t="n">
        <f aca="false">ORÇAMENTO!X54</f>
        <v>0</v>
      </c>
      <c r="J54" s="560" t="n">
        <f aca="true">IF($A54="S",IF(CAIXA.Modo,BM.AFAnterior,BM.MEDAnterior),IF(AND(RegimeExecucao="Global",$I54&gt;0,COUNTIF($AB$13:$AM$13,BM.medicao-1)&gt;0),M54/$I54*100,0))</f>
        <v>0</v>
      </c>
      <c r="K54" s="193" t="n">
        <f aca="false">L54-J54</f>
        <v>0</v>
      </c>
      <c r="L54" s="561" t="n">
        <f aca="true">IF($A54="S",IF(CAIXA.Modo,BM.AFAcumulado,BM.MEDAcumulado),IF(AND(RegimeExecucao="Global",$I54&gt;0,COUNTIF($AB$13:$AM$13,BM.medicao)&gt;0),O54/$I54*100,0))</f>
        <v>0</v>
      </c>
      <c r="M54" s="562" t="n">
        <f aca="true">IF($A54="S",VTOTALBM,IF($A54=0,0,ROUND(SomaAgrupBM,15-13*ORÇAMENTO!$AF$11)))</f>
        <v>0</v>
      </c>
      <c r="N54" s="206" t="n">
        <f aca="false">O54-M54</f>
        <v>0</v>
      </c>
      <c r="O54" s="196" t="n">
        <f aca="true">IF($A54="S",VTOTALBM,IF($A54=0,0,ROUND(SomaAgrupBM,15-13*ORÇAMENTO!$AF$11)))</f>
        <v>0</v>
      </c>
      <c r="Q54" s="563"/>
      <c r="R54" s="564"/>
      <c r="T54" s="188" t="str">
        <f aca="false">IF($W54&gt;0,$D54,"")</f>
        <v/>
      </c>
      <c r="U54" s="272" t="str">
        <f aca="false">IF($W54&gt;0,$E54,"")</f>
        <v/>
      </c>
      <c r="V54" s="273" t="str">
        <f aca="true">IF(AND($W54&gt;0,RegimeExecucao="Unitário"),$F54,"")</f>
        <v/>
      </c>
      <c r="W54" s="565" t="n">
        <f aca="true">IF($Y54&gt;0,CHOOSE(MATCH(RegimeExecucao,{"Unitário","Global"},0),IF($A54="S",$Y54/$X54,""),($Y54/$X54)*100),0)</f>
        <v>0</v>
      </c>
      <c r="X54" s="566" t="str">
        <f aca="true">IF($Y54&gt;0,CHOOSE(MATCH(RegimeExecucao,{"Unitário","Global"},0),IF($A54="S",ROUND($H54,ORÇAMENTO!$AF$10),""),ROUND($I54,ORÇAMENTO!$AF$11)),"")</f>
        <v/>
      </c>
      <c r="Y54" s="566" t="n">
        <f aca="false">AO54-O54</f>
        <v>0</v>
      </c>
      <c r="Z54" s="567"/>
      <c r="AB54" s="563"/>
      <c r="AC54" s="568"/>
      <c r="AD54" s="568"/>
      <c r="AE54" s="568"/>
      <c r="AF54" s="568"/>
      <c r="AG54" s="568"/>
      <c r="AH54" s="568"/>
      <c r="AI54" s="568"/>
      <c r="AJ54" s="568"/>
      <c r="AK54" s="568"/>
      <c r="AL54" s="568"/>
      <c r="AM54" s="564"/>
      <c r="AO54" s="0" t="n">
        <f aca="true">IF($A54="S",IF(BM!$I54=0,0,CHOOSE(MATCH(RegimeExecucao,{"Global","Unitário"},0),ROUND(ROUND(BM.MEDAcumulado,15-13*BM!$A$9)/100*BM!$I54,15-13*ORÇAMENTO!$AF$11),ROUND(ROUND(BM.MEDAcumulado,15-13*BM!$A$9)*ROUND(BM!$H54,15-13*ORÇAMENTO!$AF$10),15-13*ORÇAMENTO!$AF$11))),IF($A54=0,0,ROUND(SomaAgrupBM,15-13*ORÇAMENTO!$AF$11)))</f>
        <v>0</v>
      </c>
    </row>
    <row r="55" customFormat="false" ht="12.75" hidden="false" customHeight="false" outlineLevel="0" collapsed="false">
      <c r="A55" s="0" t="str">
        <f aca="false">ORÇAMENTO!C55</f>
        <v>S</v>
      </c>
      <c r="B55" s="0" t="n">
        <f aca="false">ORÇAMENTO!D55</f>
        <v>0</v>
      </c>
      <c r="C55" s="185" t="str">
        <f aca="false">IF(OR($I55&gt;0,$A55=1,$A55=2,$A55=3,$A55=4),"F","")</f>
        <v/>
      </c>
      <c r="D55" s="188" t="str">
        <f aca="false">ORÇAMENTO!O55</f>
        <v>-</v>
      </c>
      <c r="E55" s="272" t="str">
        <f aca="false">ORÇAMENTO.Descricao</f>
        <v>(abra o arquivo 'Referência 02-Thursday.xlsm)</v>
      </c>
      <c r="F55" s="273" t="str">
        <f aca="true">IF(RegimeExecucao="Global","",ORÇAMENTO.Unidade)</f>
        <v>-</v>
      </c>
      <c r="G55" s="193" t="n">
        <f aca="true">IF(RegimeExecucao="Global","",ORÇAMENTO!T55)</f>
        <v>150</v>
      </c>
      <c r="H55" s="193" t="n">
        <f aca="true">IF(RegimeExecucao="Global","",ORÇAMENTO!W55)</f>
        <v>0</v>
      </c>
      <c r="I55" s="196" t="n">
        <f aca="false">ORÇAMENTO!X55</f>
        <v>0</v>
      </c>
      <c r="J55" s="560" t="n">
        <f aca="true">IF($A55="S",IF(CAIXA.Modo,BM.AFAnterior,BM.MEDAnterior),IF(AND(RegimeExecucao="Global",$I55&gt;0,COUNTIF($AB$13:$AM$13,BM.medicao-1)&gt;0),M55/$I55*100,0))</f>
        <v>0</v>
      </c>
      <c r="K55" s="193" t="n">
        <f aca="false">L55-J55</f>
        <v>0</v>
      </c>
      <c r="L55" s="561" t="n">
        <f aca="true">IF($A55="S",IF(CAIXA.Modo,BM.AFAcumulado,BM.MEDAcumulado),IF(AND(RegimeExecucao="Global",$I55&gt;0,COUNTIF($AB$13:$AM$13,BM.medicao)&gt;0),O55/$I55*100,0))</f>
        <v>0</v>
      </c>
      <c r="M55" s="562" t="n">
        <f aca="true">IF($A55="S",VTOTALBM,IF($A55=0,0,ROUND(SomaAgrupBM,15-13*ORÇAMENTO!$AF$11)))</f>
        <v>0</v>
      </c>
      <c r="N55" s="206" t="n">
        <f aca="false">O55-M55</f>
        <v>0</v>
      </c>
      <c r="O55" s="196" t="n">
        <f aca="true">IF($A55="S",VTOTALBM,IF($A55=0,0,ROUND(SomaAgrupBM,15-13*ORÇAMENTO!$AF$11)))</f>
        <v>0</v>
      </c>
      <c r="Q55" s="563"/>
      <c r="R55" s="564"/>
      <c r="T55" s="188" t="str">
        <f aca="false">IF($W55&gt;0,$D55,"")</f>
        <v/>
      </c>
      <c r="U55" s="272" t="str">
        <f aca="false">IF($W55&gt;0,$E55,"")</f>
        <v/>
      </c>
      <c r="V55" s="273" t="str">
        <f aca="true">IF(AND($W55&gt;0,RegimeExecucao="Unitário"),$F55,"")</f>
        <v/>
      </c>
      <c r="W55" s="565" t="n">
        <f aca="true">IF($Y55&gt;0,CHOOSE(MATCH(RegimeExecucao,{"Unitário","Global"},0),IF($A55="S",$Y55/$X55,""),($Y55/$X55)*100),0)</f>
        <v>0</v>
      </c>
      <c r="X55" s="566" t="str">
        <f aca="true">IF($Y55&gt;0,CHOOSE(MATCH(RegimeExecucao,{"Unitário","Global"},0),IF($A55="S",ROUND($H55,ORÇAMENTO!$AF$10),""),ROUND($I55,ORÇAMENTO!$AF$11)),"")</f>
        <v/>
      </c>
      <c r="Y55" s="566" t="n">
        <f aca="false">AO55-O55</f>
        <v>0</v>
      </c>
      <c r="Z55" s="567"/>
      <c r="AB55" s="563"/>
      <c r="AC55" s="568"/>
      <c r="AD55" s="568"/>
      <c r="AE55" s="568"/>
      <c r="AF55" s="568"/>
      <c r="AG55" s="568"/>
      <c r="AH55" s="568"/>
      <c r="AI55" s="568"/>
      <c r="AJ55" s="568"/>
      <c r="AK55" s="568"/>
      <c r="AL55" s="568"/>
      <c r="AM55" s="564"/>
      <c r="AO55" s="0" t="n">
        <f aca="true">IF($A55="S",IF(BM!$I55=0,0,CHOOSE(MATCH(RegimeExecucao,{"Global","Unitário"},0),ROUND(ROUND(BM.MEDAcumulado,15-13*BM!$A$9)/100*BM!$I55,15-13*ORÇAMENTO!$AF$11),ROUND(ROUND(BM.MEDAcumulado,15-13*BM!$A$9)*ROUND(BM!$H55,15-13*ORÇAMENTO!$AF$10),15-13*ORÇAMENTO!$AF$11))),IF($A55=0,0,ROUND(SomaAgrupBM,15-13*ORÇAMENTO!$AF$11)))</f>
        <v>0</v>
      </c>
    </row>
    <row r="56" customFormat="false" ht="12.75" hidden="false" customHeight="false" outlineLevel="0" collapsed="false">
      <c r="A56" s="0" t="str">
        <f aca="false">ORÇAMENTO!C56</f>
        <v>S</v>
      </c>
      <c r="B56" s="0" t="n">
        <f aca="false">ORÇAMENTO!D56</f>
        <v>0</v>
      </c>
      <c r="C56" s="185" t="str">
        <f aca="false">IF(OR($I56&gt;0,$A56=1,$A56=2,$A56=3,$A56=4),"F","")</f>
        <v/>
      </c>
      <c r="D56" s="188" t="str">
        <f aca="false">ORÇAMENTO!O56</f>
        <v>-</v>
      </c>
      <c r="E56" s="272" t="str">
        <f aca="false">ORÇAMENTO.Descricao</f>
        <v>(abra o arquivo 'Referência 02-Thursday.xlsm)</v>
      </c>
      <c r="F56" s="273" t="str">
        <f aca="true">IF(RegimeExecucao="Global","",ORÇAMENTO.Unidade)</f>
        <v>-</v>
      </c>
      <c r="G56" s="193" t="n">
        <f aca="true">IF(RegimeExecucao="Global","",ORÇAMENTO!T56)</f>
        <v>3</v>
      </c>
      <c r="H56" s="193" t="n">
        <f aca="true">IF(RegimeExecucao="Global","",ORÇAMENTO!W56)</f>
        <v>0</v>
      </c>
      <c r="I56" s="196" t="n">
        <f aca="false">ORÇAMENTO!X56</f>
        <v>0</v>
      </c>
      <c r="J56" s="560" t="n">
        <f aca="true">IF($A56="S",IF(CAIXA.Modo,BM.AFAnterior,BM.MEDAnterior),IF(AND(RegimeExecucao="Global",$I56&gt;0,COUNTIF($AB$13:$AM$13,BM.medicao-1)&gt;0),M56/$I56*100,0))</f>
        <v>0</v>
      </c>
      <c r="K56" s="193" t="n">
        <f aca="false">L56-J56</f>
        <v>0</v>
      </c>
      <c r="L56" s="561" t="n">
        <f aca="true">IF($A56="S",IF(CAIXA.Modo,BM.AFAcumulado,BM.MEDAcumulado),IF(AND(RegimeExecucao="Global",$I56&gt;0,COUNTIF($AB$13:$AM$13,BM.medicao)&gt;0),O56/$I56*100,0))</f>
        <v>0</v>
      </c>
      <c r="M56" s="562" t="n">
        <f aca="true">IF($A56="S",VTOTALBM,IF($A56=0,0,ROUND(SomaAgrupBM,15-13*ORÇAMENTO!$AF$11)))</f>
        <v>0</v>
      </c>
      <c r="N56" s="206" t="n">
        <f aca="false">O56-M56</f>
        <v>0</v>
      </c>
      <c r="O56" s="196" t="n">
        <f aca="true">IF($A56="S",VTOTALBM,IF($A56=0,0,ROUND(SomaAgrupBM,15-13*ORÇAMENTO!$AF$11)))</f>
        <v>0</v>
      </c>
      <c r="Q56" s="563"/>
      <c r="R56" s="564"/>
      <c r="T56" s="188" t="str">
        <f aca="false">IF($W56&gt;0,$D56,"")</f>
        <v/>
      </c>
      <c r="U56" s="272" t="str">
        <f aca="false">IF($W56&gt;0,$E56,"")</f>
        <v/>
      </c>
      <c r="V56" s="273" t="str">
        <f aca="true">IF(AND($W56&gt;0,RegimeExecucao="Unitário"),$F56,"")</f>
        <v/>
      </c>
      <c r="W56" s="565" t="n">
        <f aca="true">IF($Y56&gt;0,CHOOSE(MATCH(RegimeExecucao,{"Unitário","Global"},0),IF($A56="S",$Y56/$X56,""),($Y56/$X56)*100),0)</f>
        <v>0</v>
      </c>
      <c r="X56" s="566" t="str">
        <f aca="true">IF($Y56&gt;0,CHOOSE(MATCH(RegimeExecucao,{"Unitário","Global"},0),IF($A56="S",ROUND($H56,ORÇAMENTO!$AF$10),""),ROUND($I56,ORÇAMENTO!$AF$11)),"")</f>
        <v/>
      </c>
      <c r="Y56" s="566" t="n">
        <f aca="false">AO56-O56</f>
        <v>0</v>
      </c>
      <c r="Z56" s="567"/>
      <c r="AB56" s="563"/>
      <c r="AC56" s="568"/>
      <c r="AD56" s="568"/>
      <c r="AE56" s="568"/>
      <c r="AF56" s="568"/>
      <c r="AG56" s="568"/>
      <c r="AH56" s="568"/>
      <c r="AI56" s="568"/>
      <c r="AJ56" s="568"/>
      <c r="AK56" s="568"/>
      <c r="AL56" s="568"/>
      <c r="AM56" s="564"/>
      <c r="AO56" s="0" t="n">
        <f aca="true">IF($A56="S",IF(BM!$I56=0,0,CHOOSE(MATCH(RegimeExecucao,{"Global","Unitário"},0),ROUND(ROUND(BM.MEDAcumulado,15-13*BM!$A$9)/100*BM!$I56,15-13*ORÇAMENTO!$AF$11),ROUND(ROUND(BM.MEDAcumulado,15-13*BM!$A$9)*ROUND(BM!$H56,15-13*ORÇAMENTO!$AF$10),15-13*ORÇAMENTO!$AF$11))),IF($A56=0,0,ROUND(SomaAgrupBM,15-13*ORÇAMENTO!$AF$11)))</f>
        <v>0</v>
      </c>
    </row>
    <row r="57" customFormat="false" ht="12.75" hidden="false" customHeight="false" outlineLevel="0" collapsed="false">
      <c r="A57" s="0" t="str">
        <f aca="false">ORÇAMENTO!C57</f>
        <v>S</v>
      </c>
      <c r="B57" s="0" t="n">
        <f aca="false">ORÇAMENTO!D57</f>
        <v>0</v>
      </c>
      <c r="C57" s="185" t="str">
        <f aca="false">IF(OR($I57&gt;0,$A57=1,$A57=2,$A57=3,$A57=4),"F","")</f>
        <v/>
      </c>
      <c r="D57" s="188" t="str">
        <f aca="false">ORÇAMENTO!O57</f>
        <v>-</v>
      </c>
      <c r="E57" s="272" t="str">
        <f aca="false">ORÇAMENTO.Descricao</f>
        <v>(abra o arquivo 'Referência 02-Thursday.xlsm)</v>
      </c>
      <c r="F57" s="273" t="str">
        <f aca="true">IF(RegimeExecucao="Global","",ORÇAMENTO.Unidade)</f>
        <v>-</v>
      </c>
      <c r="G57" s="193" t="n">
        <f aca="true">IF(RegimeExecucao="Global","",ORÇAMENTO!T57)</f>
        <v>4</v>
      </c>
      <c r="H57" s="193" t="n">
        <f aca="true">IF(RegimeExecucao="Global","",ORÇAMENTO!W57)</f>
        <v>0</v>
      </c>
      <c r="I57" s="196" t="n">
        <f aca="false">ORÇAMENTO!X57</f>
        <v>0</v>
      </c>
      <c r="J57" s="560" t="n">
        <f aca="true">IF($A57="S",IF(CAIXA.Modo,BM.AFAnterior,BM.MEDAnterior),IF(AND(RegimeExecucao="Global",$I57&gt;0,COUNTIF($AB$13:$AM$13,BM.medicao-1)&gt;0),M57/$I57*100,0))</f>
        <v>0</v>
      </c>
      <c r="K57" s="193" t="n">
        <f aca="false">L57-J57</f>
        <v>0</v>
      </c>
      <c r="L57" s="561" t="n">
        <f aca="true">IF($A57="S",IF(CAIXA.Modo,BM.AFAcumulado,BM.MEDAcumulado),IF(AND(RegimeExecucao="Global",$I57&gt;0,COUNTIF($AB$13:$AM$13,BM.medicao)&gt;0),O57/$I57*100,0))</f>
        <v>0</v>
      </c>
      <c r="M57" s="562" t="n">
        <f aca="true">IF($A57="S",VTOTALBM,IF($A57=0,0,ROUND(SomaAgrupBM,15-13*ORÇAMENTO!$AF$11)))</f>
        <v>0</v>
      </c>
      <c r="N57" s="206" t="n">
        <f aca="false">O57-M57</f>
        <v>0</v>
      </c>
      <c r="O57" s="196" t="n">
        <f aca="true">IF($A57="S",VTOTALBM,IF($A57=0,0,ROUND(SomaAgrupBM,15-13*ORÇAMENTO!$AF$11)))</f>
        <v>0</v>
      </c>
      <c r="Q57" s="563"/>
      <c r="R57" s="564"/>
      <c r="T57" s="188" t="str">
        <f aca="false">IF($W57&gt;0,$D57,"")</f>
        <v/>
      </c>
      <c r="U57" s="272" t="str">
        <f aca="false">IF($W57&gt;0,$E57,"")</f>
        <v/>
      </c>
      <c r="V57" s="273" t="str">
        <f aca="true">IF(AND($W57&gt;0,RegimeExecucao="Unitário"),$F57,"")</f>
        <v/>
      </c>
      <c r="W57" s="565" t="n">
        <f aca="true">IF($Y57&gt;0,CHOOSE(MATCH(RegimeExecucao,{"Unitário","Global"},0),IF($A57="S",$Y57/$X57,""),($Y57/$X57)*100),0)</f>
        <v>0</v>
      </c>
      <c r="X57" s="566" t="str">
        <f aca="true">IF($Y57&gt;0,CHOOSE(MATCH(RegimeExecucao,{"Unitário","Global"},0),IF($A57="S",ROUND($H57,ORÇAMENTO!$AF$10),""),ROUND($I57,ORÇAMENTO!$AF$11)),"")</f>
        <v/>
      </c>
      <c r="Y57" s="566" t="n">
        <f aca="false">AO57-O57</f>
        <v>0</v>
      </c>
      <c r="Z57" s="567"/>
      <c r="AB57" s="563"/>
      <c r="AC57" s="568"/>
      <c r="AD57" s="568"/>
      <c r="AE57" s="568"/>
      <c r="AF57" s="568"/>
      <c r="AG57" s="568"/>
      <c r="AH57" s="568"/>
      <c r="AI57" s="568"/>
      <c r="AJ57" s="568"/>
      <c r="AK57" s="568"/>
      <c r="AL57" s="568"/>
      <c r="AM57" s="564"/>
      <c r="AO57" s="0" t="n">
        <f aca="true">IF($A57="S",IF(BM!$I57=0,0,CHOOSE(MATCH(RegimeExecucao,{"Global","Unitário"},0),ROUND(ROUND(BM.MEDAcumulado,15-13*BM!$A$9)/100*BM!$I57,15-13*ORÇAMENTO!$AF$11),ROUND(ROUND(BM.MEDAcumulado,15-13*BM!$A$9)*ROUND(BM!$H57,15-13*ORÇAMENTO!$AF$10),15-13*ORÇAMENTO!$AF$11))),IF($A57=0,0,ROUND(SomaAgrupBM,15-13*ORÇAMENTO!$AF$11)))</f>
        <v>0</v>
      </c>
    </row>
    <row r="58" customFormat="false" ht="12.75" hidden="false" customHeight="false" outlineLevel="0" collapsed="false">
      <c r="A58" s="0" t="str">
        <f aca="false">ORÇAMENTO!C58</f>
        <v>S</v>
      </c>
      <c r="B58" s="0" t="n">
        <f aca="false">ORÇAMENTO!D58</f>
        <v>0</v>
      </c>
      <c r="C58" s="185" t="str">
        <f aca="false">IF(OR($I58&gt;0,$A58=1,$A58=2,$A58=3,$A58=4),"F","")</f>
        <v/>
      </c>
      <c r="D58" s="188" t="str">
        <f aca="false">ORÇAMENTO!O58</f>
        <v>-</v>
      </c>
      <c r="E58" s="272" t="str">
        <f aca="false">ORÇAMENTO.Descricao</f>
        <v>(abra o arquivo 'Referência 02-Thursday.xlsm)</v>
      </c>
      <c r="F58" s="273" t="str">
        <f aca="true">IF(RegimeExecucao="Global","",ORÇAMENTO.Unidade)</f>
        <v>-</v>
      </c>
      <c r="G58" s="193" t="n">
        <f aca="true">IF(RegimeExecucao="Global","",ORÇAMENTO!T58)</f>
        <v>125</v>
      </c>
      <c r="H58" s="193" t="n">
        <f aca="true">IF(RegimeExecucao="Global","",ORÇAMENTO!W58)</f>
        <v>0</v>
      </c>
      <c r="I58" s="196" t="n">
        <f aca="false">ORÇAMENTO!X58</f>
        <v>0</v>
      </c>
      <c r="J58" s="560" t="n">
        <f aca="true">IF($A58="S",IF(CAIXA.Modo,BM.AFAnterior,BM.MEDAnterior),IF(AND(RegimeExecucao="Global",$I58&gt;0,COUNTIF($AB$13:$AM$13,BM.medicao-1)&gt;0),M58/$I58*100,0))</f>
        <v>0</v>
      </c>
      <c r="K58" s="193" t="n">
        <f aca="false">L58-J58</f>
        <v>0</v>
      </c>
      <c r="L58" s="561" t="n">
        <f aca="true">IF($A58="S",IF(CAIXA.Modo,BM.AFAcumulado,BM.MEDAcumulado),IF(AND(RegimeExecucao="Global",$I58&gt;0,COUNTIF($AB$13:$AM$13,BM.medicao)&gt;0),O58/$I58*100,0))</f>
        <v>0</v>
      </c>
      <c r="M58" s="562" t="n">
        <f aca="true">IF($A58="S",VTOTALBM,IF($A58=0,0,ROUND(SomaAgrupBM,15-13*ORÇAMENTO!$AF$11)))</f>
        <v>0</v>
      </c>
      <c r="N58" s="206" t="n">
        <f aca="false">O58-M58</f>
        <v>0</v>
      </c>
      <c r="O58" s="196" t="n">
        <f aca="true">IF($A58="S",VTOTALBM,IF($A58=0,0,ROUND(SomaAgrupBM,15-13*ORÇAMENTO!$AF$11)))</f>
        <v>0</v>
      </c>
      <c r="Q58" s="563"/>
      <c r="R58" s="564"/>
      <c r="T58" s="188" t="str">
        <f aca="false">IF($W58&gt;0,$D58,"")</f>
        <v/>
      </c>
      <c r="U58" s="272" t="str">
        <f aca="false">IF($W58&gt;0,$E58,"")</f>
        <v/>
      </c>
      <c r="V58" s="273" t="str">
        <f aca="true">IF(AND($W58&gt;0,RegimeExecucao="Unitário"),$F58,"")</f>
        <v/>
      </c>
      <c r="W58" s="565" t="n">
        <f aca="true">IF($Y58&gt;0,CHOOSE(MATCH(RegimeExecucao,{"Unitário","Global"},0),IF($A58="S",$Y58/$X58,""),($Y58/$X58)*100),0)</f>
        <v>0</v>
      </c>
      <c r="X58" s="566" t="str">
        <f aca="true">IF($Y58&gt;0,CHOOSE(MATCH(RegimeExecucao,{"Unitário","Global"},0),IF($A58="S",ROUND($H58,ORÇAMENTO!$AF$10),""),ROUND($I58,ORÇAMENTO!$AF$11)),"")</f>
        <v/>
      </c>
      <c r="Y58" s="566" t="n">
        <f aca="false">AO58-O58</f>
        <v>0</v>
      </c>
      <c r="Z58" s="567"/>
      <c r="AB58" s="563"/>
      <c r="AC58" s="568"/>
      <c r="AD58" s="568"/>
      <c r="AE58" s="568"/>
      <c r="AF58" s="568"/>
      <c r="AG58" s="568"/>
      <c r="AH58" s="568"/>
      <c r="AI58" s="568"/>
      <c r="AJ58" s="568"/>
      <c r="AK58" s="568"/>
      <c r="AL58" s="568"/>
      <c r="AM58" s="564"/>
      <c r="AO58" s="0" t="n">
        <f aca="true">IF($A58="S",IF(BM!$I58=0,0,CHOOSE(MATCH(RegimeExecucao,{"Global","Unitário"},0),ROUND(ROUND(BM.MEDAcumulado,15-13*BM!$A$9)/100*BM!$I58,15-13*ORÇAMENTO!$AF$11),ROUND(ROUND(BM.MEDAcumulado,15-13*BM!$A$9)*ROUND(BM!$H58,15-13*ORÇAMENTO!$AF$10),15-13*ORÇAMENTO!$AF$11))),IF($A58=0,0,ROUND(SomaAgrupBM,15-13*ORÇAMENTO!$AF$11)))</f>
        <v>0</v>
      </c>
    </row>
    <row r="59" customFormat="false" ht="4.5" hidden="false" customHeight="true" outlineLevel="0" collapsed="false">
      <c r="C59" s="185" t="s">
        <v>206</v>
      </c>
      <c r="D59" s="227"/>
      <c r="E59" s="230"/>
      <c r="F59" s="230"/>
      <c r="G59" s="230"/>
      <c r="H59" s="230"/>
      <c r="I59" s="228"/>
      <c r="J59" s="227"/>
      <c r="K59" s="230"/>
      <c r="L59" s="228"/>
      <c r="M59" s="580"/>
      <c r="N59" s="581"/>
      <c r="O59" s="582"/>
      <c r="Q59" s="227"/>
      <c r="R59" s="228"/>
      <c r="T59" s="227"/>
      <c r="U59" s="230"/>
      <c r="V59" s="230"/>
      <c r="W59" s="230"/>
      <c r="X59" s="230"/>
      <c r="Y59" s="230"/>
      <c r="Z59" s="228"/>
      <c r="AB59" s="227"/>
      <c r="AC59" s="230"/>
      <c r="AD59" s="230"/>
      <c r="AE59" s="230"/>
      <c r="AF59" s="230"/>
      <c r="AG59" s="230"/>
      <c r="AH59" s="230"/>
      <c r="AI59" s="230"/>
      <c r="AJ59" s="230"/>
      <c r="AK59" s="230"/>
      <c r="AL59" s="230"/>
      <c r="AM59" s="228"/>
    </row>
    <row r="61" customFormat="false" ht="13.8" hidden="false" customHeight="false" outlineLevel="0" collapsed="false">
      <c r="D61" s="583" t="s">
        <v>235</v>
      </c>
      <c r="E61" s="583"/>
      <c r="F61" s="583"/>
      <c r="G61" s="583"/>
      <c r="H61" s="583"/>
      <c r="I61" s="583"/>
      <c r="J61" s="583"/>
      <c r="K61" s="583"/>
      <c r="L61" s="583"/>
      <c r="M61" s="583"/>
      <c r="N61" s="583"/>
      <c r="O61" s="583"/>
      <c r="T61" s="584" t="s">
        <v>483</v>
      </c>
      <c r="U61" s="584"/>
      <c r="V61" s="584"/>
      <c r="W61" s="584"/>
      <c r="X61" s="584"/>
      <c r="Y61" s="584"/>
      <c r="Z61" s="584"/>
    </row>
    <row r="62" customFormat="false" ht="12.75" hidden="false" customHeight="true" outlineLevel="0" collapsed="false">
      <c r="D62" s="234"/>
      <c r="E62" s="234"/>
      <c r="F62" s="234"/>
      <c r="G62" s="234"/>
      <c r="H62" s="234"/>
      <c r="I62" s="234"/>
      <c r="J62" s="234"/>
      <c r="K62" s="234"/>
      <c r="L62" s="234"/>
      <c r="M62" s="234"/>
      <c r="N62" s="234"/>
      <c r="O62" s="234"/>
      <c r="T62" s="585"/>
      <c r="U62" s="585"/>
      <c r="V62" s="585"/>
      <c r="W62" s="585"/>
      <c r="X62" s="585"/>
      <c r="Y62" s="585"/>
      <c r="Z62" s="585"/>
    </row>
    <row r="63" customFormat="false" ht="12.75" hidden="false" customHeight="true" outlineLevel="0" collapsed="false">
      <c r="D63" s="234"/>
      <c r="E63" s="234"/>
      <c r="F63" s="234"/>
      <c r="G63" s="234"/>
      <c r="H63" s="234"/>
      <c r="I63" s="234"/>
      <c r="J63" s="234"/>
      <c r="K63" s="234"/>
      <c r="L63" s="234"/>
      <c r="M63" s="234"/>
      <c r="N63" s="234"/>
      <c r="O63" s="234"/>
      <c r="T63" s="585"/>
      <c r="U63" s="585"/>
      <c r="V63" s="585"/>
      <c r="W63" s="585"/>
      <c r="X63" s="585"/>
      <c r="Y63" s="585"/>
      <c r="Z63" s="585"/>
    </row>
    <row r="64" customFormat="false" ht="12.75" hidden="false" customHeight="true" outlineLevel="0" collapsed="false">
      <c r="D64" s="234"/>
      <c r="E64" s="234"/>
      <c r="F64" s="234"/>
      <c r="G64" s="234"/>
      <c r="H64" s="234"/>
      <c r="I64" s="234"/>
      <c r="J64" s="234"/>
      <c r="K64" s="234"/>
      <c r="L64" s="234"/>
      <c r="M64" s="234"/>
      <c r="N64" s="234"/>
      <c r="O64" s="234"/>
      <c r="T64" s="585"/>
      <c r="U64" s="585"/>
      <c r="V64" s="585"/>
      <c r="W64" s="585"/>
      <c r="X64" s="585"/>
      <c r="Y64" s="585"/>
      <c r="Z64" s="585"/>
    </row>
    <row r="65" customFormat="false" ht="13.8" hidden="false" customHeight="false" outlineLevel="0" collapsed="false">
      <c r="D65" s="235"/>
      <c r="E65" s="235"/>
      <c r="F65" s="235"/>
      <c r="G65" s="235"/>
      <c r="H65" s="235"/>
      <c r="I65" s="235"/>
      <c r="J65" s="235"/>
      <c r="K65" s="235"/>
      <c r="L65" s="235"/>
      <c r="M65" s="235"/>
      <c r="N65" s="235"/>
      <c r="O65" s="235"/>
    </row>
    <row r="66" customFormat="false" ht="15" hidden="false" customHeight="true" outlineLevel="0" collapsed="false">
      <c r="D66" s="237" t="str">
        <f aca="true">IF(OR(AND(ORÇAMENTO!$AF$7=FALSE(),ORÇAMENTO!$AF$10=FALSE(),RegimeExecucao="Global"),AND(ORÇAMENTO!$AF$7=FALSE(),ORÇAMENTO!$AF$10=FALSE(),ORÇAMENTO!$AF$11=FALSE(),BM!$A$9=FALSE())),"Não foi considerado arredondamento nos valores da planilha.",CONCATENATE("Foi considerado arredondamento de duas casas decimais para ",IF(AND(RegimeExecucao="Unitário",ORÇAMENTO!$AF$7=TRUE()),"Quantidade; ",""),IF(AND(RegimeExecucao="Unitário",ORÇAMENTO!$AF$10=TRUE()),"Preço unitário; ",""),IF(ORÇAMENTO!$AF$11=TRUE(),"Preço total; ",""),,IF(BM!$A$9=TRUE(),"Medição.","")))</f>
        <v>Foi considerado arredondamento de duas casas decimais para Quantidade; Preço unitário; Preço total; Medição.</v>
      </c>
      <c r="E66" s="237"/>
      <c r="F66" s="237"/>
      <c r="G66" s="237"/>
      <c r="H66" s="237"/>
      <c r="I66" s="237"/>
      <c r="J66" s="237"/>
      <c r="K66" s="237"/>
      <c r="L66" s="237"/>
    </row>
    <row r="67" customFormat="false" ht="12.75" hidden="false" customHeight="false" outlineLevel="0" collapsed="false">
      <c r="D67" s="586"/>
      <c r="E67" s="586"/>
      <c r="F67" s="586"/>
      <c r="G67" s="586"/>
      <c r="H67" s="586"/>
      <c r="I67" s="586"/>
    </row>
    <row r="68" customFormat="false" ht="12.75" hidden="false" customHeight="false" outlineLevel="0" collapsed="false">
      <c r="D68" s="587" t="str">
        <f aca="false">IF(CAIXA.Modo,"","Os serviços medidos informados neste BM encontram-se concluídos, estão em conformidade com os projetos e especificações aceitos pela CAIXA e foram executados de acordo com as normas técnicas.")</f>
        <v>Os serviços medidos informados neste BM encontram-se concluídos, estão em conformidade com os projetos e especificações aceitos pela CAIXA e foram executados de acordo com as normas técnicas.</v>
      </c>
      <c r="E68" s="587"/>
      <c r="F68" s="587"/>
      <c r="G68" s="587"/>
      <c r="H68" s="587"/>
      <c r="I68" s="587"/>
      <c r="J68" s="587"/>
      <c r="K68" s="587"/>
      <c r="L68" s="587"/>
      <c r="M68" s="587"/>
      <c r="N68" s="587"/>
      <c r="O68" s="587"/>
    </row>
    <row r="69" customFormat="false" ht="39.75" hidden="false" customHeight="true" outlineLevel="0" collapsed="false">
      <c r="E69" s="240" t="str">
        <f aca="false">Import.Município</f>
        <v>Alpinópolis</v>
      </c>
      <c r="J69" s="588"/>
      <c r="K69" s="588"/>
      <c r="L69" s="588"/>
      <c r="M69" s="588"/>
      <c r="W69" s="588"/>
      <c r="X69" s="588"/>
      <c r="Y69" s="588"/>
      <c r="Z69" s="588"/>
    </row>
    <row r="70" customFormat="false" ht="12.75" hidden="false" customHeight="false" outlineLevel="0" collapsed="false">
      <c r="E70" s="38" t="s">
        <v>239</v>
      </c>
      <c r="J70" s="242" t="s">
        <v>431</v>
      </c>
      <c r="W70" s="242" t="s">
        <v>484</v>
      </c>
    </row>
    <row r="71" customFormat="false" ht="12.75" hidden="false" customHeight="false" outlineLevel="0" collapsed="false">
      <c r="J71" s="134" t="s">
        <v>123</v>
      </c>
      <c r="K71" s="475" t="n">
        <f aca="false" t="array" ref="K71:K74">Import.RespFiscalização</f>
        <v>0</v>
      </c>
      <c r="L71" s="135"/>
      <c r="W71" s="134" t="s">
        <v>123</v>
      </c>
      <c r="X71" s="589"/>
      <c r="Y71" s="589"/>
      <c r="Z71" s="589"/>
    </row>
    <row r="72" customFormat="false" ht="12.75" hidden="false" customHeight="false" outlineLevel="0" collapsed="false">
      <c r="E72" s="308" t="n">
        <f aca="false">DADOS!$F$48</f>
        <v>45849</v>
      </c>
      <c r="J72" s="134" t="s">
        <v>147</v>
      </c>
      <c r="K72" s="475" t="n">
        <v>0</v>
      </c>
      <c r="L72" s="135"/>
      <c r="W72" s="134" t="s">
        <v>485</v>
      </c>
      <c r="X72" s="589"/>
      <c r="Y72" s="589"/>
      <c r="Z72" s="589"/>
    </row>
    <row r="73" customFormat="false" ht="12.75" hidden="false" customHeight="false" outlineLevel="0" collapsed="false">
      <c r="E73" s="244" t="s">
        <v>240</v>
      </c>
      <c r="J73" s="134" t="s">
        <v>125</v>
      </c>
      <c r="K73" s="475" t="n">
        <v>0</v>
      </c>
      <c r="L73" s="135"/>
      <c r="W73" s="134" t="s">
        <v>125</v>
      </c>
      <c r="X73" s="589"/>
      <c r="Y73" s="589"/>
      <c r="Z73" s="589"/>
    </row>
    <row r="74" customFormat="false" ht="12.75" hidden="false" customHeight="false" outlineLevel="0" collapsed="false">
      <c r="J74" s="134" t="s">
        <v>127</v>
      </c>
      <c r="K74" s="42" t="n">
        <v>0</v>
      </c>
      <c r="W74" s="134"/>
      <c r="X74" s="42"/>
    </row>
  </sheetData>
  <sheetProtection algorithmName="SHA-512" hashValue="ItffAwJL9IfTD5tvPzrm687ZeRTzuPcjpVse1z72R3uk7I1fUOt94IB6OePS10Pavl1KbWH4vYTShNstQbUgIQ==" saltValue="tQvUCF6mXZDYD9KgoP4NrA==" spinCount="100000" sheet="true" objects="true" scenarios="true" autoFilter="false"/>
  <autoFilter ref="C15:C59"/>
  <mergeCells count="35">
    <mergeCell ref="A3:B3"/>
    <mergeCell ref="D4:E4"/>
    <mergeCell ref="F4:H4"/>
    <mergeCell ref="J4:N4"/>
    <mergeCell ref="D5:E5"/>
    <mergeCell ref="F5:H5"/>
    <mergeCell ref="J5:N5"/>
    <mergeCell ref="F7:H7"/>
    <mergeCell ref="I7:L7"/>
    <mergeCell ref="M7:N7"/>
    <mergeCell ref="C8:C12"/>
    <mergeCell ref="F8:H8"/>
    <mergeCell ref="I8:L8"/>
    <mergeCell ref="M8:N8"/>
    <mergeCell ref="E10:I11"/>
    <mergeCell ref="N10:O11"/>
    <mergeCell ref="T11:U11"/>
    <mergeCell ref="AB11:AM11"/>
    <mergeCell ref="J12:L12"/>
    <mergeCell ref="M12:O12"/>
    <mergeCell ref="Q12:R12"/>
    <mergeCell ref="D15:E15"/>
    <mergeCell ref="AB15:AM15"/>
    <mergeCell ref="D61:O61"/>
    <mergeCell ref="T61:Z61"/>
    <mergeCell ref="D62:O64"/>
    <mergeCell ref="T62:Z64"/>
    <mergeCell ref="D66:L66"/>
    <mergeCell ref="D67:I67"/>
    <mergeCell ref="D68:O68"/>
    <mergeCell ref="J69:M69"/>
    <mergeCell ref="W69:Z69"/>
    <mergeCell ref="X71:Z71"/>
    <mergeCell ref="X72:Z72"/>
    <mergeCell ref="X73:Z73"/>
  </mergeCells>
  <conditionalFormatting sqref="D29:O30 T29:Z30">
    <cfRule type="expression" priority="2" aboveAverage="0" equalAverage="0" bottom="0" percent="0" rank="0" text="" dxfId="387">
      <formula>OR(ACOMPANHAMENTO="PLE",TIPOORCAMENTO="Proposto",$L29&lt;0,AND($L29&gt;100,RegimeExecucao="Global"),$O29&gt;$I29,$O29&lt;0)</formula>
    </cfRule>
    <cfRule type="expression" priority="3" aboveAverage="0" equalAverage="0" bottom="0" percent="0" rank="0" text="" dxfId="388">
      <formula>$A29=1</formula>
    </cfRule>
    <cfRule type="expression" priority="4" aboveAverage="0" equalAverage="0" bottom="0" percent="0" rank="0" text="" dxfId="389">
      <formula>$A29&lt;&gt;"S"</formula>
    </cfRule>
  </conditionalFormatting>
  <conditionalFormatting sqref="Q29:R30 AB29:AM30">
    <cfRule type="expression" priority="5" aboveAverage="0" equalAverage="0" bottom="0" percent="0" rank="0" text="" dxfId="390">
      <formula>$A29=1</formula>
    </cfRule>
    <cfRule type="expression" priority="6" aboveAverage="0" equalAverage="0" bottom="0" percent="0" rank="0" text="" dxfId="391">
      <formula>$A29&lt;&gt;"S"</formula>
    </cfRule>
  </conditionalFormatting>
  <conditionalFormatting sqref="D40:O40 T40:Z40">
    <cfRule type="expression" priority="7" aboveAverage="0" equalAverage="0" bottom="0" percent="0" rank="0" text="" dxfId="392">
      <formula>OR(ACOMPANHAMENTO="PLE",TIPOORCAMENTO="Proposto",$L40&lt;0,AND($L40&gt;100,RegimeExecucao="Global"),$O40&gt;$I40,$O40&lt;0)</formula>
    </cfRule>
    <cfRule type="expression" priority="8" aboveAverage="0" equalAverage="0" bottom="0" percent="0" rank="0" text="" dxfId="393">
      <formula>$A40=1</formula>
    </cfRule>
    <cfRule type="expression" priority="9" aboveAverage="0" equalAverage="0" bottom="0" percent="0" rank="0" text="" dxfId="394">
      <formula>$A40&lt;&gt;"S"</formula>
    </cfRule>
  </conditionalFormatting>
  <conditionalFormatting sqref="Q40:R40 AB40:AM40">
    <cfRule type="expression" priority="10" aboveAverage="0" equalAverage="0" bottom="0" percent="0" rank="0" text="" dxfId="395">
      <formula>$A40=1</formula>
    </cfRule>
    <cfRule type="expression" priority="11" aboveAverage="0" equalAverage="0" bottom="0" percent="0" rank="0" text="" dxfId="396">
      <formula>$A40&lt;&gt;"S"</formula>
    </cfRule>
  </conditionalFormatting>
  <conditionalFormatting sqref="D37:O37 T37:Z37">
    <cfRule type="expression" priority="12" aboveAverage="0" equalAverage="0" bottom="0" percent="0" rank="0" text="" dxfId="397">
      <formula>OR(ACOMPANHAMENTO="PLE",TIPOORCAMENTO="Proposto",$L37&lt;0,AND($L37&gt;100,RegimeExecucao="Global"),$O37&gt;$I37,$O37&lt;0)</formula>
    </cfRule>
    <cfRule type="expression" priority="13" aboveAverage="0" equalAverage="0" bottom="0" percent="0" rank="0" text="" dxfId="398">
      <formula>$A37=1</formula>
    </cfRule>
    <cfRule type="expression" priority="14" aboveAverage="0" equalAverage="0" bottom="0" percent="0" rank="0" text="" dxfId="399">
      <formula>$A37&lt;&gt;"S"</formula>
    </cfRule>
  </conditionalFormatting>
  <conditionalFormatting sqref="Q37:R37 AB37:AM37">
    <cfRule type="expression" priority="15" aboveAverage="0" equalAverage="0" bottom="0" percent="0" rank="0" text="" dxfId="400">
      <formula>$A37=1</formula>
    </cfRule>
    <cfRule type="expression" priority="16" aboveAverage="0" equalAverage="0" bottom="0" percent="0" rank="0" text="" dxfId="401">
      <formula>$A37&lt;&gt;"S"</formula>
    </cfRule>
  </conditionalFormatting>
  <conditionalFormatting sqref="D19:O20 T19:Z20">
    <cfRule type="expression" priority="17" aboveAverage="0" equalAverage="0" bottom="0" percent="0" rank="0" text="" dxfId="402">
      <formula>OR(ACOMPANHAMENTO="PLE",TIPOORCAMENTO="Proposto",$L19&lt;0,AND($L19&gt;100,RegimeExecucao="Global"),$O19&gt;$I19,$O19&lt;0)</formula>
    </cfRule>
    <cfRule type="expression" priority="18" aboveAverage="0" equalAverage="0" bottom="0" percent="0" rank="0" text="" dxfId="403">
      <formula>$A19=1</formula>
    </cfRule>
    <cfRule type="expression" priority="19" aboveAverage="0" equalAverage="0" bottom="0" percent="0" rank="0" text="" dxfId="404">
      <formula>$A19&lt;&gt;"S"</formula>
    </cfRule>
  </conditionalFormatting>
  <conditionalFormatting sqref="Q19:R20 AB19:AM20">
    <cfRule type="expression" priority="20" aboveAverage="0" equalAverage="0" bottom="0" percent="0" rank="0" text="" dxfId="405">
      <formula>$A19=1</formula>
    </cfRule>
    <cfRule type="expression" priority="21" aboveAverage="0" equalAverage="0" bottom="0" percent="0" rank="0" text="" dxfId="406">
      <formula>$A19&lt;&gt;"S"</formula>
    </cfRule>
  </conditionalFormatting>
  <conditionalFormatting sqref="D54:O57 T54:Z57">
    <cfRule type="expression" priority="22" aboveAverage="0" equalAverage="0" bottom="0" percent="0" rank="0" text="" dxfId="407">
      <formula>OR(ACOMPANHAMENTO="PLE",TIPOORCAMENTO="Proposto",$L54&lt;0,AND($L54&gt;100,RegimeExecucao="Global"),$O54&gt;$I54,$O54&lt;0)</formula>
    </cfRule>
    <cfRule type="expression" priority="23" aboveAverage="0" equalAverage="0" bottom="0" percent="0" rank="0" text="" dxfId="408">
      <formula>$A54=1</formula>
    </cfRule>
    <cfRule type="expression" priority="24" aboveAverage="0" equalAverage="0" bottom="0" percent="0" rank="0" text="" dxfId="409">
      <formula>$A54&lt;&gt;"S"</formula>
    </cfRule>
  </conditionalFormatting>
  <conditionalFormatting sqref="Q54:R57 AB54:AM57">
    <cfRule type="expression" priority="25" aboveAverage="0" equalAverage="0" bottom="0" percent="0" rank="0" text="" dxfId="410">
      <formula>$A54=1</formula>
    </cfRule>
    <cfRule type="expression" priority="26" aboveAverage="0" equalAverage="0" bottom="0" percent="0" rank="0" text="" dxfId="411">
      <formula>$A54&lt;&gt;"S"</formula>
    </cfRule>
  </conditionalFormatting>
  <conditionalFormatting sqref="D41:O44 T41:Z44">
    <cfRule type="expression" priority="27" aboveAverage="0" equalAverage="0" bottom="0" percent="0" rank="0" text="" dxfId="412">
      <formula>OR(ACOMPANHAMENTO="PLE",TIPOORCAMENTO="Proposto",$L41&lt;0,AND($L41&gt;100,RegimeExecucao="Global"),$O41&gt;$I41,$O41&lt;0)</formula>
    </cfRule>
    <cfRule type="expression" priority="28" aboveAverage="0" equalAverage="0" bottom="0" percent="0" rank="0" text="" dxfId="413">
      <formula>$A41=1</formula>
    </cfRule>
    <cfRule type="expression" priority="29" aboveAverage="0" equalAverage="0" bottom="0" percent="0" rank="0" text="" dxfId="414">
      <formula>$A41&lt;&gt;"S"</formula>
    </cfRule>
  </conditionalFormatting>
  <conditionalFormatting sqref="Q41:R44 AB41:AM44">
    <cfRule type="expression" priority="30" aboveAverage="0" equalAverage="0" bottom="0" percent="0" rank="0" text="" dxfId="415">
      <formula>$A41=1</formula>
    </cfRule>
    <cfRule type="expression" priority="31" aboveAverage="0" equalAverage="0" bottom="0" percent="0" rank="0" text="" dxfId="416">
      <formula>$A41&lt;&gt;"S"</formula>
    </cfRule>
  </conditionalFormatting>
  <conditionalFormatting sqref="D45:O46 T45:Z46">
    <cfRule type="expression" priority="32" aboveAverage="0" equalAverage="0" bottom="0" percent="0" rank="0" text="" dxfId="417">
      <formula>OR(ACOMPANHAMENTO="PLE",TIPOORCAMENTO="Proposto",$L45&lt;0,AND($L45&gt;100,RegimeExecucao="Global"),$O45&gt;$I45,$O45&lt;0)</formula>
    </cfRule>
    <cfRule type="expression" priority="33" aboveAverage="0" equalAverage="0" bottom="0" percent="0" rank="0" text="" dxfId="418">
      <formula>$A45=1</formula>
    </cfRule>
    <cfRule type="expression" priority="34" aboveAverage="0" equalAverage="0" bottom="0" percent="0" rank="0" text="" dxfId="419">
      <formula>$A45&lt;&gt;"S"</formula>
    </cfRule>
  </conditionalFormatting>
  <conditionalFormatting sqref="Q45:R46 AB45:AM46">
    <cfRule type="expression" priority="35" aboveAverage="0" equalAverage="0" bottom="0" percent="0" rank="0" text="" dxfId="420">
      <formula>$A45=1</formula>
    </cfRule>
    <cfRule type="expression" priority="36" aboveAverage="0" equalAverage="0" bottom="0" percent="0" rank="0" text="" dxfId="421">
      <formula>$A45&lt;&gt;"S"</formula>
    </cfRule>
  </conditionalFormatting>
  <conditionalFormatting sqref="D48:O50 T48:Z50">
    <cfRule type="expression" priority="37" aboveAverage="0" equalAverage="0" bottom="0" percent="0" rank="0" text="" dxfId="422">
      <formula>OR(ACOMPANHAMENTO="PLE",TIPOORCAMENTO="Proposto",$L48&lt;0,AND($L48&gt;100,RegimeExecucao="Global"),$O48&gt;$I48,$O48&lt;0)</formula>
    </cfRule>
    <cfRule type="expression" priority="38" aboveAverage="0" equalAverage="0" bottom="0" percent="0" rank="0" text="" dxfId="423">
      <formula>$A48=1</formula>
    </cfRule>
    <cfRule type="expression" priority="39" aboveAverage="0" equalAverage="0" bottom="0" percent="0" rank="0" text="" dxfId="424">
      <formula>$A48&lt;&gt;"S"</formula>
    </cfRule>
  </conditionalFormatting>
  <conditionalFormatting sqref="Q48:R50 AB48:AM50">
    <cfRule type="expression" priority="40" aboveAverage="0" equalAverage="0" bottom="0" percent="0" rank="0" text="" dxfId="425">
      <formula>$A48=1</formula>
    </cfRule>
    <cfRule type="expression" priority="41" aboveAverage="0" equalAverage="0" bottom="0" percent="0" rank="0" text="" dxfId="426">
      <formula>$A48&lt;&gt;"S"</formula>
    </cfRule>
  </conditionalFormatting>
  <conditionalFormatting sqref="T33:Z36 D33:O36 D47:O47 T47:Z47 D38:O39 T38:Z39">
    <cfRule type="expression" priority="42" aboveAverage="0" equalAverage="0" bottom="0" percent="0" rank="0" text="" dxfId="427">
      <formula>OR(ACOMPANHAMENTO="PLE",TIPOORCAMENTO="Proposto",$L33&lt;0,AND($L33&gt;100,RegimeExecucao="Global"),$O33&gt;$I33,$O33&lt;0)</formula>
    </cfRule>
    <cfRule type="expression" priority="43" aboveAverage="0" equalAverage="0" bottom="0" percent="0" rank="0" text="" dxfId="428">
      <formula>$A33=1</formula>
    </cfRule>
    <cfRule type="expression" priority="44" aboveAverage="0" equalAverage="0" bottom="0" percent="0" rank="0" text="" dxfId="429">
      <formula>$A33&lt;&gt;"S"</formula>
    </cfRule>
  </conditionalFormatting>
  <conditionalFormatting sqref="AB33:AM36 Q33:R36 Q47:R47 AB47:AM47 Q38:R39 AB38:AM39">
    <cfRule type="expression" priority="45" aboveAverage="0" equalAverage="0" bottom="0" percent="0" rank="0" text="" dxfId="430">
      <formula>$A33=1</formula>
    </cfRule>
    <cfRule type="expression" priority="46" aboveAverage="0" equalAverage="0" bottom="0" percent="0" rank="0" text="" dxfId="431">
      <formula>$A33&lt;&gt;"S"</formula>
    </cfRule>
  </conditionalFormatting>
  <conditionalFormatting sqref="D16:O18 T16:Z18 T31:Z31 D31:O31">
    <cfRule type="expression" priority="47" aboveAverage="0" equalAverage="0" bottom="0" percent="0" rank="0" text="" dxfId="432">
      <formula>OR(ACOMPANHAMENTO="PLE",TIPOORCAMENTO="Proposto",$L16&lt;0,AND($L16&gt;100,RegimeExecucao="Global"),$O16&gt;$I16,$O16&lt;0)</formula>
    </cfRule>
    <cfRule type="expression" priority="48" aboveAverage="0" equalAverage="0" bottom="0" percent="0" rank="0" text="" dxfId="433">
      <formula>$A16=1</formula>
    </cfRule>
    <cfRule type="expression" priority="49" aboveAverage="0" equalAverage="0" bottom="0" percent="0" rank="0" text="" dxfId="434">
      <formula>$A16&lt;&gt;"S"</formula>
    </cfRule>
  </conditionalFormatting>
  <conditionalFormatting sqref="Q16:R18 AB16:AM18 AB31:AM31 Q31:R31">
    <cfRule type="expression" priority="50" aboveAverage="0" equalAverage="0" bottom="0" percent="0" rank="0" text="" dxfId="435">
      <formula>$A16=1</formula>
    </cfRule>
    <cfRule type="expression" priority="51" aboveAverage="0" equalAverage="0" bottom="0" percent="0" rank="0" text="" dxfId="436">
      <formula>$A16&lt;&gt;"S"</formula>
    </cfRule>
  </conditionalFormatting>
  <conditionalFormatting sqref="D14:O14 T14:Z14 T32:Z32 D32:O32 D51:O53 T51:Z53 D58:O58 T58:Z58 D21:O28 T21:Z28">
    <cfRule type="expression" priority="52" aboveAverage="0" equalAverage="0" bottom="0" percent="0" rank="0" text="" dxfId="437">
      <formula>OR(ACOMPANHAMENTO="PLE",TIPOORCAMENTO="Proposto",$L14&lt;0,AND($L14&gt;100,RegimeExecucao="Global"),$O14&gt;$I14,$O14&lt;0)</formula>
    </cfRule>
    <cfRule type="expression" priority="53" aboveAverage="0" equalAverage="0" bottom="0" percent="0" rank="0" text="" dxfId="438">
      <formula>$A14=1</formula>
    </cfRule>
    <cfRule type="expression" priority="54" aboveAverage="0" equalAverage="0" bottom="0" percent="0" rank="0" text="" dxfId="439">
      <formula>$A14&lt;&gt;"S"</formula>
    </cfRule>
  </conditionalFormatting>
  <conditionalFormatting sqref="Q14:R14 AB14:AM14 AB32:AM32 Q32:R32 Q51:R53 AB51:AM53 Q58:R58 AB58:AM58 Q21:R28 AB21:AM28">
    <cfRule type="expression" priority="55" aboveAverage="0" equalAverage="0" bottom="0" percent="0" rank="0" text="" dxfId="440">
      <formula>$A14=1</formula>
    </cfRule>
    <cfRule type="expression" priority="56" aboveAverage="0" equalAverage="0" bottom="0" percent="0" rank="0" text="" dxfId="441">
      <formula>$A14&lt;&gt;"S"</formula>
    </cfRule>
  </conditionalFormatting>
  <conditionalFormatting sqref="E2">
    <cfRule type="expression" priority="57" aboveAverage="0" equalAverage="0" bottom="0" percent="0" rank="0" text="" dxfId="442">
      <formula>Import.RegimeExecução="(SELECIONAR)"</formula>
    </cfRule>
  </conditionalFormatting>
  <conditionalFormatting sqref="F13:H13">
    <cfRule type="expression" priority="58" aboveAverage="0" equalAverage="0" bottom="0" percent="0" rank="0" text="" dxfId="443">
      <formula>RegimeExecucao="Global"</formula>
    </cfRule>
  </conditionalFormatting>
  <conditionalFormatting sqref="D15:O15">
    <cfRule type="expression" priority="59" aboveAverage="0" equalAverage="0" bottom="0" percent="0" rank="0" text="" dxfId="444">
      <formula>OR(ACOMPANHAMENTO="PLE",TIPOORCAMENTO="Proposto")</formula>
    </cfRule>
  </conditionalFormatting>
  <conditionalFormatting sqref="AB13">
    <cfRule type="cellIs" priority="60" operator="notEqual" aboveAverage="0" equalAverage="0" bottom="0" percent="0" rank="0" text="" dxfId="445">
      <formula>1</formula>
    </cfRule>
  </conditionalFormatting>
  <dataValidations count="4">
    <dataValidation allowBlank="true" errorStyle="stop" operator="between" showDropDown="false" showErrorMessage="true" showInputMessage="false" sqref="Z14 Z16:Z58" type="list">
      <formula1>"não executado,não previsto no orçamento,material inadequado,desacordo com os projetos,não atende as observações,qualidade insatisfatória,ver observações abaixo"</formula1>
      <formula2>0</formula2>
    </dataValidation>
    <dataValidation allowBlank="true" error="Digite somente valores entre 0 e a Medição Acumulada." errorStyle="warning" errorTitle="Atenção!" operator="between" showDropDown="false" showErrorMessage="true" showInputMessage="false" sqref="Q14:R14 Q16:R58" type="decimal">
      <formula1>0</formula1>
      <formula2>BM.MEDAcumulado</formula2>
    </dataValidation>
    <dataValidation allowBlank="true" errorStyle="stop" operator="greaterThan" showDropDown="false" showErrorMessage="true" showInputMessage="true" sqref="O8" type="whole">
      <formula1>0</formula1>
      <formula2>0</formula2>
    </dataValidation>
    <dataValidation allowBlank="true" error="% medido é superior a 100% (Global)&#10;ou&#10;Quantidade é superior a contratada  (P. Unit)&#10;ou&#10;Evolução acumulada negativa" errorStyle="warning" errorTitle="Atenção!" operator="between" showDropDown="false" showErrorMessage="true" showInputMessage="false" sqref="AB14:AM14 AB16:AM58" type="decimal">
      <formula1>BM.MinMed</formula1>
      <formula2>BM.MaxMed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01" r:id="rId4" name="">
              <controlPr defaultSize="0" locked="1" autoFill="0" autoLine="0" autoPict="0" print="false" altText="CaixaArredMed">
                <anchor moveWithCells="true" sizeWithCells="false">
                  <from>
                    <xdr:col>9</xdr:col>
                    <xdr:colOff>249480</xdr:colOff>
                    <xdr:row>6</xdr:row>
                    <xdr:rowOff>18720</xdr:rowOff>
                  </from>
                  <to>
                    <xdr:col>10</xdr:col>
                    <xdr:colOff>-784800</xdr:colOff>
                    <xdr:row>7</xdr:row>
                    <xdr:rowOff>85680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O49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90" workbookViewId="0">
      <pane xSplit="6" ySplit="13" topLeftCell="G14" activePane="bottomRight" state="frozen"/>
      <selection pane="topLeft" activeCell="A1" activeCellId="0" sqref="A1"/>
      <selection pane="topRight" activeCell="G1" activeCellId="0" sqref="G1"/>
      <selection pane="bottomLeft" activeCell="A14" activeCellId="0" sqref="A14"/>
      <selection pane="bottomRight" activeCell="A1" activeCellId="0" sqref="A1"/>
    </sheetView>
  </sheetViews>
  <sheetFormatPr defaultColWidth="8.6796875" defaultRowHeight="12.75" customHeight="true" zeroHeight="false" outlineLevelRow="0" outlineLevelCol="0"/>
  <cols>
    <col collapsed="false" customWidth="true" hidden="true" outlineLevel="0" max="3" min="1" style="0" width="9.14"/>
    <col collapsed="false" customWidth="true" hidden="false" outlineLevel="0" max="4" min="4" style="0" width="3.71"/>
    <col collapsed="false" customWidth="true" hidden="false" outlineLevel="0" max="5" min="5" style="0" width="7.71"/>
    <col collapsed="false" customWidth="true" hidden="false" outlineLevel="0" max="6" min="6" style="0" width="35.71"/>
    <col collapsed="false" customWidth="true" hidden="false" outlineLevel="0" max="7" min="7" style="0" width="15.71"/>
    <col collapsed="false" customWidth="true" hidden="false" outlineLevel="0" max="8" min="8" style="0" width="12.71"/>
    <col collapsed="false" customWidth="true" hidden="false" outlineLevel="0" max="9" min="9" style="0" width="7.71"/>
    <col collapsed="false" customWidth="true" hidden="false" outlineLevel="0" max="10" min="10" style="0" width="16.71"/>
    <col collapsed="false" customWidth="true" hidden="false" outlineLevel="0" max="11" min="11" style="0" width="5.71"/>
    <col collapsed="false" customWidth="true" hidden="false" outlineLevel="0" max="15" min="12" style="0" width="16.71"/>
    <col collapsed="false" customWidth="true" hidden="false" outlineLevel="0" max="16" min="16" style="0" width="11.71"/>
    <col collapsed="false" customWidth="true" hidden="true" outlineLevel="0" max="21" min="17" style="0" width="9.14"/>
    <col collapsed="false" customWidth="true" hidden="true" outlineLevel="0" max="22" min="22" style="0" width="12.15"/>
    <col collapsed="false" customWidth="true" hidden="false" outlineLevel="0" max="24" min="23" style="0" width="5.71"/>
    <col collapsed="false" customWidth="true" hidden="false" outlineLevel="0" max="26" min="25" style="0" width="16.71"/>
    <col collapsed="false" customWidth="true" hidden="false" outlineLevel="0" max="27" min="27" style="0" width="1.71"/>
    <col collapsed="false" customWidth="true" hidden="true" outlineLevel="0" max="41" min="29" style="0" width="9.14"/>
  </cols>
  <sheetData>
    <row r="1" customFormat="false" ht="30" hidden="false" customHeight="true" outlineLevel="0" collapsed="false">
      <c r="F1" s="590" t="str">
        <f aca="false">CONCATENATE("RRE - RELATÓRIO RESUMO DO EMPREENDIMENTO - ",IF(CAIXA.Modo,"CAIXA","TOMADOR"))</f>
        <v>RRE - RELATÓRIO RESUMO DO EMPREENDIMENTO - TOMADOR</v>
      </c>
      <c r="H1" s="35"/>
      <c r="I1" s="35"/>
      <c r="AD1" s="591" t="s">
        <v>486</v>
      </c>
      <c r="AE1" s="592" t="s">
        <v>487</v>
      </c>
    </row>
    <row r="2" customFormat="false" ht="12.75" hidden="false" customHeight="false" outlineLevel="0" collapsed="false">
      <c r="AC2" s="593" t="str">
        <f aca="false">J25</f>
        <v>Repasse</v>
      </c>
      <c r="AD2" s="594" t="e">
        <f aca="false">AD6-AD4-AD3</f>
        <v>#DIV/0!</v>
      </c>
      <c r="AE2" s="594" t="e">
        <f aca="false">AE6-AE4-AE3</f>
        <v>#DIV/0!</v>
      </c>
    </row>
    <row r="3" customFormat="false" ht="12.75" hidden="false" customHeight="false" outlineLevel="0" collapsed="false">
      <c r="E3" s="158" t="s">
        <v>196</v>
      </c>
      <c r="F3" s="158"/>
      <c r="G3" s="158"/>
      <c r="H3" s="158"/>
      <c r="I3" s="89" t="s">
        <v>194</v>
      </c>
      <c r="J3" s="89"/>
      <c r="K3" s="89"/>
      <c r="L3" s="148" t="s">
        <v>253</v>
      </c>
      <c r="M3" s="253"/>
      <c r="O3" s="595"/>
      <c r="P3" s="481" t="s">
        <v>261</v>
      </c>
      <c r="R3" s="253"/>
      <c r="S3" s="253"/>
      <c r="T3" s="253"/>
      <c r="U3" s="253"/>
      <c r="AC3" s="593" t="s">
        <v>221</v>
      </c>
      <c r="AD3" s="594" t="e">
        <f aca="true">SUM(T13:OFFSET(T24,-1,0))</f>
        <v>#DIV/0!</v>
      </c>
      <c r="AE3" s="594" t="e">
        <f aca="false">IF(OR($O$28&lt;$M$28,$M$26&gt;$AD$3),MIN($M$26,$L$26),MIN($AD$3,$N$28-$N$27+$M$26))</f>
        <v>#DIV/0!</v>
      </c>
    </row>
    <row r="4" customFormat="false" ht="12.75" hidden="false" customHeight="true" outlineLevel="0" collapsed="false">
      <c r="E4" s="166" t="n">
        <f aca="false">Import.Proponente</f>
        <v>0</v>
      </c>
      <c r="F4" s="166"/>
      <c r="G4" s="166"/>
      <c r="H4" s="166"/>
      <c r="I4" s="90" t="n">
        <f aca="false">Import.CR</f>
        <v>0</v>
      </c>
      <c r="J4" s="90"/>
      <c r="K4" s="90"/>
      <c r="L4" s="90" t="n">
        <f aca="false">Import.TransfereGOV</f>
        <v>0</v>
      </c>
      <c r="M4" s="478" t="s">
        <v>436</v>
      </c>
      <c r="N4" s="478"/>
      <c r="O4" s="478"/>
      <c r="P4" s="596" t="str">
        <f aca="false">import.recurso</f>
        <v>OGU</v>
      </c>
      <c r="R4" s="253"/>
      <c r="S4" s="253"/>
      <c r="T4" s="595"/>
      <c r="U4" s="595"/>
      <c r="AC4" s="593" t="s">
        <v>488</v>
      </c>
      <c r="AD4" s="594" t="e">
        <f aca="true">SUM(U13:OFFSET(U24,-1,0))</f>
        <v>#DIV/0!</v>
      </c>
      <c r="AE4" s="594" t="e">
        <f aca="false">IF(OR($O$28&lt;$M$28,$M$27&gt;$AD$4),MIN($M$27,$L$27),MIN($AD$4,$N$28+$M$27))</f>
        <v>#DIV/0!</v>
      </c>
    </row>
    <row r="5" customFormat="false" ht="4.5" hidden="false" customHeight="true" outlineLevel="0" collapsed="false">
      <c r="H5" s="484"/>
      <c r="I5" s="484"/>
      <c r="J5" s="484"/>
      <c r="K5" s="484"/>
      <c r="L5" s="484"/>
      <c r="M5" s="597"/>
      <c r="N5" s="14"/>
      <c r="O5" s="16"/>
      <c r="R5" s="253"/>
      <c r="S5" s="253"/>
      <c r="T5" s="253"/>
      <c r="U5" s="253"/>
    </row>
    <row r="6" customFormat="false" ht="12.75" hidden="false" customHeight="true" outlineLevel="0" collapsed="false">
      <c r="E6" s="89" t="s">
        <v>254</v>
      </c>
      <c r="F6" s="89"/>
      <c r="G6" s="89"/>
      <c r="H6" s="89"/>
      <c r="I6" s="598" t="s">
        <v>435</v>
      </c>
      <c r="J6" s="598"/>
      <c r="K6" s="598"/>
      <c r="L6" s="598"/>
      <c r="M6" s="89" t="str">
        <f aca="false">IF(import.recurso="FGTS","FINANCIAMENTO","REPASSE")</f>
        <v>REPASSE</v>
      </c>
      <c r="N6" s="158" t="s">
        <v>437</v>
      </c>
      <c r="O6" s="89" t="s">
        <v>438</v>
      </c>
      <c r="P6" s="254" t="s">
        <v>489</v>
      </c>
      <c r="R6" s="253"/>
      <c r="S6" s="253"/>
      <c r="T6" s="253"/>
      <c r="U6" s="253"/>
      <c r="AC6" s="593" t="s">
        <v>490</v>
      </c>
      <c r="AD6" s="594" t="e">
        <f aca="false">$O$28</f>
        <v>#DIV/0!</v>
      </c>
      <c r="AE6" s="594" t="e">
        <f aca="false">AD6</f>
        <v>#DIV/0!</v>
      </c>
    </row>
    <row r="7" customFormat="false" ht="12.75" hidden="false" customHeight="true" outlineLevel="0" collapsed="false">
      <c r="D7" s="91" t="s">
        <v>199</v>
      </c>
      <c r="E7" s="90" t="str">
        <f aca="false">Import.Apelido</f>
        <v>Pavimentação MG-446</v>
      </c>
      <c r="F7" s="90"/>
      <c r="G7" s="90"/>
      <c r="H7" s="90"/>
      <c r="I7" s="599" t="str">
        <f aca="false">Import.Município</f>
        <v>Alpinópolis</v>
      </c>
      <c r="J7" s="599"/>
      <c r="K7" s="599"/>
      <c r="L7" s="599"/>
      <c r="M7" s="600" t="n">
        <f aca="false">Import.Repasse</f>
        <v>994700</v>
      </c>
      <c r="N7" s="601" t="n">
        <f aca="false">Import.Contrapartida</f>
        <v>994.7</v>
      </c>
      <c r="O7" s="600" t="n">
        <f aca="false">M7+N7</f>
        <v>995694.7</v>
      </c>
      <c r="P7" s="602" t="n">
        <f aca="true">IF(ACOMPANHAMENTO="PLE",PLE.Medicao,BM.medicao)</f>
        <v>1</v>
      </c>
      <c r="R7" s="253"/>
      <c r="S7" s="253"/>
      <c r="T7" s="253"/>
      <c r="U7" s="253"/>
    </row>
    <row r="8" customFormat="false" ht="12.75" hidden="false" customHeight="false" outlineLevel="0" collapsed="false">
      <c r="D8" s="9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  <c r="R8" s="253"/>
      <c r="S8" s="253"/>
      <c r="T8" s="253"/>
      <c r="U8" s="253"/>
    </row>
    <row r="9" customFormat="false" ht="12.75" hidden="false" customHeight="true" outlineLevel="0" collapsed="false">
      <c r="D9" s="91"/>
      <c r="G9" s="465" t="s">
        <v>491</v>
      </c>
      <c r="H9" s="465"/>
      <c r="I9" s="465" t="s">
        <v>492</v>
      </c>
      <c r="J9" s="465"/>
      <c r="K9" s="603"/>
      <c r="L9" s="604" t="s">
        <v>442</v>
      </c>
      <c r="M9" s="605" t="s">
        <v>445</v>
      </c>
      <c r="N9" s="487" t="s">
        <v>288</v>
      </c>
      <c r="P9" s="606"/>
      <c r="R9" s="253"/>
      <c r="S9" s="253"/>
      <c r="T9" s="253"/>
      <c r="U9" s="253"/>
      <c r="V9" s="34" t="s">
        <v>493</v>
      </c>
    </row>
    <row r="10" customFormat="false" ht="12.75" hidden="false" customHeight="true" outlineLevel="0" collapsed="false">
      <c r="D10" s="91"/>
      <c r="G10" s="40" t="e">
        <f aca="false">IF(J10="-","-",IF($P$24&lt;J10,"Atrasada",IF($P$24&gt;J10,"Adiantada","Normal")))</f>
        <v>#DIV/0!</v>
      </c>
      <c r="H10" s="40"/>
      <c r="I10" s="607" t="n">
        <f aca="false">DATE(YEAR($L$35),MONTH($L$35),1)</f>
        <v>45839</v>
      </c>
      <c r="J10" s="608" t="e">
        <f aca="false">IF($I$10&lt;DATE(YEAR(CRONO!$T$13),MONTH(CRONO!$T$13),1),0,IF($I$10&gt;CRONO!$AE$13,1,INDEX(CRONO!$S$53:$AG$53,MATCH(RRE!$I$10,CRONO!$S$13:$AG$13,0))))</f>
        <v>#DIV/0!</v>
      </c>
      <c r="K10" s="603"/>
      <c r="L10" s="604"/>
      <c r="M10" s="609" t="n">
        <f aca="false">QCI!L10</f>
        <v>994700</v>
      </c>
      <c r="N10" s="491" t="n">
        <f aca="false">QCI!M10</f>
        <v>994.7</v>
      </c>
      <c r="P10" s="606"/>
      <c r="R10" s="253"/>
      <c r="S10" s="253"/>
      <c r="T10" s="253"/>
      <c r="U10" s="253"/>
      <c r="AC10" s="610" t="s">
        <v>6</v>
      </c>
      <c r="AD10" s="610"/>
      <c r="AE10" s="610"/>
      <c r="AF10" s="610"/>
      <c r="AG10" s="610"/>
      <c r="AH10" s="610"/>
      <c r="AJ10" s="610" t="s">
        <v>7</v>
      </c>
      <c r="AK10" s="610"/>
      <c r="AL10" s="610"/>
      <c r="AM10" s="610"/>
      <c r="AN10" s="610"/>
      <c r="AO10" s="610"/>
    </row>
    <row r="11" customFormat="false" ht="19.5" hidden="false" customHeight="true" outlineLevel="0" collapsed="false">
      <c r="D11" s="91"/>
      <c r="M11" s="611" t="str">
        <f aca="false">IF(CAIXA.Modo,"Valores Aferidos (R$)","Valores Medidos (R$)")</f>
        <v>Valores Medidos (R$)</v>
      </c>
      <c r="N11" s="611"/>
      <c r="O11" s="611"/>
      <c r="R11" s="612"/>
      <c r="S11" s="612"/>
      <c r="T11" s="611"/>
      <c r="U11" s="611"/>
      <c r="V11" s="613" t="s">
        <v>494</v>
      </c>
      <c r="Y11" s="614" t="str">
        <f aca="false">IF(CAIXA.Modo,"Valores Aferidos (R$)","Valores Medidos (R$)")</f>
        <v>Valores Medidos (R$)</v>
      </c>
      <c r="Z11" s="614"/>
      <c r="AC11" s="177" t="s">
        <v>495</v>
      </c>
      <c r="AD11" s="177"/>
      <c r="AE11" s="177"/>
      <c r="AF11" s="177" t="s">
        <v>496</v>
      </c>
      <c r="AG11" s="177"/>
      <c r="AH11" s="177"/>
      <c r="AJ11" s="177" t="s">
        <v>495</v>
      </c>
      <c r="AK11" s="177"/>
      <c r="AL11" s="177"/>
      <c r="AM11" s="177" t="s">
        <v>496</v>
      </c>
      <c r="AN11" s="177"/>
      <c r="AO11" s="177"/>
    </row>
    <row r="12" customFormat="false" ht="12.75" hidden="true" customHeight="false" outlineLevel="0" collapsed="false">
      <c r="A12" s="0" t="e">
        <f aca="false">MATCH(E12,ORÇAMENTO!$E$15:$E$59,0)-1</f>
        <v>#N/A</v>
      </c>
      <c r="B12" s="0" t="e">
        <f aca="true">IF(ISERROR($A12),NA(),OFFSET(ORÇAMENTO!$D$15,$A12,0))</f>
        <v>#N/A</v>
      </c>
      <c r="C12" s="0" t="str">
        <f aca="false">QCI!B12</f>
        <v>Branco</v>
      </c>
      <c r="D12" s="0" t="str">
        <f aca="false">IF(L12&gt;0,"F","")</f>
        <v/>
      </c>
      <c r="E12" s="493" t="n">
        <f aca="false">QCI!D12</f>
        <v>-1</v>
      </c>
      <c r="F12" s="615" t="str">
        <f aca="false">QCI!G12</f>
        <v/>
      </c>
      <c r="G12" s="616" t="n">
        <f aca="false">QCI!H12</f>
        <v>0</v>
      </c>
      <c r="H12" s="428" t="n">
        <f aca="false">QCI!I12</f>
        <v>0</v>
      </c>
      <c r="I12" s="496" t="str">
        <f aca="false">QCI!J12</f>
        <v/>
      </c>
      <c r="J12" s="617" t="str">
        <f aca="false">QCI!K12</f>
        <v/>
      </c>
      <c r="K12" s="618" t="str">
        <f aca="true">IF($C12="Automático",IF(ACOMPANHAMENTO="BM",BM.medicao,PLE.Medicao),IF(ISBLANK($X12),"",$X12))</f>
        <v/>
      </c>
      <c r="L12" s="501" t="n">
        <f aca="false">QCI!$O12</f>
        <v>0</v>
      </c>
      <c r="M12" s="498" t="n">
        <f aca="false">ROUND(IF(C12="Automático",AE12+AL12,Y12),2)</f>
        <v>0</v>
      </c>
      <c r="N12" s="499" t="n">
        <f aca="false">O12-M12</f>
        <v>0</v>
      </c>
      <c r="O12" s="500" t="n">
        <f aca="false">ROUND(IF(C12="Automático",AH12+AO12,Z12),2)</f>
        <v>0</v>
      </c>
      <c r="P12" s="619" t="n">
        <f aca="false">O12/(L12+10^-12)</f>
        <v>0</v>
      </c>
      <c r="R12" s="620" t="n">
        <f aca="false">ROUND(IF($C12="Automático",AC12+AJ12,$Y12*IF(ISERROR(QCI!$AA12/QCI!$O12),0,QCI!$AA12/QCI!$O12)),2)</f>
        <v>0</v>
      </c>
      <c r="S12" s="620" t="n">
        <f aca="false">ROUND(IF($C12="Automático",AD12+AK12,$Y12*IF(ISERROR(QCI!$AB12/QCI!$O12),0,QCI!$AB12/QCI!$O12)),2)</f>
        <v>0</v>
      </c>
      <c r="T12" s="620" t="n">
        <f aca="false">ROUND(IF($C12="Automático",AF12+AM12,$Z12*IF(ISERROR(QCI!$AA12/QCI!$O12),0,QCI!$AA12/QCI!$O12)),2)</f>
        <v>0</v>
      </c>
      <c r="U12" s="620" t="n">
        <f aca="false">ROUND(IF($C12="Automático",AG12+AN12,$Z12*IF(ISERROR(QCI!$AB12/QCI!$O12),0,QCI!$AB12/QCI!$O12)),2)</f>
        <v>0</v>
      </c>
      <c r="V12" s="86" t="str">
        <f aca="true">IF(AND($L12&gt;0,$J12&lt;&gt;0,$J12&lt;&gt;"",COUNTIF($J12:$J$13,$J12)=1),OFFSET(V12,-1,0)+1,OFFSET(V12,-1,0))</f>
        <v>Lista CTEFs</v>
      </c>
      <c r="X12" s="621"/>
      <c r="Y12" s="505"/>
      <c r="Z12" s="508"/>
      <c r="AC12" s="315" t="e">
        <f aca="true">IF(ACOMPANHAMENTO&lt;&gt;"PLE",0,SUMPRODUCT((OFFSET(CÁLCULO!$AX$15:$BH$15,$A12,0,$B12)&lt;=(PLE.Medicao-1))*OFFSET(CÁLCULO!$AB$15:$AL$15,$A12,0,$B12)*OFFSET(ORÇAMENTO!$AA$15,$A12,0,$B12)/(OFFSET(ORÇAMENTO!$X$15,$A12,0,$B12)+10^-12))+IF(AUTOEVENTO="Manual",SUMPRODUCT((OFFSET(CÁLCULO!$M$15,$A12,0,$B12)=1)*OFFSET(ORÇAMENTO!$AA$15,$A12,0,$B12)*(PLE!$AE$9-PLE!$Y$9)),0))</f>
        <v>#N/A</v>
      </c>
      <c r="AD12" s="315" t="e">
        <f aca="true">IF(ACOMPANHAMENTO&lt;&gt;"PLE",0,SUMPRODUCT((OFFSET(CÁLCULO!$AX$15:$BH$15,$A12,0,$B12)&lt;=(PLE.Medicao-1))*OFFSET(CÁLCULO!$AB$15:$AL$15,$A12,0,$B12)*OFFSET(ORÇAMENTO!$AB$15,$A12,0,$B12)/(OFFSET(ORÇAMENTO!$X$15,$A12,0,$B12)+10^-12))+IF(AUTOEVENTO="Manual",SUMPRODUCT((OFFSET(CÁLCULO!$M$15,$A12,0,$B12)=1)*OFFSET(ORÇAMENTO!$AB$15,$A12,0,$B12)*(PLE!$AE$9-PLE!$Y$9)),0))</f>
        <v>#N/A</v>
      </c>
      <c r="AE12" s="315" t="e">
        <f aca="true">ROUND(IF(ACOMPANHAMENTO&lt;&gt;"PLE",0,SUMIF(OFFSET(CÁLCULO!$AX$15:$BH$15,$A12,0,$B12),"&lt;="&amp;(PLE.Medicao-1),OFFSET(CÁLCULO!$AB$15:$AL$15,$A12,0,$B12))+IF(AUTOEVENTO="Manual",SUMIF(OFFSET(CÁLCULO!$M$15,$A12,0,$B12),1,OFFSET(ORÇAMENTO!$X$15,$A12,0,$B12))*(PLE!$AE$9-PLE!$Y$9),0)),2)</f>
        <v>#N/A</v>
      </c>
      <c r="AF12" s="315" t="e">
        <f aca="true">IF(ACOMPANHAMENTO&lt;&gt;"PLE",0,SUMPRODUCT((OFFSET(CÁLCULO!$AX$15:$BH$15,$A12,0,$B12)&lt;=PLE.Medicao)*OFFSET(CÁLCULO!$AB$15:$AL$15,$A12,0,$B12)*OFFSET(ORÇAMENTO!$AA$15,$A12,0,$B12)/(OFFSET(ORÇAMENTO!$X$15,$A12,0,$B12)+10^-12))+IF(AUTOEVENTO="Manual",SUMPRODUCT((OFFSET(CÁLCULO!$M$15,$A12,0,$B12)=1)*OFFSET(ORÇAMENTO!$AA$15,$A12,0,$B12)*PLE!$AE$9),0))</f>
        <v>#N/A</v>
      </c>
      <c r="AG12" s="315" t="e">
        <f aca="true">IF(ACOMPANHAMENTO&lt;&gt;"PLE",0,SUMPRODUCT((OFFSET(CÁLCULO!$AX$15:$BH$15,$A12,0,$B12)&lt;=PLE.Medicao)*OFFSET(CÁLCULO!$AB$15:$AL$15,$A12,0,$B12)*OFFSET(ORÇAMENTO!$AB$15,$A12,0,$B12)/(OFFSET(ORÇAMENTO!$X$15,$A12,0,$B12)+10^-12))+IF(AUTOEVENTO="Manual",SUMPRODUCT((OFFSET(CÁLCULO!$M$15,$A12,0,$B12)=1)*OFFSET(ORÇAMENTO!$AB$15,$A12,0,$B12)*PLE!$AE$9),0))</f>
        <v>#N/A</v>
      </c>
      <c r="AH12" s="315" t="e">
        <f aca="true">ROUND(IF(ACOMPANHAMENTO&lt;&gt;"PLE",0,SUMIF(OFFSET(CÁLCULO!$AX$15:$BH$15,$A12,0,$B12),"&lt;="&amp;PLE.Medicao,OFFSET(CÁLCULO!$AB$15:$AL$15,$A12,0,$B12))+IF(AUTOEVENTO="Manual",SUMIF(OFFSET(CÁLCULO!$M$15,$A12,0,$B12),1,OFFSET(ORÇAMENTO!$X$15,$A12,0,$B12))*PLE!$AE$9,0)),2)</f>
        <v>#N/A</v>
      </c>
      <c r="AJ12" s="315" t="n">
        <f aca="true">IF(ACOMPANHAMENTO&lt;&gt;"BM",0,SUMPRODUCT(OFFSET(BM!$M$15,$A12,0,$B12)*(OFFSET(BM!$A$15,$A12,0,$B12)="S")*OFFSET(ORÇAMENTO!AA$15,$A12,0,$B12)/(OFFSET(ORÇAMENTO!$X$15,$A12,0,$B12)+10^-12)))</f>
        <v>0</v>
      </c>
      <c r="AK12" s="315" t="n">
        <f aca="true">IF(ACOMPANHAMENTO&lt;&gt;"BM",0,SUMPRODUCT(OFFSET(BM!$M$15,$A12,0,$B12)*(OFFSET(BM!$A$15,$A12,0,$B12)="S")*OFFSET(ORÇAMENTO!AB$15,$A12,0,$B12)/(OFFSET(ORÇAMENTO!$X$15,$A12,0,$B12)+10^-12)))</f>
        <v>0</v>
      </c>
      <c r="AL12" s="315" t="n">
        <f aca="true">IF(ACOMPANHAMENTO&lt;&gt;"BM",0,OFFSET(BM!$M$15,$A12,0))</f>
        <v>0</v>
      </c>
      <c r="AM12" s="315" t="n">
        <f aca="true">IF(ACOMPANHAMENTO&lt;&gt;"BM",0,SUMPRODUCT(OFFSET(BM!$O$15,$A12,0,$B12)*(OFFSET(BM!$A$15,$A12,0,$B12)="S")*OFFSET(ORÇAMENTO!AA$15,$A12,0,$B12)/(OFFSET(ORÇAMENTO!$X$15,$A12,0,$B12)+10^-12)))</f>
        <v>0</v>
      </c>
      <c r="AN12" s="315" t="n">
        <f aca="true">IF(ACOMPANHAMENTO&lt;&gt;"BM",0,SUMPRODUCT(OFFSET(BM!$O$15,$A12,0,$B12)*(OFFSET(BM!$A$15,$A12,0,$B12)="S")*OFFSET(ORÇAMENTO!AB$15,$A12,0,$B12)/(OFFSET(ORÇAMENTO!$X$15,$A12,0,$B12)+10^-12)))</f>
        <v>0</v>
      </c>
      <c r="AO12" s="315" t="n">
        <f aca="true">IF(ACOMPANHAMENTO&lt;&gt;"BM",0,OFFSET(BM!$O$15,$A12,0))</f>
        <v>0</v>
      </c>
    </row>
    <row r="13" customFormat="false" ht="39.75" hidden="false" customHeight="true" outlineLevel="0" collapsed="false">
      <c r="A13" s="510" t="s">
        <v>497</v>
      </c>
      <c r="B13" s="38" t="s">
        <v>271</v>
      </c>
      <c r="C13" s="510" t="s">
        <v>447</v>
      </c>
      <c r="D13" s="97" t="s">
        <v>204</v>
      </c>
      <c r="E13" s="175" t="s">
        <v>247</v>
      </c>
      <c r="F13" s="175" t="s">
        <v>450</v>
      </c>
      <c r="G13" s="175" t="s">
        <v>213</v>
      </c>
      <c r="H13" s="175" t="s">
        <v>258</v>
      </c>
      <c r="I13" s="175" t="s">
        <v>451</v>
      </c>
      <c r="J13" s="175" t="s">
        <v>452</v>
      </c>
      <c r="K13" s="511" t="s">
        <v>498</v>
      </c>
      <c r="L13" s="175" t="s">
        <v>499</v>
      </c>
      <c r="M13" s="511" t="s">
        <v>495</v>
      </c>
      <c r="N13" s="512" t="s">
        <v>500</v>
      </c>
      <c r="O13" s="513" t="s">
        <v>496</v>
      </c>
      <c r="P13" s="175" t="s">
        <v>501</v>
      </c>
      <c r="R13" s="622" t="s">
        <v>502</v>
      </c>
      <c r="S13" s="622" t="s">
        <v>503</v>
      </c>
      <c r="T13" s="622" t="s">
        <v>504</v>
      </c>
      <c r="U13" s="622" t="s">
        <v>505</v>
      </c>
      <c r="V13" s="623"/>
      <c r="X13" s="511" t="s">
        <v>498</v>
      </c>
      <c r="Y13" s="181" t="s">
        <v>495</v>
      </c>
      <c r="Z13" s="184" t="s">
        <v>496</v>
      </c>
      <c r="AC13" s="177" t="s">
        <v>221</v>
      </c>
      <c r="AD13" s="177" t="s">
        <v>488</v>
      </c>
      <c r="AE13" s="177" t="s">
        <v>490</v>
      </c>
      <c r="AF13" s="177" t="s">
        <v>221</v>
      </c>
      <c r="AG13" s="177" t="s">
        <v>488</v>
      </c>
      <c r="AH13" s="177" t="s">
        <v>490</v>
      </c>
      <c r="AJ13" s="177" t="s">
        <v>221</v>
      </c>
      <c r="AK13" s="177" t="s">
        <v>488</v>
      </c>
      <c r="AL13" s="177" t="s">
        <v>490</v>
      </c>
      <c r="AM13" s="177" t="s">
        <v>221</v>
      </c>
      <c r="AN13" s="177" t="s">
        <v>488</v>
      </c>
      <c r="AO13" s="177" t="s">
        <v>490</v>
      </c>
    </row>
    <row r="14" customFormat="false" ht="12.75" hidden="false" customHeight="false" outlineLevel="0" collapsed="false">
      <c r="A14" s="0" t="n">
        <f aca="false">MATCH(E14,ORÇAMENTO!$E$15:$E$59,0)-1</f>
        <v>1</v>
      </c>
      <c r="B14" s="0" t="n">
        <f aca="true">IF(ISERROR($A14),NA(),OFFSET(ORÇAMENTO!$D$15,$A14,0))</f>
        <v>43</v>
      </c>
      <c r="C14" s="0" t="str">
        <f aca="false">QCI!B14</f>
        <v>Automático</v>
      </c>
      <c r="D14" s="0" t="str">
        <f aca="false">IF(L14&gt;0,"F","")</f>
        <v/>
      </c>
      <c r="E14" s="493" t="n">
        <f aca="false">QCI!D14</f>
        <v>1</v>
      </c>
      <c r="F14" s="615" t="str">
        <f aca="false">QCI!G14</f>
        <v>Pavimentação MG-446 - Trecho 2 (Est.70 a Est. 95)</v>
      </c>
      <c r="G14" s="616" t="str">
        <f aca="false">QCI!H14</f>
        <v>Em Análise</v>
      </c>
      <c r="H14" s="428" t="n">
        <f aca="false">QCI!I14</f>
        <v>4500</v>
      </c>
      <c r="I14" s="496" t="str">
        <f aca="false">QCI!J14</f>
        <v>m²</v>
      </c>
      <c r="J14" s="617" t="str">
        <f aca="false">QCI!K14</f>
        <v>LOTE 1</v>
      </c>
      <c r="K14" s="618" t="n">
        <f aca="true">IF($C14="Automático",IF(ACOMPANHAMENTO="BM",BM.medicao,PLE.Medicao),IF(ISBLANK($X14),"",$X14))</f>
        <v>1</v>
      </c>
      <c r="L14" s="501" t="n">
        <f aca="false">QCI!$O14</f>
        <v>0</v>
      </c>
      <c r="M14" s="498" t="e">
        <f aca="false">ROUND(IF(C14="Automático",AE14+AL14,Y14),2)</f>
        <v>#DIV/0!</v>
      </c>
      <c r="N14" s="499" t="e">
        <f aca="false">O14-M14</f>
        <v>#DIV/0!</v>
      </c>
      <c r="O14" s="500" t="e">
        <f aca="false">ROUND(IF(C14="Automático",AH14+AO14,Z14),2)</f>
        <v>#DIV/0!</v>
      </c>
      <c r="P14" s="619" t="e">
        <f aca="false">O14/(L14+10^-12)</f>
        <v>#DIV/0!</v>
      </c>
      <c r="R14" s="620" t="e">
        <f aca="false">ROUND(IF($C14="Automático",AC14+AJ14,$Y14*IF(ISERROR(QCI!$AA14/QCI!$O14),0,QCI!$AA14/QCI!$O14)),2)</f>
        <v>#DIV/0!</v>
      </c>
      <c r="S14" s="620" t="e">
        <f aca="false">ROUND(IF($C14="Automático",AD14+AK14,$Y14*IF(ISERROR(QCI!$AB14/QCI!$O14),0,QCI!$AB14/QCI!$O14)),2)</f>
        <v>#DIV/0!</v>
      </c>
      <c r="T14" s="620" t="e">
        <f aca="false">ROUND(IF($C14="Automático",AF14+AM14,$Z14*IF(ISERROR(QCI!$AA14/QCI!$O14),0,QCI!$AA14/QCI!$O14)),2)</f>
        <v>#DIV/0!</v>
      </c>
      <c r="U14" s="620" t="e">
        <f aca="false">ROUND(IF($C14="Automático",AG14+AN14,$Z14*IF(ISERROR(QCI!$AB14/QCI!$O14),0,QCI!$AB14/QCI!$O14)),2)</f>
        <v>#DIV/0!</v>
      </c>
      <c r="V14" s="86" t="n">
        <f aca="true">IF(AND($L14&gt;0,$J14&lt;&gt;0,$J14&lt;&gt;"",COUNTIF($J$13:$J14,$J14)=1),OFFSET(V14,-1,0)+1,OFFSET(V14,-1,0))</f>
        <v>0</v>
      </c>
      <c r="X14" s="621"/>
      <c r="Y14" s="505"/>
      <c r="Z14" s="508"/>
      <c r="AC14" s="315" t="e">
        <f aca="true">IF(ACOMPANHAMENTO&lt;&gt;"PLE",0,SUMPRODUCT((OFFSET(CÁLCULO!$AX$15:$BH$15,$A14,0,$B14)&lt;=(PLE.Medicao-1))*OFFSET(CÁLCULO!$AB$15:$AL$15,$A14,0,$B14)*OFFSET(ORÇAMENTO!$AA$15,$A14,0,$B14)/(OFFSET(ORÇAMENTO!$X$15,$A14,0,$B14)+10^-12))+IF(AUTOEVENTO="Manual",SUMPRODUCT((OFFSET(CÁLCULO!$M$15,$A14,0,$B14)=1)*OFFSET(ORÇAMENTO!$AA$15,$A14,0,$B14)*(PLE!$AE$9-PLE!$Y$9)),0))</f>
        <v>#DIV/0!</v>
      </c>
      <c r="AD14" s="315" t="e">
        <f aca="true">IF(ACOMPANHAMENTO&lt;&gt;"PLE",0,SUMPRODUCT((OFFSET(CÁLCULO!$AX$15:$BH$15,$A14,0,$B14)&lt;=(PLE.Medicao-1))*OFFSET(CÁLCULO!$AB$15:$AL$15,$A14,0,$B14)*OFFSET(ORÇAMENTO!$AB$15,$A14,0,$B14)/(OFFSET(ORÇAMENTO!$X$15,$A14,0,$B14)+10^-12))+IF(AUTOEVENTO="Manual",SUMPRODUCT((OFFSET(CÁLCULO!$M$15,$A14,0,$B14)=1)*OFFSET(ORÇAMENTO!$AB$15,$A14,0,$B14)*(PLE!$AE$9-PLE!$Y$9)),0))</f>
        <v>#DIV/0!</v>
      </c>
      <c r="AE14" s="315" t="e">
        <f aca="true">ROUND(IF(ACOMPANHAMENTO&lt;&gt;"PLE",0,SUMIF(OFFSET(CÁLCULO!$AX$15:$BH$15,$A14,0,$B14),"&lt;="&amp;(PLE.Medicao-1),OFFSET(CÁLCULO!$AB$15:$AL$15,$A14,0,$B14))+IF(AUTOEVENTO="Manual",SUMIF(OFFSET(CÁLCULO!$M$15,$A14,0,$B14),1,OFFSET(ORÇAMENTO!$X$15,$A14,0,$B14))*(PLE!$AE$9-PLE!$Y$9),0)),2)</f>
        <v>#DIV/0!</v>
      </c>
      <c r="AF14" s="315" t="e">
        <f aca="true">IF(ACOMPANHAMENTO&lt;&gt;"PLE",0,SUMPRODUCT((OFFSET(CÁLCULO!$AX$15:$BH$15,$A14,0,$B14)&lt;=PLE.Medicao)*OFFSET(CÁLCULO!$AB$15:$AL$15,$A14,0,$B14)*OFFSET(ORÇAMENTO!$AA$15,$A14,0,$B14)/(OFFSET(ORÇAMENTO!$X$15,$A14,0,$B14)+10^-12))+IF(AUTOEVENTO="Manual",SUMPRODUCT((OFFSET(CÁLCULO!$M$15,$A14,0,$B14)=1)*OFFSET(ORÇAMENTO!$AA$15,$A14,0,$B14)*PLE!$AE$9),0))</f>
        <v>#DIV/0!</v>
      </c>
      <c r="AG14" s="315" t="e">
        <f aca="true">IF(ACOMPANHAMENTO&lt;&gt;"PLE",0,SUMPRODUCT((OFFSET(CÁLCULO!$AX$15:$BH$15,$A14,0,$B14)&lt;=PLE.Medicao)*OFFSET(CÁLCULO!$AB$15:$AL$15,$A14,0,$B14)*OFFSET(ORÇAMENTO!$AB$15,$A14,0,$B14)/(OFFSET(ORÇAMENTO!$X$15,$A14,0,$B14)+10^-12))+IF(AUTOEVENTO="Manual",SUMPRODUCT((OFFSET(CÁLCULO!$M$15,$A14,0,$B14)=1)*OFFSET(ORÇAMENTO!$AB$15,$A14,0,$B14)*PLE!$AE$9),0))</f>
        <v>#DIV/0!</v>
      </c>
      <c r="AH14" s="315" t="e">
        <f aca="true">ROUND(IF(ACOMPANHAMENTO&lt;&gt;"PLE",0,SUMIF(OFFSET(CÁLCULO!$AX$15:$BH$15,$A14,0,$B14),"&lt;="&amp;PLE.Medicao,OFFSET(CÁLCULO!$AB$15:$AL$15,$A14,0,$B14))+IF(AUTOEVENTO="Manual",SUMIF(OFFSET(CÁLCULO!$M$15,$A14,0,$B14),1,OFFSET(ORÇAMENTO!$X$15,$A14,0,$B14))*PLE!$AE$9,0)),2)</f>
        <v>#DIV/0!</v>
      </c>
      <c r="AJ14" s="315" t="n">
        <f aca="true">IF(ACOMPANHAMENTO&lt;&gt;"BM",0,SUMPRODUCT(OFFSET(BM!$M$15,$A14,0,$B14)*(OFFSET(BM!$A$15,$A14,0,$B14)="S")*OFFSET(ORÇAMENTO!AA$15,$A14,0,$B14)/(OFFSET(ORÇAMENTO!$X$15,$A14,0,$B14)+10^-12)))</f>
        <v>0</v>
      </c>
      <c r="AK14" s="315" t="n">
        <f aca="true">IF(ACOMPANHAMENTO&lt;&gt;"BM",0,SUMPRODUCT(OFFSET(BM!$M$15,$A14,0,$B14)*(OFFSET(BM!$A$15,$A14,0,$B14)="S")*OFFSET(ORÇAMENTO!AB$15,$A14,0,$B14)/(OFFSET(ORÇAMENTO!$X$15,$A14,0,$B14)+10^-12)))</f>
        <v>0</v>
      </c>
      <c r="AL14" s="315" t="n">
        <f aca="true">IF(ACOMPANHAMENTO&lt;&gt;"BM",0,OFFSET(BM!$M$15,$A14,0))</f>
        <v>0</v>
      </c>
      <c r="AM14" s="315" t="n">
        <f aca="true">IF(ACOMPANHAMENTO&lt;&gt;"BM",0,SUMPRODUCT(OFFSET(BM!$O$15,$A14,0,$B14)*(OFFSET(BM!$A$15,$A14,0,$B14)="S")*OFFSET(ORÇAMENTO!AA$15,$A14,0,$B14)/(OFFSET(ORÇAMENTO!$X$15,$A14,0,$B14)+10^-12)))</f>
        <v>0</v>
      </c>
      <c r="AN14" s="315" t="n">
        <f aca="true">IF(ACOMPANHAMENTO&lt;&gt;"BM",0,SUMPRODUCT(OFFSET(BM!$O$15,$A14,0,$B14)*(OFFSET(BM!$A$15,$A14,0,$B14)="S")*OFFSET(ORÇAMENTO!AB$15,$A14,0,$B14)/(OFFSET(ORÇAMENTO!$X$15,$A14,0,$B14)+10^-12)))</f>
        <v>0</v>
      </c>
      <c r="AO14" s="315" t="n">
        <f aca="true">IF(ACOMPANHAMENTO&lt;&gt;"BM",0,OFFSET(BM!$O$15,$A14,0))</f>
        <v>0</v>
      </c>
    </row>
    <row r="15" customFormat="false" ht="12.75" hidden="false" customHeight="false" outlineLevel="0" collapsed="false">
      <c r="A15" s="0" t="e">
        <f aca="false">MATCH(E15,ORÇAMENTO!$E$15:$E$59,0)-1</f>
        <v>#N/A</v>
      </c>
      <c r="B15" s="0" t="e">
        <f aca="true">IF(ISERROR($A15),NA(),OFFSET(ORÇAMENTO!$D$15,$A15,0))</f>
        <v>#N/A</v>
      </c>
      <c r="C15" s="0" t="str">
        <f aca="false">QCI!B15</f>
        <v>Branco</v>
      </c>
      <c r="D15" s="0" t="str">
        <f aca="false">IF(L15&gt;0,"F","")</f>
        <v/>
      </c>
      <c r="E15" s="493" t="n">
        <f aca="false">QCI!D15</f>
        <v>2</v>
      </c>
      <c r="F15" s="615" t="str">
        <f aca="false">QCI!G15</f>
        <v/>
      </c>
      <c r="G15" s="616" t="n">
        <f aca="false">QCI!H15</f>
        <v>0</v>
      </c>
      <c r="H15" s="428" t="n">
        <f aca="false">QCI!I15</f>
        <v>0</v>
      </c>
      <c r="I15" s="496" t="str">
        <f aca="false">QCI!J15</f>
        <v/>
      </c>
      <c r="J15" s="617" t="str">
        <f aca="false">QCI!K15</f>
        <v/>
      </c>
      <c r="K15" s="618" t="str">
        <f aca="true">IF($C15="Automático",IF(ACOMPANHAMENTO="BM",BM.medicao,PLE.Medicao),IF(ISBLANK($X15),"",$X15))</f>
        <v/>
      </c>
      <c r="L15" s="501" t="n">
        <f aca="false">QCI!$O15</f>
        <v>0</v>
      </c>
      <c r="M15" s="498" t="n">
        <f aca="false">ROUND(IF(C15="Automático",AE15+AL15,Y15),2)</f>
        <v>0</v>
      </c>
      <c r="N15" s="499" t="n">
        <f aca="false">O15-M15</f>
        <v>0</v>
      </c>
      <c r="O15" s="500" t="n">
        <f aca="false">ROUND(IF(C15="Automático",AH15+AO15,Z15),2)</f>
        <v>0</v>
      </c>
      <c r="P15" s="619" t="n">
        <f aca="false">O15/(L15+10^-12)</f>
        <v>0</v>
      </c>
      <c r="R15" s="620" t="n">
        <f aca="false">ROUND(IF($C15="Automático",AC15+AJ15,$Y15*IF(ISERROR(QCI!$AA15/QCI!$O15),0,QCI!$AA15/QCI!$O15)),2)</f>
        <v>0</v>
      </c>
      <c r="S15" s="620" t="n">
        <f aca="false">ROUND(IF($C15="Automático",AD15+AK15,$Y15*IF(ISERROR(QCI!$AB15/QCI!$O15),0,QCI!$AB15/QCI!$O15)),2)</f>
        <v>0</v>
      </c>
      <c r="T15" s="620" t="n">
        <f aca="false">ROUND(IF($C15="Automático",AF15+AM15,$Z15*IF(ISERROR(QCI!$AA15/QCI!$O15),0,QCI!$AA15/QCI!$O15)),2)</f>
        <v>0</v>
      </c>
      <c r="U15" s="620" t="n">
        <f aca="false">ROUND(IF($C15="Automático",AG15+AN15,$Z15*IF(ISERROR(QCI!$AB15/QCI!$O15),0,QCI!$AB15/QCI!$O15)),2)</f>
        <v>0</v>
      </c>
      <c r="V15" s="86" t="n">
        <f aca="true">IF(AND($L15&gt;0,$J15&lt;&gt;0,$J15&lt;&gt;"",COUNTIF($J$13:$J15,$J15)=1),OFFSET(V15,-1,0)+1,OFFSET(V15,-1,0))</f>
        <v>0</v>
      </c>
      <c r="X15" s="621"/>
      <c r="Y15" s="505"/>
      <c r="Z15" s="508"/>
      <c r="AC15" s="315" t="e">
        <f aca="true">IF(ACOMPANHAMENTO&lt;&gt;"PLE",0,SUMPRODUCT((OFFSET(CÁLCULO!$AX$15:$BH$15,$A15,0,$B15)&lt;=(PLE.Medicao-1))*OFFSET(CÁLCULO!$AB$15:$AL$15,$A15,0,$B15)*OFFSET(ORÇAMENTO!$AA$15,$A15,0,$B15)/(OFFSET(ORÇAMENTO!$X$15,$A15,0,$B15)+10^-12))+IF(AUTOEVENTO="Manual",SUMPRODUCT((OFFSET(CÁLCULO!$M$15,$A15,0,$B15)=1)*OFFSET(ORÇAMENTO!$AA$15,$A15,0,$B15)*(PLE!$AE$9-PLE!$Y$9)),0))</f>
        <v>#N/A</v>
      </c>
      <c r="AD15" s="315" t="e">
        <f aca="true">IF(ACOMPANHAMENTO&lt;&gt;"PLE",0,SUMPRODUCT((OFFSET(CÁLCULO!$AX$15:$BH$15,$A15,0,$B15)&lt;=(PLE.Medicao-1))*OFFSET(CÁLCULO!$AB$15:$AL$15,$A15,0,$B15)*OFFSET(ORÇAMENTO!$AB$15,$A15,0,$B15)/(OFFSET(ORÇAMENTO!$X$15,$A15,0,$B15)+10^-12))+IF(AUTOEVENTO="Manual",SUMPRODUCT((OFFSET(CÁLCULO!$M$15,$A15,0,$B15)=1)*OFFSET(ORÇAMENTO!$AB$15,$A15,0,$B15)*(PLE!$AE$9-PLE!$Y$9)),0))</f>
        <v>#N/A</v>
      </c>
      <c r="AE15" s="315" t="e">
        <f aca="true">ROUND(IF(ACOMPANHAMENTO&lt;&gt;"PLE",0,SUMIF(OFFSET(CÁLCULO!$AX$15:$BH$15,$A15,0,$B15),"&lt;="&amp;(PLE.Medicao-1),OFFSET(CÁLCULO!$AB$15:$AL$15,$A15,0,$B15))+IF(AUTOEVENTO="Manual",SUMIF(OFFSET(CÁLCULO!$M$15,$A15,0,$B15),1,OFFSET(ORÇAMENTO!$X$15,$A15,0,$B15))*(PLE!$AE$9-PLE!$Y$9),0)),2)</f>
        <v>#N/A</v>
      </c>
      <c r="AF15" s="315" t="e">
        <f aca="true">IF(ACOMPANHAMENTO&lt;&gt;"PLE",0,SUMPRODUCT((OFFSET(CÁLCULO!$AX$15:$BH$15,$A15,0,$B15)&lt;=PLE.Medicao)*OFFSET(CÁLCULO!$AB$15:$AL$15,$A15,0,$B15)*OFFSET(ORÇAMENTO!$AA$15,$A15,0,$B15)/(OFFSET(ORÇAMENTO!$X$15,$A15,0,$B15)+10^-12))+IF(AUTOEVENTO="Manual",SUMPRODUCT((OFFSET(CÁLCULO!$M$15,$A15,0,$B15)=1)*OFFSET(ORÇAMENTO!$AA$15,$A15,0,$B15)*PLE!$AE$9),0))</f>
        <v>#N/A</v>
      </c>
      <c r="AG15" s="315" t="e">
        <f aca="true">IF(ACOMPANHAMENTO&lt;&gt;"PLE",0,SUMPRODUCT((OFFSET(CÁLCULO!$AX$15:$BH$15,$A15,0,$B15)&lt;=PLE.Medicao)*OFFSET(CÁLCULO!$AB$15:$AL$15,$A15,0,$B15)*OFFSET(ORÇAMENTO!$AB$15,$A15,0,$B15)/(OFFSET(ORÇAMENTO!$X$15,$A15,0,$B15)+10^-12))+IF(AUTOEVENTO="Manual",SUMPRODUCT((OFFSET(CÁLCULO!$M$15,$A15,0,$B15)=1)*OFFSET(ORÇAMENTO!$AB$15,$A15,0,$B15)*PLE!$AE$9),0))</f>
        <v>#N/A</v>
      </c>
      <c r="AH15" s="315" t="e">
        <f aca="true">ROUND(IF(ACOMPANHAMENTO&lt;&gt;"PLE",0,SUMIF(OFFSET(CÁLCULO!$AX$15:$BH$15,$A15,0,$B15),"&lt;="&amp;PLE.Medicao,OFFSET(CÁLCULO!$AB$15:$AL$15,$A15,0,$B15))+IF(AUTOEVENTO="Manual",SUMIF(OFFSET(CÁLCULO!$M$15,$A15,0,$B15),1,OFFSET(ORÇAMENTO!$X$15,$A15,0,$B15))*PLE!$AE$9,0)),2)</f>
        <v>#N/A</v>
      </c>
      <c r="AJ15" s="315" t="n">
        <f aca="true">IF(ACOMPANHAMENTO&lt;&gt;"BM",0,SUMPRODUCT(OFFSET(BM!$M$15,$A15,0,$B15)*(OFFSET(BM!$A$15,$A15,0,$B15)="S")*OFFSET(ORÇAMENTO!AA$15,$A15,0,$B15)/(OFFSET(ORÇAMENTO!$X$15,$A15,0,$B15)+10^-12)))</f>
        <v>0</v>
      </c>
      <c r="AK15" s="315" t="n">
        <f aca="true">IF(ACOMPANHAMENTO&lt;&gt;"BM",0,SUMPRODUCT(OFFSET(BM!$M$15,$A15,0,$B15)*(OFFSET(BM!$A$15,$A15,0,$B15)="S")*OFFSET(ORÇAMENTO!AB$15,$A15,0,$B15)/(OFFSET(ORÇAMENTO!$X$15,$A15,0,$B15)+10^-12)))</f>
        <v>0</v>
      </c>
      <c r="AL15" s="315" t="n">
        <f aca="true">IF(ACOMPANHAMENTO&lt;&gt;"BM",0,OFFSET(BM!$M$15,$A15,0))</f>
        <v>0</v>
      </c>
      <c r="AM15" s="315" t="n">
        <f aca="true">IF(ACOMPANHAMENTO&lt;&gt;"BM",0,SUMPRODUCT(OFFSET(BM!$O$15,$A15,0,$B15)*(OFFSET(BM!$A$15,$A15,0,$B15)="S")*OFFSET(ORÇAMENTO!AA$15,$A15,0,$B15)/(OFFSET(ORÇAMENTO!$X$15,$A15,0,$B15)+10^-12)))</f>
        <v>0</v>
      </c>
      <c r="AN15" s="315" t="n">
        <f aca="true">IF(ACOMPANHAMENTO&lt;&gt;"BM",0,SUMPRODUCT(OFFSET(BM!$O$15,$A15,0,$B15)*(OFFSET(BM!$A$15,$A15,0,$B15)="S")*OFFSET(ORÇAMENTO!AB$15,$A15,0,$B15)/(OFFSET(ORÇAMENTO!$X$15,$A15,0,$B15)+10^-12)))</f>
        <v>0</v>
      </c>
      <c r="AO15" s="315" t="n">
        <f aca="true">IF(ACOMPANHAMENTO&lt;&gt;"BM",0,OFFSET(BM!$O$15,$A15,0))</f>
        <v>0</v>
      </c>
    </row>
    <row r="16" customFormat="false" ht="12.75" hidden="false" customHeight="false" outlineLevel="0" collapsed="false">
      <c r="A16" s="0" t="e">
        <f aca="false">MATCH(E16,ORÇAMENTO!$E$15:$E$59,0)-1</f>
        <v>#N/A</v>
      </c>
      <c r="B16" s="0" t="e">
        <f aca="true">IF(ISERROR($A16),NA(),OFFSET(ORÇAMENTO!$D$15,$A16,0))</f>
        <v>#N/A</v>
      </c>
      <c r="C16" s="0" t="str">
        <f aca="false">QCI!B16</f>
        <v>Branco</v>
      </c>
      <c r="D16" s="0" t="str">
        <f aca="false">IF(L16&gt;0,"F","")</f>
        <v/>
      </c>
      <c r="E16" s="493" t="n">
        <f aca="false">QCI!D16</f>
        <v>3</v>
      </c>
      <c r="F16" s="615" t="str">
        <f aca="false">QCI!G16</f>
        <v/>
      </c>
      <c r="G16" s="616" t="n">
        <f aca="false">QCI!H16</f>
        <v>0</v>
      </c>
      <c r="H16" s="428" t="n">
        <f aca="false">QCI!I16</f>
        <v>0</v>
      </c>
      <c r="I16" s="496" t="str">
        <f aca="false">QCI!J16</f>
        <v/>
      </c>
      <c r="J16" s="617" t="str">
        <f aca="false">QCI!K16</f>
        <v/>
      </c>
      <c r="K16" s="618" t="str">
        <f aca="true">IF($C16="Automático",IF(ACOMPANHAMENTO="BM",BM.medicao,PLE.Medicao),IF(ISBLANK($X16),"",$X16))</f>
        <v/>
      </c>
      <c r="L16" s="501" t="n">
        <f aca="false">QCI!$O16</f>
        <v>0</v>
      </c>
      <c r="M16" s="498" t="n">
        <f aca="false">ROUND(IF(C16="Automático",AE16+AL16,Y16),2)</f>
        <v>0</v>
      </c>
      <c r="N16" s="499" t="n">
        <f aca="false">O16-M16</f>
        <v>0</v>
      </c>
      <c r="O16" s="500" t="n">
        <f aca="false">ROUND(IF(C16="Automático",AH16+AO16,Z16),2)</f>
        <v>0</v>
      </c>
      <c r="P16" s="619" t="n">
        <f aca="false">O16/(L16+10^-12)</f>
        <v>0</v>
      </c>
      <c r="R16" s="620" t="n">
        <f aca="false">ROUND(IF($C16="Automático",AC16+AJ16,$Y16*IF(ISERROR(QCI!$AA16/QCI!$O16),0,QCI!$AA16/QCI!$O16)),2)</f>
        <v>0</v>
      </c>
      <c r="S16" s="620" t="n">
        <f aca="false">ROUND(IF($C16="Automático",AD16+AK16,$Y16*IF(ISERROR(QCI!$AB16/QCI!$O16),0,QCI!$AB16/QCI!$O16)),2)</f>
        <v>0</v>
      </c>
      <c r="T16" s="620" t="n">
        <f aca="false">ROUND(IF($C16="Automático",AF16+AM16,$Z16*IF(ISERROR(QCI!$AA16/QCI!$O16),0,QCI!$AA16/QCI!$O16)),2)</f>
        <v>0</v>
      </c>
      <c r="U16" s="620" t="n">
        <f aca="false">ROUND(IF($C16="Automático",AG16+AN16,$Z16*IF(ISERROR(QCI!$AB16/QCI!$O16),0,QCI!$AB16/QCI!$O16)),2)</f>
        <v>0</v>
      </c>
      <c r="V16" s="86" t="n">
        <f aca="true">IF(AND($L16&gt;0,$J16&lt;&gt;0,$J16&lt;&gt;"",COUNTIF($J$13:$J16,$J16)=1),OFFSET(V16,-1,0)+1,OFFSET(V16,-1,0))</f>
        <v>0</v>
      </c>
      <c r="X16" s="621"/>
      <c r="Y16" s="505"/>
      <c r="Z16" s="508"/>
      <c r="AC16" s="315" t="e">
        <f aca="true">IF(ACOMPANHAMENTO&lt;&gt;"PLE",0,SUMPRODUCT((OFFSET(CÁLCULO!$AX$15:$BH$15,$A16,0,$B16)&lt;=(PLE.Medicao-1))*OFFSET(CÁLCULO!$AB$15:$AL$15,$A16,0,$B16)*OFFSET(ORÇAMENTO!$AA$15,$A16,0,$B16)/(OFFSET(ORÇAMENTO!$X$15,$A16,0,$B16)+10^-12))+IF(AUTOEVENTO="Manual",SUMPRODUCT((OFFSET(CÁLCULO!$M$15,$A16,0,$B16)=1)*OFFSET(ORÇAMENTO!$AA$15,$A16,0,$B16)*(PLE!$AE$9-PLE!$Y$9)),0))</f>
        <v>#N/A</v>
      </c>
      <c r="AD16" s="315" t="e">
        <f aca="true">IF(ACOMPANHAMENTO&lt;&gt;"PLE",0,SUMPRODUCT((OFFSET(CÁLCULO!$AX$15:$BH$15,$A16,0,$B16)&lt;=(PLE.Medicao-1))*OFFSET(CÁLCULO!$AB$15:$AL$15,$A16,0,$B16)*OFFSET(ORÇAMENTO!$AB$15,$A16,0,$B16)/(OFFSET(ORÇAMENTO!$X$15,$A16,0,$B16)+10^-12))+IF(AUTOEVENTO="Manual",SUMPRODUCT((OFFSET(CÁLCULO!$M$15,$A16,0,$B16)=1)*OFFSET(ORÇAMENTO!$AB$15,$A16,0,$B16)*(PLE!$AE$9-PLE!$Y$9)),0))</f>
        <v>#N/A</v>
      </c>
      <c r="AE16" s="315" t="e">
        <f aca="true">ROUND(IF(ACOMPANHAMENTO&lt;&gt;"PLE",0,SUMIF(OFFSET(CÁLCULO!$AX$15:$BH$15,$A16,0,$B16),"&lt;="&amp;(PLE.Medicao-1),OFFSET(CÁLCULO!$AB$15:$AL$15,$A16,0,$B16))+IF(AUTOEVENTO="Manual",SUMIF(OFFSET(CÁLCULO!$M$15,$A16,0,$B16),1,OFFSET(ORÇAMENTO!$X$15,$A16,0,$B16))*(PLE!$AE$9-PLE!$Y$9),0)),2)</f>
        <v>#N/A</v>
      </c>
      <c r="AF16" s="315" t="e">
        <f aca="true">IF(ACOMPANHAMENTO&lt;&gt;"PLE",0,SUMPRODUCT((OFFSET(CÁLCULO!$AX$15:$BH$15,$A16,0,$B16)&lt;=PLE.Medicao)*OFFSET(CÁLCULO!$AB$15:$AL$15,$A16,0,$B16)*OFFSET(ORÇAMENTO!$AA$15,$A16,0,$B16)/(OFFSET(ORÇAMENTO!$X$15,$A16,0,$B16)+10^-12))+IF(AUTOEVENTO="Manual",SUMPRODUCT((OFFSET(CÁLCULO!$M$15,$A16,0,$B16)=1)*OFFSET(ORÇAMENTO!$AA$15,$A16,0,$B16)*PLE!$AE$9),0))</f>
        <v>#N/A</v>
      </c>
      <c r="AG16" s="315" t="e">
        <f aca="true">IF(ACOMPANHAMENTO&lt;&gt;"PLE",0,SUMPRODUCT((OFFSET(CÁLCULO!$AX$15:$BH$15,$A16,0,$B16)&lt;=PLE.Medicao)*OFFSET(CÁLCULO!$AB$15:$AL$15,$A16,0,$B16)*OFFSET(ORÇAMENTO!$AB$15,$A16,0,$B16)/(OFFSET(ORÇAMENTO!$X$15,$A16,0,$B16)+10^-12))+IF(AUTOEVENTO="Manual",SUMPRODUCT((OFFSET(CÁLCULO!$M$15,$A16,0,$B16)=1)*OFFSET(ORÇAMENTO!$AB$15,$A16,0,$B16)*PLE!$AE$9),0))</f>
        <v>#N/A</v>
      </c>
      <c r="AH16" s="315" t="e">
        <f aca="true">ROUND(IF(ACOMPANHAMENTO&lt;&gt;"PLE",0,SUMIF(OFFSET(CÁLCULO!$AX$15:$BH$15,$A16,0,$B16),"&lt;="&amp;PLE.Medicao,OFFSET(CÁLCULO!$AB$15:$AL$15,$A16,0,$B16))+IF(AUTOEVENTO="Manual",SUMIF(OFFSET(CÁLCULO!$M$15,$A16,0,$B16),1,OFFSET(ORÇAMENTO!$X$15,$A16,0,$B16))*PLE!$AE$9,0)),2)</f>
        <v>#N/A</v>
      </c>
      <c r="AJ16" s="315" t="n">
        <f aca="true">IF(ACOMPANHAMENTO&lt;&gt;"BM",0,SUMPRODUCT(OFFSET(BM!$M$15,$A16,0,$B16)*(OFFSET(BM!$A$15,$A16,0,$B16)="S")*OFFSET(ORÇAMENTO!AA$15,$A16,0,$B16)/(OFFSET(ORÇAMENTO!$X$15,$A16,0,$B16)+10^-12)))</f>
        <v>0</v>
      </c>
      <c r="AK16" s="315" t="n">
        <f aca="true">IF(ACOMPANHAMENTO&lt;&gt;"BM",0,SUMPRODUCT(OFFSET(BM!$M$15,$A16,0,$B16)*(OFFSET(BM!$A$15,$A16,0,$B16)="S")*OFFSET(ORÇAMENTO!AB$15,$A16,0,$B16)/(OFFSET(ORÇAMENTO!$X$15,$A16,0,$B16)+10^-12)))</f>
        <v>0</v>
      </c>
      <c r="AL16" s="315" t="n">
        <f aca="true">IF(ACOMPANHAMENTO&lt;&gt;"BM",0,OFFSET(BM!$M$15,$A16,0))</f>
        <v>0</v>
      </c>
      <c r="AM16" s="315" t="n">
        <f aca="true">IF(ACOMPANHAMENTO&lt;&gt;"BM",0,SUMPRODUCT(OFFSET(BM!$O$15,$A16,0,$B16)*(OFFSET(BM!$A$15,$A16,0,$B16)="S")*OFFSET(ORÇAMENTO!AA$15,$A16,0,$B16)/(OFFSET(ORÇAMENTO!$X$15,$A16,0,$B16)+10^-12)))</f>
        <v>0</v>
      </c>
      <c r="AN16" s="315" t="n">
        <f aca="true">IF(ACOMPANHAMENTO&lt;&gt;"BM",0,SUMPRODUCT(OFFSET(BM!$O$15,$A16,0,$B16)*(OFFSET(BM!$A$15,$A16,0,$B16)="S")*OFFSET(ORÇAMENTO!AB$15,$A16,0,$B16)/(OFFSET(ORÇAMENTO!$X$15,$A16,0,$B16)+10^-12)))</f>
        <v>0</v>
      </c>
      <c r="AO16" s="315" t="n">
        <f aca="true">IF(ACOMPANHAMENTO&lt;&gt;"BM",0,OFFSET(BM!$O$15,$A16,0))</f>
        <v>0</v>
      </c>
    </row>
    <row r="17" customFormat="false" ht="12.75" hidden="false" customHeight="false" outlineLevel="0" collapsed="false">
      <c r="A17" s="0" t="e">
        <f aca="false">MATCH(E17,ORÇAMENTO!$E$15:$E$59,0)-1</f>
        <v>#N/A</v>
      </c>
      <c r="B17" s="0" t="e">
        <f aca="true">IF(ISERROR($A17),NA(),OFFSET(ORÇAMENTO!$D$15,$A17,0))</f>
        <v>#N/A</v>
      </c>
      <c r="C17" s="0" t="str">
        <f aca="false">QCI!B17</f>
        <v>Branco</v>
      </c>
      <c r="D17" s="0" t="str">
        <f aca="false">IF(L17&gt;0,"F","")</f>
        <v/>
      </c>
      <c r="E17" s="493" t="n">
        <f aca="false">QCI!D17</f>
        <v>4</v>
      </c>
      <c r="F17" s="615" t="str">
        <f aca="false">QCI!G17</f>
        <v/>
      </c>
      <c r="G17" s="616" t="n">
        <f aca="false">QCI!H17</f>
        <v>0</v>
      </c>
      <c r="H17" s="428" t="n">
        <f aca="false">QCI!I17</f>
        <v>0</v>
      </c>
      <c r="I17" s="496" t="str">
        <f aca="false">QCI!J17</f>
        <v/>
      </c>
      <c r="J17" s="617" t="str">
        <f aca="false">QCI!K17</f>
        <v/>
      </c>
      <c r="K17" s="618" t="str">
        <f aca="true">IF($C17="Automático",IF(ACOMPANHAMENTO="BM",BM.medicao,PLE.Medicao),IF(ISBLANK($X17),"",$X17))</f>
        <v/>
      </c>
      <c r="L17" s="501" t="n">
        <f aca="false">QCI!$O17</f>
        <v>0</v>
      </c>
      <c r="M17" s="498" t="n">
        <f aca="false">ROUND(IF(C17="Automático",AE17+AL17,Y17),2)</f>
        <v>0</v>
      </c>
      <c r="N17" s="499" t="n">
        <f aca="false">O17-M17</f>
        <v>0</v>
      </c>
      <c r="O17" s="500" t="n">
        <f aca="false">ROUND(IF(C17="Automático",AH17+AO17,Z17),2)</f>
        <v>0</v>
      </c>
      <c r="P17" s="619" t="n">
        <f aca="false">O17/(L17+10^-12)</f>
        <v>0</v>
      </c>
      <c r="R17" s="620" t="n">
        <f aca="false">ROUND(IF($C17="Automático",AC17+AJ17,$Y17*IF(ISERROR(QCI!$AA17/QCI!$O17),0,QCI!$AA17/QCI!$O17)),2)</f>
        <v>0</v>
      </c>
      <c r="S17" s="620" t="n">
        <f aca="false">ROUND(IF($C17="Automático",AD17+AK17,$Y17*IF(ISERROR(QCI!$AB17/QCI!$O17),0,QCI!$AB17/QCI!$O17)),2)</f>
        <v>0</v>
      </c>
      <c r="T17" s="620" t="n">
        <f aca="false">ROUND(IF($C17="Automático",AF17+AM17,$Z17*IF(ISERROR(QCI!$AA17/QCI!$O17),0,QCI!$AA17/QCI!$O17)),2)</f>
        <v>0</v>
      </c>
      <c r="U17" s="620" t="n">
        <f aca="false">ROUND(IF($C17="Automático",AG17+AN17,$Z17*IF(ISERROR(QCI!$AB17/QCI!$O17),0,QCI!$AB17/QCI!$O17)),2)</f>
        <v>0</v>
      </c>
      <c r="V17" s="86" t="n">
        <f aca="true">IF(AND($L17&gt;0,$J17&lt;&gt;0,$J17&lt;&gt;"",COUNTIF($J$13:$J17,$J17)=1),OFFSET(V17,-1,0)+1,OFFSET(V17,-1,0))</f>
        <v>0</v>
      </c>
      <c r="X17" s="621"/>
      <c r="Y17" s="505"/>
      <c r="Z17" s="508"/>
      <c r="AC17" s="315" t="e">
        <f aca="true">IF(ACOMPANHAMENTO&lt;&gt;"PLE",0,SUMPRODUCT((OFFSET(CÁLCULO!$AX$15:$BH$15,$A17,0,$B17)&lt;=(PLE.Medicao-1))*OFFSET(CÁLCULO!$AB$15:$AL$15,$A17,0,$B17)*OFFSET(ORÇAMENTO!$AA$15,$A17,0,$B17)/(OFFSET(ORÇAMENTO!$X$15,$A17,0,$B17)+10^-12))+IF(AUTOEVENTO="Manual",SUMPRODUCT((OFFSET(CÁLCULO!$M$15,$A17,0,$B17)=1)*OFFSET(ORÇAMENTO!$AA$15,$A17,0,$B17)*(PLE!$AE$9-PLE!$Y$9)),0))</f>
        <v>#N/A</v>
      </c>
      <c r="AD17" s="315" t="e">
        <f aca="true">IF(ACOMPANHAMENTO&lt;&gt;"PLE",0,SUMPRODUCT((OFFSET(CÁLCULO!$AX$15:$BH$15,$A17,0,$B17)&lt;=(PLE.Medicao-1))*OFFSET(CÁLCULO!$AB$15:$AL$15,$A17,0,$B17)*OFFSET(ORÇAMENTO!$AB$15,$A17,0,$B17)/(OFFSET(ORÇAMENTO!$X$15,$A17,0,$B17)+10^-12))+IF(AUTOEVENTO="Manual",SUMPRODUCT((OFFSET(CÁLCULO!$M$15,$A17,0,$B17)=1)*OFFSET(ORÇAMENTO!$AB$15,$A17,0,$B17)*(PLE!$AE$9-PLE!$Y$9)),0))</f>
        <v>#N/A</v>
      </c>
      <c r="AE17" s="315" t="e">
        <f aca="true">ROUND(IF(ACOMPANHAMENTO&lt;&gt;"PLE",0,SUMIF(OFFSET(CÁLCULO!$AX$15:$BH$15,$A17,0,$B17),"&lt;="&amp;(PLE.Medicao-1),OFFSET(CÁLCULO!$AB$15:$AL$15,$A17,0,$B17))+IF(AUTOEVENTO="Manual",SUMIF(OFFSET(CÁLCULO!$M$15,$A17,0,$B17),1,OFFSET(ORÇAMENTO!$X$15,$A17,0,$B17))*(PLE!$AE$9-PLE!$Y$9),0)),2)</f>
        <v>#N/A</v>
      </c>
      <c r="AF17" s="315" t="e">
        <f aca="true">IF(ACOMPANHAMENTO&lt;&gt;"PLE",0,SUMPRODUCT((OFFSET(CÁLCULO!$AX$15:$BH$15,$A17,0,$B17)&lt;=PLE.Medicao)*OFFSET(CÁLCULO!$AB$15:$AL$15,$A17,0,$B17)*OFFSET(ORÇAMENTO!$AA$15,$A17,0,$B17)/(OFFSET(ORÇAMENTO!$X$15,$A17,0,$B17)+10^-12))+IF(AUTOEVENTO="Manual",SUMPRODUCT((OFFSET(CÁLCULO!$M$15,$A17,0,$B17)=1)*OFFSET(ORÇAMENTO!$AA$15,$A17,0,$B17)*PLE!$AE$9),0))</f>
        <v>#N/A</v>
      </c>
      <c r="AG17" s="315" t="e">
        <f aca="true">IF(ACOMPANHAMENTO&lt;&gt;"PLE",0,SUMPRODUCT((OFFSET(CÁLCULO!$AX$15:$BH$15,$A17,0,$B17)&lt;=PLE.Medicao)*OFFSET(CÁLCULO!$AB$15:$AL$15,$A17,0,$B17)*OFFSET(ORÇAMENTO!$AB$15,$A17,0,$B17)/(OFFSET(ORÇAMENTO!$X$15,$A17,0,$B17)+10^-12))+IF(AUTOEVENTO="Manual",SUMPRODUCT((OFFSET(CÁLCULO!$M$15,$A17,0,$B17)=1)*OFFSET(ORÇAMENTO!$AB$15,$A17,0,$B17)*PLE!$AE$9),0))</f>
        <v>#N/A</v>
      </c>
      <c r="AH17" s="315" t="e">
        <f aca="true">ROUND(IF(ACOMPANHAMENTO&lt;&gt;"PLE",0,SUMIF(OFFSET(CÁLCULO!$AX$15:$BH$15,$A17,0,$B17),"&lt;="&amp;PLE.Medicao,OFFSET(CÁLCULO!$AB$15:$AL$15,$A17,0,$B17))+IF(AUTOEVENTO="Manual",SUMIF(OFFSET(CÁLCULO!$M$15,$A17,0,$B17),1,OFFSET(ORÇAMENTO!$X$15,$A17,0,$B17))*PLE!$AE$9,0)),2)</f>
        <v>#N/A</v>
      </c>
      <c r="AJ17" s="315" t="n">
        <f aca="true">IF(ACOMPANHAMENTO&lt;&gt;"BM",0,SUMPRODUCT(OFFSET(BM!$M$15,$A17,0,$B17)*(OFFSET(BM!$A$15,$A17,0,$B17)="S")*OFFSET(ORÇAMENTO!AA$15,$A17,0,$B17)/(OFFSET(ORÇAMENTO!$X$15,$A17,0,$B17)+10^-12)))</f>
        <v>0</v>
      </c>
      <c r="AK17" s="315" t="n">
        <f aca="true">IF(ACOMPANHAMENTO&lt;&gt;"BM",0,SUMPRODUCT(OFFSET(BM!$M$15,$A17,0,$B17)*(OFFSET(BM!$A$15,$A17,0,$B17)="S")*OFFSET(ORÇAMENTO!AB$15,$A17,0,$B17)/(OFFSET(ORÇAMENTO!$X$15,$A17,0,$B17)+10^-12)))</f>
        <v>0</v>
      </c>
      <c r="AL17" s="315" t="n">
        <f aca="true">IF(ACOMPANHAMENTO&lt;&gt;"BM",0,OFFSET(BM!$M$15,$A17,0))</f>
        <v>0</v>
      </c>
      <c r="AM17" s="315" t="n">
        <f aca="true">IF(ACOMPANHAMENTO&lt;&gt;"BM",0,SUMPRODUCT(OFFSET(BM!$O$15,$A17,0,$B17)*(OFFSET(BM!$A$15,$A17,0,$B17)="S")*OFFSET(ORÇAMENTO!AA$15,$A17,0,$B17)/(OFFSET(ORÇAMENTO!$X$15,$A17,0,$B17)+10^-12)))</f>
        <v>0</v>
      </c>
      <c r="AN17" s="315" t="n">
        <f aca="true">IF(ACOMPANHAMENTO&lt;&gt;"BM",0,SUMPRODUCT(OFFSET(BM!$O$15,$A17,0,$B17)*(OFFSET(BM!$A$15,$A17,0,$B17)="S")*OFFSET(ORÇAMENTO!AB$15,$A17,0,$B17)/(OFFSET(ORÇAMENTO!$X$15,$A17,0,$B17)+10^-12)))</f>
        <v>0</v>
      </c>
      <c r="AO17" s="315" t="n">
        <f aca="true">IF(ACOMPANHAMENTO&lt;&gt;"BM",0,OFFSET(BM!$O$15,$A17,0))</f>
        <v>0</v>
      </c>
    </row>
    <row r="18" customFormat="false" ht="12.75" hidden="false" customHeight="false" outlineLevel="0" collapsed="false">
      <c r="A18" s="0" t="e">
        <f aca="false">MATCH(E18,ORÇAMENTO!$E$15:$E$59,0)-1</f>
        <v>#N/A</v>
      </c>
      <c r="B18" s="0" t="e">
        <f aca="true">IF(ISERROR($A18),NA(),OFFSET(ORÇAMENTO!$D$15,$A18,0))</f>
        <v>#N/A</v>
      </c>
      <c r="C18" s="0" t="str">
        <f aca="false">QCI!B18</f>
        <v>Branco</v>
      </c>
      <c r="D18" s="0" t="str">
        <f aca="false">IF(L18&gt;0,"F","")</f>
        <v/>
      </c>
      <c r="E18" s="493" t="n">
        <f aca="false">QCI!D18</f>
        <v>5</v>
      </c>
      <c r="F18" s="615" t="str">
        <f aca="false">QCI!G18</f>
        <v/>
      </c>
      <c r="G18" s="616" t="n">
        <f aca="false">QCI!H18</f>
        <v>0</v>
      </c>
      <c r="H18" s="428" t="n">
        <f aca="false">QCI!I18</f>
        <v>0</v>
      </c>
      <c r="I18" s="496" t="str">
        <f aca="false">QCI!J18</f>
        <v/>
      </c>
      <c r="J18" s="617" t="str">
        <f aca="false">QCI!K18</f>
        <v/>
      </c>
      <c r="K18" s="618" t="str">
        <f aca="true">IF($C18="Automático",IF(ACOMPANHAMENTO="BM",BM.medicao,PLE.Medicao),IF(ISBLANK($X18),"",$X18))</f>
        <v/>
      </c>
      <c r="L18" s="501" t="n">
        <f aca="false">QCI!$O18</f>
        <v>0</v>
      </c>
      <c r="M18" s="498" t="n">
        <f aca="false">ROUND(IF(C18="Automático",AE18+AL18,Y18),2)</f>
        <v>0</v>
      </c>
      <c r="N18" s="499" t="n">
        <f aca="false">O18-M18</f>
        <v>0</v>
      </c>
      <c r="O18" s="500" t="n">
        <f aca="false">ROUND(IF(C18="Automático",AH18+AO18,Z18),2)</f>
        <v>0</v>
      </c>
      <c r="P18" s="619" t="n">
        <f aca="false">O18/(L18+10^-12)</f>
        <v>0</v>
      </c>
      <c r="R18" s="620" t="n">
        <f aca="false">ROUND(IF($C18="Automático",AC18+AJ18,$Y18*IF(ISERROR(QCI!$AA18/QCI!$O18),0,QCI!$AA18/QCI!$O18)),2)</f>
        <v>0</v>
      </c>
      <c r="S18" s="620" t="n">
        <f aca="false">ROUND(IF($C18="Automático",AD18+AK18,$Y18*IF(ISERROR(QCI!$AB18/QCI!$O18),0,QCI!$AB18/QCI!$O18)),2)</f>
        <v>0</v>
      </c>
      <c r="T18" s="620" t="n">
        <f aca="false">ROUND(IF($C18="Automático",AF18+AM18,$Z18*IF(ISERROR(QCI!$AA18/QCI!$O18),0,QCI!$AA18/QCI!$O18)),2)</f>
        <v>0</v>
      </c>
      <c r="U18" s="620" t="n">
        <f aca="false">ROUND(IF($C18="Automático",AG18+AN18,$Z18*IF(ISERROR(QCI!$AB18/QCI!$O18),0,QCI!$AB18/QCI!$O18)),2)</f>
        <v>0</v>
      </c>
      <c r="V18" s="86" t="n">
        <f aca="true">IF(AND($L18&gt;0,$J18&lt;&gt;0,$J18&lt;&gt;"",COUNTIF($J$13:$J18,$J18)=1),OFFSET(V18,-1,0)+1,OFFSET(V18,-1,0))</f>
        <v>0</v>
      </c>
      <c r="X18" s="621"/>
      <c r="Y18" s="505"/>
      <c r="Z18" s="508"/>
      <c r="AC18" s="315" t="e">
        <f aca="true">IF(ACOMPANHAMENTO&lt;&gt;"PLE",0,SUMPRODUCT((OFFSET(CÁLCULO!$AX$15:$BH$15,$A18,0,$B18)&lt;=(PLE.Medicao-1))*OFFSET(CÁLCULO!$AB$15:$AL$15,$A18,0,$B18)*OFFSET(ORÇAMENTO!$AA$15,$A18,0,$B18)/(OFFSET(ORÇAMENTO!$X$15,$A18,0,$B18)+10^-12))+IF(AUTOEVENTO="Manual",SUMPRODUCT((OFFSET(CÁLCULO!$M$15,$A18,0,$B18)=1)*OFFSET(ORÇAMENTO!$AA$15,$A18,0,$B18)*(PLE!$AE$9-PLE!$Y$9)),0))</f>
        <v>#N/A</v>
      </c>
      <c r="AD18" s="315" t="e">
        <f aca="true">IF(ACOMPANHAMENTO&lt;&gt;"PLE",0,SUMPRODUCT((OFFSET(CÁLCULO!$AX$15:$BH$15,$A18,0,$B18)&lt;=(PLE.Medicao-1))*OFFSET(CÁLCULO!$AB$15:$AL$15,$A18,0,$B18)*OFFSET(ORÇAMENTO!$AB$15,$A18,0,$B18)/(OFFSET(ORÇAMENTO!$X$15,$A18,0,$B18)+10^-12))+IF(AUTOEVENTO="Manual",SUMPRODUCT((OFFSET(CÁLCULO!$M$15,$A18,0,$B18)=1)*OFFSET(ORÇAMENTO!$AB$15,$A18,0,$B18)*(PLE!$AE$9-PLE!$Y$9)),0))</f>
        <v>#N/A</v>
      </c>
      <c r="AE18" s="315" t="e">
        <f aca="true">ROUND(IF(ACOMPANHAMENTO&lt;&gt;"PLE",0,SUMIF(OFFSET(CÁLCULO!$AX$15:$BH$15,$A18,0,$B18),"&lt;="&amp;(PLE.Medicao-1),OFFSET(CÁLCULO!$AB$15:$AL$15,$A18,0,$B18))+IF(AUTOEVENTO="Manual",SUMIF(OFFSET(CÁLCULO!$M$15,$A18,0,$B18),1,OFFSET(ORÇAMENTO!$X$15,$A18,0,$B18))*(PLE!$AE$9-PLE!$Y$9),0)),2)</f>
        <v>#N/A</v>
      </c>
      <c r="AF18" s="315" t="e">
        <f aca="true">IF(ACOMPANHAMENTO&lt;&gt;"PLE",0,SUMPRODUCT((OFFSET(CÁLCULO!$AX$15:$BH$15,$A18,0,$B18)&lt;=PLE.Medicao)*OFFSET(CÁLCULO!$AB$15:$AL$15,$A18,0,$B18)*OFFSET(ORÇAMENTO!$AA$15,$A18,0,$B18)/(OFFSET(ORÇAMENTO!$X$15,$A18,0,$B18)+10^-12))+IF(AUTOEVENTO="Manual",SUMPRODUCT((OFFSET(CÁLCULO!$M$15,$A18,0,$B18)=1)*OFFSET(ORÇAMENTO!$AA$15,$A18,0,$B18)*PLE!$AE$9),0))</f>
        <v>#N/A</v>
      </c>
      <c r="AG18" s="315" t="e">
        <f aca="true">IF(ACOMPANHAMENTO&lt;&gt;"PLE",0,SUMPRODUCT((OFFSET(CÁLCULO!$AX$15:$BH$15,$A18,0,$B18)&lt;=PLE.Medicao)*OFFSET(CÁLCULO!$AB$15:$AL$15,$A18,0,$B18)*OFFSET(ORÇAMENTO!$AB$15,$A18,0,$B18)/(OFFSET(ORÇAMENTO!$X$15,$A18,0,$B18)+10^-12))+IF(AUTOEVENTO="Manual",SUMPRODUCT((OFFSET(CÁLCULO!$M$15,$A18,0,$B18)=1)*OFFSET(ORÇAMENTO!$AB$15,$A18,0,$B18)*PLE!$AE$9),0))</f>
        <v>#N/A</v>
      </c>
      <c r="AH18" s="315" t="e">
        <f aca="true">ROUND(IF(ACOMPANHAMENTO&lt;&gt;"PLE",0,SUMIF(OFFSET(CÁLCULO!$AX$15:$BH$15,$A18,0,$B18),"&lt;="&amp;PLE.Medicao,OFFSET(CÁLCULO!$AB$15:$AL$15,$A18,0,$B18))+IF(AUTOEVENTO="Manual",SUMIF(OFFSET(CÁLCULO!$M$15,$A18,0,$B18),1,OFFSET(ORÇAMENTO!$X$15,$A18,0,$B18))*PLE!$AE$9,0)),2)</f>
        <v>#N/A</v>
      </c>
      <c r="AJ18" s="315" t="n">
        <f aca="true">IF(ACOMPANHAMENTO&lt;&gt;"BM",0,SUMPRODUCT(OFFSET(BM!$M$15,$A18,0,$B18)*(OFFSET(BM!$A$15,$A18,0,$B18)="S")*OFFSET(ORÇAMENTO!AA$15,$A18,0,$B18)/(OFFSET(ORÇAMENTO!$X$15,$A18,0,$B18)+10^-12)))</f>
        <v>0</v>
      </c>
      <c r="AK18" s="315" t="n">
        <f aca="true">IF(ACOMPANHAMENTO&lt;&gt;"BM",0,SUMPRODUCT(OFFSET(BM!$M$15,$A18,0,$B18)*(OFFSET(BM!$A$15,$A18,0,$B18)="S")*OFFSET(ORÇAMENTO!AB$15,$A18,0,$B18)/(OFFSET(ORÇAMENTO!$X$15,$A18,0,$B18)+10^-12)))</f>
        <v>0</v>
      </c>
      <c r="AL18" s="315" t="n">
        <f aca="true">IF(ACOMPANHAMENTO&lt;&gt;"BM",0,OFFSET(BM!$M$15,$A18,0))</f>
        <v>0</v>
      </c>
      <c r="AM18" s="315" t="n">
        <f aca="true">IF(ACOMPANHAMENTO&lt;&gt;"BM",0,SUMPRODUCT(OFFSET(BM!$O$15,$A18,0,$B18)*(OFFSET(BM!$A$15,$A18,0,$B18)="S")*OFFSET(ORÇAMENTO!AA$15,$A18,0,$B18)/(OFFSET(ORÇAMENTO!$X$15,$A18,0,$B18)+10^-12)))</f>
        <v>0</v>
      </c>
      <c r="AN18" s="315" t="n">
        <f aca="true">IF(ACOMPANHAMENTO&lt;&gt;"BM",0,SUMPRODUCT(OFFSET(BM!$O$15,$A18,0,$B18)*(OFFSET(BM!$A$15,$A18,0,$B18)="S")*OFFSET(ORÇAMENTO!AB$15,$A18,0,$B18)/(OFFSET(ORÇAMENTO!$X$15,$A18,0,$B18)+10^-12)))</f>
        <v>0</v>
      </c>
      <c r="AO18" s="315" t="n">
        <f aca="true">IF(ACOMPANHAMENTO&lt;&gt;"BM",0,OFFSET(BM!$O$15,$A18,0))</f>
        <v>0</v>
      </c>
    </row>
    <row r="19" customFormat="false" ht="12.75" hidden="false" customHeight="false" outlineLevel="0" collapsed="false">
      <c r="A19" s="0" t="e">
        <f aca="false">MATCH(E19,ORÇAMENTO!$E$15:$E$59,0)-1</f>
        <v>#N/A</v>
      </c>
      <c r="B19" s="0" t="e">
        <f aca="true">IF(ISERROR($A19),NA(),OFFSET(ORÇAMENTO!$D$15,$A19,0))</f>
        <v>#N/A</v>
      </c>
      <c r="C19" s="0" t="str">
        <f aca="false">QCI!B19</f>
        <v>Branco</v>
      </c>
      <c r="D19" s="0" t="str">
        <f aca="false">IF(L19&gt;0,"F","")</f>
        <v/>
      </c>
      <c r="E19" s="493" t="n">
        <f aca="false">QCI!D19</f>
        <v>6</v>
      </c>
      <c r="F19" s="615" t="str">
        <f aca="false">QCI!G19</f>
        <v/>
      </c>
      <c r="G19" s="616" t="n">
        <f aca="false">QCI!H19</f>
        <v>0</v>
      </c>
      <c r="H19" s="428" t="n">
        <f aca="false">QCI!I19</f>
        <v>0</v>
      </c>
      <c r="I19" s="496" t="str">
        <f aca="false">QCI!J19</f>
        <v/>
      </c>
      <c r="J19" s="617" t="str">
        <f aca="false">QCI!K19</f>
        <v/>
      </c>
      <c r="K19" s="618" t="str">
        <f aca="true">IF($C19="Automático",IF(ACOMPANHAMENTO="BM",BM.medicao,PLE.Medicao),IF(ISBLANK($X19),"",$X19))</f>
        <v/>
      </c>
      <c r="L19" s="501" t="n">
        <f aca="false">QCI!$O19</f>
        <v>0</v>
      </c>
      <c r="M19" s="498" t="n">
        <f aca="false">ROUND(IF(C19="Automático",AE19+AL19,Y19),2)</f>
        <v>0</v>
      </c>
      <c r="N19" s="499" t="n">
        <f aca="false">O19-M19</f>
        <v>0</v>
      </c>
      <c r="O19" s="500" t="n">
        <f aca="false">ROUND(IF(C19="Automático",AH19+AO19,Z19),2)</f>
        <v>0</v>
      </c>
      <c r="P19" s="619" t="n">
        <f aca="false">O19/(L19+10^-12)</f>
        <v>0</v>
      </c>
      <c r="R19" s="620" t="n">
        <f aca="false">ROUND(IF($C19="Automático",AC19+AJ19,$Y19*IF(ISERROR(QCI!$AA19/QCI!$O19),0,QCI!$AA19/QCI!$O19)),2)</f>
        <v>0</v>
      </c>
      <c r="S19" s="620" t="n">
        <f aca="false">ROUND(IF($C19="Automático",AD19+AK19,$Y19*IF(ISERROR(QCI!$AB19/QCI!$O19),0,QCI!$AB19/QCI!$O19)),2)</f>
        <v>0</v>
      </c>
      <c r="T19" s="620" t="n">
        <f aca="false">ROUND(IF($C19="Automático",AF19+AM19,$Z19*IF(ISERROR(QCI!$AA19/QCI!$O19),0,QCI!$AA19/QCI!$O19)),2)</f>
        <v>0</v>
      </c>
      <c r="U19" s="620" t="n">
        <f aca="false">ROUND(IF($C19="Automático",AG19+AN19,$Z19*IF(ISERROR(QCI!$AB19/QCI!$O19),0,QCI!$AB19/QCI!$O19)),2)</f>
        <v>0</v>
      </c>
      <c r="V19" s="86" t="n">
        <f aca="true">IF(AND($L19&gt;0,$J19&lt;&gt;0,$J19&lt;&gt;"",COUNTIF($J$13:$J19,$J19)=1),OFFSET(V19,-1,0)+1,OFFSET(V19,-1,0))</f>
        <v>0</v>
      </c>
      <c r="X19" s="621"/>
      <c r="Y19" s="505"/>
      <c r="Z19" s="508"/>
      <c r="AC19" s="315" t="e">
        <f aca="true">IF(ACOMPANHAMENTO&lt;&gt;"PLE",0,SUMPRODUCT((OFFSET(CÁLCULO!$AX$15:$BH$15,$A19,0,$B19)&lt;=(PLE.Medicao-1))*OFFSET(CÁLCULO!$AB$15:$AL$15,$A19,0,$B19)*OFFSET(ORÇAMENTO!$AA$15,$A19,0,$B19)/(OFFSET(ORÇAMENTO!$X$15,$A19,0,$B19)+10^-12))+IF(AUTOEVENTO="Manual",SUMPRODUCT((OFFSET(CÁLCULO!$M$15,$A19,0,$B19)=1)*OFFSET(ORÇAMENTO!$AA$15,$A19,0,$B19)*(PLE!$AE$9-PLE!$Y$9)),0))</f>
        <v>#N/A</v>
      </c>
      <c r="AD19" s="315" t="e">
        <f aca="true">IF(ACOMPANHAMENTO&lt;&gt;"PLE",0,SUMPRODUCT((OFFSET(CÁLCULO!$AX$15:$BH$15,$A19,0,$B19)&lt;=(PLE.Medicao-1))*OFFSET(CÁLCULO!$AB$15:$AL$15,$A19,0,$B19)*OFFSET(ORÇAMENTO!$AB$15,$A19,0,$B19)/(OFFSET(ORÇAMENTO!$X$15,$A19,0,$B19)+10^-12))+IF(AUTOEVENTO="Manual",SUMPRODUCT((OFFSET(CÁLCULO!$M$15,$A19,0,$B19)=1)*OFFSET(ORÇAMENTO!$AB$15,$A19,0,$B19)*(PLE!$AE$9-PLE!$Y$9)),0))</f>
        <v>#N/A</v>
      </c>
      <c r="AE19" s="315" t="e">
        <f aca="true">ROUND(IF(ACOMPANHAMENTO&lt;&gt;"PLE",0,SUMIF(OFFSET(CÁLCULO!$AX$15:$BH$15,$A19,0,$B19),"&lt;="&amp;(PLE.Medicao-1),OFFSET(CÁLCULO!$AB$15:$AL$15,$A19,0,$B19))+IF(AUTOEVENTO="Manual",SUMIF(OFFSET(CÁLCULO!$M$15,$A19,0,$B19),1,OFFSET(ORÇAMENTO!$X$15,$A19,0,$B19))*(PLE!$AE$9-PLE!$Y$9),0)),2)</f>
        <v>#N/A</v>
      </c>
      <c r="AF19" s="315" t="e">
        <f aca="true">IF(ACOMPANHAMENTO&lt;&gt;"PLE",0,SUMPRODUCT((OFFSET(CÁLCULO!$AX$15:$BH$15,$A19,0,$B19)&lt;=PLE.Medicao)*OFFSET(CÁLCULO!$AB$15:$AL$15,$A19,0,$B19)*OFFSET(ORÇAMENTO!$AA$15,$A19,0,$B19)/(OFFSET(ORÇAMENTO!$X$15,$A19,0,$B19)+10^-12))+IF(AUTOEVENTO="Manual",SUMPRODUCT((OFFSET(CÁLCULO!$M$15,$A19,0,$B19)=1)*OFFSET(ORÇAMENTO!$AA$15,$A19,0,$B19)*PLE!$AE$9),0))</f>
        <v>#N/A</v>
      </c>
      <c r="AG19" s="315" t="e">
        <f aca="true">IF(ACOMPANHAMENTO&lt;&gt;"PLE",0,SUMPRODUCT((OFFSET(CÁLCULO!$AX$15:$BH$15,$A19,0,$B19)&lt;=PLE.Medicao)*OFFSET(CÁLCULO!$AB$15:$AL$15,$A19,0,$B19)*OFFSET(ORÇAMENTO!$AB$15,$A19,0,$B19)/(OFFSET(ORÇAMENTO!$X$15,$A19,0,$B19)+10^-12))+IF(AUTOEVENTO="Manual",SUMPRODUCT((OFFSET(CÁLCULO!$M$15,$A19,0,$B19)=1)*OFFSET(ORÇAMENTO!$AB$15,$A19,0,$B19)*PLE!$AE$9),0))</f>
        <v>#N/A</v>
      </c>
      <c r="AH19" s="315" t="e">
        <f aca="true">ROUND(IF(ACOMPANHAMENTO&lt;&gt;"PLE",0,SUMIF(OFFSET(CÁLCULO!$AX$15:$BH$15,$A19,0,$B19),"&lt;="&amp;PLE.Medicao,OFFSET(CÁLCULO!$AB$15:$AL$15,$A19,0,$B19))+IF(AUTOEVENTO="Manual",SUMIF(OFFSET(CÁLCULO!$M$15,$A19,0,$B19),1,OFFSET(ORÇAMENTO!$X$15,$A19,0,$B19))*PLE!$AE$9,0)),2)</f>
        <v>#N/A</v>
      </c>
      <c r="AJ19" s="315" t="n">
        <f aca="true">IF(ACOMPANHAMENTO&lt;&gt;"BM",0,SUMPRODUCT(OFFSET(BM!$M$15,$A19,0,$B19)*(OFFSET(BM!$A$15,$A19,0,$B19)="S")*OFFSET(ORÇAMENTO!AA$15,$A19,0,$B19)/(OFFSET(ORÇAMENTO!$X$15,$A19,0,$B19)+10^-12)))</f>
        <v>0</v>
      </c>
      <c r="AK19" s="315" t="n">
        <f aca="true">IF(ACOMPANHAMENTO&lt;&gt;"BM",0,SUMPRODUCT(OFFSET(BM!$M$15,$A19,0,$B19)*(OFFSET(BM!$A$15,$A19,0,$B19)="S")*OFFSET(ORÇAMENTO!AB$15,$A19,0,$B19)/(OFFSET(ORÇAMENTO!$X$15,$A19,0,$B19)+10^-12)))</f>
        <v>0</v>
      </c>
      <c r="AL19" s="315" t="n">
        <f aca="true">IF(ACOMPANHAMENTO&lt;&gt;"BM",0,OFFSET(BM!$M$15,$A19,0))</f>
        <v>0</v>
      </c>
      <c r="AM19" s="315" t="n">
        <f aca="true">IF(ACOMPANHAMENTO&lt;&gt;"BM",0,SUMPRODUCT(OFFSET(BM!$O$15,$A19,0,$B19)*(OFFSET(BM!$A$15,$A19,0,$B19)="S")*OFFSET(ORÇAMENTO!AA$15,$A19,0,$B19)/(OFFSET(ORÇAMENTO!$X$15,$A19,0,$B19)+10^-12)))</f>
        <v>0</v>
      </c>
      <c r="AN19" s="315" t="n">
        <f aca="true">IF(ACOMPANHAMENTO&lt;&gt;"BM",0,SUMPRODUCT(OFFSET(BM!$O$15,$A19,0,$B19)*(OFFSET(BM!$A$15,$A19,0,$B19)="S")*OFFSET(ORÇAMENTO!AB$15,$A19,0,$B19)/(OFFSET(ORÇAMENTO!$X$15,$A19,0,$B19)+10^-12)))</f>
        <v>0</v>
      </c>
      <c r="AO19" s="315" t="n">
        <f aca="true">IF(ACOMPANHAMENTO&lt;&gt;"BM",0,OFFSET(BM!$O$15,$A19,0))</f>
        <v>0</v>
      </c>
    </row>
    <row r="20" customFormat="false" ht="12.75" hidden="false" customHeight="false" outlineLevel="0" collapsed="false">
      <c r="A20" s="0" t="e">
        <f aca="false">MATCH(E20,ORÇAMENTO!$E$15:$E$59,0)-1</f>
        <v>#N/A</v>
      </c>
      <c r="B20" s="0" t="e">
        <f aca="true">IF(ISERROR($A20),NA(),OFFSET(ORÇAMENTO!$D$15,$A20,0))</f>
        <v>#N/A</v>
      </c>
      <c r="C20" s="0" t="str">
        <f aca="false">QCI!B20</f>
        <v>Branco</v>
      </c>
      <c r="D20" s="0" t="str">
        <f aca="false">IF(L20&gt;0,"F","")</f>
        <v/>
      </c>
      <c r="E20" s="493" t="n">
        <f aca="false">QCI!D20</f>
        <v>7</v>
      </c>
      <c r="F20" s="615" t="str">
        <f aca="false">QCI!G20</f>
        <v/>
      </c>
      <c r="G20" s="616" t="n">
        <f aca="false">QCI!H20</f>
        <v>0</v>
      </c>
      <c r="H20" s="428" t="n">
        <f aca="false">QCI!I20</f>
        <v>0</v>
      </c>
      <c r="I20" s="496" t="str">
        <f aca="false">QCI!J20</f>
        <v/>
      </c>
      <c r="J20" s="617" t="str">
        <f aca="false">QCI!K20</f>
        <v/>
      </c>
      <c r="K20" s="618" t="str">
        <f aca="true">IF($C20="Automático",IF(ACOMPANHAMENTO="BM",BM.medicao,PLE.Medicao),IF(ISBLANK($X20),"",$X20))</f>
        <v/>
      </c>
      <c r="L20" s="501" t="n">
        <f aca="false">QCI!$O20</f>
        <v>0</v>
      </c>
      <c r="M20" s="498" t="n">
        <f aca="false">ROUND(IF(C20="Automático",AE20+AL20,Y20),2)</f>
        <v>0</v>
      </c>
      <c r="N20" s="499" t="n">
        <f aca="false">O20-M20</f>
        <v>0</v>
      </c>
      <c r="O20" s="500" t="n">
        <f aca="false">ROUND(IF(C20="Automático",AH20+AO20,Z20),2)</f>
        <v>0</v>
      </c>
      <c r="P20" s="619" t="n">
        <f aca="false">O20/(L20+10^-12)</f>
        <v>0</v>
      </c>
      <c r="R20" s="620" t="n">
        <f aca="false">ROUND(IF($C20="Automático",AC20+AJ20,$Y20*IF(ISERROR(QCI!$AA20/QCI!$O20),0,QCI!$AA20/QCI!$O20)),2)</f>
        <v>0</v>
      </c>
      <c r="S20" s="620" t="n">
        <f aca="false">ROUND(IF($C20="Automático",AD20+AK20,$Y20*IF(ISERROR(QCI!$AB20/QCI!$O20),0,QCI!$AB20/QCI!$O20)),2)</f>
        <v>0</v>
      </c>
      <c r="T20" s="620" t="n">
        <f aca="false">ROUND(IF($C20="Automático",AF20+AM20,$Z20*IF(ISERROR(QCI!$AA20/QCI!$O20),0,QCI!$AA20/QCI!$O20)),2)</f>
        <v>0</v>
      </c>
      <c r="U20" s="620" t="n">
        <f aca="false">ROUND(IF($C20="Automático",AG20+AN20,$Z20*IF(ISERROR(QCI!$AB20/QCI!$O20),0,QCI!$AB20/QCI!$O20)),2)</f>
        <v>0</v>
      </c>
      <c r="V20" s="86" t="n">
        <f aca="true">IF(AND($L20&gt;0,$J20&lt;&gt;0,$J20&lt;&gt;"",COUNTIF($J$13:$J20,$J20)=1),OFFSET(V20,-1,0)+1,OFFSET(V20,-1,0))</f>
        <v>0</v>
      </c>
      <c r="X20" s="621"/>
      <c r="Y20" s="505"/>
      <c r="Z20" s="508"/>
      <c r="AC20" s="315" t="e">
        <f aca="true">IF(ACOMPANHAMENTO&lt;&gt;"PLE",0,SUMPRODUCT((OFFSET(CÁLCULO!$AX$15:$BH$15,$A20,0,$B20)&lt;=(PLE.Medicao-1))*OFFSET(CÁLCULO!$AB$15:$AL$15,$A20,0,$B20)*OFFSET(ORÇAMENTO!$AA$15,$A20,0,$B20)/(OFFSET(ORÇAMENTO!$X$15,$A20,0,$B20)+10^-12))+IF(AUTOEVENTO="Manual",SUMPRODUCT((OFFSET(CÁLCULO!$M$15,$A20,0,$B20)=1)*OFFSET(ORÇAMENTO!$AA$15,$A20,0,$B20)*(PLE!$AE$9-PLE!$Y$9)),0))</f>
        <v>#N/A</v>
      </c>
      <c r="AD20" s="315" t="e">
        <f aca="true">IF(ACOMPANHAMENTO&lt;&gt;"PLE",0,SUMPRODUCT((OFFSET(CÁLCULO!$AX$15:$BH$15,$A20,0,$B20)&lt;=(PLE.Medicao-1))*OFFSET(CÁLCULO!$AB$15:$AL$15,$A20,0,$B20)*OFFSET(ORÇAMENTO!$AB$15,$A20,0,$B20)/(OFFSET(ORÇAMENTO!$X$15,$A20,0,$B20)+10^-12))+IF(AUTOEVENTO="Manual",SUMPRODUCT((OFFSET(CÁLCULO!$M$15,$A20,0,$B20)=1)*OFFSET(ORÇAMENTO!$AB$15,$A20,0,$B20)*(PLE!$AE$9-PLE!$Y$9)),0))</f>
        <v>#N/A</v>
      </c>
      <c r="AE20" s="315" t="e">
        <f aca="true">ROUND(IF(ACOMPANHAMENTO&lt;&gt;"PLE",0,SUMIF(OFFSET(CÁLCULO!$AX$15:$BH$15,$A20,0,$B20),"&lt;="&amp;(PLE.Medicao-1),OFFSET(CÁLCULO!$AB$15:$AL$15,$A20,0,$B20))+IF(AUTOEVENTO="Manual",SUMIF(OFFSET(CÁLCULO!$M$15,$A20,0,$B20),1,OFFSET(ORÇAMENTO!$X$15,$A20,0,$B20))*(PLE!$AE$9-PLE!$Y$9),0)),2)</f>
        <v>#N/A</v>
      </c>
      <c r="AF20" s="315" t="e">
        <f aca="true">IF(ACOMPANHAMENTO&lt;&gt;"PLE",0,SUMPRODUCT((OFFSET(CÁLCULO!$AX$15:$BH$15,$A20,0,$B20)&lt;=PLE.Medicao)*OFFSET(CÁLCULO!$AB$15:$AL$15,$A20,0,$B20)*OFFSET(ORÇAMENTO!$AA$15,$A20,0,$B20)/(OFFSET(ORÇAMENTO!$X$15,$A20,0,$B20)+10^-12))+IF(AUTOEVENTO="Manual",SUMPRODUCT((OFFSET(CÁLCULO!$M$15,$A20,0,$B20)=1)*OFFSET(ORÇAMENTO!$AA$15,$A20,0,$B20)*PLE!$AE$9),0))</f>
        <v>#N/A</v>
      </c>
      <c r="AG20" s="315" t="e">
        <f aca="true">IF(ACOMPANHAMENTO&lt;&gt;"PLE",0,SUMPRODUCT((OFFSET(CÁLCULO!$AX$15:$BH$15,$A20,0,$B20)&lt;=PLE.Medicao)*OFFSET(CÁLCULO!$AB$15:$AL$15,$A20,0,$B20)*OFFSET(ORÇAMENTO!$AB$15,$A20,0,$B20)/(OFFSET(ORÇAMENTO!$X$15,$A20,0,$B20)+10^-12))+IF(AUTOEVENTO="Manual",SUMPRODUCT((OFFSET(CÁLCULO!$M$15,$A20,0,$B20)=1)*OFFSET(ORÇAMENTO!$AB$15,$A20,0,$B20)*PLE!$AE$9),0))</f>
        <v>#N/A</v>
      </c>
      <c r="AH20" s="315" t="e">
        <f aca="true">ROUND(IF(ACOMPANHAMENTO&lt;&gt;"PLE",0,SUMIF(OFFSET(CÁLCULO!$AX$15:$BH$15,$A20,0,$B20),"&lt;="&amp;PLE.Medicao,OFFSET(CÁLCULO!$AB$15:$AL$15,$A20,0,$B20))+IF(AUTOEVENTO="Manual",SUMIF(OFFSET(CÁLCULO!$M$15,$A20,0,$B20),1,OFFSET(ORÇAMENTO!$X$15,$A20,0,$B20))*PLE!$AE$9,0)),2)</f>
        <v>#N/A</v>
      </c>
      <c r="AJ20" s="315" t="n">
        <f aca="true">IF(ACOMPANHAMENTO&lt;&gt;"BM",0,SUMPRODUCT(OFFSET(BM!$M$15,$A20,0,$B20)*(OFFSET(BM!$A$15,$A20,0,$B20)="S")*OFFSET(ORÇAMENTO!AA$15,$A20,0,$B20)/(OFFSET(ORÇAMENTO!$X$15,$A20,0,$B20)+10^-12)))</f>
        <v>0</v>
      </c>
      <c r="AK20" s="315" t="n">
        <f aca="true">IF(ACOMPANHAMENTO&lt;&gt;"BM",0,SUMPRODUCT(OFFSET(BM!$M$15,$A20,0,$B20)*(OFFSET(BM!$A$15,$A20,0,$B20)="S")*OFFSET(ORÇAMENTO!AB$15,$A20,0,$B20)/(OFFSET(ORÇAMENTO!$X$15,$A20,0,$B20)+10^-12)))</f>
        <v>0</v>
      </c>
      <c r="AL20" s="315" t="n">
        <f aca="true">IF(ACOMPANHAMENTO&lt;&gt;"BM",0,OFFSET(BM!$M$15,$A20,0))</f>
        <v>0</v>
      </c>
      <c r="AM20" s="315" t="n">
        <f aca="true">IF(ACOMPANHAMENTO&lt;&gt;"BM",0,SUMPRODUCT(OFFSET(BM!$O$15,$A20,0,$B20)*(OFFSET(BM!$A$15,$A20,0,$B20)="S")*OFFSET(ORÇAMENTO!AA$15,$A20,0,$B20)/(OFFSET(ORÇAMENTO!$X$15,$A20,0,$B20)+10^-12)))</f>
        <v>0</v>
      </c>
      <c r="AN20" s="315" t="n">
        <f aca="true">IF(ACOMPANHAMENTO&lt;&gt;"BM",0,SUMPRODUCT(OFFSET(BM!$O$15,$A20,0,$B20)*(OFFSET(BM!$A$15,$A20,0,$B20)="S")*OFFSET(ORÇAMENTO!AB$15,$A20,0,$B20)/(OFFSET(ORÇAMENTO!$X$15,$A20,0,$B20)+10^-12)))</f>
        <v>0</v>
      </c>
      <c r="AO20" s="315" t="n">
        <f aca="true">IF(ACOMPANHAMENTO&lt;&gt;"BM",0,OFFSET(BM!$O$15,$A20,0))</f>
        <v>0</v>
      </c>
    </row>
    <row r="21" customFormat="false" ht="12.75" hidden="false" customHeight="false" outlineLevel="0" collapsed="false">
      <c r="A21" s="0" t="e">
        <f aca="false">MATCH(E21,ORÇAMENTO!$E$15:$E$59,0)-1</f>
        <v>#N/A</v>
      </c>
      <c r="B21" s="0" t="e">
        <f aca="true">IF(ISERROR($A21),NA(),OFFSET(ORÇAMENTO!$D$15,$A21,0))</f>
        <v>#N/A</v>
      </c>
      <c r="C21" s="0" t="str">
        <f aca="false">QCI!B21</f>
        <v>Branco</v>
      </c>
      <c r="D21" s="0" t="str">
        <f aca="false">IF(L21&gt;0,"F","")</f>
        <v/>
      </c>
      <c r="E21" s="493" t="n">
        <f aca="false">QCI!D21</f>
        <v>8</v>
      </c>
      <c r="F21" s="615" t="str">
        <f aca="false">QCI!G21</f>
        <v/>
      </c>
      <c r="G21" s="616" t="n">
        <f aca="false">QCI!H21</f>
        <v>0</v>
      </c>
      <c r="H21" s="428" t="n">
        <f aca="false">QCI!I21</f>
        <v>0</v>
      </c>
      <c r="I21" s="496" t="str">
        <f aca="false">QCI!J21</f>
        <v/>
      </c>
      <c r="J21" s="617" t="str">
        <f aca="false">QCI!K21</f>
        <v/>
      </c>
      <c r="K21" s="618" t="str">
        <f aca="true">IF($C21="Automático",IF(ACOMPANHAMENTO="BM",BM.medicao,PLE.Medicao),IF(ISBLANK($X21),"",$X21))</f>
        <v/>
      </c>
      <c r="L21" s="501" t="n">
        <f aca="false">QCI!$O21</f>
        <v>0</v>
      </c>
      <c r="M21" s="498" t="n">
        <f aca="false">ROUND(IF(C21="Automático",AE21+AL21,Y21),2)</f>
        <v>0</v>
      </c>
      <c r="N21" s="499" t="n">
        <f aca="false">O21-M21</f>
        <v>0</v>
      </c>
      <c r="O21" s="500" t="n">
        <f aca="false">ROUND(IF(C21="Automático",AH21+AO21,Z21),2)</f>
        <v>0</v>
      </c>
      <c r="P21" s="619" t="n">
        <f aca="false">O21/(L21+10^-12)</f>
        <v>0</v>
      </c>
      <c r="R21" s="620" t="n">
        <f aca="false">ROUND(IF($C21="Automático",AC21+AJ21,$Y21*IF(ISERROR(QCI!$AA21/QCI!$O21),0,QCI!$AA21/QCI!$O21)),2)</f>
        <v>0</v>
      </c>
      <c r="S21" s="620" t="n">
        <f aca="false">ROUND(IF($C21="Automático",AD21+AK21,$Y21*IF(ISERROR(QCI!$AB21/QCI!$O21),0,QCI!$AB21/QCI!$O21)),2)</f>
        <v>0</v>
      </c>
      <c r="T21" s="620" t="n">
        <f aca="false">ROUND(IF($C21="Automático",AF21+AM21,$Z21*IF(ISERROR(QCI!$AA21/QCI!$O21),0,QCI!$AA21/QCI!$O21)),2)</f>
        <v>0</v>
      </c>
      <c r="U21" s="620" t="n">
        <f aca="false">ROUND(IF($C21="Automático",AG21+AN21,$Z21*IF(ISERROR(QCI!$AB21/QCI!$O21),0,QCI!$AB21/QCI!$O21)),2)</f>
        <v>0</v>
      </c>
      <c r="V21" s="86" t="n">
        <f aca="true">IF(AND($L21&gt;0,$J21&lt;&gt;0,$J21&lt;&gt;"",COUNTIF($J$13:$J21,$J21)=1),OFFSET(V21,-1,0)+1,OFFSET(V21,-1,0))</f>
        <v>0</v>
      </c>
      <c r="X21" s="621"/>
      <c r="Y21" s="505"/>
      <c r="Z21" s="508"/>
      <c r="AC21" s="315" t="e">
        <f aca="true">IF(ACOMPANHAMENTO&lt;&gt;"PLE",0,SUMPRODUCT((OFFSET(CÁLCULO!$AX$15:$BH$15,$A21,0,$B21)&lt;=(PLE.Medicao-1))*OFFSET(CÁLCULO!$AB$15:$AL$15,$A21,0,$B21)*OFFSET(ORÇAMENTO!$AA$15,$A21,0,$B21)/(OFFSET(ORÇAMENTO!$X$15,$A21,0,$B21)+10^-12))+IF(AUTOEVENTO="Manual",SUMPRODUCT((OFFSET(CÁLCULO!$M$15,$A21,0,$B21)=1)*OFFSET(ORÇAMENTO!$AA$15,$A21,0,$B21)*(PLE!$AE$9-PLE!$Y$9)),0))</f>
        <v>#N/A</v>
      </c>
      <c r="AD21" s="315" t="e">
        <f aca="true">IF(ACOMPANHAMENTO&lt;&gt;"PLE",0,SUMPRODUCT((OFFSET(CÁLCULO!$AX$15:$BH$15,$A21,0,$B21)&lt;=(PLE.Medicao-1))*OFFSET(CÁLCULO!$AB$15:$AL$15,$A21,0,$B21)*OFFSET(ORÇAMENTO!$AB$15,$A21,0,$B21)/(OFFSET(ORÇAMENTO!$X$15,$A21,0,$B21)+10^-12))+IF(AUTOEVENTO="Manual",SUMPRODUCT((OFFSET(CÁLCULO!$M$15,$A21,0,$B21)=1)*OFFSET(ORÇAMENTO!$AB$15,$A21,0,$B21)*(PLE!$AE$9-PLE!$Y$9)),0))</f>
        <v>#N/A</v>
      </c>
      <c r="AE21" s="315" t="e">
        <f aca="true">ROUND(IF(ACOMPANHAMENTO&lt;&gt;"PLE",0,SUMIF(OFFSET(CÁLCULO!$AX$15:$BH$15,$A21,0,$B21),"&lt;="&amp;(PLE.Medicao-1),OFFSET(CÁLCULO!$AB$15:$AL$15,$A21,0,$B21))+IF(AUTOEVENTO="Manual",SUMIF(OFFSET(CÁLCULO!$M$15,$A21,0,$B21),1,OFFSET(ORÇAMENTO!$X$15,$A21,0,$B21))*(PLE!$AE$9-PLE!$Y$9),0)),2)</f>
        <v>#N/A</v>
      </c>
      <c r="AF21" s="315" t="e">
        <f aca="true">IF(ACOMPANHAMENTO&lt;&gt;"PLE",0,SUMPRODUCT((OFFSET(CÁLCULO!$AX$15:$BH$15,$A21,0,$B21)&lt;=PLE.Medicao)*OFFSET(CÁLCULO!$AB$15:$AL$15,$A21,0,$B21)*OFFSET(ORÇAMENTO!$AA$15,$A21,0,$B21)/(OFFSET(ORÇAMENTO!$X$15,$A21,0,$B21)+10^-12))+IF(AUTOEVENTO="Manual",SUMPRODUCT((OFFSET(CÁLCULO!$M$15,$A21,0,$B21)=1)*OFFSET(ORÇAMENTO!$AA$15,$A21,0,$B21)*PLE!$AE$9),0))</f>
        <v>#N/A</v>
      </c>
      <c r="AG21" s="315" t="e">
        <f aca="true">IF(ACOMPANHAMENTO&lt;&gt;"PLE",0,SUMPRODUCT((OFFSET(CÁLCULO!$AX$15:$BH$15,$A21,0,$B21)&lt;=PLE.Medicao)*OFFSET(CÁLCULO!$AB$15:$AL$15,$A21,0,$B21)*OFFSET(ORÇAMENTO!$AB$15,$A21,0,$B21)/(OFFSET(ORÇAMENTO!$X$15,$A21,0,$B21)+10^-12))+IF(AUTOEVENTO="Manual",SUMPRODUCT((OFFSET(CÁLCULO!$M$15,$A21,0,$B21)=1)*OFFSET(ORÇAMENTO!$AB$15,$A21,0,$B21)*PLE!$AE$9),0))</f>
        <v>#N/A</v>
      </c>
      <c r="AH21" s="315" t="e">
        <f aca="true">ROUND(IF(ACOMPANHAMENTO&lt;&gt;"PLE",0,SUMIF(OFFSET(CÁLCULO!$AX$15:$BH$15,$A21,0,$B21),"&lt;="&amp;PLE.Medicao,OFFSET(CÁLCULO!$AB$15:$AL$15,$A21,0,$B21))+IF(AUTOEVENTO="Manual",SUMIF(OFFSET(CÁLCULO!$M$15,$A21,0,$B21),1,OFFSET(ORÇAMENTO!$X$15,$A21,0,$B21))*PLE!$AE$9,0)),2)</f>
        <v>#N/A</v>
      </c>
      <c r="AJ21" s="315" t="n">
        <f aca="true">IF(ACOMPANHAMENTO&lt;&gt;"BM",0,SUMPRODUCT(OFFSET(BM!$M$15,$A21,0,$B21)*(OFFSET(BM!$A$15,$A21,0,$B21)="S")*OFFSET(ORÇAMENTO!AA$15,$A21,0,$B21)/(OFFSET(ORÇAMENTO!$X$15,$A21,0,$B21)+10^-12)))</f>
        <v>0</v>
      </c>
      <c r="AK21" s="315" t="n">
        <f aca="true">IF(ACOMPANHAMENTO&lt;&gt;"BM",0,SUMPRODUCT(OFFSET(BM!$M$15,$A21,0,$B21)*(OFFSET(BM!$A$15,$A21,0,$B21)="S")*OFFSET(ORÇAMENTO!AB$15,$A21,0,$B21)/(OFFSET(ORÇAMENTO!$X$15,$A21,0,$B21)+10^-12)))</f>
        <v>0</v>
      </c>
      <c r="AL21" s="315" t="n">
        <f aca="true">IF(ACOMPANHAMENTO&lt;&gt;"BM",0,OFFSET(BM!$M$15,$A21,0))</f>
        <v>0</v>
      </c>
      <c r="AM21" s="315" t="n">
        <f aca="true">IF(ACOMPANHAMENTO&lt;&gt;"BM",0,SUMPRODUCT(OFFSET(BM!$O$15,$A21,0,$B21)*(OFFSET(BM!$A$15,$A21,0,$B21)="S")*OFFSET(ORÇAMENTO!AA$15,$A21,0,$B21)/(OFFSET(ORÇAMENTO!$X$15,$A21,0,$B21)+10^-12)))</f>
        <v>0</v>
      </c>
      <c r="AN21" s="315" t="n">
        <f aca="true">IF(ACOMPANHAMENTO&lt;&gt;"BM",0,SUMPRODUCT(OFFSET(BM!$O$15,$A21,0,$B21)*(OFFSET(BM!$A$15,$A21,0,$B21)="S")*OFFSET(ORÇAMENTO!AB$15,$A21,0,$B21)/(OFFSET(ORÇAMENTO!$X$15,$A21,0,$B21)+10^-12)))</f>
        <v>0</v>
      </c>
      <c r="AO21" s="315" t="n">
        <f aca="true">IF(ACOMPANHAMENTO&lt;&gt;"BM",0,OFFSET(BM!$O$15,$A21,0))</f>
        <v>0</v>
      </c>
    </row>
    <row r="22" customFormat="false" ht="12.75" hidden="false" customHeight="false" outlineLevel="0" collapsed="false">
      <c r="A22" s="0" t="e">
        <f aca="false">MATCH(E22,ORÇAMENTO!$E$15:$E$59,0)-1</f>
        <v>#N/A</v>
      </c>
      <c r="B22" s="0" t="e">
        <f aca="true">IF(ISERROR($A22),NA(),OFFSET(ORÇAMENTO!$D$15,$A22,0))</f>
        <v>#N/A</v>
      </c>
      <c r="C22" s="0" t="str">
        <f aca="false">QCI!B22</f>
        <v>Branco</v>
      </c>
      <c r="D22" s="0" t="str">
        <f aca="false">IF(L22&gt;0,"F","")</f>
        <v/>
      </c>
      <c r="E22" s="493" t="n">
        <f aca="false">QCI!D22</f>
        <v>9</v>
      </c>
      <c r="F22" s="615" t="str">
        <f aca="false">QCI!G22</f>
        <v/>
      </c>
      <c r="G22" s="616" t="n">
        <f aca="false">QCI!H22</f>
        <v>0</v>
      </c>
      <c r="H22" s="428" t="n">
        <f aca="false">QCI!I22</f>
        <v>0</v>
      </c>
      <c r="I22" s="496" t="str">
        <f aca="false">QCI!J22</f>
        <v/>
      </c>
      <c r="J22" s="617" t="str">
        <f aca="false">QCI!K22</f>
        <v/>
      </c>
      <c r="K22" s="618" t="str">
        <f aca="true">IF($C22="Automático",IF(ACOMPANHAMENTO="BM",BM.medicao,PLE.Medicao),IF(ISBLANK($X22),"",$X22))</f>
        <v/>
      </c>
      <c r="L22" s="501" t="n">
        <f aca="false">QCI!$O22</f>
        <v>0</v>
      </c>
      <c r="M22" s="498" t="n">
        <f aca="false">ROUND(IF(C22="Automático",AE22+AL22,Y22),2)</f>
        <v>0</v>
      </c>
      <c r="N22" s="499" t="n">
        <f aca="false">O22-M22</f>
        <v>0</v>
      </c>
      <c r="O22" s="500" t="n">
        <f aca="false">ROUND(IF(C22="Automático",AH22+AO22,Z22),2)</f>
        <v>0</v>
      </c>
      <c r="P22" s="619" t="n">
        <f aca="false">O22/(L22+10^-12)</f>
        <v>0</v>
      </c>
      <c r="R22" s="620" t="n">
        <f aca="false">ROUND(IF($C22="Automático",AC22+AJ22,$Y22*IF(ISERROR(QCI!$AA22/QCI!$O22),0,QCI!$AA22/QCI!$O22)),2)</f>
        <v>0</v>
      </c>
      <c r="S22" s="620" t="n">
        <f aca="false">ROUND(IF($C22="Automático",AD22+AK22,$Y22*IF(ISERROR(QCI!$AB22/QCI!$O22),0,QCI!$AB22/QCI!$O22)),2)</f>
        <v>0</v>
      </c>
      <c r="T22" s="620" t="n">
        <f aca="false">ROUND(IF($C22="Automático",AF22+AM22,$Z22*IF(ISERROR(QCI!$AA22/QCI!$O22),0,QCI!$AA22/QCI!$O22)),2)</f>
        <v>0</v>
      </c>
      <c r="U22" s="620" t="n">
        <f aca="false">ROUND(IF($C22="Automático",AG22+AN22,$Z22*IF(ISERROR(QCI!$AB22/QCI!$O22),0,QCI!$AB22/QCI!$O22)),2)</f>
        <v>0</v>
      </c>
      <c r="V22" s="86" t="n">
        <f aca="true">IF(AND($L22&gt;0,$J22&lt;&gt;0,$J22&lt;&gt;"",COUNTIF($J$13:$J22,$J22)=1),OFFSET(V22,-1,0)+1,OFFSET(V22,-1,0))</f>
        <v>0</v>
      </c>
      <c r="X22" s="621"/>
      <c r="Y22" s="505"/>
      <c r="Z22" s="508"/>
      <c r="AC22" s="315" t="e">
        <f aca="true">IF(ACOMPANHAMENTO&lt;&gt;"PLE",0,SUMPRODUCT((OFFSET(CÁLCULO!$AX$15:$BH$15,$A22,0,$B22)&lt;=(PLE.Medicao-1))*OFFSET(CÁLCULO!$AB$15:$AL$15,$A22,0,$B22)*OFFSET(ORÇAMENTO!$AA$15,$A22,0,$B22)/(OFFSET(ORÇAMENTO!$X$15,$A22,0,$B22)+10^-12))+IF(AUTOEVENTO="Manual",SUMPRODUCT((OFFSET(CÁLCULO!$M$15,$A22,0,$B22)=1)*OFFSET(ORÇAMENTO!$AA$15,$A22,0,$B22)*(PLE!$AE$9-PLE!$Y$9)),0))</f>
        <v>#N/A</v>
      </c>
      <c r="AD22" s="315" t="e">
        <f aca="true">IF(ACOMPANHAMENTO&lt;&gt;"PLE",0,SUMPRODUCT((OFFSET(CÁLCULO!$AX$15:$BH$15,$A22,0,$B22)&lt;=(PLE.Medicao-1))*OFFSET(CÁLCULO!$AB$15:$AL$15,$A22,0,$B22)*OFFSET(ORÇAMENTO!$AB$15,$A22,0,$B22)/(OFFSET(ORÇAMENTO!$X$15,$A22,0,$B22)+10^-12))+IF(AUTOEVENTO="Manual",SUMPRODUCT((OFFSET(CÁLCULO!$M$15,$A22,0,$B22)=1)*OFFSET(ORÇAMENTO!$AB$15,$A22,0,$B22)*(PLE!$AE$9-PLE!$Y$9)),0))</f>
        <v>#N/A</v>
      </c>
      <c r="AE22" s="315" t="e">
        <f aca="true">ROUND(IF(ACOMPANHAMENTO&lt;&gt;"PLE",0,SUMIF(OFFSET(CÁLCULO!$AX$15:$BH$15,$A22,0,$B22),"&lt;="&amp;(PLE.Medicao-1),OFFSET(CÁLCULO!$AB$15:$AL$15,$A22,0,$B22))+IF(AUTOEVENTO="Manual",SUMIF(OFFSET(CÁLCULO!$M$15,$A22,0,$B22),1,OFFSET(ORÇAMENTO!$X$15,$A22,0,$B22))*(PLE!$AE$9-PLE!$Y$9),0)),2)</f>
        <v>#N/A</v>
      </c>
      <c r="AF22" s="315" t="e">
        <f aca="true">IF(ACOMPANHAMENTO&lt;&gt;"PLE",0,SUMPRODUCT((OFFSET(CÁLCULO!$AX$15:$BH$15,$A22,0,$B22)&lt;=PLE.Medicao)*OFFSET(CÁLCULO!$AB$15:$AL$15,$A22,0,$B22)*OFFSET(ORÇAMENTO!$AA$15,$A22,0,$B22)/(OFFSET(ORÇAMENTO!$X$15,$A22,0,$B22)+10^-12))+IF(AUTOEVENTO="Manual",SUMPRODUCT((OFFSET(CÁLCULO!$M$15,$A22,0,$B22)=1)*OFFSET(ORÇAMENTO!$AA$15,$A22,0,$B22)*PLE!$AE$9),0))</f>
        <v>#N/A</v>
      </c>
      <c r="AG22" s="315" t="e">
        <f aca="true">IF(ACOMPANHAMENTO&lt;&gt;"PLE",0,SUMPRODUCT((OFFSET(CÁLCULO!$AX$15:$BH$15,$A22,0,$B22)&lt;=PLE.Medicao)*OFFSET(CÁLCULO!$AB$15:$AL$15,$A22,0,$B22)*OFFSET(ORÇAMENTO!$AB$15,$A22,0,$B22)/(OFFSET(ORÇAMENTO!$X$15,$A22,0,$B22)+10^-12))+IF(AUTOEVENTO="Manual",SUMPRODUCT((OFFSET(CÁLCULO!$M$15,$A22,0,$B22)=1)*OFFSET(ORÇAMENTO!$AB$15,$A22,0,$B22)*PLE!$AE$9),0))</f>
        <v>#N/A</v>
      </c>
      <c r="AH22" s="315" t="e">
        <f aca="true">ROUND(IF(ACOMPANHAMENTO&lt;&gt;"PLE",0,SUMIF(OFFSET(CÁLCULO!$AX$15:$BH$15,$A22,0,$B22),"&lt;="&amp;PLE.Medicao,OFFSET(CÁLCULO!$AB$15:$AL$15,$A22,0,$B22))+IF(AUTOEVENTO="Manual",SUMIF(OFFSET(CÁLCULO!$M$15,$A22,0,$B22),1,OFFSET(ORÇAMENTO!$X$15,$A22,0,$B22))*PLE!$AE$9,0)),2)</f>
        <v>#N/A</v>
      </c>
      <c r="AJ22" s="315" t="n">
        <f aca="true">IF(ACOMPANHAMENTO&lt;&gt;"BM",0,SUMPRODUCT(OFFSET(BM!$M$15,$A22,0,$B22)*(OFFSET(BM!$A$15,$A22,0,$B22)="S")*OFFSET(ORÇAMENTO!AA$15,$A22,0,$B22)/(OFFSET(ORÇAMENTO!$X$15,$A22,0,$B22)+10^-12)))</f>
        <v>0</v>
      </c>
      <c r="AK22" s="315" t="n">
        <f aca="true">IF(ACOMPANHAMENTO&lt;&gt;"BM",0,SUMPRODUCT(OFFSET(BM!$M$15,$A22,0,$B22)*(OFFSET(BM!$A$15,$A22,0,$B22)="S")*OFFSET(ORÇAMENTO!AB$15,$A22,0,$B22)/(OFFSET(ORÇAMENTO!$X$15,$A22,0,$B22)+10^-12)))</f>
        <v>0</v>
      </c>
      <c r="AL22" s="315" t="n">
        <f aca="true">IF(ACOMPANHAMENTO&lt;&gt;"BM",0,OFFSET(BM!$M$15,$A22,0))</f>
        <v>0</v>
      </c>
      <c r="AM22" s="315" t="n">
        <f aca="true">IF(ACOMPANHAMENTO&lt;&gt;"BM",0,SUMPRODUCT(OFFSET(BM!$O$15,$A22,0,$B22)*(OFFSET(BM!$A$15,$A22,0,$B22)="S")*OFFSET(ORÇAMENTO!AA$15,$A22,0,$B22)/(OFFSET(ORÇAMENTO!$X$15,$A22,0,$B22)+10^-12)))</f>
        <v>0</v>
      </c>
      <c r="AN22" s="315" t="n">
        <f aca="true">IF(ACOMPANHAMENTO&lt;&gt;"BM",0,SUMPRODUCT(OFFSET(BM!$O$15,$A22,0,$B22)*(OFFSET(BM!$A$15,$A22,0,$B22)="S")*OFFSET(ORÇAMENTO!AB$15,$A22,0,$B22)/(OFFSET(ORÇAMENTO!$X$15,$A22,0,$B22)+10^-12)))</f>
        <v>0</v>
      </c>
      <c r="AO22" s="315" t="n">
        <f aca="true">IF(ACOMPANHAMENTO&lt;&gt;"BM",0,OFFSET(BM!$O$15,$A22,0))</f>
        <v>0</v>
      </c>
    </row>
    <row r="23" customFormat="false" ht="12.75" hidden="false" customHeight="false" outlineLevel="0" collapsed="false">
      <c r="A23" s="0" t="e">
        <f aca="false">MATCH(E23,ORÇAMENTO!$E$15:$E$59,0)-1</f>
        <v>#N/A</v>
      </c>
      <c r="B23" s="0" t="e">
        <f aca="true">IF(ISERROR($A23),NA(),OFFSET(ORÇAMENTO!$D$15,$A23,0))</f>
        <v>#N/A</v>
      </c>
      <c r="C23" s="0" t="str">
        <f aca="false">QCI!B23</f>
        <v>Branco</v>
      </c>
      <c r="D23" s="0" t="str">
        <f aca="false">IF(L23&gt;0,"F","")</f>
        <v/>
      </c>
      <c r="E23" s="493" t="n">
        <f aca="false">QCI!D23</f>
        <v>10</v>
      </c>
      <c r="F23" s="615" t="str">
        <f aca="false">QCI!G23</f>
        <v/>
      </c>
      <c r="G23" s="616" t="n">
        <f aca="false">QCI!H23</f>
        <v>0</v>
      </c>
      <c r="H23" s="428" t="n">
        <f aca="false">QCI!I23</f>
        <v>0</v>
      </c>
      <c r="I23" s="496" t="str">
        <f aca="false">QCI!J23</f>
        <v/>
      </c>
      <c r="J23" s="617" t="str">
        <f aca="false">QCI!K23</f>
        <v/>
      </c>
      <c r="K23" s="618" t="str">
        <f aca="true">IF($C23="Automático",IF(ACOMPANHAMENTO="BM",BM.medicao,PLE.Medicao),IF(ISBLANK($X23),"",$X23))</f>
        <v/>
      </c>
      <c r="L23" s="501" t="n">
        <f aca="false">QCI!$O23</f>
        <v>0</v>
      </c>
      <c r="M23" s="498" t="n">
        <f aca="false">ROUND(IF(C23="Automático",AE23+AL23,Y23),2)</f>
        <v>0</v>
      </c>
      <c r="N23" s="499" t="n">
        <f aca="false">O23-M23</f>
        <v>0</v>
      </c>
      <c r="O23" s="500" t="n">
        <f aca="false">ROUND(IF(C23="Automático",AH23+AO23,Z23),2)</f>
        <v>0</v>
      </c>
      <c r="P23" s="619" t="n">
        <f aca="false">O23/(L23+10^-12)</f>
        <v>0</v>
      </c>
      <c r="R23" s="620" t="n">
        <f aca="false">ROUND(IF($C23="Automático",AC23+AJ23,$Y23*IF(ISERROR(QCI!$AA23/QCI!$O23),0,QCI!$AA23/QCI!$O23)),2)</f>
        <v>0</v>
      </c>
      <c r="S23" s="620" t="n">
        <f aca="false">ROUND(IF($C23="Automático",AD23+AK23,$Y23*IF(ISERROR(QCI!$AB23/QCI!$O23),0,QCI!$AB23/QCI!$O23)),2)</f>
        <v>0</v>
      </c>
      <c r="T23" s="620" t="n">
        <f aca="false">ROUND(IF($C23="Automático",AF23+AM23,$Z23*IF(ISERROR(QCI!$AA23/QCI!$O23),0,QCI!$AA23/QCI!$O23)),2)</f>
        <v>0</v>
      </c>
      <c r="U23" s="620" t="n">
        <f aca="false">ROUND(IF($C23="Automático",AG23+AN23,$Z23*IF(ISERROR(QCI!$AB23/QCI!$O23),0,QCI!$AB23/QCI!$O23)),2)</f>
        <v>0</v>
      </c>
      <c r="V23" s="86" t="n">
        <f aca="true">IF(AND($L23&gt;0,$J23&lt;&gt;0,$J23&lt;&gt;"",COUNTIF($J$13:$J23,$J23)=1),OFFSET(V23,-1,0)+1,OFFSET(V23,-1,0))</f>
        <v>0</v>
      </c>
      <c r="X23" s="621"/>
      <c r="Y23" s="505"/>
      <c r="Z23" s="508"/>
      <c r="AC23" s="315" t="e">
        <f aca="true">IF(ACOMPANHAMENTO&lt;&gt;"PLE",0,SUMPRODUCT((OFFSET(CÁLCULO!$AX$15:$BH$15,$A23,0,$B23)&lt;=(PLE.Medicao-1))*OFFSET(CÁLCULO!$AB$15:$AL$15,$A23,0,$B23)*OFFSET(ORÇAMENTO!$AA$15,$A23,0,$B23)/(OFFSET(ORÇAMENTO!$X$15,$A23,0,$B23)+10^-12))+IF(AUTOEVENTO="Manual",SUMPRODUCT((OFFSET(CÁLCULO!$M$15,$A23,0,$B23)=1)*OFFSET(ORÇAMENTO!$AA$15,$A23,0,$B23)*(PLE!$AE$9-PLE!$Y$9)),0))</f>
        <v>#N/A</v>
      </c>
      <c r="AD23" s="315" t="e">
        <f aca="true">IF(ACOMPANHAMENTO&lt;&gt;"PLE",0,SUMPRODUCT((OFFSET(CÁLCULO!$AX$15:$BH$15,$A23,0,$B23)&lt;=(PLE.Medicao-1))*OFFSET(CÁLCULO!$AB$15:$AL$15,$A23,0,$B23)*OFFSET(ORÇAMENTO!$AB$15,$A23,0,$B23)/(OFFSET(ORÇAMENTO!$X$15,$A23,0,$B23)+10^-12))+IF(AUTOEVENTO="Manual",SUMPRODUCT((OFFSET(CÁLCULO!$M$15,$A23,0,$B23)=1)*OFFSET(ORÇAMENTO!$AB$15,$A23,0,$B23)*(PLE!$AE$9-PLE!$Y$9)),0))</f>
        <v>#N/A</v>
      </c>
      <c r="AE23" s="315" t="e">
        <f aca="true">ROUND(IF(ACOMPANHAMENTO&lt;&gt;"PLE",0,SUMIF(OFFSET(CÁLCULO!$AX$15:$BH$15,$A23,0,$B23),"&lt;="&amp;(PLE.Medicao-1),OFFSET(CÁLCULO!$AB$15:$AL$15,$A23,0,$B23))+IF(AUTOEVENTO="Manual",SUMIF(OFFSET(CÁLCULO!$M$15,$A23,0,$B23),1,OFFSET(ORÇAMENTO!$X$15,$A23,0,$B23))*(PLE!$AE$9-PLE!$Y$9),0)),2)</f>
        <v>#N/A</v>
      </c>
      <c r="AF23" s="315" t="e">
        <f aca="true">IF(ACOMPANHAMENTO&lt;&gt;"PLE",0,SUMPRODUCT((OFFSET(CÁLCULO!$AX$15:$BH$15,$A23,0,$B23)&lt;=PLE.Medicao)*OFFSET(CÁLCULO!$AB$15:$AL$15,$A23,0,$B23)*OFFSET(ORÇAMENTO!$AA$15,$A23,0,$B23)/(OFFSET(ORÇAMENTO!$X$15,$A23,0,$B23)+10^-12))+IF(AUTOEVENTO="Manual",SUMPRODUCT((OFFSET(CÁLCULO!$M$15,$A23,0,$B23)=1)*OFFSET(ORÇAMENTO!$AA$15,$A23,0,$B23)*PLE!$AE$9),0))</f>
        <v>#N/A</v>
      </c>
      <c r="AG23" s="315" t="e">
        <f aca="true">IF(ACOMPANHAMENTO&lt;&gt;"PLE",0,SUMPRODUCT((OFFSET(CÁLCULO!$AX$15:$BH$15,$A23,0,$B23)&lt;=PLE.Medicao)*OFFSET(CÁLCULO!$AB$15:$AL$15,$A23,0,$B23)*OFFSET(ORÇAMENTO!$AB$15,$A23,0,$B23)/(OFFSET(ORÇAMENTO!$X$15,$A23,0,$B23)+10^-12))+IF(AUTOEVENTO="Manual",SUMPRODUCT((OFFSET(CÁLCULO!$M$15,$A23,0,$B23)=1)*OFFSET(ORÇAMENTO!$AB$15,$A23,0,$B23)*PLE!$AE$9),0))</f>
        <v>#N/A</v>
      </c>
      <c r="AH23" s="315" t="e">
        <f aca="true">ROUND(IF(ACOMPANHAMENTO&lt;&gt;"PLE",0,SUMIF(OFFSET(CÁLCULO!$AX$15:$BH$15,$A23,0,$B23),"&lt;="&amp;PLE.Medicao,OFFSET(CÁLCULO!$AB$15:$AL$15,$A23,0,$B23))+IF(AUTOEVENTO="Manual",SUMIF(OFFSET(CÁLCULO!$M$15,$A23,0,$B23),1,OFFSET(ORÇAMENTO!$X$15,$A23,0,$B23))*PLE!$AE$9,0)),2)</f>
        <v>#N/A</v>
      </c>
      <c r="AJ23" s="315" t="n">
        <f aca="true">IF(ACOMPANHAMENTO&lt;&gt;"BM",0,SUMPRODUCT(OFFSET(BM!$M$15,$A23,0,$B23)*(OFFSET(BM!$A$15,$A23,0,$B23)="S")*OFFSET(ORÇAMENTO!AA$15,$A23,0,$B23)/(OFFSET(ORÇAMENTO!$X$15,$A23,0,$B23)+10^-12)))</f>
        <v>0</v>
      </c>
      <c r="AK23" s="315" t="n">
        <f aca="true">IF(ACOMPANHAMENTO&lt;&gt;"BM",0,SUMPRODUCT(OFFSET(BM!$M$15,$A23,0,$B23)*(OFFSET(BM!$A$15,$A23,0,$B23)="S")*OFFSET(ORÇAMENTO!AB$15,$A23,0,$B23)/(OFFSET(ORÇAMENTO!$X$15,$A23,0,$B23)+10^-12)))</f>
        <v>0</v>
      </c>
      <c r="AL23" s="315" t="n">
        <f aca="true">IF(ACOMPANHAMENTO&lt;&gt;"BM",0,OFFSET(BM!$M$15,$A23,0))</f>
        <v>0</v>
      </c>
      <c r="AM23" s="315" t="n">
        <f aca="true">IF(ACOMPANHAMENTO&lt;&gt;"BM",0,SUMPRODUCT(OFFSET(BM!$O$15,$A23,0,$B23)*(OFFSET(BM!$A$15,$A23,0,$B23)="S")*OFFSET(ORÇAMENTO!AA$15,$A23,0,$B23)/(OFFSET(ORÇAMENTO!$X$15,$A23,0,$B23)+10^-12)))</f>
        <v>0</v>
      </c>
      <c r="AN23" s="315" t="n">
        <f aca="true">IF(ACOMPANHAMENTO&lt;&gt;"BM",0,SUMPRODUCT(OFFSET(BM!$O$15,$A23,0,$B23)*(OFFSET(BM!$A$15,$A23,0,$B23)="S")*OFFSET(ORÇAMENTO!AB$15,$A23,0,$B23)/(OFFSET(ORÇAMENTO!$X$15,$A23,0,$B23)+10^-12)))</f>
        <v>0</v>
      </c>
      <c r="AO23" s="315" t="n">
        <f aca="true">IF(ACOMPANHAMENTO&lt;&gt;"BM",0,OFFSET(BM!$O$15,$A23,0))</f>
        <v>0</v>
      </c>
    </row>
    <row r="24" customFormat="false" ht="12.75" hidden="false" customHeight="true" outlineLevel="0" collapsed="false">
      <c r="D24" s="0" t="s">
        <v>206</v>
      </c>
      <c r="E24" s="11"/>
      <c r="F24" s="11"/>
      <c r="G24" s="11"/>
      <c r="H24" s="11"/>
      <c r="I24" s="12"/>
      <c r="J24" s="624" t="s">
        <v>506</v>
      </c>
      <c r="K24" s="624"/>
      <c r="L24" s="625" t="n">
        <f aca="false">IF(ISERROR(L28/$L28),0,ROUND(L28/$L28,4))</f>
        <v>0</v>
      </c>
      <c r="M24" s="626" t="n">
        <f aca="false">IF(ISERROR(M28/$L28),0,ROUND(M28/$L28,4))</f>
        <v>0</v>
      </c>
      <c r="N24" s="627" t="n">
        <f aca="false">IF(ISERROR(N28/$L28),0,ROUND(N28/$L28,4))</f>
        <v>0</v>
      </c>
      <c r="O24" s="628" t="n">
        <f aca="false">IF(ISERROR(O28/$L28),0,ROUND(O28/$L28,4))</f>
        <v>0</v>
      </c>
      <c r="P24" s="629" t="e">
        <f aca="false">O28/(L28+10^-12)</f>
        <v>#DIV/0!</v>
      </c>
      <c r="X24" s="524"/>
      <c r="Y24" s="526"/>
      <c r="Z24" s="527"/>
    </row>
    <row r="25" customFormat="false" ht="12.75" hidden="false" customHeight="true" outlineLevel="0" collapsed="false">
      <c r="D25" s="0" t="s">
        <v>206</v>
      </c>
      <c r="I25" s="16"/>
      <c r="J25" s="630" t="str">
        <f aca="false">IF(import.recurso="FGTS","Financiamento","Repasse")</f>
        <v>Repasse</v>
      </c>
      <c r="K25" s="630"/>
      <c r="L25" s="501" t="n">
        <f aca="false">QCI!L24</f>
        <v>0</v>
      </c>
      <c r="M25" s="498" t="e">
        <f aca="false">M28-M27-M26</f>
        <v>#DIV/0!</v>
      </c>
      <c r="N25" s="499" t="e">
        <f aca="false">O25-M25</f>
        <v>#DIV/0!</v>
      </c>
      <c r="O25" s="500" t="e">
        <f aca="false">O28-O27-O26</f>
        <v>#DIV/0!</v>
      </c>
      <c r="P25" s="629"/>
      <c r="X25" s="631"/>
      <c r="Y25" s="632" t="s">
        <v>507</v>
      </c>
      <c r="Z25" s="633" t="s">
        <v>508</v>
      </c>
      <c r="AC25" s="634" t="s">
        <v>509</v>
      </c>
      <c r="AD25" s="634" t="s">
        <v>510</v>
      </c>
    </row>
    <row r="26" customFormat="false" ht="12.75" hidden="false" customHeight="true" outlineLevel="0" collapsed="false">
      <c r="D26" s="0" t="s">
        <v>206</v>
      </c>
      <c r="I26" s="16"/>
      <c r="J26" s="635" t="s">
        <v>511</v>
      </c>
      <c r="K26" s="635"/>
      <c r="L26" s="636" t="n">
        <f aca="false">QCI!M24</f>
        <v>0</v>
      </c>
      <c r="M26" s="637" t="e">
        <f aca="true">ROUND(IF(OFFSET($X$26,0,1)&lt;&gt;"",OFFSET($X$26,0,1),SUM(R13:OFFSET(R24,-1,0))),2)</f>
        <v>#DIV/0!</v>
      </c>
      <c r="N26" s="638" t="e">
        <f aca="false">O26-M26</f>
        <v>#DIV/0!</v>
      </c>
      <c r="O26" s="639" t="e">
        <f aca="true">IF(OFFSET($X$26,0,2)&lt;&gt;"",OFFSET($X$26,0,2),$AE$3)</f>
        <v>#DIV/0!</v>
      </c>
      <c r="P26" s="629"/>
      <c r="X26" s="640" t="s">
        <v>221</v>
      </c>
      <c r="Y26" s="641"/>
      <c r="Z26" s="642"/>
      <c r="AC26" s="643" t="e">
        <f aca="true">MIN($L26,$O$28-OFFSET($X$27,0,1))</f>
        <v>#DIV/0!</v>
      </c>
      <c r="AD26" s="643" t="e">
        <f aca="true">MIN($L26,$O$28-OFFSET($X$27,0,2))</f>
        <v>#DIV/0!</v>
      </c>
    </row>
    <row r="27" customFormat="false" ht="12.75" hidden="false" customHeight="true" outlineLevel="0" collapsed="false">
      <c r="D27" s="0" t="s">
        <v>206</v>
      </c>
      <c r="I27" s="16"/>
      <c r="J27" s="644" t="s">
        <v>488</v>
      </c>
      <c r="K27" s="644"/>
      <c r="L27" s="645" t="n">
        <f aca="false">QCI!N24</f>
        <v>0</v>
      </c>
      <c r="M27" s="646" t="e">
        <f aca="true">ROUND(IF(OFFSET($X$27,0,1)&lt;&gt;"",OFFSET($X$27,0,1),SUM(S13:OFFSET(S24,-1,0))),2)</f>
        <v>#DIV/0!</v>
      </c>
      <c r="N27" s="647" t="e">
        <f aca="false">O27-M27</f>
        <v>#DIV/0!</v>
      </c>
      <c r="O27" s="648" t="e">
        <f aca="true">IF(OFFSET($X$27,0,2)&lt;&gt;"",OFFSET($X$27,0,2),$AE$4)</f>
        <v>#DIV/0!</v>
      </c>
      <c r="P27" s="629"/>
      <c r="X27" s="649" t="s">
        <v>407</v>
      </c>
      <c r="Y27" s="650"/>
      <c r="Z27" s="651"/>
      <c r="AC27" s="643" t="e">
        <f aca="true">MIN($L27,$O$28-OFFSET($X$26,0,1))</f>
        <v>#DIV/0!</v>
      </c>
      <c r="AD27" s="643" t="e">
        <f aca="true">MIN($L27,$O$28-OFFSET($X$26,0,2))</f>
        <v>#DIV/0!</v>
      </c>
    </row>
    <row r="28" customFormat="false" ht="14.15" hidden="false" customHeight="false" outlineLevel="0" collapsed="false">
      <c r="D28" s="0" t="s">
        <v>206</v>
      </c>
      <c r="I28" s="16"/>
      <c r="J28" s="652" t="s">
        <v>490</v>
      </c>
      <c r="K28" s="652"/>
      <c r="L28" s="653" t="n">
        <f aca="true">SUM(L13:OFFSET(L24,-1,0))</f>
        <v>0</v>
      </c>
      <c r="M28" s="654" t="e">
        <f aca="true">ROUND(SUM(M13:OFFSET(M24,-1,0)),2)</f>
        <v>#DIV/0!</v>
      </c>
      <c r="N28" s="655" t="e">
        <f aca="false">O28-M28</f>
        <v>#DIV/0!</v>
      </c>
      <c r="O28" s="656" t="e">
        <f aca="true">SUM(O13:OFFSET(O24,-1,0))</f>
        <v>#DIV/0!</v>
      </c>
      <c r="P28" s="629"/>
      <c r="X28" s="536"/>
      <c r="Y28" s="538"/>
      <c r="Z28" s="539"/>
    </row>
    <row r="29" customFormat="false" ht="12.75" hidden="false" customHeight="false" outlineLevel="0" collapsed="false">
      <c r="O29" s="657" t="e">
        <f aca="false">"Acumulado Anterior:  "&amp;TEXT($M$28/($L$28+10^-12),"0,00%")</f>
        <v>#DIV/0!</v>
      </c>
      <c r="P29" s="657"/>
    </row>
    <row r="30" customFormat="false" ht="13.8" hidden="false" customHeight="false" outlineLevel="0" collapsed="false">
      <c r="E30" s="233" t="s">
        <v>235</v>
      </c>
      <c r="P30" s="16"/>
    </row>
    <row r="31" customFormat="false" ht="12.75" hidden="false" customHeight="true" outlineLevel="0" collapsed="false"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</row>
    <row r="32" customFormat="false" ht="12.75" hidden="false" customHeight="true" outlineLevel="0" collapsed="false">
      <c r="E32" s="234"/>
      <c r="F32" s="234"/>
      <c r="G32" s="234"/>
      <c r="H32" s="234"/>
      <c r="I32" s="234"/>
      <c r="J32" s="234"/>
      <c r="K32" s="234"/>
      <c r="L32" s="234"/>
      <c r="M32" s="234"/>
      <c r="N32" s="234"/>
      <c r="O32" s="234"/>
      <c r="P32" s="234"/>
      <c r="Y32" s="658"/>
      <c r="Z32" s="658"/>
    </row>
    <row r="33" customFormat="false" ht="12.75" hidden="false" customHeight="true" outlineLevel="0" collapsed="false"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</row>
    <row r="35" customFormat="false" ht="13.8" hidden="false" customHeight="false" outlineLevel="0" collapsed="false">
      <c r="E35" s="240" t="str">
        <f aca="false">Import.Município</f>
        <v>Alpinópolis</v>
      </c>
      <c r="F35" s="240"/>
      <c r="G35" s="240"/>
      <c r="I35" s="659"/>
      <c r="L35" s="308" t="n">
        <f aca="false">DADOS!$F$25</f>
        <v>45849</v>
      </c>
      <c r="M35" s="308"/>
      <c r="N35" s="308"/>
      <c r="O35" s="308"/>
    </row>
    <row r="36" customFormat="false" ht="12.75" hidden="false" customHeight="false" outlineLevel="0" collapsed="false">
      <c r="E36" s="38" t="s">
        <v>239</v>
      </c>
      <c r="L36" s="38" t="s">
        <v>240</v>
      </c>
    </row>
    <row r="38" customFormat="false" ht="12.75" hidden="false" customHeight="false" outlineLevel="0" collapsed="false">
      <c r="E38" s="29"/>
      <c r="F38" s="29"/>
      <c r="G38" s="29"/>
      <c r="L38" s="29"/>
      <c r="M38" s="29"/>
      <c r="N38" s="29"/>
      <c r="O38" s="29"/>
    </row>
    <row r="39" customFormat="false" ht="12.75" hidden="false" customHeight="false" outlineLevel="0" collapsed="false">
      <c r="E39" s="660" t="str">
        <f aca="false">IF(CAIXA.Modo,"Responsável Gerencial CAIXA","Representante Tomador")</f>
        <v>Representante Tomador</v>
      </c>
      <c r="F39" s="34"/>
      <c r="L39" s="660" t="str">
        <f aca="false">IF(CAIXA.Modo,"Responsável Técnico CAIXA","Responsável Técnico pela Fiscalização")</f>
        <v>Responsável Técnico pela Fiscalização</v>
      </c>
    </row>
    <row r="40" customFormat="false" ht="12.75" hidden="false" customHeight="false" outlineLevel="0" collapsed="false">
      <c r="E40" s="134" t="s">
        <v>123</v>
      </c>
      <c r="F40" s="475" t="n">
        <f aca="false">IF(CAIXA.Modo,DADOS!F60,DADOS!F28)</f>
        <v>0</v>
      </c>
      <c r="L40" s="134" t="s">
        <v>123</v>
      </c>
      <c r="M40" s="587" t="n">
        <f aca="false">IF(CAIXA.Modo,BM!X71,DADOS!F51)</f>
        <v>0</v>
      </c>
      <c r="N40" s="587"/>
      <c r="O40" s="587"/>
    </row>
    <row r="41" customFormat="false" ht="12.75" hidden="false" customHeight="false" outlineLevel="0" collapsed="false">
      <c r="E41" s="134" t="str">
        <f aca="false">IF(CAIXA.Modo,"Função:","Cargo:")</f>
        <v>Cargo:</v>
      </c>
      <c r="F41" s="475" t="n">
        <f aca="false">IF(CAIXA.Modo,DADOS!F61,DADOS!F29)</f>
        <v>0</v>
      </c>
      <c r="L41" s="134" t="str">
        <f aca="false">IF(CAIXA.Modo,"Matrícula:","Profissão:")</f>
        <v>Profissão:</v>
      </c>
      <c r="M41" s="587" t="n">
        <f aca="false">IF(CAIXA.Modo,BM!X72,DADOS!F52)</f>
        <v>0</v>
      </c>
      <c r="N41" s="587"/>
      <c r="O41" s="587"/>
    </row>
    <row r="42" customFormat="false" ht="12.75" hidden="false" customHeight="false" outlineLevel="0" collapsed="false">
      <c r="L42" s="134" t="s">
        <v>125</v>
      </c>
      <c r="M42" s="587" t="n">
        <f aca="false">IF(CAIXA.Modo,BM!X73,DADOS!F53)</f>
        <v>0</v>
      </c>
      <c r="N42" s="587"/>
      <c r="O42" s="587"/>
    </row>
    <row r="43" customFormat="false" ht="12.75" hidden="false" customHeight="false" outlineLevel="0" collapsed="false">
      <c r="L43" s="134" t="str">
        <f aca="false">IF(CAIXA.Modo,"","ART/RRT:")</f>
        <v>ART/RRT:</v>
      </c>
      <c r="M43" s="42" t="n">
        <f aca="false">IF(CAIXA.Modo,"",DADOS!F54)</f>
        <v>0</v>
      </c>
    </row>
    <row r="45" customFormat="false" ht="12.75" hidden="false" customHeight="false" outlineLevel="0" collapsed="false">
      <c r="E45" s="29"/>
      <c r="F45" s="29"/>
      <c r="G45" s="29"/>
      <c r="L45" s="29"/>
      <c r="M45" s="29"/>
      <c r="N45" s="29"/>
      <c r="O45" s="29"/>
    </row>
    <row r="46" customFormat="false" ht="12.75" hidden="false" customHeight="false" outlineLevel="0" collapsed="false">
      <c r="E46" s="0" t="str">
        <f aca="false">IF(CAIXA.Modo,"Responsável Social CAIXA","Responsável Social")</f>
        <v>Responsável Social</v>
      </c>
      <c r="L46" s="0" t="str">
        <f aca="false">IF(CAIXA.Modo,"Responsável Operacional CAIXA","Responsável Financeiro")</f>
        <v>Responsável Financeiro</v>
      </c>
    </row>
    <row r="47" customFormat="false" ht="12.75" hidden="false" customHeight="false" outlineLevel="0" collapsed="false">
      <c r="E47" s="134" t="s">
        <v>123</v>
      </c>
      <c r="F47" s="589"/>
      <c r="G47" s="589"/>
      <c r="L47" s="134" t="s">
        <v>123</v>
      </c>
      <c r="M47" s="589"/>
      <c r="N47" s="589"/>
      <c r="O47" s="589"/>
    </row>
    <row r="48" customFormat="false" ht="12.75" hidden="false" customHeight="false" outlineLevel="0" collapsed="false">
      <c r="E48" s="134" t="str">
        <f aca="false">IF(CAIXA.Modo,"Função:","Cargo:")</f>
        <v>Cargo:</v>
      </c>
      <c r="F48" s="589"/>
      <c r="G48" s="589"/>
      <c r="L48" s="134" t="str">
        <f aca="false">IF(CAIXA.Modo,"Função:","Cargo:")</f>
        <v>Cargo:</v>
      </c>
      <c r="M48" s="589"/>
      <c r="N48" s="589"/>
      <c r="O48" s="589"/>
    </row>
    <row r="49" customFormat="false" ht="12.75" hidden="false" customHeight="false" outlineLevel="0" collapsed="false">
      <c r="E49" s="134" t="str">
        <f aca="false">IF(CAIXA.Modo,"Matr:","")</f>
        <v/>
      </c>
      <c r="F49" s="589"/>
      <c r="G49" s="589"/>
      <c r="L49" s="134" t="str">
        <f aca="false">IF(CAIXA.Modo,"Matrícula:","")</f>
        <v/>
      </c>
      <c r="M49" s="589"/>
      <c r="N49" s="589"/>
      <c r="O49" s="589"/>
    </row>
  </sheetData>
  <sheetProtection algorithmName="SHA-512" hashValue="I6ui0OAbI/I6mThkHzSiOMiN8nUu01QJUCVX9Lf+cPsFBZSWV+lOeqm0JNiXIJqHSOtfxCUZzQWR3ahPkury6Q==" saltValue="EaSx+KXwPUiUa7L/4awxLg==" spinCount="100000" sheet="true" objects="true" scenarios="true" autoFilter="false"/>
  <autoFilter ref="D13:D30"/>
  <mergeCells count="40">
    <mergeCell ref="E3:H3"/>
    <mergeCell ref="I3:K3"/>
    <mergeCell ref="E4:H4"/>
    <mergeCell ref="I4:K4"/>
    <mergeCell ref="M4:O4"/>
    <mergeCell ref="E6:H6"/>
    <mergeCell ref="I6:L6"/>
    <mergeCell ref="D7:D11"/>
    <mergeCell ref="E7:H7"/>
    <mergeCell ref="I7:L7"/>
    <mergeCell ref="G9:H9"/>
    <mergeCell ref="I9:J9"/>
    <mergeCell ref="L9:L10"/>
    <mergeCell ref="G10:H10"/>
    <mergeCell ref="AC10:AH10"/>
    <mergeCell ref="AJ10:AO10"/>
    <mergeCell ref="Y11:Z11"/>
    <mergeCell ref="AC11:AE11"/>
    <mergeCell ref="AF11:AH11"/>
    <mergeCell ref="AJ11:AL11"/>
    <mergeCell ref="AM11:AO11"/>
    <mergeCell ref="J24:K24"/>
    <mergeCell ref="P24:P28"/>
    <mergeCell ref="J25:K25"/>
    <mergeCell ref="J26:K26"/>
    <mergeCell ref="J27:K27"/>
    <mergeCell ref="J28:K28"/>
    <mergeCell ref="O29:P29"/>
    <mergeCell ref="E31:P33"/>
    <mergeCell ref="E35:G35"/>
    <mergeCell ref="L35:O35"/>
    <mergeCell ref="M40:O40"/>
    <mergeCell ref="M41:O41"/>
    <mergeCell ref="M42:O42"/>
    <mergeCell ref="F47:G47"/>
    <mergeCell ref="M47:O47"/>
    <mergeCell ref="F48:G48"/>
    <mergeCell ref="M48:O48"/>
    <mergeCell ref="F49:G49"/>
    <mergeCell ref="M49:O49"/>
  </mergeCells>
  <conditionalFormatting sqref="X23:Z23">
    <cfRule type="expression" priority="2" aboveAverage="0" equalAverage="0" bottom="0" percent="0" rank="0" text="" dxfId="446">
      <formula>OR($C23="Automático",$C23="Branco")</formula>
    </cfRule>
  </conditionalFormatting>
  <conditionalFormatting sqref="M23 O23">
    <cfRule type="cellIs" priority="3" operator="notBetween" aboveAverage="0" equalAverage="0" bottom="0" percent="0" rank="0" text="" dxfId="447">
      <formula>0</formula>
      <formula>$L23</formula>
    </cfRule>
  </conditionalFormatting>
  <conditionalFormatting sqref="X14:Z22">
    <cfRule type="expression" priority="4" aboveAverage="0" equalAverage="0" bottom="0" percent="0" rank="0" text="" dxfId="448">
      <formula>OR($C14="Automático",$C14="Branco")</formula>
    </cfRule>
  </conditionalFormatting>
  <conditionalFormatting sqref="M14:M22 O14:O22">
    <cfRule type="cellIs" priority="5" operator="notBetween" aboveAverage="0" equalAverage="0" bottom="0" percent="0" rank="0" text="" dxfId="449">
      <formula>0</formula>
      <formula>$L14</formula>
    </cfRule>
  </conditionalFormatting>
  <conditionalFormatting sqref="X12:Z12">
    <cfRule type="expression" priority="6" aboveAverage="0" equalAverage="0" bottom="0" percent="0" rank="0" text="" dxfId="450">
      <formula>OR($C12="Automático",$C12="Branco")</formula>
    </cfRule>
  </conditionalFormatting>
  <conditionalFormatting sqref="F49:G49 M49:O49">
    <cfRule type="expression" priority="7" aboveAverage="0" equalAverage="0" bottom="0" percent="0" rank="0" text="" dxfId="451">
      <formula>CAIXA.Modo=0</formula>
    </cfRule>
  </conditionalFormatting>
  <conditionalFormatting sqref="M12 M25:M28 O12 O25:O28">
    <cfRule type="cellIs" priority="8" operator="notBetween" aboveAverage="0" equalAverage="0" bottom="0" percent="0" rank="0" text="" dxfId="452">
      <formula>0</formula>
      <formula>$L12</formula>
    </cfRule>
  </conditionalFormatting>
  <conditionalFormatting sqref="M10:N10">
    <cfRule type="cellIs" priority="9" operator="lessThan" aboveAverage="0" equalAverage="0" bottom="0" percent="0" rank="0" text="" dxfId="453">
      <formula>0</formula>
    </cfRule>
  </conditionalFormatting>
  <dataValidations count="5">
    <dataValidation allowBlank="true" error="Valor menor que 0,00 ou maior que o valor da Contrapartida/Outros." errorStyle="warning" errorTitle="Erro de valor" operator="between" prompt="Deixe essa célula em branco para o cálculo automático. Preencha somente para valores de CP diferentes do previsto." promptTitle="Contrapartida Anterior:" showDropDown="false" showErrorMessage="true" showInputMessage="true" sqref="Y26" type="decimal">
      <formula1>0</formula1>
      <formula2>RRE.MaxCPAnt</formula2>
    </dataValidation>
    <dataValidation allowBlank="true" error="Valor menor que 0,00 ou maior que o valor da Contrapartida/Outros." errorStyle="warning" errorTitle="Erro de valor" operator="between" prompt="Deixe essa célula em branco para o cálculo automático. Preencha somente para valores de CP diferentes do previsto." promptTitle="Contrapartida Acumulada:" showDropDown="false" showErrorMessage="true" showInputMessage="true" sqref="Z26" type="decimal">
      <formula1>0</formula1>
      <formula2>RRE.MaxCPAcum</formula2>
    </dataValidation>
    <dataValidation allowBlank="true" error="Valor menor que 0,00 ou maior que o valor da Contrapartida/Outros." errorStyle="warning" errorTitle="Erro de valor" operator="between" prompt="Deixe essa célula em branco para o cálculo automático. Preencha somente para valores de Outros diferentes do previsto." promptTitle="Outros Anterior:" showDropDown="false" showErrorMessage="true" showInputMessage="true" sqref="Y27" type="decimal">
      <formula1>0</formula1>
      <formula2>RRE.MaxOUAnt</formula2>
    </dataValidation>
    <dataValidation allowBlank="true" error="Valor menor que 0,00 ou maior que o valor da Contrapartida/Outros." errorStyle="warning" errorTitle="Erro de valor" operator="between" prompt="Deixe essa célula em branco para o cálculo automático. Preencha somente para valores de Outros diferentes do previsto." promptTitle="Outros Acumulada:" showDropDown="false" showErrorMessage="true" showInputMessage="true" sqref="Z27" type="decimal">
      <formula1>0</formula1>
      <formula2>RRE.MaxOUAcum</formula2>
    </dataValidation>
    <dataValidation allowBlank="true" errorStyle="stop" operator="between" showDropDown="false" showErrorMessage="true" showInputMessage="true" sqref="Y12:Z12 Y14:Z23" type="decimal">
      <formula1>0</formula1>
      <formula2>RRE.VIMeta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0.590277777777778" footer="0.590277777777778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&amp;L_&amp;C&amp;14I</oddHeader>
    <oddFooter>&amp;LPMv3.0.6&amp;R&amp;P / &amp;N</oddFooter>
  </headerFooter>
  <colBreaks count="1" manualBreakCount="1">
    <brk id="15" man="true" max="65535" min="0"/>
  </col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Q56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1" activeCellId="0" sqref="A1"/>
    </sheetView>
  </sheetViews>
  <sheetFormatPr defaultColWidth="8.6796875" defaultRowHeight="12.75" customHeight="true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15.71"/>
    <col collapsed="false" customWidth="true" hidden="false" outlineLevel="0" max="3" min="3" style="0" width="6.71"/>
    <col collapsed="false" customWidth="true" hidden="false" outlineLevel="0" max="5" min="4" style="0" width="20.71"/>
    <col collapsed="false" customWidth="true" hidden="false" outlineLevel="0" max="7" min="7" style="0" width="12.71"/>
    <col collapsed="false" customWidth="true" hidden="false" outlineLevel="0" max="8" min="8" style="0" width="20.71"/>
    <col collapsed="false" customWidth="true" hidden="false" outlineLevel="0" max="9" min="9" style="0" width="13.71"/>
    <col collapsed="false" customWidth="true" hidden="false" outlineLevel="0" max="12" min="10" style="0" width="16.71"/>
    <col collapsed="false" customWidth="true" hidden="false" outlineLevel="0" max="14" min="14" style="0" width="14.14"/>
  </cols>
  <sheetData>
    <row r="1" customFormat="false" ht="12.75" hidden="false" customHeight="false" outlineLevel="0" collapsed="false">
      <c r="B1" s="661"/>
      <c r="C1" s="661"/>
      <c r="D1" s="83"/>
      <c r="E1" s="83"/>
      <c r="F1" s="83"/>
      <c r="G1" s="86" t="s">
        <v>188</v>
      </c>
    </row>
    <row r="2" customFormat="false" ht="12.75" hidden="false" customHeight="false" outlineLevel="0" collapsed="false">
      <c r="B2" s="661"/>
      <c r="C2" s="661"/>
      <c r="D2" s="83"/>
      <c r="E2" s="83"/>
      <c r="F2" s="83"/>
      <c r="G2" s="40" t="s">
        <v>512</v>
      </c>
    </row>
    <row r="3" customFormat="false" ht="25.5" hidden="false" customHeight="true" outlineLevel="0" collapsed="false">
      <c r="B3" s="661"/>
      <c r="C3" s="661"/>
      <c r="D3" s="83"/>
      <c r="E3" s="83"/>
      <c r="F3" s="83"/>
      <c r="G3" s="662"/>
      <c r="I3" s="663" t="s">
        <v>513</v>
      </c>
    </row>
    <row r="4" customFormat="false" ht="12.75" hidden="false" customHeight="true" outlineLevel="0" collapsed="false">
      <c r="B4" s="661"/>
      <c r="C4" s="661"/>
      <c r="D4" s="83"/>
      <c r="E4" s="83"/>
      <c r="F4" s="83"/>
      <c r="G4" s="83"/>
      <c r="I4" s="664" t="s">
        <v>514</v>
      </c>
      <c r="J4" s="665" t="s">
        <v>515</v>
      </c>
      <c r="K4" s="665" t="s">
        <v>516</v>
      </c>
      <c r="L4" s="666" t="s">
        <v>517</v>
      </c>
    </row>
    <row r="5" customFormat="false" ht="12.75" hidden="false" customHeight="false" outlineLevel="0" collapsed="false">
      <c r="I5" s="664"/>
      <c r="J5" s="665"/>
      <c r="K5" s="665"/>
      <c r="L5" s="666"/>
    </row>
    <row r="6" customFormat="false" ht="12.75" hidden="false" customHeight="false" outlineLevel="0" collapsed="false">
      <c r="B6" s="667" t="s">
        <v>518</v>
      </c>
      <c r="C6" s="668"/>
      <c r="D6" s="668"/>
      <c r="E6" s="667"/>
      <c r="F6" s="667"/>
      <c r="G6" s="83"/>
      <c r="I6" s="669" t="str">
        <f aca="false">IF(ROW(I6)-ROW(L$5)&gt;MAX(RRE!$V$13:$V$24),"",INDEX(RRE!$J$13:$J$24,MATCH(ROW(I6)-ROW(I$5),RRE!$V$13:$V$24,0)))</f>
        <v/>
      </c>
      <c r="J6" s="670" t="str">
        <f aca="false">IF(I6="","",SUMIF(RRE!$J$13:$J$24,OFÍCIO!$I6,RRE!$L$13:$L$24))</f>
        <v/>
      </c>
      <c r="K6" s="670" t="str">
        <f aca="false">IF(J6="","",SUMIF(RRE!$J$13:$J$24,OFÍCIO!$I6,RRE!$N$13:$N$24))</f>
        <v/>
      </c>
      <c r="L6" s="671" t="str">
        <f aca="false">IF(K6="","",SUMIF(RRE!$J$13:$J$24,OFÍCIO!$I6,RRE!$O$13:$O$24))</f>
        <v/>
      </c>
      <c r="N6" s="38"/>
    </row>
    <row r="7" customFormat="false" ht="12.75" hidden="false" customHeight="false" outlineLevel="0" collapsed="false">
      <c r="B7" s="83"/>
      <c r="C7" s="83"/>
      <c r="D7" s="83"/>
      <c r="E7" s="83"/>
      <c r="F7" s="83"/>
      <c r="G7" s="83"/>
      <c r="I7" s="672" t="str">
        <f aca="false">IF(ROW(I7)-ROW(L$5)&gt;MAX(RRE!$V$13:$V$24),"",INDEX(RRE!$J$13:$J$24,MATCH(ROW(I7)-ROW(I$5),RRE!$V$13:$V$24,0)))</f>
        <v/>
      </c>
      <c r="J7" s="673" t="str">
        <f aca="false">IF(I7="","",SUMIF(RRE!$J$13:$J$24,OFÍCIO!$I7,RRE!$L$13:$L$24))</f>
        <v/>
      </c>
      <c r="K7" s="673" t="str">
        <f aca="false">IF(J7="","",SUMIF(RRE!$J$13:$J$24,OFÍCIO!$I7,RRE!$N$13:$N$24))</f>
        <v/>
      </c>
      <c r="L7" s="674" t="str">
        <f aca="false">IF(K7="","",SUMIF(RRE!$J$13:$J$24,OFÍCIO!$I7,RRE!$O$13:$O$24))</f>
        <v/>
      </c>
    </row>
    <row r="8" customFormat="false" ht="12.75" hidden="false" customHeight="false" outlineLevel="0" collapsed="false">
      <c r="B8" s="675" t="str">
        <f aca="false">CONCATENATE(RRE!$E$35,", ",TEXT(RRE!$L$35,"dd"" de ""mmmm"" de ""aaaa"))</f>
        <v>Alpinópolis, 15 de Tammuz de Friday</v>
      </c>
      <c r="C8" s="675"/>
      <c r="D8" s="675"/>
      <c r="E8" s="675"/>
      <c r="F8" s="675"/>
      <c r="G8" s="675"/>
      <c r="H8" s="676"/>
      <c r="I8" s="672" t="str">
        <f aca="false">IF(ROW(I8)-ROW(L$5)&gt;MAX(RRE!$V$13:$V$24),"",INDEX(RRE!$J$13:$J$24,MATCH(ROW(I8)-ROW(I$5),RRE!$V$13:$V$24,0)))</f>
        <v/>
      </c>
      <c r="J8" s="673" t="str">
        <f aca="false">IF(I8="","",SUMIF(RRE!$J$13:$J$24,OFÍCIO!$I8,RRE!$L$13:$L$24))</f>
        <v/>
      </c>
      <c r="K8" s="673" t="str">
        <f aca="false">IF(J8="","",SUMIF(RRE!$J$13:$J$24,OFÍCIO!$I8,RRE!$N$13:$N$24))</f>
        <v/>
      </c>
      <c r="L8" s="674" t="str">
        <f aca="false">IF(K8="","",SUMIF(RRE!$J$13:$J$24,OFÍCIO!$I8,RRE!$O$13:$O$24))</f>
        <v/>
      </c>
      <c r="N8" s="676"/>
      <c r="O8" s="676"/>
      <c r="P8" s="676"/>
      <c r="Q8" s="676"/>
    </row>
    <row r="9" customFormat="false" ht="12.75" hidden="false" customHeight="false" outlineLevel="0" collapsed="false">
      <c r="B9" s="677" t="s">
        <v>519</v>
      </c>
      <c r="C9" s="83"/>
      <c r="D9" s="83"/>
      <c r="G9" s="83"/>
      <c r="H9" s="676"/>
      <c r="I9" s="672" t="str">
        <f aca="false">IF(ROW(I9)-ROW(L$5)&gt;MAX(RRE!$V$13:$V$24),"",INDEX(RRE!$J$13:$J$24,MATCH(ROW(I9)-ROW(I$5),RRE!$V$13:$V$24,0)))</f>
        <v/>
      </c>
      <c r="J9" s="673" t="str">
        <f aca="false">IF(I9="","",SUMIF(RRE!$J$13:$J$24,OFÍCIO!$I9,RRE!$L$13:$L$24))</f>
        <v/>
      </c>
      <c r="K9" s="673" t="str">
        <f aca="false">IF(J9="","",SUMIF(RRE!$J$13:$J$24,OFÍCIO!$I9,RRE!$N$13:$N$24))</f>
        <v/>
      </c>
      <c r="L9" s="674" t="str">
        <f aca="false">IF(K9="","",SUMIF(RRE!$J$13:$J$24,OFÍCIO!$I9,RRE!$O$13:$O$24))</f>
        <v/>
      </c>
      <c r="N9" s="676"/>
      <c r="O9" s="676"/>
      <c r="P9" s="676"/>
      <c r="Q9" s="676"/>
    </row>
    <row r="10" customFormat="false" ht="12.75" hidden="false" customHeight="false" outlineLevel="0" collapsed="false">
      <c r="B10" s="678" t="s">
        <v>520</v>
      </c>
      <c r="C10" s="678"/>
      <c r="D10" s="678"/>
      <c r="G10" s="83"/>
      <c r="H10" s="676"/>
      <c r="I10" s="672" t="str">
        <f aca="false">IF(ROW(I10)-ROW(L$5)&gt;MAX(RRE!$V$13:$V$24),"",INDEX(RRE!$J$13:$J$24,MATCH(ROW(I10)-ROW(I$5),RRE!$V$13:$V$24,0)))</f>
        <v/>
      </c>
      <c r="J10" s="673" t="str">
        <f aca="false">IF(I10="","",SUMIF(RRE!$J$13:$J$24,OFÍCIO!$I10,RRE!$L$13:$L$24))</f>
        <v/>
      </c>
      <c r="K10" s="673" t="str">
        <f aca="false">IF(J10="","",SUMIF(RRE!$J$13:$J$24,OFÍCIO!$I10,RRE!$N$13:$N$24))</f>
        <v/>
      </c>
      <c r="L10" s="674" t="str">
        <f aca="false">IF(K10="","",SUMIF(RRE!$J$13:$J$24,OFÍCIO!$I10,RRE!$O$13:$O$24))</f>
        <v/>
      </c>
      <c r="N10" s="676"/>
      <c r="O10" s="676"/>
      <c r="P10" s="676"/>
      <c r="Q10" s="676"/>
    </row>
    <row r="11" customFormat="false" ht="12.75" hidden="false" customHeight="false" outlineLevel="0" collapsed="false">
      <c r="B11" s="679" t="s">
        <v>521</v>
      </c>
      <c r="C11" s="589"/>
      <c r="D11" s="589"/>
      <c r="G11" s="83"/>
      <c r="H11" s="676"/>
      <c r="I11" s="672" t="str">
        <f aca="false">IF(ROW(I11)-ROW(L$5)&gt;MAX(RRE!$V$13:$V$24),"",INDEX(RRE!$J$13:$J$24,MATCH(ROW(I11)-ROW(I$5),RRE!$V$13:$V$24,0)))</f>
        <v/>
      </c>
      <c r="J11" s="673" t="str">
        <f aca="false">IF(I11="","",SUMIF(RRE!$J$13:$J$24,OFÍCIO!$I11,RRE!$L$13:$L$24))</f>
        <v/>
      </c>
      <c r="K11" s="673" t="str">
        <f aca="false">IF(J11="","",SUMIF(RRE!$J$13:$J$24,OFÍCIO!$I11,RRE!$N$13:$N$24))</f>
        <v/>
      </c>
      <c r="L11" s="674" t="str">
        <f aca="false">IF(K11="","",SUMIF(RRE!$J$13:$J$24,OFÍCIO!$I11,RRE!$O$13:$O$24))</f>
        <v/>
      </c>
      <c r="N11" s="676"/>
      <c r="O11" s="676"/>
      <c r="P11" s="676"/>
      <c r="Q11" s="676"/>
    </row>
    <row r="12" customFormat="false" ht="12.75" hidden="false" customHeight="false" outlineLevel="0" collapsed="false">
      <c r="B12" s="307"/>
      <c r="C12" s="307"/>
      <c r="D12" s="307"/>
      <c r="E12" s="307"/>
      <c r="F12" s="307"/>
      <c r="G12" s="83"/>
      <c r="H12" s="676"/>
      <c r="I12" s="672" t="str">
        <f aca="false">IF(ROW(I12)-ROW(L$5)&gt;MAX(RRE!$V$13:$V$24),"",INDEX(RRE!$J$13:$J$24,MATCH(ROW(I12)-ROW(I$5),RRE!$V$13:$V$24,0)))</f>
        <v/>
      </c>
      <c r="J12" s="673" t="str">
        <f aca="false">IF(I12="","",SUMIF(RRE!$J$13:$J$24,OFÍCIO!$I12,RRE!$L$13:$L$24))</f>
        <v/>
      </c>
      <c r="K12" s="673" t="str">
        <f aca="false">IF(J12="","",SUMIF(RRE!$J$13:$J$24,OFÍCIO!$I12,RRE!$N$13:$N$24))</f>
        <v/>
      </c>
      <c r="L12" s="674" t="str">
        <f aca="false">IF(K12="","",SUMIF(RRE!$J$13:$J$24,OFÍCIO!$I12,RRE!$O$13:$O$24))</f>
        <v/>
      </c>
      <c r="N12" s="676"/>
      <c r="O12" s="676"/>
      <c r="P12" s="676"/>
      <c r="Q12" s="676"/>
    </row>
    <row r="13" customFormat="false" ht="12.75" hidden="false" customHeight="false" outlineLevel="0" collapsed="false">
      <c r="B13" s="83"/>
      <c r="C13" s="83"/>
      <c r="D13" s="83"/>
      <c r="E13" s="83"/>
      <c r="F13" s="83"/>
      <c r="G13" s="83"/>
      <c r="I13" s="672" t="str">
        <f aca="false">IF(ROW(I13)-ROW(L$5)&gt;MAX(RRE!$V$13:$V$24),"",INDEX(RRE!$J$13:$J$24,MATCH(ROW(I13)-ROW(I$5),RRE!$V$13:$V$24,0)))</f>
        <v/>
      </c>
      <c r="J13" s="673" t="str">
        <f aca="false">IF(I13="","",SUMIF(RRE!$J$13:$J$24,OFÍCIO!$I13,RRE!$L$13:$L$24))</f>
        <v/>
      </c>
      <c r="K13" s="673" t="str">
        <f aca="false">IF(J13="","",SUMIF(RRE!$J$13:$J$24,OFÍCIO!$I13,RRE!$N$13:$N$24))</f>
        <v/>
      </c>
      <c r="L13" s="674" t="str">
        <f aca="false">IF(K13="","",SUMIF(RRE!$J$13:$J$24,OFÍCIO!$I13,RRE!$O$13:$O$24))</f>
        <v/>
      </c>
    </row>
    <row r="14" customFormat="false" ht="12.75" hidden="false" customHeight="false" outlineLevel="0" collapsed="false">
      <c r="B14" s="677" t="s">
        <v>522</v>
      </c>
      <c r="C14" s="678" t="str">
        <f aca="true">CONCATENATE(RRE.Numero,"ª"," Solicitação de ",IF(import.recurso="OGU","Desbloqueio","Desembolso")," de Recursos.")</f>
        <v>1ª Solicitação de Desbloqueio de Recursos.</v>
      </c>
      <c r="D14" s="678"/>
      <c r="E14" s="678"/>
      <c r="F14" s="678"/>
      <c r="G14" s="678"/>
      <c r="I14" s="672" t="str">
        <f aca="false">IF(ROW(I14)-ROW(L$5)&gt;MAX(RRE!$V$13:$V$24),"",INDEX(RRE!$J$13:$J$24,MATCH(ROW(I14)-ROW(I$5),RRE!$V$13:$V$24,0)))</f>
        <v/>
      </c>
      <c r="J14" s="673" t="str">
        <f aca="false">IF(I14="","",SUMIF(RRE!$J$13:$J$24,OFÍCIO!$I14,RRE!$L$13:$L$24))</f>
        <v/>
      </c>
      <c r="K14" s="673" t="str">
        <f aca="false">IF(J14="","",SUMIF(RRE!$J$13:$J$24,OFÍCIO!$I14,RRE!$N$13:$N$24))</f>
        <v/>
      </c>
      <c r="L14" s="674" t="str">
        <f aca="false">IF(K14="","",SUMIF(RRE!$J$13:$J$24,OFÍCIO!$I14,RRE!$O$13:$O$24))</f>
        <v/>
      </c>
    </row>
    <row r="15" customFormat="false" ht="12.75" hidden="false" customHeight="true" outlineLevel="0" collapsed="false">
      <c r="B15" s="677" t="s">
        <v>523</v>
      </c>
      <c r="C15" s="680" t="str">
        <f aca="false">CONCATENATE("Contrato de ",IF(import.recurso="OGU","Repasse","Financiamento")," - Operação nº ",Import.CR,IF(Import.TransfereGOV="","",CONCATENATE(" - TransfereGOV nº ",Import.TransfereGOV)))</f>
        <v>Contrato de Repasse - Operação nº </v>
      </c>
      <c r="D15" s="680"/>
      <c r="E15" s="680"/>
      <c r="F15" s="680"/>
      <c r="G15" s="680"/>
      <c r="I15" s="672" t="str">
        <f aca="false">IF(ROW(I15)-ROW(L$5)&gt;MAX(RRE!$V$13:$V$24),"",INDEX(RRE!$J$13:$J$24,MATCH(ROW(I15)-ROW(I$5),RRE!$V$13:$V$24,0)))</f>
        <v/>
      </c>
      <c r="J15" s="673" t="str">
        <f aca="false">IF(I15="","",SUMIF(RRE!$J$13:$J$24,OFÍCIO!$I15,RRE!$L$13:$L$24))</f>
        <v/>
      </c>
      <c r="K15" s="673" t="str">
        <f aca="false">IF(J15="","",SUMIF(RRE!$J$13:$J$24,OFÍCIO!$I15,RRE!$N$13:$N$24))</f>
        <v/>
      </c>
      <c r="L15" s="674" t="str">
        <f aca="false">IF(K15="","",SUMIF(RRE!$J$13:$J$24,OFÍCIO!$I15,RRE!$O$13:$O$24))</f>
        <v/>
      </c>
    </row>
    <row r="16" customFormat="false" ht="12.75" hidden="false" customHeight="false" outlineLevel="0" collapsed="false">
      <c r="B16" s="677"/>
      <c r="C16" s="680"/>
      <c r="D16" s="680"/>
      <c r="E16" s="680"/>
      <c r="F16" s="680"/>
      <c r="G16" s="680"/>
      <c r="I16" s="672" t="str">
        <f aca="false">IF(ROW(I16)-ROW(L$5)&gt;MAX(RRE!$V$13:$V$24),"",INDEX(RRE!$J$13:$J$24,MATCH(ROW(I16)-ROW(I$5),RRE!$V$13:$V$24,0)))</f>
        <v/>
      </c>
      <c r="J16" s="673" t="str">
        <f aca="false">IF(I16="","",SUMIF(RRE!$J$13:$J$24,OFÍCIO!$I16,RRE!$L$13:$L$24))</f>
        <v/>
      </c>
      <c r="K16" s="673" t="str">
        <f aca="false">IF(J16="","",SUMIF(RRE!$J$13:$J$24,OFÍCIO!$I16,RRE!$N$13:$N$24))</f>
        <v/>
      </c>
      <c r="L16" s="674" t="str">
        <f aca="false">IF(K16="","",SUMIF(RRE!$J$13:$J$24,OFÍCIO!$I16,RRE!$O$13:$O$24))</f>
        <v/>
      </c>
    </row>
    <row r="17" customFormat="false" ht="12.75" hidden="false" customHeight="false" outlineLevel="0" collapsed="false">
      <c r="B17" s="83"/>
      <c r="C17" s="83"/>
      <c r="D17" s="83"/>
      <c r="E17" s="83"/>
      <c r="F17" s="83"/>
      <c r="G17" s="83"/>
      <c r="I17" s="672" t="str">
        <f aca="false">IF(ROW(I17)-ROW(L$5)&gt;MAX(RRE!$V$13:$V$24),"",INDEX(RRE!$J$13:$J$24,MATCH(ROW(I17)-ROW(I$5),RRE!$V$13:$V$24,0)))</f>
        <v/>
      </c>
      <c r="J17" s="673" t="str">
        <f aca="false">IF(I17="","",SUMIF(RRE!$J$13:$J$24,OFÍCIO!$I17,RRE!$L$13:$L$24))</f>
        <v/>
      </c>
      <c r="K17" s="673" t="str">
        <f aca="false">IF(J17="","",SUMIF(RRE!$J$13:$J$24,OFÍCIO!$I17,RRE!$N$13:$N$24))</f>
        <v/>
      </c>
      <c r="L17" s="674" t="str">
        <f aca="false">IF(K17="","",SUMIF(RRE!$J$13:$J$24,OFÍCIO!$I17,RRE!$O$13:$O$24))</f>
        <v/>
      </c>
    </row>
    <row r="18" customFormat="false" ht="12.75" hidden="false" customHeight="true" outlineLevel="0" collapsed="false">
      <c r="B18" s="475" t="s">
        <v>524</v>
      </c>
      <c r="C18" s="681" t="str">
        <f aca="false">Import.DescLote</f>
        <v>Pavimentação MG-446</v>
      </c>
      <c r="D18" s="681"/>
      <c r="E18" s="681"/>
      <c r="F18" s="681"/>
      <c r="G18" s="681"/>
      <c r="I18" s="672" t="str">
        <f aca="false">IF(ROW(I18)-ROW(L$5)&gt;MAX(RRE!$V$13:$V$24),"",INDEX(RRE!$J$13:$J$24,MATCH(ROW(I18)-ROW(I$5),RRE!$V$13:$V$24,0)))</f>
        <v/>
      </c>
      <c r="J18" s="673" t="str">
        <f aca="false">IF(I18="","",SUMIF(RRE!$J$13:$J$24,OFÍCIO!$I18,RRE!$L$13:$L$24))</f>
        <v/>
      </c>
      <c r="K18" s="673" t="str">
        <f aca="false">IF(J18="","",SUMIF(RRE!$J$13:$J$24,OFÍCIO!$I18,RRE!$N$13:$N$24))</f>
        <v/>
      </c>
      <c r="L18" s="674" t="str">
        <f aca="false">IF(K18="","",SUMIF(RRE!$J$13:$J$24,OFÍCIO!$I18,RRE!$O$13:$O$24))</f>
        <v/>
      </c>
    </row>
    <row r="19" customFormat="false" ht="12.75" hidden="false" customHeight="true" outlineLevel="0" collapsed="false">
      <c r="B19" s="682" t="s">
        <v>525</v>
      </c>
      <c r="C19" s="683" t="n">
        <f aca="false">Import.Proponente</f>
        <v>0</v>
      </c>
      <c r="D19" s="683"/>
      <c r="E19" s="683"/>
      <c r="F19" s="683"/>
      <c r="G19" s="683"/>
      <c r="I19" s="672" t="str">
        <f aca="false">IF(ROW(I19)-ROW(L$5)&gt;MAX(RRE!$V$13:$V$24),"",INDEX(RRE!$J$13:$J$24,MATCH(ROW(I19)-ROW(I$5),RRE!$V$13:$V$24,0)))</f>
        <v/>
      </c>
      <c r="J19" s="673" t="str">
        <f aca="false">IF(I19="","",SUMIF(RRE!$J$13:$J$24,OFÍCIO!$I19,RRE!$L$13:$L$24))</f>
        <v/>
      </c>
      <c r="K19" s="673" t="str">
        <f aca="false">IF(J19="","",SUMIF(RRE!$J$13:$J$24,OFÍCIO!$I19,RRE!$N$13:$N$24))</f>
        <v/>
      </c>
      <c r="L19" s="674" t="str">
        <f aca="false">IF(K19="","",SUMIF(RRE!$J$13:$J$24,OFÍCIO!$I19,RRE!$O$13:$O$24))</f>
        <v/>
      </c>
    </row>
    <row r="20" customFormat="false" ht="12.75" hidden="false" customHeight="false" outlineLevel="0" collapsed="false">
      <c r="B20" s="682"/>
      <c r="C20" s="683"/>
      <c r="D20" s="683"/>
      <c r="E20" s="683"/>
      <c r="F20" s="683"/>
      <c r="G20" s="683"/>
      <c r="I20" s="672" t="str">
        <f aca="false">IF(ROW(I20)-ROW(L$5)&gt;MAX(RRE!$V$13:$V$24),"",INDEX(RRE!$J$13:$J$24,MATCH(ROW(I20)-ROW(I$5),RRE!$V$13:$V$24,0)))</f>
        <v/>
      </c>
      <c r="J20" s="673" t="str">
        <f aca="false">IF(I20="","",SUMIF(RRE!$J$13:$J$24,OFÍCIO!$I20,RRE!$L$13:$L$24))</f>
        <v/>
      </c>
      <c r="K20" s="673" t="str">
        <f aca="false">IF(J20="","",SUMIF(RRE!$J$13:$J$24,OFÍCIO!$I20,RRE!$N$13:$N$24))</f>
        <v/>
      </c>
      <c r="L20" s="674" t="str">
        <f aca="false">IF(K20="","",SUMIF(RRE!$J$13:$J$24,OFÍCIO!$I20,RRE!$O$13:$O$24))</f>
        <v/>
      </c>
    </row>
    <row r="21" customFormat="false" ht="12.75" hidden="false" customHeight="false" outlineLevel="0" collapsed="false">
      <c r="B21" s="83"/>
      <c r="C21" s="83"/>
      <c r="D21" s="83"/>
      <c r="E21" s="83"/>
      <c r="F21" s="83"/>
      <c r="G21" s="83"/>
      <c r="I21" s="672" t="str">
        <f aca="false">IF(ROW(I21)-ROW(L$5)&gt;MAX(RRE!$V$13:$V$24),"",INDEX(RRE!$J$13:$J$24,MATCH(ROW(I21)-ROW(I$5),RRE!$V$13:$V$24,0)))</f>
        <v/>
      </c>
      <c r="J21" s="673" t="str">
        <f aca="false">IF(I21="","",SUMIF(RRE!$J$13:$J$24,OFÍCIO!$I21,RRE!$L$13:$L$24))</f>
        <v/>
      </c>
      <c r="K21" s="673" t="str">
        <f aca="false">IF(J21="","",SUMIF(RRE!$J$13:$J$24,OFÍCIO!$I21,RRE!$N$13:$N$24))</f>
        <v/>
      </c>
      <c r="L21" s="674" t="str">
        <f aca="false">IF(K21="","",SUMIF(RRE!$J$13:$J$24,OFÍCIO!$I21,RRE!$O$13:$O$24))</f>
        <v/>
      </c>
    </row>
    <row r="22" customFormat="false" ht="12.75" hidden="false" customHeight="false" outlineLevel="0" collapsed="false">
      <c r="B22" s="0" t="str">
        <f aca="false">IF(B11="GIGOV","Senhor Gerente","Senhor Superintendente")</f>
        <v>Senhor Gerente</v>
      </c>
      <c r="D22" s="83"/>
      <c r="E22" s="83"/>
      <c r="F22" s="83"/>
      <c r="G22" s="83"/>
      <c r="I22" s="672" t="str">
        <f aca="false">IF(ROW(I22)-ROW(L$5)&gt;MAX(RRE!$V$13:$V$24),"",INDEX(RRE!$J$13:$J$24,MATCH(ROW(I22)-ROW(I$5),RRE!$V$13:$V$24,0)))</f>
        <v/>
      </c>
      <c r="J22" s="673" t="str">
        <f aca="false">IF(I22="","",SUMIF(RRE!$J$13:$J$24,OFÍCIO!$I22,RRE!$L$13:$L$24))</f>
        <v/>
      </c>
      <c r="K22" s="673" t="str">
        <f aca="false">IF(J22="","",SUMIF(RRE!$J$13:$J$24,OFÍCIO!$I22,RRE!$N$13:$N$24))</f>
        <v/>
      </c>
      <c r="L22" s="674" t="str">
        <f aca="false">IF(K22="","",SUMIF(RRE!$J$13:$J$24,OFÍCIO!$I22,RRE!$O$13:$O$24))</f>
        <v/>
      </c>
    </row>
    <row r="23" customFormat="false" ht="12.75" hidden="false" customHeight="false" outlineLevel="0" collapsed="false">
      <c r="B23" s="83"/>
      <c r="C23" s="83"/>
      <c r="D23" s="83"/>
      <c r="E23" s="83"/>
      <c r="F23" s="83"/>
      <c r="G23" s="83"/>
      <c r="I23" s="672" t="str">
        <f aca="false">IF(ROW(I23)-ROW(L$5)&gt;MAX(RRE!$V$13:$V$24),"",INDEX(RRE!$J$13:$J$24,MATCH(ROW(I23)-ROW(I$5),RRE!$V$13:$V$24,0)))</f>
        <v/>
      </c>
      <c r="J23" s="673" t="str">
        <f aca="false">IF(I23="","",SUMIF(RRE!$J$13:$J$24,OFÍCIO!$I23,RRE!$L$13:$L$24))</f>
        <v/>
      </c>
      <c r="K23" s="673" t="str">
        <f aca="false">IF(J23="","",SUMIF(RRE!$J$13:$J$24,OFÍCIO!$I23,RRE!$N$13:$N$24))</f>
        <v/>
      </c>
      <c r="L23" s="674" t="str">
        <f aca="false">IF(K23="","",SUMIF(RRE!$J$13:$J$24,OFÍCIO!$I23,RRE!$O$13:$O$24))</f>
        <v/>
      </c>
    </row>
    <row r="24" customFormat="false" ht="12.75" hidden="false" customHeight="true" outlineLevel="0" collapsed="false">
      <c r="B24" s="681" t="str">
        <f aca="false">CONCATENATE("1. Vimos pelo presente, solicitar à Caixa Econômica Federal autorização para ",IF(import.recurso="OGU","desbloqueio","desembolso")," da parcela de recursos relativa ao Contrato de ",IF(import.recurso="OGU","Repasse","Financiamento")," em referência, conforme valores abaixo discriminados e, para tanto, anexamos a documentação necessária ao pleito.")</f>
        <v>1. Vimos pelo presente, solicitar à Caixa Econômica Federal autorização para desbloqueio da parcela de recursos relativa ao Contrato de Repasse em referência, conforme valores abaixo discriminados e, para tanto, anexamos a documentação necessária ao pleito.</v>
      </c>
      <c r="C24" s="681"/>
      <c r="D24" s="681"/>
      <c r="E24" s="681"/>
      <c r="F24" s="681"/>
      <c r="G24" s="681"/>
      <c r="I24" s="672" t="str">
        <f aca="false">IF(ROW(I24)-ROW(L$5)&gt;MAX(RRE!$V$13:$V$24),"",INDEX(RRE!$J$13:$J$24,MATCH(ROW(I24)-ROW(I$5),RRE!$V$13:$V$24,0)))</f>
        <v/>
      </c>
      <c r="J24" s="673" t="str">
        <f aca="false">IF(I24="","",SUMIF(RRE!$J$13:$J$24,OFÍCIO!$I24,RRE!$L$13:$L$24))</f>
        <v/>
      </c>
      <c r="K24" s="673" t="str">
        <f aca="false">IF(J24="","",SUMIF(RRE!$J$13:$J$24,OFÍCIO!$I24,RRE!$N$13:$N$24))</f>
        <v/>
      </c>
      <c r="L24" s="674" t="str">
        <f aca="false">IF(K24="","",SUMIF(RRE!$J$13:$J$24,OFÍCIO!$I24,RRE!$O$13:$O$24))</f>
        <v/>
      </c>
    </row>
    <row r="25" customFormat="false" ht="12.75" hidden="false" customHeight="false" outlineLevel="0" collapsed="false">
      <c r="B25" s="681"/>
      <c r="C25" s="681"/>
      <c r="D25" s="681"/>
      <c r="E25" s="681"/>
      <c r="F25" s="681"/>
      <c r="G25" s="681"/>
      <c r="I25" s="672" t="str">
        <f aca="false">IF(ROW(I25)-ROW(L$5)&gt;MAX(RRE!$V$13:$V$24),"",INDEX(RRE!$J$13:$J$24,MATCH(ROW(I25)-ROW(I$5),RRE!$V$13:$V$24,0)))</f>
        <v/>
      </c>
      <c r="J25" s="673" t="str">
        <f aca="false">IF(I25="","",SUMIF(RRE!$J$13:$J$24,OFÍCIO!$I25,RRE!$L$13:$L$24))</f>
        <v/>
      </c>
      <c r="K25" s="673" t="str">
        <f aca="false">IF(J25="","",SUMIF(RRE!$J$13:$J$24,OFÍCIO!$I25,RRE!$N$13:$N$24))</f>
        <v/>
      </c>
      <c r="L25" s="674" t="str">
        <f aca="false">IF(K25="","",SUMIF(RRE!$J$13:$J$24,OFÍCIO!$I25,RRE!$O$13:$O$24))</f>
        <v/>
      </c>
    </row>
    <row r="26" customFormat="false" ht="12.75" hidden="false" customHeight="false" outlineLevel="0" collapsed="false">
      <c r="B26" s="681"/>
      <c r="C26" s="681"/>
      <c r="D26" s="681"/>
      <c r="E26" s="681"/>
      <c r="F26" s="681"/>
      <c r="G26" s="681"/>
      <c r="I26" s="672" t="str">
        <f aca="false">IF(ROW(I26)-ROW(L$5)&gt;MAX(RRE!$V$13:$V$24),"",INDEX(RRE!$J$13:$J$24,MATCH(ROW(I26)-ROW(I$5),RRE!$V$13:$V$24,0)))</f>
        <v/>
      </c>
      <c r="J26" s="673" t="str">
        <f aca="false">IF(I26="","",SUMIF(RRE!$J$13:$J$24,OFÍCIO!$I26,RRE!$L$13:$L$24))</f>
        <v/>
      </c>
      <c r="K26" s="673" t="str">
        <f aca="false">IF(J26="","",SUMIF(RRE!$J$13:$J$24,OFÍCIO!$I26,RRE!$N$13:$N$24))</f>
        <v/>
      </c>
      <c r="L26" s="674" t="str">
        <f aca="false">IF(K26="","",SUMIF(RRE!$J$13:$J$24,OFÍCIO!$I26,RRE!$O$13:$O$24))</f>
        <v/>
      </c>
    </row>
    <row r="27" customFormat="false" ht="12.75" hidden="false" customHeight="false" outlineLevel="0" collapsed="false">
      <c r="B27" s="83"/>
      <c r="C27" s="83"/>
      <c r="D27" s="83"/>
      <c r="E27" s="83"/>
      <c r="F27" s="83"/>
      <c r="G27" s="83"/>
      <c r="I27" s="672" t="str">
        <f aca="false">IF(ROW(I27)-ROW(L$5)&gt;MAX(RRE!$V$13:$V$24),"",INDEX(RRE!$J$13:$J$24,MATCH(ROW(I27)-ROW(I$5),RRE!$V$13:$V$24,0)))</f>
        <v/>
      </c>
      <c r="J27" s="673" t="str">
        <f aca="false">IF(I27="","",SUMIF(RRE!$J$13:$J$24,OFÍCIO!$I27,RRE!$L$13:$L$24))</f>
        <v/>
      </c>
      <c r="K27" s="673" t="str">
        <f aca="false">IF(J27="","",SUMIF(RRE!$J$13:$J$24,OFÍCIO!$I27,RRE!$N$13:$N$24))</f>
        <v/>
      </c>
      <c r="L27" s="674" t="str">
        <f aca="false">IF(K27="","",SUMIF(RRE!$J$13:$J$24,OFÍCIO!$I27,RRE!$O$13:$O$24))</f>
        <v/>
      </c>
    </row>
    <row r="28" customFormat="false" ht="12.75" hidden="false" customHeight="true" outlineLevel="0" collapsed="false">
      <c r="B28" s="684"/>
      <c r="C28" s="684"/>
      <c r="D28" s="685" t="s">
        <v>526</v>
      </c>
      <c r="E28" s="685" t="str">
        <f aca="true">"Evolução da "&amp;RRE.Numero&amp;"ª Medição"</f>
        <v>Evolução da 1ª Medição</v>
      </c>
      <c r="F28" s="686" t="s">
        <v>527</v>
      </c>
      <c r="G28" s="686"/>
      <c r="I28" s="672" t="str">
        <f aca="false">IF(ROW(I28)-ROW(L$5)&gt;MAX(RRE!$V$13:$V$24),"",INDEX(RRE!$J$13:$J$24,MATCH(ROW(I28)-ROW(I$5),RRE!$V$13:$V$24,0)))</f>
        <v/>
      </c>
      <c r="J28" s="673" t="str">
        <f aca="false">IF(I28="","",SUMIF(RRE!$J$13:$J$24,OFÍCIO!$I28,RRE!$L$13:$L$24))</f>
        <v/>
      </c>
      <c r="K28" s="673" t="str">
        <f aca="false">IF(J28="","",SUMIF(RRE!$J$13:$J$24,OFÍCIO!$I28,RRE!$N$13:$N$24))</f>
        <v/>
      </c>
      <c r="L28" s="674" t="str">
        <f aca="false">IF(K28="","",SUMIF(RRE!$J$13:$J$24,OFÍCIO!$I28,RRE!$O$13:$O$24))</f>
        <v/>
      </c>
    </row>
    <row r="29" customFormat="false" ht="12.75" hidden="false" customHeight="false" outlineLevel="0" collapsed="false">
      <c r="B29" s="684"/>
      <c r="C29" s="684"/>
      <c r="D29" s="685"/>
      <c r="E29" s="685"/>
      <c r="F29" s="686"/>
      <c r="G29" s="686"/>
      <c r="I29" s="672" t="str">
        <f aca="false">IF(ROW(I29)-ROW(L$5)&gt;MAX(RRE!$V$13:$V$24),"",INDEX(RRE!$J$13:$J$24,MATCH(ROW(I29)-ROW(I$5),RRE!$V$13:$V$24,0)))</f>
        <v/>
      </c>
      <c r="J29" s="673" t="str">
        <f aca="false">IF(I29="","",SUMIF(RRE!$J$13:$J$24,OFÍCIO!$I29,RRE!$L$13:$L$24))</f>
        <v/>
      </c>
      <c r="K29" s="673" t="str">
        <f aca="false">IF(J29="","",SUMIF(RRE!$J$13:$J$24,OFÍCIO!$I29,RRE!$N$13:$N$24))</f>
        <v/>
      </c>
      <c r="L29" s="674" t="str">
        <f aca="false">IF(K29="","",SUMIF(RRE!$J$13:$J$24,OFÍCIO!$I29,RRE!$O$13:$O$24))</f>
        <v/>
      </c>
    </row>
    <row r="30" customFormat="false" ht="12.75" hidden="false" customHeight="false" outlineLevel="0" collapsed="false">
      <c r="B30" s="687" t="str">
        <f aca="false">IF(import.recurso="FGTS","Financiamento:","Repasse:")</f>
        <v>Repasse:</v>
      </c>
      <c r="C30" s="687"/>
      <c r="D30" s="688" t="n">
        <f aca="false">RRE!L25</f>
        <v>0</v>
      </c>
      <c r="E30" s="688" t="e">
        <f aca="false">RRE!N25</f>
        <v>#DIV/0!</v>
      </c>
      <c r="F30" s="689" t="e">
        <f aca="false">RRE!O25</f>
        <v>#DIV/0!</v>
      </c>
      <c r="G30" s="689"/>
      <c r="I30" s="672" t="str">
        <f aca="false">IF(ROW(I30)-ROW(L$5)&gt;MAX(RRE!$V$13:$V$24),"",INDEX(RRE!$J$13:$J$24,MATCH(ROW(I30)-ROW(I$5),RRE!$V$13:$V$24,0)))</f>
        <v/>
      </c>
      <c r="J30" s="673" t="str">
        <f aca="false">IF(I30="","",SUMIF(RRE!$J$13:$J$24,OFÍCIO!$I30,RRE!$L$13:$L$24))</f>
        <v/>
      </c>
      <c r="K30" s="673" t="str">
        <f aca="false">IF(J30="","",SUMIF(RRE!$J$13:$J$24,OFÍCIO!$I30,RRE!$N$13:$N$24))</f>
        <v/>
      </c>
      <c r="L30" s="674" t="str">
        <f aca="false">IF(K30="","",SUMIF(RRE!$J$13:$J$24,OFÍCIO!$I30,RRE!$O$13:$O$24))</f>
        <v/>
      </c>
    </row>
    <row r="31" customFormat="false" ht="12.75" hidden="false" customHeight="false" outlineLevel="0" collapsed="false">
      <c r="B31" s="687" t="s">
        <v>528</v>
      </c>
      <c r="C31" s="687"/>
      <c r="D31" s="688" t="n">
        <f aca="false">RRE!L26</f>
        <v>0</v>
      </c>
      <c r="E31" s="688" t="e">
        <f aca="false">RRE!N26</f>
        <v>#DIV/0!</v>
      </c>
      <c r="F31" s="689" t="e">
        <f aca="false">RRE!O26</f>
        <v>#DIV/0!</v>
      </c>
      <c r="G31" s="689"/>
      <c r="I31" s="672" t="str">
        <f aca="false">IF(ROW(I31)-ROW(L$5)&gt;MAX(RRE!$V$13:$V$24),"",INDEX(RRE!$J$13:$J$24,MATCH(ROW(I31)-ROW(I$5),RRE!$V$13:$V$24,0)))</f>
        <v/>
      </c>
      <c r="J31" s="673" t="str">
        <f aca="false">IF(I31="","",SUMIF(RRE!$J$13:$J$24,OFÍCIO!$I31,RRE!$L$13:$L$24))</f>
        <v/>
      </c>
      <c r="K31" s="673" t="str">
        <f aca="false">IF(J31="","",SUMIF(RRE!$J$13:$J$24,OFÍCIO!$I31,RRE!$N$13:$N$24))</f>
        <v/>
      </c>
      <c r="L31" s="674" t="str">
        <f aca="false">IF(K31="","",SUMIF(RRE!$J$13:$J$24,OFÍCIO!$I31,RRE!$O$13:$O$24))</f>
        <v/>
      </c>
    </row>
    <row r="32" customFormat="false" ht="12.75" hidden="false" customHeight="false" outlineLevel="0" collapsed="false">
      <c r="B32" s="687" t="s">
        <v>414</v>
      </c>
      <c r="C32" s="687"/>
      <c r="D32" s="688" t="n">
        <f aca="false">RRE!L27</f>
        <v>0</v>
      </c>
      <c r="E32" s="688" t="e">
        <f aca="false">RRE!N27</f>
        <v>#DIV/0!</v>
      </c>
      <c r="F32" s="689" t="e">
        <f aca="false">RRE!O27</f>
        <v>#DIV/0!</v>
      </c>
      <c r="G32" s="689"/>
      <c r="I32" s="672" t="str">
        <f aca="false">IF(ROW(I32)-ROW(L$5)&gt;MAX(RRE!$V$13:$V$24),"",INDEX(RRE!$J$13:$J$24,MATCH(ROW(I32)-ROW(I$5),RRE!$V$13:$V$24,0)))</f>
        <v/>
      </c>
      <c r="J32" s="673" t="str">
        <f aca="false">IF(I32="","",SUMIF(RRE!$J$13:$J$24,OFÍCIO!$I32,RRE!$L$13:$L$24))</f>
        <v/>
      </c>
      <c r="K32" s="673" t="str">
        <f aca="false">IF(J32="","",SUMIF(RRE!$J$13:$J$24,OFÍCIO!$I32,RRE!$N$13:$N$24))</f>
        <v/>
      </c>
      <c r="L32" s="674" t="str">
        <f aca="false">IF(K32="","",SUMIF(RRE!$J$13:$J$24,OFÍCIO!$I32,RRE!$O$13:$O$24))</f>
        <v/>
      </c>
    </row>
    <row r="33" customFormat="false" ht="12.75" hidden="false" customHeight="false" outlineLevel="0" collapsed="false">
      <c r="B33" s="687" t="s">
        <v>415</v>
      </c>
      <c r="C33" s="687"/>
      <c r="D33" s="688" t="n">
        <f aca="false">RRE!L28</f>
        <v>0</v>
      </c>
      <c r="E33" s="688" t="e">
        <f aca="false">RRE!N28</f>
        <v>#DIV/0!</v>
      </c>
      <c r="F33" s="689" t="e">
        <f aca="false">RRE!O28</f>
        <v>#DIV/0!</v>
      </c>
      <c r="G33" s="689"/>
      <c r="I33" s="672" t="str">
        <f aca="false">IF(ROW(I33)-ROW(L$5)&gt;MAX(RRE!$V$13:$V$24),"",INDEX(RRE!$J$13:$J$24,MATCH(ROW(I33)-ROW(I$5),RRE!$V$13:$V$24,0)))</f>
        <v/>
      </c>
      <c r="J33" s="673" t="str">
        <f aca="false">IF(I33="","",SUMIF(RRE!$J$13:$J$24,OFÍCIO!$I33,RRE!$L$13:$L$24))</f>
        <v/>
      </c>
      <c r="K33" s="673" t="str">
        <f aca="false">IF(J33="","",SUMIF(RRE!$J$13:$J$24,OFÍCIO!$I33,RRE!$N$13:$N$24))</f>
        <v/>
      </c>
      <c r="L33" s="674" t="str">
        <f aca="false">IF(K33="","",SUMIF(RRE!$J$13:$J$24,OFÍCIO!$I33,RRE!$O$13:$O$24))</f>
        <v/>
      </c>
    </row>
    <row r="34" customFormat="false" ht="12.75" hidden="false" customHeight="false" outlineLevel="0" collapsed="false">
      <c r="B34" s="690" t="s">
        <v>529</v>
      </c>
      <c r="C34" s="690"/>
      <c r="D34" s="691" t="s">
        <v>218</v>
      </c>
      <c r="E34" s="692" t="e">
        <f aca="false">RRE!$N$28/(RRE!$L$28+10^-12)</f>
        <v>#DIV/0!</v>
      </c>
      <c r="F34" s="693" t="e">
        <f aca="false">RRE!P24</f>
        <v>#DIV/0!</v>
      </c>
      <c r="G34" s="693"/>
      <c r="I34" s="672" t="str">
        <f aca="false">IF(ROW(I34)-ROW(L$5)&gt;MAX(RRE!$V$13:$V$24),"",INDEX(RRE!$J$13:$J$24,MATCH(ROW(I34)-ROW(I$5),RRE!$V$13:$V$24,0)))</f>
        <v/>
      </c>
      <c r="J34" s="673" t="str">
        <f aca="false">IF(I34="","",SUMIF(RRE!$J$13:$J$24,OFÍCIO!$I34,RRE!$L$13:$L$24))</f>
        <v/>
      </c>
      <c r="K34" s="673" t="str">
        <f aca="false">IF(J34="","",SUMIF(RRE!$J$13:$J$24,OFÍCIO!$I34,RRE!$N$13:$N$24))</f>
        <v/>
      </c>
      <c r="L34" s="674" t="str">
        <f aca="false">IF(K34="","",SUMIF(RRE!$J$13:$J$24,OFÍCIO!$I34,RRE!$O$13:$O$24))</f>
        <v/>
      </c>
    </row>
    <row r="35" customFormat="false" ht="12.75" hidden="false" customHeight="false" outlineLevel="0" collapsed="false">
      <c r="B35" s="242"/>
      <c r="C35" s="83"/>
      <c r="D35" s="83"/>
      <c r="E35" s="83"/>
      <c r="F35" s="83"/>
      <c r="G35" s="83"/>
      <c r="I35" s="672" t="str">
        <f aca="false">IF(ROW(I35)-ROW(L$5)&gt;MAX(RRE!$V$13:$V$24),"",INDEX(RRE!$J$13:$J$24,MATCH(ROW(I35)-ROW(I$5),RRE!$V$13:$V$24,0)))</f>
        <v/>
      </c>
      <c r="J35" s="673" t="str">
        <f aca="false">IF(I35="","",SUMIF(RRE!$J$13:$J$24,OFÍCIO!$I35,RRE!$L$13:$L$24))</f>
        <v/>
      </c>
      <c r="K35" s="673" t="str">
        <f aca="false">IF(J35="","",SUMIF(RRE!$J$13:$J$24,OFÍCIO!$I35,RRE!$N$13:$N$24))</f>
        <v/>
      </c>
      <c r="L35" s="674" t="str">
        <f aca="false">IF(K35="","",SUMIF(RRE!$J$13:$J$24,OFÍCIO!$I35,RRE!$O$13:$O$24))</f>
        <v/>
      </c>
    </row>
    <row r="36" customFormat="false" ht="12.75" hidden="false" customHeight="false" outlineLevel="0" collapsed="false">
      <c r="B36" s="242"/>
      <c r="C36" s="242"/>
      <c r="D36" s="242"/>
      <c r="E36" s="242"/>
      <c r="F36" s="242"/>
      <c r="G36" s="83"/>
      <c r="I36" s="672" t="str">
        <f aca="false">IF(ROW(I36)-ROW(L$5)&gt;MAX(RRE!$V$13:$V$24),"",INDEX(RRE!$J$13:$J$24,MATCH(ROW(I36)-ROW(I$5),RRE!$V$13:$V$24,0)))</f>
        <v/>
      </c>
      <c r="J36" s="673" t="str">
        <f aca="false">IF(I36="","",SUMIF(RRE!$J$13:$J$24,OFÍCIO!$I36,RRE!$L$13:$L$24))</f>
        <v/>
      </c>
      <c r="K36" s="673" t="str">
        <f aca="false">IF(J36="","",SUMIF(RRE!$J$13:$J$24,OFÍCIO!$I36,RRE!$N$13:$N$24))</f>
        <v/>
      </c>
      <c r="L36" s="674" t="str">
        <f aca="false">IF(K36="","",SUMIF(RRE!$J$13:$J$24,OFÍCIO!$I36,RRE!$O$13:$O$24))</f>
        <v/>
      </c>
    </row>
    <row r="37" customFormat="false" ht="12.75" hidden="false" customHeight="false" outlineLevel="0" collapsed="false">
      <c r="B37" s="694" t="str">
        <f aca="true">IF(RRE.Numero&gt;1,"2. Encaminhamos ainda a documentação relativa à prestação de contas da etapa físico-financeira anterior.","")</f>
        <v/>
      </c>
      <c r="C37" s="694"/>
      <c r="D37" s="694"/>
      <c r="E37" s="694"/>
      <c r="F37" s="694"/>
      <c r="G37" s="694"/>
      <c r="I37" s="672" t="str">
        <f aca="false">IF(ROW(I37)-ROW(L$5)&gt;MAX(RRE!$V$13:$V$24),"",INDEX(RRE!$J$13:$J$24,MATCH(ROW(I37)-ROW(I$5),RRE!$V$13:$V$24,0)))</f>
        <v/>
      </c>
      <c r="J37" s="673" t="str">
        <f aca="false">IF(I37="","",SUMIF(RRE!$J$13:$J$24,OFÍCIO!$I37,RRE!$L$13:$L$24))</f>
        <v/>
      </c>
      <c r="K37" s="673" t="str">
        <f aca="false">IF(J37="","",SUMIF(RRE!$J$13:$J$24,OFÍCIO!$I37,RRE!$N$13:$N$24))</f>
        <v/>
      </c>
      <c r="L37" s="674" t="str">
        <f aca="false">IF(K37="","",SUMIF(RRE!$J$13:$J$24,OFÍCIO!$I37,RRE!$O$13:$O$24))</f>
        <v/>
      </c>
    </row>
    <row r="38" customFormat="false" ht="12.75" hidden="false" customHeight="false" outlineLevel="0" collapsed="false">
      <c r="B38" s="694"/>
      <c r="C38" s="694"/>
      <c r="D38" s="694"/>
      <c r="E38" s="694"/>
      <c r="F38" s="694"/>
      <c r="G38" s="694"/>
      <c r="I38" s="672" t="str">
        <f aca="false">IF(ROW(I38)-ROW(L$5)&gt;MAX(RRE!$V$13:$V$24),"",INDEX(RRE!$J$13:$J$24,MATCH(ROW(I38)-ROW(I$5),RRE!$V$13:$V$24,0)))</f>
        <v/>
      </c>
      <c r="J38" s="673" t="str">
        <f aca="false">IF(I38="","",SUMIF(RRE!$J$13:$J$24,OFÍCIO!$I38,RRE!$L$13:$L$24))</f>
        <v/>
      </c>
      <c r="K38" s="673" t="str">
        <f aca="false">IF(J38="","",SUMIF(RRE!$J$13:$J$24,OFÍCIO!$I38,RRE!$N$13:$N$24))</f>
        <v/>
      </c>
      <c r="L38" s="674" t="str">
        <f aca="false">IF(K38="","",SUMIF(RRE!$J$13:$J$24,OFÍCIO!$I38,RRE!$O$13:$O$24))</f>
        <v/>
      </c>
    </row>
    <row r="39" customFormat="false" ht="12.75" hidden="false" customHeight="true" outlineLevel="0" collapsed="false">
      <c r="B39" s="694" t="str">
        <f aca="true">IF(AND(RRE.Numero&gt;1,NOT(ISBLANK(Import.TransfereGOV))),"3. Na oportunidade, informamos que a execução financeira da parcela anterior está devidamente comprovada no TransfereGOV.","")</f>
        <v/>
      </c>
      <c r="C39" s="694"/>
      <c r="D39" s="694"/>
      <c r="E39" s="694"/>
      <c r="F39" s="694"/>
      <c r="G39" s="694"/>
      <c r="I39" s="672" t="str">
        <f aca="false">IF(ROW(I39)-ROW(L$5)&gt;MAX(RRE!$V$13:$V$24),"",INDEX(RRE!$J$13:$J$24,MATCH(ROW(I39)-ROW(I$5),RRE!$V$13:$V$24,0)))</f>
        <v/>
      </c>
      <c r="J39" s="673" t="str">
        <f aca="false">IF(I39="","",SUMIF(RRE!$J$13:$J$24,OFÍCIO!$I39,RRE!$L$13:$L$24))</f>
        <v/>
      </c>
      <c r="K39" s="673" t="str">
        <f aca="false">IF(J39="","",SUMIF(RRE!$J$13:$J$24,OFÍCIO!$I39,RRE!$N$13:$N$24))</f>
        <v/>
      </c>
      <c r="L39" s="674" t="str">
        <f aca="false">IF(K39="","",SUMIF(RRE!$J$13:$J$24,OFÍCIO!$I39,RRE!$O$13:$O$24))</f>
        <v/>
      </c>
    </row>
    <row r="40" customFormat="false" ht="12.75" hidden="false" customHeight="false" outlineLevel="0" collapsed="false">
      <c r="B40" s="694"/>
      <c r="C40" s="694"/>
      <c r="D40" s="694"/>
      <c r="E40" s="694"/>
      <c r="F40" s="694"/>
      <c r="G40" s="694"/>
      <c r="I40" s="672" t="str">
        <f aca="false">IF(ROW(I40)-ROW(L$5)&gt;MAX(RRE!$V$13:$V$24),"",INDEX(RRE!$J$13:$J$24,MATCH(ROW(I40)-ROW(I$5),RRE!$V$13:$V$24,0)))</f>
        <v/>
      </c>
      <c r="J40" s="673" t="str">
        <f aca="false">IF(I40="","",SUMIF(RRE!$J$13:$J$24,OFÍCIO!$I40,RRE!$L$13:$L$24))</f>
        <v/>
      </c>
      <c r="K40" s="673" t="str">
        <f aca="false">IF(J40="","",SUMIF(RRE!$J$13:$J$24,OFÍCIO!$I40,RRE!$N$13:$N$24))</f>
        <v/>
      </c>
      <c r="L40" s="674" t="str">
        <f aca="false">IF(K40="","",SUMIF(RRE!$J$13:$J$24,OFÍCIO!$I40,RRE!$O$13:$O$24))</f>
        <v/>
      </c>
    </row>
    <row r="41" customFormat="false" ht="12.75" hidden="false" customHeight="false" outlineLevel="0" collapsed="false">
      <c r="B41" s="695"/>
      <c r="C41" s="679"/>
      <c r="D41" s="679"/>
      <c r="E41" s="679"/>
      <c r="F41" s="679"/>
      <c r="G41" s="679"/>
      <c r="I41" s="672" t="str">
        <f aca="false">IF(ROW(I41)-ROW(L$5)&gt;MAX(RRE!$V$13:$V$24),"",INDEX(RRE!$J$13:$J$24,MATCH(ROW(I41)-ROW(I$5),RRE!$V$13:$V$24,0)))</f>
        <v/>
      </c>
      <c r="J41" s="673" t="str">
        <f aca="false">IF(I41="","",SUMIF(RRE!$J$13:$J$24,OFÍCIO!$I41,RRE!$L$13:$L$24))</f>
        <v/>
      </c>
      <c r="K41" s="673" t="str">
        <f aca="false">IF(J41="","",SUMIF(RRE!$J$13:$J$24,OFÍCIO!$I41,RRE!$N$13:$N$24))</f>
        <v/>
      </c>
      <c r="L41" s="674" t="str">
        <f aca="false">IF(K41="","",SUMIF(RRE!$J$13:$J$24,OFÍCIO!$I41,RRE!$O$13:$O$24))</f>
        <v/>
      </c>
    </row>
    <row r="42" customFormat="false" ht="12.75" hidden="false" customHeight="true" outlineLevel="0" collapsed="false">
      <c r="B42" s="694" t="str">
        <f aca="false">IF($B$37="",0,1)+IF($B$39="",0,1)+2&amp;". Informamos também a manutenção da Placa de Obra em local visível e de acordo com padrão estabelecido pela Presidência da República, constante do Manual Visual de Placas e Adesivos de Obra."</f>
        <v>2. Informamos também a manutenção da Placa de Obra em local visível e de acordo com padrão estabelecido pela Presidência da República, constante do Manual Visual de Placas e Adesivos de Obra.</v>
      </c>
      <c r="C42" s="694"/>
      <c r="D42" s="694"/>
      <c r="E42" s="694"/>
      <c r="F42" s="694"/>
      <c r="G42" s="694"/>
      <c r="I42" s="672" t="str">
        <f aca="false">IF(ROW(I42)-ROW(L$5)&gt;MAX(RRE!$V$13:$V$24),"",INDEX(RRE!$J$13:$J$24,MATCH(ROW(I42)-ROW(I$5),RRE!$V$13:$V$24,0)))</f>
        <v/>
      </c>
      <c r="J42" s="673" t="str">
        <f aca="false">IF(I42="","",SUMIF(RRE!$J$13:$J$24,OFÍCIO!$I42,RRE!$L$13:$L$24))</f>
        <v/>
      </c>
      <c r="K42" s="673" t="str">
        <f aca="false">IF(J42="","",SUMIF(RRE!$J$13:$J$24,OFÍCIO!$I42,RRE!$N$13:$N$24))</f>
        <v/>
      </c>
      <c r="L42" s="674" t="str">
        <f aca="false">IF(K42="","",SUMIF(RRE!$J$13:$J$24,OFÍCIO!$I42,RRE!$O$13:$O$24))</f>
        <v/>
      </c>
    </row>
    <row r="43" customFormat="false" ht="12.75" hidden="false" customHeight="false" outlineLevel="0" collapsed="false">
      <c r="B43" s="694"/>
      <c r="C43" s="694"/>
      <c r="D43" s="694"/>
      <c r="E43" s="694"/>
      <c r="F43" s="694"/>
      <c r="G43" s="694"/>
      <c r="I43" s="672" t="str">
        <f aca="false">IF(ROW(I43)-ROW(L$5)&gt;MAX(RRE!$V$13:$V$24),"",INDEX(RRE!$J$13:$J$24,MATCH(ROW(I43)-ROW(I$5),RRE!$V$13:$V$24,0)))</f>
        <v/>
      </c>
      <c r="J43" s="673" t="str">
        <f aca="false">IF(I43="","",SUMIF(RRE!$J$13:$J$24,OFÍCIO!$I43,RRE!$L$13:$L$24))</f>
        <v/>
      </c>
      <c r="K43" s="673" t="str">
        <f aca="false">IF(J43="","",SUMIF(RRE!$J$13:$J$24,OFÍCIO!$I43,RRE!$N$13:$N$24))</f>
        <v/>
      </c>
      <c r="L43" s="674" t="str">
        <f aca="false">IF(K43="","",SUMIF(RRE!$J$13:$J$24,OFÍCIO!$I43,RRE!$O$13:$O$24))</f>
        <v/>
      </c>
    </row>
    <row r="44" customFormat="false" ht="12.75" hidden="false" customHeight="false" outlineLevel="0" collapsed="false">
      <c r="B44" s="694"/>
      <c r="C44" s="694"/>
      <c r="D44" s="694"/>
      <c r="E44" s="694"/>
      <c r="F44" s="694"/>
      <c r="G44" s="694"/>
      <c r="I44" s="672" t="str">
        <f aca="false">IF(ROW(I44)-ROW(L$5)&gt;MAX(RRE!$V$13:$V$24),"",INDEX(RRE!$J$13:$J$24,MATCH(ROW(I44)-ROW(I$5),RRE!$V$13:$V$24,0)))</f>
        <v/>
      </c>
      <c r="J44" s="673" t="str">
        <f aca="false">IF(I44="","",SUMIF(RRE!$J$13:$J$24,OFÍCIO!$I44,RRE!$L$13:$L$24))</f>
        <v/>
      </c>
      <c r="K44" s="673" t="str">
        <f aca="false">IF(J44="","",SUMIF(RRE!$J$13:$J$24,OFÍCIO!$I44,RRE!$N$13:$N$24))</f>
        <v/>
      </c>
      <c r="L44" s="674" t="str">
        <f aca="false">IF(K44="","",SUMIF(RRE!$J$13:$J$24,OFÍCIO!$I44,RRE!$O$13:$O$24))</f>
        <v/>
      </c>
    </row>
    <row r="45" customFormat="false" ht="12.75" hidden="false" customHeight="false" outlineLevel="0" collapsed="false">
      <c r="B45" s="694"/>
      <c r="C45" s="694"/>
      <c r="D45" s="694"/>
      <c r="E45" s="694"/>
      <c r="F45" s="694"/>
      <c r="G45" s="694"/>
      <c r="I45" s="672" t="str">
        <f aca="false">IF(ROW(I45)-ROW(L$5)&gt;MAX(RRE!$V$13:$V$24),"",INDEX(RRE!$J$13:$J$24,MATCH(ROW(I45)-ROW(I$5),RRE!$V$13:$V$24,0)))</f>
        <v/>
      </c>
      <c r="J45" s="673" t="str">
        <f aca="false">IF(I45="","",SUMIF(RRE!$J$13:$J$24,OFÍCIO!$I45,RRE!$L$13:$L$24))</f>
        <v/>
      </c>
      <c r="K45" s="673" t="str">
        <f aca="false">IF(J45="","",SUMIF(RRE!$J$13:$J$24,OFÍCIO!$I45,RRE!$N$13:$N$24))</f>
        <v/>
      </c>
      <c r="L45" s="674" t="str">
        <f aca="false">IF(K45="","",SUMIF(RRE!$J$13:$J$24,OFÍCIO!$I45,RRE!$O$13:$O$24))</f>
        <v/>
      </c>
    </row>
    <row r="46" customFormat="false" ht="12.75" hidden="false" customHeight="false" outlineLevel="0" collapsed="false">
      <c r="B46" s="694"/>
      <c r="C46" s="694"/>
      <c r="D46" s="694"/>
      <c r="E46" s="694"/>
      <c r="F46" s="694"/>
      <c r="G46" s="694"/>
      <c r="I46" s="696" t="str">
        <f aca="false">IF(ROW(I46)-ROW(L$5)&gt;MAX(RRE!$V$13:$V$24),"",INDEX(RRE!$J$13:$J$24,MATCH(ROW(I46)-ROW(I$5),RRE!$V$13:$V$24,0)))</f>
        <v/>
      </c>
      <c r="J46" s="697" t="str">
        <f aca="false">IF(I46="","",SUMIF(RRE!$J$13:$J$24,OFÍCIO!$I46,RRE!$L$13:$L$24))</f>
        <v/>
      </c>
      <c r="K46" s="697" t="str">
        <f aca="false">IF(J46="","",SUMIF(RRE!$J$13:$J$24,OFÍCIO!$I46,RRE!$N$13:$N$24))</f>
        <v/>
      </c>
      <c r="L46" s="698" t="str">
        <f aca="false">IF(K46="","",SUMIF(RRE!$J$13:$J$24,OFÍCIO!$I46,RRE!$O$13:$O$24))</f>
        <v/>
      </c>
    </row>
    <row r="47" customFormat="false" ht="12.75" hidden="false" customHeight="false" outlineLevel="0" collapsed="false">
      <c r="G47" s="484"/>
    </row>
    <row r="48" customFormat="false" ht="12.75" hidden="false" customHeight="false" outlineLevel="0" collapsed="false">
      <c r="G48" s="484"/>
    </row>
    <row r="49" customFormat="false" ht="12.75" hidden="false" customHeight="false" outlineLevel="0" collapsed="false">
      <c r="B49" s="83" t="s">
        <v>530</v>
      </c>
      <c r="G49" s="484"/>
    </row>
    <row r="50" customFormat="false" ht="12.75" hidden="false" customHeight="false" outlineLevel="0" collapsed="false">
      <c r="B50" s="484"/>
      <c r="C50" s="484"/>
      <c r="D50" s="484"/>
      <c r="E50" s="484"/>
      <c r="F50" s="484"/>
      <c r="G50" s="484"/>
    </row>
    <row r="51" customFormat="false" ht="12.75" hidden="false" customHeight="false" outlineLevel="0" collapsed="false">
      <c r="B51" s="83"/>
      <c r="C51" s="83"/>
      <c r="D51" s="83"/>
      <c r="E51" s="83"/>
      <c r="F51" s="83"/>
      <c r="G51" s="83"/>
    </row>
    <row r="52" customFormat="false" ht="12.75" hidden="false" customHeight="false" outlineLevel="0" collapsed="false">
      <c r="B52" s="83"/>
      <c r="C52" s="83"/>
      <c r="D52" s="83"/>
      <c r="E52" s="83"/>
      <c r="F52" s="83"/>
      <c r="G52" s="83"/>
    </row>
    <row r="53" customFormat="false" ht="12.75" hidden="false" customHeight="false" outlineLevel="0" collapsed="false">
      <c r="B53" s="699"/>
      <c r="C53" s="699"/>
      <c r="D53" s="699"/>
      <c r="E53" s="83"/>
      <c r="F53" s="83"/>
      <c r="G53" s="83"/>
    </row>
    <row r="54" customFormat="false" ht="12.75" hidden="false" customHeight="false" outlineLevel="0" collapsed="false">
      <c r="B54" s="700" t="n">
        <f aca="false">DADOS!$F$28</f>
        <v>0</v>
      </c>
      <c r="C54" s="700"/>
      <c r="D54" s="700"/>
      <c r="E54" s="700"/>
      <c r="F54" s="700"/>
      <c r="G54" s="700"/>
    </row>
    <row r="55" customFormat="false" ht="12.75" hidden="false" customHeight="false" outlineLevel="0" collapsed="false">
      <c r="B55" s="700" t="n">
        <f aca="false">DADOS!$F$29</f>
        <v>0</v>
      </c>
      <c r="C55" s="700"/>
      <c r="D55" s="700"/>
      <c r="E55" s="700"/>
      <c r="F55" s="700"/>
      <c r="G55" s="700"/>
    </row>
    <row r="56" customFormat="false" ht="12.75" hidden="false" customHeight="false" outlineLevel="0" collapsed="false">
      <c r="B56" s="700"/>
      <c r="C56" s="700"/>
      <c r="D56" s="700"/>
      <c r="E56" s="700"/>
      <c r="F56" s="700"/>
      <c r="G56" s="700"/>
    </row>
  </sheetData>
  <sheetProtection algorithmName="SHA-512" hashValue="YjMpdP9dKpnIqsVwTsTIA5x706cY8tKJvN7tE5lyTjtIcQSlcjNYzn6xcO0VKi49G5iTMh9nnmrNB7ZnZ/SpZg==" saltValue="QTskv9jCpvOmE7LhXhCtgw==" spinCount="100000" sheet="true" objects="true" scenarios="true" autoFilter="false"/>
  <mergeCells count="34">
    <mergeCell ref="B1:C4"/>
    <mergeCell ref="I4:I5"/>
    <mergeCell ref="J4:J5"/>
    <mergeCell ref="K4:K5"/>
    <mergeCell ref="L4:L5"/>
    <mergeCell ref="C6:D6"/>
    <mergeCell ref="B8:G8"/>
    <mergeCell ref="B10:D10"/>
    <mergeCell ref="C11:D11"/>
    <mergeCell ref="C14:G14"/>
    <mergeCell ref="C15:G16"/>
    <mergeCell ref="C18:G18"/>
    <mergeCell ref="B19:B20"/>
    <mergeCell ref="C19:G20"/>
    <mergeCell ref="B24:G26"/>
    <mergeCell ref="B28:C29"/>
    <mergeCell ref="D28:D29"/>
    <mergeCell ref="E28:E29"/>
    <mergeCell ref="F28:G29"/>
    <mergeCell ref="B30:C30"/>
    <mergeCell ref="F30:G30"/>
    <mergeCell ref="B31:C31"/>
    <mergeCell ref="F31:G31"/>
    <mergeCell ref="B32:C32"/>
    <mergeCell ref="F32:G32"/>
    <mergeCell ref="B33:C33"/>
    <mergeCell ref="F33:G33"/>
    <mergeCell ref="B34:C34"/>
    <mergeCell ref="F34:G34"/>
    <mergeCell ref="B37:G38"/>
    <mergeCell ref="B39:G40"/>
    <mergeCell ref="B42:G46"/>
    <mergeCell ref="B54:G54"/>
    <mergeCell ref="B55:G56"/>
  </mergeCells>
  <conditionalFormatting sqref="D30:D33 F30:G33">
    <cfRule type="cellIs" priority="2" operator="notBetween" aboveAverage="0" equalAverage="0" bottom="0" percent="0" rank="0" text="" dxfId="454">
      <formula>0</formula>
      <formula>D$33</formula>
    </cfRule>
  </conditionalFormatting>
  <dataValidations count="1">
    <dataValidation allowBlank="true" errorStyle="stop" operator="between" showDropDown="false" showErrorMessage="true" showInputMessage="false" sqref="B11" type="list">
      <formula1>"GIGOV,SR"</formula1>
      <formula2>0</formula2>
    </dataValidation>
  </dataValidations>
  <printOptions headings="false" gridLines="false" gridLinesSet="true" horizontalCentered="false" verticalCentered="false"/>
  <pageMargins left="0.7875" right="0.7875" top="0.786805555555556" bottom="0.786805555555556" header="5.70833333333333" footer="0.590277777777778"/>
  <pageSetup paperSize="9" scale="97" fitToWidth="1" fitToHeight="1" pageOrder="downThenOver" orientation="portrait" blackAndWhite="false" draft="false" cellComments="none" horizontalDpi="300" verticalDpi="300" copies="1"/>
  <headerFooter differentFirst="false" differentOddEven="false">
    <oddHeader>&amp;L_</oddHeader>
    <oddFooter>&amp;LPMv3.0.6&amp;R&amp;P /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143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1997-01-10T22:22:50Z</dcterms:created>
  <dc:creator>Microsoft</dc:creator>
  <dc:description/>
  <dc:language>en-US</dc:language>
  <cp:lastModifiedBy>User</cp:lastModifiedBy>
  <cp:lastPrinted>2024-11-27T16:45:53Z</cp:lastPrinted>
  <dcterms:modified xsi:type="dcterms:W3CDTF">2025-07-08T13:08:21Z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ActionId">
    <vt:lpwstr>a35afa61-0e86-4f3f-84ac-6edb60dde1d6</vt:lpwstr>
  </property>
  <property fmtid="{D5CDD505-2E9C-101B-9397-08002B2CF9AE}" pid="3" name="MSIP_Label_fde7aacd-7cc4-4c31-9e6f-7ef306428f09_ContentBits">
    <vt:lpwstr>1</vt:lpwstr>
  </property>
  <property fmtid="{D5CDD505-2E9C-101B-9397-08002B2CF9AE}" pid="4" name="MSIP_Label_fde7aacd-7cc4-4c31-9e6f-7ef306428f09_Enabled">
    <vt:lpwstr>true</vt:lpwstr>
  </property>
  <property fmtid="{D5CDD505-2E9C-101B-9397-08002B2CF9AE}" pid="5" name="MSIP_Label_fde7aacd-7cc4-4c31-9e6f-7ef306428f09_Method">
    <vt:lpwstr>Privileged</vt:lpwstr>
  </property>
  <property fmtid="{D5CDD505-2E9C-101B-9397-08002B2CF9AE}" pid="6" name="MSIP_Label_fde7aacd-7cc4-4c31-9e6f-7ef306428f09_Name">
    <vt:lpwstr>_PUBLICO</vt:lpwstr>
  </property>
  <property fmtid="{D5CDD505-2E9C-101B-9397-08002B2CF9AE}" pid="7" name="MSIP_Label_fde7aacd-7cc4-4c31-9e6f-7ef306428f09_SetDate">
    <vt:lpwstr>2023-11-21T19:16:23Z</vt:lpwstr>
  </property>
  <property fmtid="{D5CDD505-2E9C-101B-9397-08002B2CF9AE}" pid="8" name="MSIP_Label_fde7aacd-7cc4-4c31-9e6f-7ef306428f09_SiteId">
    <vt:lpwstr>ab9bba98-684a-43fb-add8-9c2bebede229</vt:lpwstr>
  </property>
</Properties>
</file>