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E:\DESPRO\CARMO DO CAJURU\6ªENTREGA\1-ORÇAMENTO\1-ORÇAMENTO\"/>
    </mc:Choice>
  </mc:AlternateContent>
  <xr:revisionPtr revIDLastSave="0" documentId="8_{15A80A5A-4AF7-46D1-B5D3-47185965CE31}" xr6:coauthVersionLast="47" xr6:coauthVersionMax="47" xr10:uidLastSave="{00000000-0000-0000-0000-000000000000}"/>
  <bookViews>
    <workbookView xWindow="-120" yWindow="-120" windowWidth="29040" windowHeight="15720" xr2:uid="{41509AE7-27BE-45D3-B952-E0A5834B7E85}"/>
  </bookViews>
  <sheets>
    <sheet name="PO-BM" sheetId="1" r:id="rId1"/>
    <sheet name="CFF-BM" sheetId="2" r:id="rId2"/>
  </sheets>
  <externalReferences>
    <externalReference r:id="rId3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BDI.Opcao" hidden="1">[1]DADOS!$C$18</definedName>
    <definedName name="BDI.TipoObra" hidden="1">[1]BDI!$A$138:$A$146</definedName>
    <definedName name="BDI_1.Título" hidden="1">[1]BDI!$J$14</definedName>
    <definedName name="BDI_2.Título" hidden="1">[1]BDI!$J$54</definedName>
    <definedName name="BDI_3.Título" hidden="1">[1]BDI!$J$94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FrentesPreenchidas" hidden="1">[1]CÁLCULO!$M$1</definedName>
    <definedName name="CÁLCULO.NúmeroDeEventos" hidden="1">IF(AUTOEVENTO&lt;&gt;"manual",MAX([1]CÁLCULO!$M$15:$M$1258),MAX(OFFSET([1]EVENTOS!$C$1:$C$49,1,0)))</definedName>
    <definedName name="CÁLCULO.NúmeroDeFrentes" hidden="1">COLUMN([1]CÁLCULO!$AQ$15)-COLUMN([1]CÁLCULO!$Q$15)</definedName>
    <definedName name="CÁLCULO.TotalAdmLocal" hidden="1">IF(AUTOEVENTO="manual",SUMIF([1]CÁLCULO!$M$15:$M$1258,1,[1]ORÇAMENTO!$X$15:$X$1258),0)</definedName>
    <definedName name="CRONO.LinhasNecessarias" hidden="1">COUNTIF([1]QCI!$B$13:$B$15,"Manual")+COUNTIF([1]QCI!$B$13:$B$15,"SemiAuto")+COUNT(ORÇAMENTO.ListaCrono)</definedName>
    <definedName name="CRONO.Lista.AdmLocal" hidden="1">[1]CRONO!$A$13:$A$98</definedName>
    <definedName name="CRONO.Lista.Níveis" hidden="1">[1]CRONO!$A$9:$A$11</definedName>
    <definedName name="CRONO.MaxParc" hidden="1">[1]CRONO!$H1048576+[1]CRONO!A1</definedName>
    <definedName name="CRONO.NivelExibicao" hidden="1">[1]CRONO!$H$10</definedName>
    <definedName name="CRONO.ParcelaFinal" hidden="1">MATCH(100%,[1]CRONO!$U$104:$AG$104,0)</definedName>
    <definedName name="CRONOPLE.Erro" hidden="1">[1]CRONOPLE!$B$6</definedName>
    <definedName name="CRONOPLE.Lista.AdmLocal" hidden="1">[1]CRONOPLE!$F$15:$F$49</definedName>
    <definedName name="CRONOPLE.ValorDoEvento" hidden="1">SUMIF([1]CÁLCULO!$M$15:$M$1258,[1]CRONOPLE!$B1,OFFSET([1]CÁLCULO!$AQ$15:$AQ$1258,0,[1]CRONOPLE!A$12))</definedName>
    <definedName name="DADOS.Lista.Arredondamento" hidden="1">[1]DADOS!$J$2:$J$3</definedName>
    <definedName name="DADOS.Lista.FonteRecursos" hidden="1">[1]DADOS!$G$2:$G$4</definedName>
    <definedName name="DADOS.Lista.RegimeExecução" hidden="1">[1]DADOS!$I$2:$I$9</definedName>
    <definedName name="DADOS.Lista.RegimePreviden" hidden="1">[1]DADOS!$H$2:$H$5</definedName>
    <definedName name="DESONERACAO" hidden="1">IF(OR(Import.Desoneracao="DESONERADO",Import.Desoneracao="SIM"),"SIM","NÃO")</definedName>
    <definedName name="EVENTOS.firstrow" hidden="1">[1]EVENTOS!$15:$15</definedName>
    <definedName name="EVENTOS.Lista" hidden="1">[1]EVENTOS!$C$15:OFFSET([1]EVENTOS!$C$49,-1,0)</definedName>
    <definedName name="EVENTOS.Lista.Agrupar" hidden="1">[1]EVENTOS!$B$6:$B$9</definedName>
    <definedName name="EVENTOS.ListaValidacao" hidden="1">[1]EVENTOS!$B$15:OFFSET([1]EVENTOS!$B$49,-1,0)</definedName>
    <definedName name="Excel_BuiltIn_Database" hidden="1">TEXT(Import.DataBase,"mm-aaaa")</definedName>
    <definedName name="Import.Apelido" hidden="1">[1]DADOS!$C$16</definedName>
    <definedName name="Import.BDI.Tipo1" hidden="1">[1]BDI!$J$17</definedName>
    <definedName name="Import.BDI.Tipo2" hidden="1">[1]BDI!$J$57</definedName>
    <definedName name="Import.BDI.Tipo3" hidden="1">[1]BDI!$J$97</definedName>
    <definedName name="Import.BMAFAcumulado" hidden="1">OFFSET([1]BM!$R$15,1,0):OFFSET([1]BM!$R$1258,-1,0)</definedName>
    <definedName name="Import.CNPJ" hidden="1">[1]DADOS!$C$39</definedName>
    <definedName name="Import.Código" hidden="1">OFFSET([1]ORÇAMENTO!$Q$15,1,0):OFFSET([1]ORÇAMENTO!$Q$1258,-1,0)</definedName>
    <definedName name="Import.Contrapartida" hidden="1">[1]DADOS!$C$10</definedName>
    <definedName name="Import.CPMaxPerc" hidden="1">[1]DADOS!$C$13</definedName>
    <definedName name="Import.CPMinAbsoluta" hidden="1">[1]DADOS!$C$12</definedName>
    <definedName name="Import.CPMinPerc" hidden="1">[1]DADOS!$C$11</definedName>
    <definedName name="Import.CR" hidden="1">[1]DADOS!$C$7</definedName>
    <definedName name="Import.CRONOPLE" hidden="1">OFFSET([1]CRONOPLE!$F$15,1,1):OFFSET([1]CRONOPLE!$BE$49,-1,-1)</definedName>
    <definedName name="Import.CTEF" hidden="1">[1]DADOS!$C$37</definedName>
    <definedName name="Import.CustoUnitário" hidden="1">OFFSET([1]ORÇAMENTO!$U$15,1,0):OFFSET([1]ORÇAMENTO!$U$1258,-1,0)</definedName>
    <definedName name="Import.DataBase" hidden="1">OFFSET([1]DADOS!$D$19,0,-1)</definedName>
    <definedName name="Import.DataBaseLicit" hidden="1">OFFSET([1]DADOS!$D$41,0,-1)</definedName>
    <definedName name="Import.DataFechaRRE" hidden="1">[1]DADOS!$C$48</definedName>
    <definedName name="Import.DataInicioObra" hidden="1">[1]DADOS!$C$47</definedName>
    <definedName name="Import.DataPreenchimento" hidden="1">OFFSET([1]DADOS!$D$25,0,-1)</definedName>
    <definedName name="Import.DescLote" hidden="1">[1]DADOS!$C$17</definedName>
    <definedName name="Import.Descrição" hidden="1">OFFSET([1]ORÇAMENTO!$R$15,1,0):OFFSET([1]ORÇAMENTO!$R$1258,-1,0)</definedName>
    <definedName name="Import.Desoneracao" hidden="1">OFFSET([1]DADOS!$D$18,0,-1)</definedName>
    <definedName name="Import.empresa" hidden="1">[1]DADOS!$C$38</definedName>
    <definedName name="Import.EventoAdmLocal" hidden="1">[1]CRONOPLE!$B$8</definedName>
    <definedName name="Import.Eventos.Nível" hidden="1">[1]EVENTOS!$C$8</definedName>
    <definedName name="Import.Eventos.Nomes" hidden="1">OFFSET([1]EVENTOS!$D$15,1,0):OFFSET([1]EVENTOS!$D$49,-1,0)</definedName>
    <definedName name="Import.Fonte" hidden="1">OFFSET([1]ORÇAMENTO!$P$15,1,0):OFFSET([1]ORÇAMENTO!$P$1258,-1,0)</definedName>
    <definedName name="Import.FrenteDeObra" hidden="1">[1]CÁLCULO!$Q$12:OFFSET([1]CÁLCULO!$AQ$12,0,-1)</definedName>
    <definedName name="Import.MacrosserviçoAdmLocal" hidden="1">[1]CRONO!$H$109</definedName>
    <definedName name="Import.Município" hidden="1">[1]DADOS!$C$6</definedName>
    <definedName name="Import.Nível" hidden="1">OFFSET([1]ORÇAMENTO!$M$15,1,0):OFFSET([1]ORÇAMENTO!$M$1258,-1,0)</definedName>
    <definedName name="Import.Ofício.Num" hidden="1">[1]OFÍCIO!$C$6</definedName>
    <definedName name="Import.OpcaoBDI" hidden="1">OFFSET([1]ORÇAMENTO!$V$15,1,0):OFFSET([1]ORÇAMENTO!$V$1258,-1,0)</definedName>
    <definedName name="Import.ORÇAMENTO.DivRecurso" hidden="1">OFFSET([1]ORÇAMENTO!$Y$15,1,0):OFFSET([1]ORÇAMENTO!$Y$1258,-1,0)</definedName>
    <definedName name="Import.PLE" hidden="1">OFFSET([1]PLE!$G$15,1,1):OFFSET([1]PLE!$BF$49,-1,-1)</definedName>
    <definedName name="Import.PLQ" hidden="1">OFFSET([1]CÁLCULO!$P$15,1,1):OFFSET([1]CÁLCULO!$AQ$1258,-1,-1)</definedName>
    <definedName name="Import.PLQ.MemCalc" hidden="1">OFFSET([1]CÁLCULO!$I$15,1,0):OFFSET([1]CÁLCULO!$I$1258,-1,0)</definedName>
    <definedName name="Import.PLQ.nAgrupEvent" hidden="1">OFFSET([1]CÁLCULO!$K$15,1,0):OFFSET([1]CÁLCULO!$K$1258,-1,0)</definedName>
    <definedName name="Import.Proponente" hidden="1">[1]DADOS!$C$5</definedName>
    <definedName name="Import.QCI.Divisao" hidden="1">OFFSET([1]QCI!$V$13,1,0):OFFSET([1]QCI!$V$15,-1,0)</definedName>
    <definedName name="Import.QCI.ItemInv" hidden="1">OFFSET([1]QCI!$E$13,1,0):OFFSET([1]QCI!$E$15,-1,0)</definedName>
    <definedName name="Import.QCI.Qtde" hidden="1">OFFSET([1]QCI!$I$13,1,0):OFFSET([1]QCI!$I$15,-1,0)</definedName>
    <definedName name="Import.QCI.Situacao" hidden="1">OFFSET([1]QCI!$H$13,1,0):OFFSET([1]QCI!$H$15,-1,0)</definedName>
    <definedName name="Import.QCI.SubItemInv" hidden="1">OFFSET([1]QCI!$F$13,1,0):OFFSET([1]QCI!$F$15,-1,0)</definedName>
    <definedName name="Import.QCICP" hidden="1">OFFSET([1]QCI!$W$13,1,0):OFFSET([1]QCI!$W$15,-1,0)</definedName>
    <definedName name="Import.QCIDesc" hidden="1">OFFSET([1]QCI!$R$13,1,0):OFFSET([1]QCI!$R$15,-1,0)</definedName>
    <definedName name="Import.QCIInv" hidden="1">OFFSET([1]QCI!$U$13,1,0):OFFSET([1]QCI!$U$15,-1,0)</definedName>
    <definedName name="Import.QCILote" hidden="1">OFFSET([1]QCI!$T$13,1,0):OFFSET([1]QCI!$T$15,-1,0)</definedName>
    <definedName name="Import.QCIOutros" hidden="1">OFFSET([1]QCI!$X$13,1,0):OFFSET([1]QCI!$X$15,-1,0)</definedName>
    <definedName name="Import.Quantidade" hidden="1">OFFSET([1]ORÇAMENTO!$AJ$15,1,0):OFFSET([1]ORÇAMENTO!$AJ$1258,-1,0)</definedName>
    <definedName name="import.recurso" hidden="1">[1]DADOS!$C$4</definedName>
    <definedName name="Import.RegimeExecução" hidden="1">OFFSET([1]DADOS!$D$40,0,-1)</definedName>
    <definedName name="Import.Repasse" hidden="1">[1]DADOS!$C$9</definedName>
    <definedName name="Import.RespFiscalização" hidden="1">[1]DADOS!$C$51:$C$54</definedName>
    <definedName name="Import.RespOrçamento" hidden="1">[1]DADOS!$C$22:$C$24</definedName>
    <definedName name="Import.SICONV" hidden="1">[1]DADOS!$C$8</definedName>
    <definedName name="Import.TipoArredondamento" hidden="1">[1]DADOS!$C$31</definedName>
    <definedName name="Import.TransfereGOV" hidden="1">[1]DADOS!$C$8</definedName>
    <definedName name="Import.Unidade" hidden="1">OFFSET([1]ORÇAMENTO!$S$15,1,0):OFFSET([1]ORÇAMENTO!$S$1258,-1,0)</definedName>
    <definedName name="Import.UnitarioLicitado" hidden="1">OFFSET([1]ORÇAMENTO!$AL$15,1,0):OFFSET([1]ORÇAMENTO!$AL$1258,-1,0)</definedName>
    <definedName name="ListaTgov.Unidades" hidden="1">[1]DADOS!$AV$3:$AV$220</definedName>
    <definedName name="MENU.CRONO" hidden="1">OFFSET([1]CRONO!$U$11,1,0)</definedName>
    <definedName name="MENU.Import.Form.PLQ" hidden="1">[1]MENU!$K$2</definedName>
    <definedName name="MENU.Import.Form.PreçoUnit" hidden="1">[1]MENU!$K$1</definedName>
    <definedName name="NumEventos" localSheetId="0" hidden="1">COUNT(OFFSET(Eventos,0,0,,1))</definedName>
    <definedName name="NumEventos" hidden="1">COUNT(OFFSET(Eventos,0,0,,1))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ListaCrono" hidden="1">OFFSET([1]ORÇAMENTO!$AD$15,1,0):OFFSET([1]ORÇAMENTO!$AD$1258,-1,0)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OFFSET([1]ORÇAMENTO!$P$15,1,0):OFFSET([1]ORÇAMENTO!$S$1258,-1,0)</definedName>
    <definedName name="ORÇAMENTO.PasteFormat2" hidden="1">OFFSET([1]ORÇAMENTO!$U$15,1,0):OFFSET([1]ORÇAMENTO!$V$1258,-1,0)</definedName>
    <definedName name="ORÇAMENTO.PrecoUnitarioLicitado" hidden="1">[1]ORÇAMENTO!$AL1</definedName>
    <definedName name="ORÇAMENTO.RangeQuant" hidden="1">OFFSET([1]ORÇAMENTO!$T$15,1,0):OFFSET([1]ORÇAMENTO!$T$1258,-1,0)</definedName>
    <definedName name="ORÇAMENTO.SumCPMANUAL" hidden="1">SUMIF([1]ORÇAMENTO!$Z$15:$Z$1258,"CP",[1]ORÇAMENTO!$AA$15:$AA$1258)</definedName>
    <definedName name="ORÇAMENTO.SumINVMANUAL" hidden="1">SUMIF([1]ORÇAMENTO!$Z$15:$Z$1258,"RP",[1]ORÇAMENTO!$X$15:$X$1258)+SUMIF([1]ORÇAMENTO!$Z$15:$Z$1258,"CP",[1]ORÇAMENTO!$X$15:$X$1258)+SUMIF([1]ORÇAMENTO!$Z$15:$Z$1258,"OU",[1]ORÇAMENTO!$X$15:$X$1258)</definedName>
    <definedName name="ORÇAMENTO.SumOUTROSMANUAL" hidden="1">SUMIF([1]ORÇAMENTO!$Z$15:$Z$1258,"OU",[1]ORÇAMENTO!$AB$15:$AB$1258)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[1]PLE!$49:$49</definedName>
    <definedName name="PLE.Medicao" hidden="1">[1]PLE!$J$9</definedName>
    <definedName name="PLE.ValorDoEvento" hidden="1">SUMIF([1]CÁLCULO!$M$15:$M$1258,[1]PLE!$B1,OFFSET([1]CÁLCULO!$AQ$15:$AQ$1258,0,[1]PLE!A$12))</definedName>
    <definedName name="PO.ValoresBDI" hidden="1">OFFSET([1]ORÇAMENTO!$AH$15,1,0):OFFSET([1]ORÇAMENTO!$AH$1258,-1,0)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(COUNTIF([1]QCI!$B$13:$B$15,"Manual")+COUNTIF([1]QCI!$B$13:$B$15,"SemiAuto"))&gt;0</definedName>
    <definedName name="QCI.InvManual" hidden="1">ROUND([1]QCI!$U1,2)</definedName>
    <definedName name="QCI.ItemInvestimento" hidden="1">OFFSET([1]DADOS!$L$2,1,0,COUNTA([1]DADOS!$L:$L)-1,1)</definedName>
    <definedName name="QCI.Lista.DivisãoInvest" hidden="1">[1]QCI!$A$8:$A$9</definedName>
    <definedName name="QCI.Lista.Situação" hidden="1">[1]QCI!$A$2:$A$6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SUMIF([1]QCI!$B$13:$B$15,"Manual",[1]QCI!$AA$13:$AA$15)</definedName>
    <definedName name="QCI.SumINVMANUAL" hidden="1">SUMIF([1]QCI!$B$13:$B$15,"Manual",[1]QCI!$O$13:$O$15)</definedName>
    <definedName name="QCI.SumOUTROSMANUAL" hidden="1">SUMIF([1]QCI!$B$13:$B$15,"Manual",[1]QCI!$AB$13:$AB$15)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[1]RRE!$AD$17</definedName>
    <definedName name="RRE.MaxCPAnt" hidden="1">[1]RRE!$AC$17</definedName>
    <definedName name="RRE.MaxOUAcum" hidden="1">[1]RRE!$AD$18</definedName>
    <definedName name="RRE.MaxOUAnt" hidden="1">[1]RRE!$AC$18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01" i="1" l="1"/>
  <c r="Q1200" i="1"/>
  <c r="Q1199" i="1"/>
  <c r="L1199" i="1"/>
  <c r="K1199" i="1"/>
  <c r="F1199" i="1"/>
  <c r="Q1198" i="1"/>
  <c r="L1198" i="1"/>
  <c r="K1198" i="1"/>
  <c r="F1198" i="1"/>
  <c r="Q1197" i="1"/>
  <c r="L1197" i="1"/>
  <c r="K1197" i="1"/>
  <c r="F1197" i="1"/>
  <c r="Q1196" i="1"/>
  <c r="L1196" i="1"/>
  <c r="K1196" i="1"/>
  <c r="F1196" i="1"/>
  <c r="Q1195" i="1"/>
  <c r="L1195" i="1"/>
  <c r="K1195" i="1"/>
  <c r="F1195" i="1"/>
  <c r="Q1194" i="1"/>
  <c r="L1194" i="1"/>
  <c r="K1194" i="1"/>
  <c r="F1194" i="1"/>
  <c r="Q1193" i="1"/>
  <c r="L1193" i="1"/>
  <c r="K1193" i="1"/>
  <c r="F1193" i="1"/>
  <c r="Q1192" i="1"/>
  <c r="L1192" i="1"/>
  <c r="K1192" i="1"/>
  <c r="F1192" i="1"/>
  <c r="Q1191" i="1"/>
  <c r="L1191" i="1"/>
  <c r="K1191" i="1"/>
  <c r="F1191" i="1"/>
  <c r="Q1190" i="1"/>
  <c r="L1190" i="1"/>
  <c r="K1190" i="1"/>
  <c r="F1190" i="1"/>
  <c r="Q1189" i="1"/>
  <c r="L1189" i="1"/>
  <c r="K1189" i="1"/>
  <c r="F1189" i="1"/>
  <c r="Q1188" i="1"/>
  <c r="L1188" i="1"/>
  <c r="K1188" i="1"/>
  <c r="F1188" i="1"/>
  <c r="Q1187" i="1"/>
  <c r="L1187" i="1"/>
  <c r="K1187" i="1"/>
  <c r="F1187" i="1"/>
  <c r="Q1186" i="1"/>
  <c r="L1186" i="1"/>
  <c r="K1186" i="1"/>
  <c r="F1186" i="1"/>
  <c r="Q1185" i="1"/>
  <c r="L1185" i="1"/>
  <c r="K1185" i="1"/>
  <c r="F1185" i="1"/>
  <c r="Q1184" i="1"/>
  <c r="L1184" i="1"/>
  <c r="K1184" i="1"/>
  <c r="F1184" i="1"/>
  <c r="Q1183" i="1"/>
  <c r="L1183" i="1"/>
  <c r="K1183" i="1"/>
  <c r="F1183" i="1"/>
  <c r="Q1182" i="1"/>
  <c r="L1182" i="1"/>
  <c r="K1182" i="1"/>
  <c r="F1182" i="1"/>
  <c r="Q1181" i="1"/>
  <c r="L1181" i="1"/>
  <c r="K1181" i="1"/>
  <c r="F1181" i="1"/>
  <c r="Q1180" i="1"/>
  <c r="L1180" i="1"/>
  <c r="K1180" i="1"/>
  <c r="F1180" i="1"/>
  <c r="Q1179" i="1"/>
  <c r="L1179" i="1"/>
  <c r="K1179" i="1"/>
  <c r="F1179" i="1"/>
  <c r="Q1178" i="1"/>
  <c r="L1178" i="1"/>
  <c r="K1178" i="1"/>
  <c r="F1178" i="1"/>
  <c r="Q1177" i="1"/>
  <c r="L1177" i="1"/>
  <c r="K1177" i="1"/>
  <c r="F1177" i="1"/>
  <c r="Q1176" i="1"/>
  <c r="L1176" i="1"/>
  <c r="K1176" i="1"/>
  <c r="F1176" i="1"/>
  <c r="Q1175" i="1"/>
  <c r="L1175" i="1"/>
  <c r="K1175" i="1"/>
  <c r="F1175" i="1"/>
  <c r="Q1174" i="1"/>
  <c r="L1174" i="1"/>
  <c r="K1174" i="1"/>
  <c r="F1174" i="1"/>
  <c r="Q1173" i="1"/>
  <c r="L1173" i="1"/>
  <c r="K1173" i="1"/>
  <c r="F1173" i="1"/>
  <c r="Q1172" i="1"/>
  <c r="L1172" i="1"/>
  <c r="K1172" i="1"/>
  <c r="F1172" i="1"/>
  <c r="Q1171" i="1"/>
  <c r="L1171" i="1"/>
  <c r="K1171" i="1"/>
  <c r="F1171" i="1"/>
  <c r="Q1170" i="1"/>
  <c r="L1170" i="1"/>
  <c r="K1170" i="1"/>
  <c r="F1170" i="1"/>
  <c r="Q1169" i="1"/>
  <c r="L1169" i="1"/>
  <c r="K1169" i="1"/>
  <c r="F1169" i="1"/>
  <c r="Q1168" i="1"/>
  <c r="L1168" i="1"/>
  <c r="K1168" i="1"/>
  <c r="F1168" i="1"/>
  <c r="Q1167" i="1"/>
  <c r="L1167" i="1"/>
  <c r="K1167" i="1"/>
  <c r="F1167" i="1"/>
  <c r="Q1166" i="1"/>
  <c r="L1166" i="1"/>
  <c r="K1166" i="1"/>
  <c r="F1166" i="1"/>
  <c r="Q1165" i="1"/>
  <c r="L1165" i="1"/>
  <c r="K1165" i="1"/>
  <c r="F1165" i="1"/>
  <c r="Q1164" i="1"/>
  <c r="L1164" i="1"/>
  <c r="K1164" i="1"/>
  <c r="F1164" i="1"/>
  <c r="Q1163" i="1"/>
  <c r="L1163" i="1"/>
  <c r="K1163" i="1"/>
  <c r="F1163" i="1"/>
  <c r="Q1162" i="1"/>
  <c r="L1162" i="1"/>
  <c r="K1162" i="1"/>
  <c r="F1162" i="1"/>
  <c r="Q1161" i="1"/>
  <c r="L1161" i="1"/>
  <c r="K1161" i="1"/>
  <c r="F1161" i="1"/>
  <c r="Q1160" i="1"/>
  <c r="L1160" i="1"/>
  <c r="K1160" i="1"/>
  <c r="F1160" i="1"/>
  <c r="Q1159" i="1"/>
  <c r="L1159" i="1"/>
  <c r="K1159" i="1"/>
  <c r="F1159" i="1"/>
  <c r="Q1158" i="1"/>
  <c r="L1158" i="1"/>
  <c r="K1158" i="1"/>
  <c r="F1158" i="1"/>
  <c r="Q1157" i="1"/>
  <c r="L1157" i="1"/>
  <c r="K1157" i="1"/>
  <c r="F1157" i="1"/>
  <c r="Q1156" i="1"/>
  <c r="L1156" i="1"/>
  <c r="K1156" i="1"/>
  <c r="F1156" i="1"/>
  <c r="Q1155" i="1"/>
  <c r="L1155" i="1"/>
  <c r="K1155" i="1"/>
  <c r="F1155" i="1"/>
  <c r="Q1154" i="1"/>
  <c r="L1154" i="1"/>
  <c r="K1154" i="1"/>
  <c r="F1154" i="1"/>
  <c r="Q1153" i="1"/>
  <c r="L1153" i="1"/>
  <c r="K1153" i="1"/>
  <c r="F1153" i="1"/>
  <c r="Q1152" i="1"/>
  <c r="L1152" i="1"/>
  <c r="K1152" i="1"/>
  <c r="F1152" i="1"/>
  <c r="Q1151" i="1"/>
  <c r="L1151" i="1"/>
  <c r="K1151" i="1"/>
  <c r="F1151" i="1"/>
  <c r="Q1150" i="1"/>
  <c r="L1150" i="1"/>
  <c r="K1150" i="1"/>
  <c r="F1150" i="1"/>
  <c r="Q1149" i="1"/>
  <c r="L1149" i="1"/>
  <c r="K1149" i="1"/>
  <c r="F1149" i="1"/>
  <c r="Q1148" i="1"/>
  <c r="L1148" i="1"/>
  <c r="K1148" i="1"/>
  <c r="F1148" i="1"/>
  <c r="Q1147" i="1"/>
  <c r="L1147" i="1"/>
  <c r="K1147" i="1"/>
  <c r="F1147" i="1"/>
  <c r="Q1146" i="1"/>
  <c r="L1146" i="1"/>
  <c r="K1146" i="1"/>
  <c r="F1146" i="1"/>
  <c r="Q1145" i="1"/>
  <c r="L1145" i="1"/>
  <c r="K1145" i="1"/>
  <c r="F1145" i="1"/>
  <c r="Q1144" i="1"/>
  <c r="L1144" i="1"/>
  <c r="K1144" i="1"/>
  <c r="F1144" i="1"/>
  <c r="Q1143" i="1"/>
  <c r="L1143" i="1"/>
  <c r="K1143" i="1"/>
  <c r="F1143" i="1"/>
  <c r="Q1142" i="1"/>
  <c r="L1142" i="1"/>
  <c r="K1142" i="1"/>
  <c r="F1142" i="1"/>
  <c r="Q1141" i="1"/>
  <c r="L1141" i="1"/>
  <c r="K1141" i="1"/>
  <c r="F1141" i="1"/>
  <c r="Q1140" i="1"/>
  <c r="L1140" i="1"/>
  <c r="K1140" i="1"/>
  <c r="F1140" i="1"/>
  <c r="Q1139" i="1"/>
  <c r="L1139" i="1"/>
  <c r="K1139" i="1"/>
  <c r="F1139" i="1"/>
  <c r="Q1138" i="1"/>
  <c r="L1138" i="1"/>
  <c r="K1138" i="1"/>
  <c r="F1138" i="1"/>
  <c r="Q1137" i="1"/>
  <c r="L1137" i="1"/>
  <c r="K1137" i="1"/>
  <c r="F1137" i="1"/>
  <c r="Q1136" i="1"/>
  <c r="L1136" i="1"/>
  <c r="K1136" i="1"/>
  <c r="F1136" i="1"/>
  <c r="Q1135" i="1"/>
  <c r="L1135" i="1"/>
  <c r="K1135" i="1"/>
  <c r="F1135" i="1"/>
  <c r="Q1134" i="1"/>
  <c r="L1134" i="1"/>
  <c r="K1134" i="1"/>
  <c r="F1134" i="1"/>
  <c r="Q1133" i="1"/>
  <c r="L1133" i="1"/>
  <c r="K1133" i="1"/>
  <c r="F1133" i="1"/>
  <c r="Q1132" i="1"/>
  <c r="L1132" i="1"/>
  <c r="K1132" i="1"/>
  <c r="F1132" i="1"/>
  <c r="Q1131" i="1"/>
  <c r="L1131" i="1"/>
  <c r="K1131" i="1"/>
  <c r="F1131" i="1"/>
  <c r="Q1130" i="1"/>
  <c r="L1130" i="1"/>
  <c r="K1130" i="1"/>
  <c r="F1130" i="1"/>
  <c r="Q1129" i="1"/>
  <c r="L1129" i="1"/>
  <c r="K1129" i="1"/>
  <c r="F1129" i="1"/>
  <c r="Q1128" i="1"/>
  <c r="L1128" i="1"/>
  <c r="K1128" i="1"/>
  <c r="F1128" i="1"/>
  <c r="L1127" i="1"/>
  <c r="Q1126" i="1"/>
  <c r="L1126" i="1"/>
  <c r="K1126" i="1"/>
  <c r="F1126" i="1"/>
  <c r="Q1125" i="1"/>
  <c r="L1125" i="1"/>
  <c r="K1125" i="1"/>
  <c r="F1125" i="1"/>
  <c r="Q1124" i="1"/>
  <c r="L1124" i="1"/>
  <c r="K1124" i="1"/>
  <c r="F1124" i="1"/>
  <c r="Q1123" i="1"/>
  <c r="L1123" i="1"/>
  <c r="K1123" i="1"/>
  <c r="F1123" i="1"/>
  <c r="Q1122" i="1"/>
  <c r="L1122" i="1"/>
  <c r="K1122" i="1"/>
  <c r="F1122" i="1"/>
  <c r="Q1121" i="1"/>
  <c r="L1121" i="1"/>
  <c r="K1121" i="1"/>
  <c r="F1121" i="1"/>
  <c r="Q1120" i="1"/>
  <c r="L1120" i="1"/>
  <c r="K1120" i="1"/>
  <c r="F1120" i="1"/>
  <c r="Q1119" i="1"/>
  <c r="L1119" i="1"/>
  <c r="K1119" i="1"/>
  <c r="F1119" i="1"/>
  <c r="Q1118" i="1"/>
  <c r="L1118" i="1"/>
  <c r="K1118" i="1"/>
  <c r="F1118" i="1"/>
  <c r="Q1117" i="1"/>
  <c r="L1117" i="1"/>
  <c r="K1117" i="1"/>
  <c r="F1117" i="1"/>
  <c r="Q1116" i="1"/>
  <c r="L1116" i="1"/>
  <c r="K1116" i="1"/>
  <c r="F1116" i="1"/>
  <c r="Q1115" i="1"/>
  <c r="L1115" i="1"/>
  <c r="K1115" i="1"/>
  <c r="F1115" i="1"/>
  <c r="Q1114" i="1"/>
  <c r="L1114" i="1"/>
  <c r="K1114" i="1"/>
  <c r="F1114" i="1"/>
  <c r="Q1113" i="1"/>
  <c r="L1113" i="1"/>
  <c r="K1113" i="1"/>
  <c r="F1113" i="1"/>
  <c r="Q1112" i="1"/>
  <c r="L1112" i="1"/>
  <c r="K1112" i="1"/>
  <c r="F1112" i="1"/>
  <c r="Q1111" i="1"/>
  <c r="L1111" i="1"/>
  <c r="K1111" i="1"/>
  <c r="F1111" i="1"/>
  <c r="Q1110" i="1"/>
  <c r="L1110" i="1"/>
  <c r="K1110" i="1"/>
  <c r="F1110" i="1"/>
  <c r="Q1109" i="1"/>
  <c r="L1109" i="1"/>
  <c r="K1109" i="1"/>
  <c r="F1109" i="1"/>
  <c r="Q1108" i="1"/>
  <c r="L1108" i="1"/>
  <c r="K1108" i="1"/>
  <c r="F1108" i="1"/>
  <c r="Q1107" i="1"/>
  <c r="L1107" i="1"/>
  <c r="K1107" i="1"/>
  <c r="F1107" i="1"/>
  <c r="Q1106" i="1"/>
  <c r="L1106" i="1"/>
  <c r="K1106" i="1"/>
  <c r="F1106" i="1"/>
  <c r="Q1105" i="1"/>
  <c r="L1105" i="1"/>
  <c r="K1105" i="1"/>
  <c r="F1105" i="1"/>
  <c r="Q1104" i="1"/>
  <c r="L1104" i="1"/>
  <c r="K1104" i="1"/>
  <c r="F1104" i="1"/>
  <c r="Q1103" i="1"/>
  <c r="L1103" i="1"/>
  <c r="K1103" i="1"/>
  <c r="F1103" i="1"/>
  <c r="Q1102" i="1"/>
  <c r="L1102" i="1"/>
  <c r="K1102" i="1"/>
  <c r="F1102" i="1"/>
  <c r="Q1101" i="1"/>
  <c r="L1101" i="1"/>
  <c r="K1101" i="1"/>
  <c r="F1101" i="1"/>
  <c r="Q1100" i="1"/>
  <c r="L1100" i="1"/>
  <c r="K1100" i="1"/>
  <c r="F1100" i="1"/>
  <c r="Q1099" i="1"/>
  <c r="L1099" i="1"/>
  <c r="K1099" i="1"/>
  <c r="F1099" i="1"/>
  <c r="Q1098" i="1"/>
  <c r="L1098" i="1"/>
  <c r="K1098" i="1"/>
  <c r="F1098" i="1"/>
  <c r="Q1097" i="1"/>
  <c r="L1097" i="1"/>
  <c r="K1097" i="1"/>
  <c r="F1097" i="1"/>
  <c r="Q1096" i="1"/>
  <c r="L1096" i="1"/>
  <c r="K1096" i="1"/>
  <c r="F1096" i="1"/>
  <c r="Q1095" i="1"/>
  <c r="L1095" i="1"/>
  <c r="K1095" i="1"/>
  <c r="F1095" i="1"/>
  <c r="Q1094" i="1"/>
  <c r="L1094" i="1"/>
  <c r="K1094" i="1"/>
  <c r="F1094" i="1"/>
  <c r="Q1093" i="1"/>
  <c r="L1093" i="1"/>
  <c r="K1093" i="1"/>
  <c r="F1093" i="1"/>
  <c r="Q1092" i="1"/>
  <c r="L1092" i="1"/>
  <c r="K1092" i="1"/>
  <c r="F1092" i="1"/>
  <c r="Q1091" i="1"/>
  <c r="L1091" i="1"/>
  <c r="K1091" i="1"/>
  <c r="F1091" i="1"/>
  <c r="Q1090" i="1"/>
  <c r="L1090" i="1"/>
  <c r="K1090" i="1"/>
  <c r="F1090" i="1"/>
  <c r="Q1089" i="1"/>
  <c r="L1089" i="1"/>
  <c r="K1089" i="1"/>
  <c r="F1089" i="1"/>
  <c r="Q1088" i="1"/>
  <c r="L1088" i="1"/>
  <c r="K1088" i="1"/>
  <c r="F1088" i="1"/>
  <c r="Q1087" i="1"/>
  <c r="L1087" i="1"/>
  <c r="K1087" i="1"/>
  <c r="F1087" i="1"/>
  <c r="Q1086" i="1"/>
  <c r="L1086" i="1"/>
  <c r="K1086" i="1"/>
  <c r="F1086" i="1"/>
  <c r="Q1085" i="1"/>
  <c r="L1085" i="1"/>
  <c r="K1085" i="1"/>
  <c r="F1085" i="1"/>
  <c r="Q1084" i="1"/>
  <c r="L1084" i="1"/>
  <c r="K1084" i="1"/>
  <c r="F1084" i="1"/>
  <c r="Q1083" i="1"/>
  <c r="L1083" i="1"/>
  <c r="K1083" i="1"/>
  <c r="F1083" i="1"/>
  <c r="Q1082" i="1"/>
  <c r="L1082" i="1"/>
  <c r="K1082" i="1"/>
  <c r="F1082" i="1"/>
  <c r="Q1081" i="1"/>
  <c r="L1081" i="1"/>
  <c r="K1081" i="1"/>
  <c r="F1081" i="1"/>
  <c r="Q1080" i="1"/>
  <c r="L1080" i="1"/>
  <c r="K1080" i="1"/>
  <c r="F1080" i="1"/>
  <c r="Q1079" i="1"/>
  <c r="L1079" i="1"/>
  <c r="K1079" i="1"/>
  <c r="F1079" i="1"/>
  <c r="Q1078" i="1"/>
  <c r="L1078" i="1"/>
  <c r="K1078" i="1"/>
  <c r="F1078" i="1"/>
  <c r="Q1077" i="1"/>
  <c r="L1077" i="1"/>
  <c r="K1077" i="1"/>
  <c r="F1077" i="1"/>
  <c r="Q1076" i="1"/>
  <c r="L1076" i="1"/>
  <c r="K1076" i="1"/>
  <c r="F1076" i="1"/>
  <c r="Q1075" i="1"/>
  <c r="L1075" i="1"/>
  <c r="K1075" i="1"/>
  <c r="F1075" i="1"/>
  <c r="Q1074" i="1"/>
  <c r="L1074" i="1"/>
  <c r="K1074" i="1"/>
  <c r="F1074" i="1"/>
  <c r="Q1073" i="1"/>
  <c r="L1073" i="1"/>
  <c r="K1073" i="1"/>
  <c r="F1073" i="1"/>
  <c r="Q1072" i="1"/>
  <c r="L1072" i="1"/>
  <c r="K1072" i="1"/>
  <c r="F1072" i="1"/>
  <c r="Q1071" i="1"/>
  <c r="L1071" i="1"/>
  <c r="K1071" i="1"/>
  <c r="F1071" i="1"/>
  <c r="Q1070" i="1"/>
  <c r="L1070" i="1"/>
  <c r="K1070" i="1"/>
  <c r="F1070" i="1"/>
  <c r="Q1069" i="1"/>
  <c r="L1069" i="1"/>
  <c r="K1069" i="1"/>
  <c r="F1069" i="1"/>
  <c r="Q1068" i="1"/>
  <c r="L1068" i="1"/>
  <c r="K1068" i="1"/>
  <c r="F1068" i="1"/>
  <c r="Q1067" i="1"/>
  <c r="L1067" i="1"/>
  <c r="K1067" i="1"/>
  <c r="F1067" i="1"/>
  <c r="Q1066" i="1"/>
  <c r="L1066" i="1"/>
  <c r="K1066" i="1"/>
  <c r="F1066" i="1"/>
  <c r="Q1065" i="1"/>
  <c r="L1065" i="1"/>
  <c r="K1065" i="1"/>
  <c r="F1065" i="1"/>
  <c r="L1064" i="1"/>
  <c r="Q1063" i="1"/>
  <c r="L1063" i="1"/>
  <c r="K1063" i="1"/>
  <c r="F1063" i="1"/>
  <c r="Q1062" i="1"/>
  <c r="L1062" i="1"/>
  <c r="K1062" i="1"/>
  <c r="F1062" i="1"/>
  <c r="Q1061" i="1"/>
  <c r="L1061" i="1"/>
  <c r="K1061" i="1"/>
  <c r="F1061" i="1"/>
  <c r="Q1060" i="1"/>
  <c r="L1060" i="1"/>
  <c r="K1060" i="1"/>
  <c r="F1060" i="1"/>
  <c r="Q1059" i="1"/>
  <c r="L1059" i="1"/>
  <c r="K1059" i="1"/>
  <c r="F1059" i="1"/>
  <c r="Q1058" i="1"/>
  <c r="L1058" i="1"/>
  <c r="K1058" i="1"/>
  <c r="F1058" i="1"/>
  <c r="Q1057" i="1"/>
  <c r="L1057" i="1"/>
  <c r="K1057" i="1"/>
  <c r="F1057" i="1"/>
  <c r="Q1056" i="1"/>
  <c r="L1056" i="1"/>
  <c r="K1056" i="1"/>
  <c r="F1056" i="1"/>
  <c r="Q1055" i="1"/>
  <c r="L1055" i="1"/>
  <c r="K1055" i="1"/>
  <c r="F1055" i="1"/>
  <c r="Q1054" i="1"/>
  <c r="L1054" i="1"/>
  <c r="K1054" i="1"/>
  <c r="F1054" i="1"/>
  <c r="Q1053" i="1"/>
  <c r="L1053" i="1"/>
  <c r="K1053" i="1"/>
  <c r="F1053" i="1"/>
  <c r="Q1052" i="1"/>
  <c r="L1052" i="1"/>
  <c r="K1052" i="1"/>
  <c r="F1052" i="1"/>
  <c r="Q1051" i="1"/>
  <c r="L1051" i="1"/>
  <c r="K1051" i="1"/>
  <c r="F1051" i="1"/>
  <c r="Q1050" i="1"/>
  <c r="L1050" i="1"/>
  <c r="K1050" i="1"/>
  <c r="F1050" i="1"/>
  <c r="Q1049" i="1"/>
  <c r="L1049" i="1"/>
  <c r="K1049" i="1"/>
  <c r="F1049" i="1"/>
  <c r="Q1048" i="1"/>
  <c r="L1048" i="1"/>
  <c r="K1048" i="1"/>
  <c r="F1048" i="1"/>
  <c r="Q1047" i="1"/>
  <c r="L1047" i="1"/>
  <c r="K1047" i="1"/>
  <c r="F1047" i="1"/>
  <c r="Q1046" i="1"/>
  <c r="L1046" i="1"/>
  <c r="K1046" i="1"/>
  <c r="F1046" i="1"/>
  <c r="Q1045" i="1"/>
  <c r="L1045" i="1"/>
  <c r="K1045" i="1"/>
  <c r="F1045" i="1"/>
  <c r="Q1044" i="1"/>
  <c r="L1044" i="1"/>
  <c r="K1044" i="1"/>
  <c r="F1044" i="1"/>
  <c r="Q1043" i="1"/>
  <c r="L1043" i="1"/>
  <c r="K1043" i="1"/>
  <c r="F1043" i="1"/>
  <c r="Q1042" i="1"/>
  <c r="L1042" i="1"/>
  <c r="K1042" i="1"/>
  <c r="F1042" i="1"/>
  <c r="Q1041" i="1"/>
  <c r="L1041" i="1"/>
  <c r="K1041" i="1"/>
  <c r="F1041" i="1"/>
  <c r="Q1040" i="1"/>
  <c r="L1040" i="1"/>
  <c r="K1040" i="1"/>
  <c r="F1040" i="1"/>
  <c r="Q1039" i="1"/>
  <c r="L1039" i="1"/>
  <c r="K1039" i="1"/>
  <c r="F1039" i="1"/>
  <c r="Q1038" i="1"/>
  <c r="L1038" i="1"/>
  <c r="K1038" i="1"/>
  <c r="F1038" i="1"/>
  <c r="Q1037" i="1"/>
  <c r="L1037" i="1"/>
  <c r="K1037" i="1"/>
  <c r="F1037" i="1"/>
  <c r="Q1036" i="1"/>
  <c r="L1036" i="1"/>
  <c r="K1036" i="1"/>
  <c r="F1036" i="1"/>
  <c r="Q1035" i="1"/>
  <c r="L1035" i="1"/>
  <c r="K1035" i="1"/>
  <c r="F1035" i="1"/>
  <c r="Q1034" i="1"/>
  <c r="L1034" i="1"/>
  <c r="K1034" i="1"/>
  <c r="F1034" i="1"/>
  <c r="Q1033" i="1"/>
  <c r="L1033" i="1"/>
  <c r="K1033" i="1"/>
  <c r="F1033" i="1"/>
  <c r="Q1032" i="1"/>
  <c r="L1032" i="1"/>
  <c r="K1032" i="1"/>
  <c r="F1032" i="1"/>
  <c r="Q1031" i="1"/>
  <c r="L1031" i="1"/>
  <c r="K1031" i="1"/>
  <c r="F1031" i="1"/>
  <c r="Q1030" i="1"/>
  <c r="L1030" i="1"/>
  <c r="K1030" i="1"/>
  <c r="F1030" i="1"/>
  <c r="Q1029" i="1"/>
  <c r="L1029" i="1"/>
  <c r="K1029" i="1"/>
  <c r="F1029" i="1"/>
  <c r="Q1028" i="1"/>
  <c r="L1028" i="1"/>
  <c r="K1028" i="1"/>
  <c r="F1028" i="1"/>
  <c r="Q1027" i="1"/>
  <c r="L1027" i="1"/>
  <c r="K1027" i="1"/>
  <c r="F1027" i="1"/>
  <c r="Q1026" i="1"/>
  <c r="L1026" i="1"/>
  <c r="K1026" i="1"/>
  <c r="F1026" i="1"/>
  <c r="Q1025" i="1"/>
  <c r="L1025" i="1"/>
  <c r="K1025" i="1"/>
  <c r="F1025" i="1"/>
  <c r="Q1024" i="1"/>
  <c r="L1024" i="1"/>
  <c r="K1024" i="1"/>
  <c r="F1024" i="1"/>
  <c r="Q1023" i="1"/>
  <c r="L1023" i="1"/>
  <c r="K1023" i="1"/>
  <c r="F1023" i="1"/>
  <c r="Q1022" i="1"/>
  <c r="L1022" i="1"/>
  <c r="K1022" i="1"/>
  <c r="F1022" i="1"/>
  <c r="Q1021" i="1"/>
  <c r="L1021" i="1"/>
  <c r="K1021" i="1"/>
  <c r="F1021" i="1"/>
  <c r="Q1020" i="1"/>
  <c r="L1020" i="1"/>
  <c r="K1020" i="1"/>
  <c r="F1020" i="1"/>
  <c r="Q1019" i="1"/>
  <c r="L1019" i="1"/>
  <c r="K1019" i="1"/>
  <c r="F1019" i="1"/>
  <c r="Q1018" i="1"/>
  <c r="L1018" i="1"/>
  <c r="K1018" i="1"/>
  <c r="F1018" i="1"/>
  <c r="Q1017" i="1"/>
  <c r="L1017" i="1"/>
  <c r="K1017" i="1"/>
  <c r="F1017" i="1"/>
  <c r="Q1016" i="1"/>
  <c r="L1016" i="1"/>
  <c r="K1016" i="1"/>
  <c r="F1016" i="1"/>
  <c r="Q1015" i="1"/>
  <c r="L1015" i="1"/>
  <c r="K1015" i="1"/>
  <c r="F1015" i="1"/>
  <c r="Q1014" i="1"/>
  <c r="L1014" i="1"/>
  <c r="K1014" i="1"/>
  <c r="F1014" i="1"/>
  <c r="Q1013" i="1"/>
  <c r="L1013" i="1"/>
  <c r="K1013" i="1"/>
  <c r="F1013" i="1"/>
  <c r="Q1012" i="1"/>
  <c r="L1012" i="1"/>
  <c r="K1012" i="1"/>
  <c r="F1012" i="1"/>
  <c r="Q1011" i="1"/>
  <c r="L1011" i="1"/>
  <c r="K1011" i="1"/>
  <c r="F1011" i="1"/>
  <c r="Q1010" i="1"/>
  <c r="L1010" i="1"/>
  <c r="K1010" i="1"/>
  <c r="F1010" i="1"/>
  <c r="Q1009" i="1"/>
  <c r="L1009" i="1"/>
  <c r="K1009" i="1"/>
  <c r="F1009" i="1"/>
  <c r="Q1008" i="1"/>
  <c r="L1008" i="1"/>
  <c r="K1008" i="1"/>
  <c r="F1008" i="1"/>
  <c r="Q1007" i="1"/>
  <c r="L1007" i="1"/>
  <c r="K1007" i="1"/>
  <c r="F1007" i="1"/>
  <c r="Q1006" i="1"/>
  <c r="L1006" i="1"/>
  <c r="K1006" i="1"/>
  <c r="F1006" i="1"/>
  <c r="Q1005" i="1"/>
  <c r="L1005" i="1"/>
  <c r="K1005" i="1"/>
  <c r="F1005" i="1"/>
  <c r="Q1004" i="1"/>
  <c r="L1004" i="1"/>
  <c r="K1004" i="1"/>
  <c r="F1004" i="1"/>
  <c r="Q1003" i="1"/>
  <c r="L1003" i="1"/>
  <c r="K1003" i="1"/>
  <c r="F1003" i="1"/>
  <c r="Q1002" i="1"/>
  <c r="L1002" i="1"/>
  <c r="K1002" i="1"/>
  <c r="F1002" i="1"/>
  <c r="Q1001" i="1"/>
  <c r="L1001" i="1"/>
  <c r="K1001" i="1"/>
  <c r="F1001" i="1"/>
  <c r="Q1000" i="1"/>
  <c r="L1000" i="1"/>
  <c r="K1000" i="1"/>
  <c r="F1000" i="1"/>
  <c r="Q999" i="1"/>
  <c r="L999" i="1"/>
  <c r="K999" i="1"/>
  <c r="F999" i="1"/>
  <c r="Q998" i="1"/>
  <c r="L998" i="1"/>
  <c r="K998" i="1"/>
  <c r="F998" i="1"/>
  <c r="Q997" i="1"/>
  <c r="L997" i="1"/>
  <c r="K997" i="1"/>
  <c r="F997" i="1"/>
  <c r="Q996" i="1"/>
  <c r="L996" i="1"/>
  <c r="K996" i="1"/>
  <c r="F996" i="1"/>
  <c r="Q995" i="1"/>
  <c r="L995" i="1"/>
  <c r="K995" i="1"/>
  <c r="F995" i="1"/>
  <c r="Q994" i="1"/>
  <c r="L994" i="1"/>
  <c r="K994" i="1"/>
  <c r="F994" i="1"/>
  <c r="Q993" i="1"/>
  <c r="L993" i="1"/>
  <c r="K993" i="1"/>
  <c r="F993" i="1"/>
  <c r="Q992" i="1"/>
  <c r="L992" i="1"/>
  <c r="K992" i="1"/>
  <c r="F992" i="1"/>
  <c r="Q991" i="1"/>
  <c r="L991" i="1"/>
  <c r="K991" i="1"/>
  <c r="F991" i="1"/>
  <c r="Q990" i="1"/>
  <c r="L990" i="1"/>
  <c r="K990" i="1"/>
  <c r="F990" i="1"/>
  <c r="Q989" i="1"/>
  <c r="L989" i="1"/>
  <c r="K989" i="1"/>
  <c r="F989" i="1"/>
  <c r="Q988" i="1"/>
  <c r="L988" i="1"/>
  <c r="K988" i="1"/>
  <c r="F988" i="1"/>
  <c r="Q987" i="1"/>
  <c r="L987" i="1"/>
  <c r="K987" i="1"/>
  <c r="F987" i="1"/>
  <c r="Q986" i="1"/>
  <c r="L986" i="1"/>
  <c r="K986" i="1"/>
  <c r="F986" i="1"/>
  <c r="Q985" i="1"/>
  <c r="L985" i="1"/>
  <c r="K985" i="1"/>
  <c r="F985" i="1"/>
  <c r="Q984" i="1"/>
  <c r="L984" i="1"/>
  <c r="K984" i="1"/>
  <c r="F984" i="1"/>
  <c r="L983" i="1"/>
  <c r="Q982" i="1"/>
  <c r="L982" i="1"/>
  <c r="K982" i="1"/>
  <c r="F982" i="1"/>
  <c r="Q981" i="1"/>
  <c r="L981" i="1"/>
  <c r="K981" i="1"/>
  <c r="F981" i="1"/>
  <c r="Q980" i="1"/>
  <c r="L980" i="1"/>
  <c r="K980" i="1"/>
  <c r="F980" i="1"/>
  <c r="Q979" i="1"/>
  <c r="L979" i="1"/>
  <c r="K979" i="1"/>
  <c r="F979" i="1"/>
  <c r="Q978" i="1"/>
  <c r="L978" i="1"/>
  <c r="K978" i="1"/>
  <c r="F978" i="1"/>
  <c r="Q977" i="1"/>
  <c r="L977" i="1"/>
  <c r="K977" i="1"/>
  <c r="F977" i="1"/>
  <c r="Q976" i="1"/>
  <c r="L976" i="1"/>
  <c r="K976" i="1"/>
  <c r="F976" i="1"/>
  <c r="Q975" i="1"/>
  <c r="L975" i="1"/>
  <c r="K975" i="1"/>
  <c r="F975" i="1"/>
  <c r="Q974" i="1"/>
  <c r="L974" i="1"/>
  <c r="K974" i="1"/>
  <c r="F974" i="1"/>
  <c r="Q973" i="1"/>
  <c r="L973" i="1"/>
  <c r="K973" i="1"/>
  <c r="F973" i="1"/>
  <c r="Q972" i="1"/>
  <c r="L972" i="1"/>
  <c r="K972" i="1"/>
  <c r="F972" i="1"/>
  <c r="Q971" i="1"/>
  <c r="L971" i="1"/>
  <c r="K971" i="1"/>
  <c r="F971" i="1"/>
  <c r="Q970" i="1"/>
  <c r="L970" i="1"/>
  <c r="K970" i="1"/>
  <c r="F970" i="1"/>
  <c r="Q969" i="1"/>
  <c r="L969" i="1"/>
  <c r="K969" i="1"/>
  <c r="F969" i="1"/>
  <c r="Q968" i="1"/>
  <c r="L968" i="1"/>
  <c r="K968" i="1"/>
  <c r="F968" i="1"/>
  <c r="Q967" i="1"/>
  <c r="L967" i="1"/>
  <c r="K967" i="1"/>
  <c r="F967" i="1"/>
  <c r="Q966" i="1"/>
  <c r="L966" i="1"/>
  <c r="K966" i="1"/>
  <c r="F966" i="1"/>
  <c r="Q965" i="1"/>
  <c r="L965" i="1"/>
  <c r="K965" i="1"/>
  <c r="F965" i="1"/>
  <c r="Q964" i="1"/>
  <c r="L964" i="1"/>
  <c r="K964" i="1"/>
  <c r="F964" i="1"/>
  <c r="Q963" i="1"/>
  <c r="L963" i="1"/>
  <c r="K963" i="1"/>
  <c r="F963" i="1"/>
  <c r="Q962" i="1"/>
  <c r="L962" i="1"/>
  <c r="K962" i="1"/>
  <c r="F962" i="1"/>
  <c r="Q961" i="1"/>
  <c r="L961" i="1"/>
  <c r="K961" i="1"/>
  <c r="F961" i="1"/>
  <c r="Q960" i="1"/>
  <c r="L960" i="1"/>
  <c r="K960" i="1"/>
  <c r="F960" i="1"/>
  <c r="Q959" i="1"/>
  <c r="L959" i="1"/>
  <c r="K959" i="1"/>
  <c r="F959" i="1"/>
  <c r="Q958" i="1"/>
  <c r="L958" i="1"/>
  <c r="K958" i="1"/>
  <c r="F958" i="1"/>
  <c r="Q957" i="1"/>
  <c r="L957" i="1"/>
  <c r="K957" i="1"/>
  <c r="F957" i="1"/>
  <c r="Q956" i="1"/>
  <c r="L956" i="1"/>
  <c r="K956" i="1"/>
  <c r="F956" i="1"/>
  <c r="Q955" i="1"/>
  <c r="L955" i="1"/>
  <c r="K955" i="1"/>
  <c r="F955" i="1"/>
  <c r="Q954" i="1"/>
  <c r="L954" i="1"/>
  <c r="K954" i="1"/>
  <c r="F954" i="1"/>
  <c r="Q953" i="1"/>
  <c r="L953" i="1"/>
  <c r="K953" i="1"/>
  <c r="F953" i="1"/>
  <c r="Q952" i="1"/>
  <c r="L952" i="1"/>
  <c r="K952" i="1"/>
  <c r="F952" i="1"/>
  <c r="Q951" i="1"/>
  <c r="L951" i="1"/>
  <c r="K951" i="1"/>
  <c r="F951" i="1"/>
  <c r="Q950" i="1"/>
  <c r="L950" i="1"/>
  <c r="K950" i="1"/>
  <c r="F950" i="1"/>
  <c r="Q949" i="1"/>
  <c r="L949" i="1"/>
  <c r="K949" i="1"/>
  <c r="F949" i="1"/>
  <c r="Q948" i="1"/>
  <c r="L948" i="1"/>
  <c r="K948" i="1"/>
  <c r="F948" i="1"/>
  <c r="Q947" i="1"/>
  <c r="L947" i="1"/>
  <c r="K947" i="1"/>
  <c r="F947" i="1"/>
  <c r="Q946" i="1"/>
  <c r="L946" i="1"/>
  <c r="K946" i="1"/>
  <c r="F946" i="1"/>
  <c r="Q945" i="1"/>
  <c r="L945" i="1"/>
  <c r="K945" i="1"/>
  <c r="F945" i="1"/>
  <c r="Q944" i="1"/>
  <c r="L944" i="1"/>
  <c r="K944" i="1"/>
  <c r="F944" i="1"/>
  <c r="Q943" i="1"/>
  <c r="L943" i="1"/>
  <c r="K943" i="1"/>
  <c r="F943" i="1"/>
  <c r="Q942" i="1"/>
  <c r="L942" i="1"/>
  <c r="K942" i="1"/>
  <c r="F942" i="1"/>
  <c r="Q941" i="1"/>
  <c r="L941" i="1"/>
  <c r="K941" i="1"/>
  <c r="F941" i="1"/>
  <c r="Q940" i="1"/>
  <c r="L940" i="1"/>
  <c r="K940" i="1"/>
  <c r="F940" i="1"/>
  <c r="Q939" i="1"/>
  <c r="L939" i="1"/>
  <c r="K939" i="1"/>
  <c r="F939" i="1"/>
  <c r="Q938" i="1"/>
  <c r="L938" i="1"/>
  <c r="K938" i="1"/>
  <c r="F938" i="1"/>
  <c r="Q937" i="1"/>
  <c r="L937" i="1"/>
  <c r="K937" i="1"/>
  <c r="F937" i="1"/>
  <c r="Q936" i="1"/>
  <c r="L936" i="1"/>
  <c r="K936" i="1"/>
  <c r="F936" i="1"/>
  <c r="Q935" i="1"/>
  <c r="L935" i="1"/>
  <c r="K935" i="1"/>
  <c r="F935" i="1"/>
  <c r="Q934" i="1"/>
  <c r="L934" i="1"/>
  <c r="K934" i="1"/>
  <c r="F934" i="1"/>
  <c r="Q933" i="1"/>
  <c r="L933" i="1"/>
  <c r="K933" i="1"/>
  <c r="F933" i="1"/>
  <c r="Q932" i="1"/>
  <c r="L932" i="1"/>
  <c r="K932" i="1"/>
  <c r="F932" i="1"/>
  <c r="Q931" i="1"/>
  <c r="L931" i="1"/>
  <c r="K931" i="1"/>
  <c r="F931" i="1"/>
  <c r="Q930" i="1"/>
  <c r="L930" i="1"/>
  <c r="K930" i="1"/>
  <c r="F930" i="1"/>
  <c r="L929" i="1"/>
  <c r="Q928" i="1"/>
  <c r="L928" i="1"/>
  <c r="K928" i="1"/>
  <c r="F928" i="1"/>
  <c r="Q927" i="1"/>
  <c r="L927" i="1"/>
  <c r="K927" i="1"/>
  <c r="F927" i="1"/>
  <c r="Q926" i="1"/>
  <c r="L926" i="1"/>
  <c r="K926" i="1"/>
  <c r="F926" i="1"/>
  <c r="Q925" i="1"/>
  <c r="L925" i="1"/>
  <c r="K925" i="1"/>
  <c r="F925" i="1"/>
  <c r="Q924" i="1"/>
  <c r="L924" i="1"/>
  <c r="K924" i="1"/>
  <c r="F924" i="1"/>
  <c r="Q923" i="1"/>
  <c r="L923" i="1"/>
  <c r="K923" i="1"/>
  <c r="F923" i="1"/>
  <c r="Q922" i="1"/>
  <c r="L922" i="1"/>
  <c r="K922" i="1"/>
  <c r="F922" i="1"/>
  <c r="Q921" i="1"/>
  <c r="L921" i="1"/>
  <c r="K921" i="1"/>
  <c r="F921" i="1"/>
  <c r="Q920" i="1"/>
  <c r="L920" i="1"/>
  <c r="K920" i="1"/>
  <c r="F920" i="1"/>
  <c r="Q919" i="1"/>
  <c r="L919" i="1"/>
  <c r="K919" i="1"/>
  <c r="F919" i="1"/>
  <c r="Q918" i="1"/>
  <c r="L918" i="1"/>
  <c r="K918" i="1"/>
  <c r="F918" i="1"/>
  <c r="Q917" i="1"/>
  <c r="L917" i="1"/>
  <c r="K917" i="1"/>
  <c r="F917" i="1"/>
  <c r="Q916" i="1"/>
  <c r="L916" i="1"/>
  <c r="K916" i="1"/>
  <c r="F916" i="1"/>
  <c r="Q915" i="1"/>
  <c r="L915" i="1"/>
  <c r="K915" i="1"/>
  <c r="F915" i="1"/>
  <c r="Q914" i="1"/>
  <c r="L914" i="1"/>
  <c r="K914" i="1"/>
  <c r="F914" i="1"/>
  <c r="Q913" i="1"/>
  <c r="L913" i="1"/>
  <c r="K913" i="1"/>
  <c r="F913" i="1"/>
  <c r="Q912" i="1"/>
  <c r="L912" i="1"/>
  <c r="K912" i="1"/>
  <c r="F912" i="1"/>
  <c r="Q911" i="1"/>
  <c r="L911" i="1"/>
  <c r="K911" i="1"/>
  <c r="F911" i="1"/>
  <c r="Q910" i="1"/>
  <c r="L910" i="1"/>
  <c r="K910" i="1"/>
  <c r="F910" i="1"/>
  <c r="Q909" i="1"/>
  <c r="L909" i="1"/>
  <c r="K909" i="1"/>
  <c r="F909" i="1"/>
  <c r="Q908" i="1"/>
  <c r="L908" i="1"/>
  <c r="K908" i="1"/>
  <c r="F908" i="1"/>
  <c r="Q907" i="1"/>
  <c r="L907" i="1"/>
  <c r="K907" i="1"/>
  <c r="F907" i="1"/>
  <c r="Q906" i="1"/>
  <c r="L906" i="1"/>
  <c r="K906" i="1"/>
  <c r="F906" i="1"/>
  <c r="Q905" i="1"/>
  <c r="L905" i="1"/>
  <c r="K905" i="1"/>
  <c r="F905" i="1"/>
  <c r="Q904" i="1"/>
  <c r="L904" i="1"/>
  <c r="K904" i="1"/>
  <c r="F904" i="1"/>
  <c r="Q903" i="1"/>
  <c r="L903" i="1"/>
  <c r="K903" i="1"/>
  <c r="F903" i="1"/>
  <c r="Q902" i="1"/>
  <c r="L902" i="1"/>
  <c r="K902" i="1"/>
  <c r="F902" i="1"/>
  <c r="Q901" i="1"/>
  <c r="L901" i="1"/>
  <c r="K901" i="1"/>
  <c r="F901" i="1"/>
  <c r="Q900" i="1"/>
  <c r="L900" i="1"/>
  <c r="K900" i="1"/>
  <c r="F900" i="1"/>
  <c r="Q899" i="1"/>
  <c r="L899" i="1"/>
  <c r="K899" i="1"/>
  <c r="F899" i="1"/>
  <c r="Q898" i="1"/>
  <c r="L898" i="1"/>
  <c r="K898" i="1"/>
  <c r="F898" i="1"/>
  <c r="Q897" i="1"/>
  <c r="L897" i="1"/>
  <c r="K897" i="1"/>
  <c r="F897" i="1"/>
  <c r="Q896" i="1"/>
  <c r="L896" i="1"/>
  <c r="K896" i="1"/>
  <c r="F896" i="1"/>
  <c r="Q895" i="1"/>
  <c r="L895" i="1"/>
  <c r="K895" i="1"/>
  <c r="F895" i="1"/>
  <c r="Q894" i="1"/>
  <c r="L894" i="1"/>
  <c r="K894" i="1"/>
  <c r="F894" i="1"/>
  <c r="Q893" i="1"/>
  <c r="L893" i="1"/>
  <c r="K893" i="1"/>
  <c r="F893" i="1"/>
  <c r="Q892" i="1"/>
  <c r="L892" i="1"/>
  <c r="K892" i="1"/>
  <c r="F892" i="1"/>
  <c r="Q891" i="1"/>
  <c r="L891" i="1"/>
  <c r="K891" i="1"/>
  <c r="F891" i="1"/>
  <c r="Q890" i="1"/>
  <c r="L890" i="1"/>
  <c r="K890" i="1"/>
  <c r="F890" i="1"/>
  <c r="Q889" i="1"/>
  <c r="L889" i="1"/>
  <c r="K889" i="1"/>
  <c r="F889" i="1"/>
  <c r="Q888" i="1"/>
  <c r="L888" i="1"/>
  <c r="K888" i="1"/>
  <c r="F888" i="1"/>
  <c r="Q887" i="1"/>
  <c r="L887" i="1"/>
  <c r="K887" i="1"/>
  <c r="F887" i="1"/>
  <c r="Q886" i="1"/>
  <c r="L886" i="1"/>
  <c r="K886" i="1"/>
  <c r="F886" i="1"/>
  <c r="Q885" i="1"/>
  <c r="L885" i="1"/>
  <c r="K885" i="1"/>
  <c r="F885" i="1"/>
  <c r="Q884" i="1"/>
  <c r="L884" i="1"/>
  <c r="K884" i="1"/>
  <c r="F884" i="1"/>
  <c r="Q883" i="1"/>
  <c r="L883" i="1"/>
  <c r="K883" i="1"/>
  <c r="F883" i="1"/>
  <c r="Q882" i="1"/>
  <c r="L882" i="1"/>
  <c r="K882" i="1"/>
  <c r="F882" i="1"/>
  <c r="Q881" i="1"/>
  <c r="L881" i="1"/>
  <c r="K881" i="1"/>
  <c r="F881" i="1"/>
  <c r="Q880" i="1"/>
  <c r="L880" i="1"/>
  <c r="K880" i="1"/>
  <c r="F880" i="1"/>
  <c r="Q879" i="1"/>
  <c r="L879" i="1"/>
  <c r="K879" i="1"/>
  <c r="F879" i="1"/>
  <c r="Q878" i="1"/>
  <c r="L878" i="1"/>
  <c r="K878" i="1"/>
  <c r="F878" i="1"/>
  <c r="Q877" i="1"/>
  <c r="L877" i="1"/>
  <c r="K877" i="1"/>
  <c r="F877" i="1"/>
  <c r="Q876" i="1"/>
  <c r="L876" i="1"/>
  <c r="K876" i="1"/>
  <c r="F876" i="1"/>
  <c r="Q875" i="1"/>
  <c r="L875" i="1"/>
  <c r="K875" i="1"/>
  <c r="F875" i="1"/>
  <c r="Q874" i="1"/>
  <c r="L874" i="1"/>
  <c r="K874" i="1"/>
  <c r="F874" i="1"/>
  <c r="Q873" i="1"/>
  <c r="L873" i="1"/>
  <c r="K873" i="1"/>
  <c r="F873" i="1"/>
  <c r="Q872" i="1"/>
  <c r="L872" i="1"/>
  <c r="K872" i="1"/>
  <c r="F872" i="1"/>
  <c r="Q871" i="1"/>
  <c r="L871" i="1"/>
  <c r="K871" i="1"/>
  <c r="F871" i="1"/>
  <c r="Q870" i="1"/>
  <c r="L870" i="1"/>
  <c r="K870" i="1"/>
  <c r="F870" i="1"/>
  <c r="Q869" i="1"/>
  <c r="L869" i="1"/>
  <c r="K869" i="1"/>
  <c r="F869" i="1"/>
  <c r="Q868" i="1"/>
  <c r="L868" i="1"/>
  <c r="K868" i="1"/>
  <c r="F868" i="1"/>
  <c r="Q867" i="1"/>
  <c r="L867" i="1"/>
  <c r="K867" i="1"/>
  <c r="F867" i="1"/>
  <c r="Q866" i="1"/>
  <c r="L866" i="1"/>
  <c r="K866" i="1"/>
  <c r="F866" i="1"/>
  <c r="Q865" i="1"/>
  <c r="L865" i="1"/>
  <c r="K865" i="1"/>
  <c r="F865" i="1"/>
  <c r="Q864" i="1"/>
  <c r="L864" i="1"/>
  <c r="K864" i="1"/>
  <c r="F864" i="1"/>
  <c r="Q863" i="1"/>
  <c r="L863" i="1"/>
  <c r="K863" i="1"/>
  <c r="F863" i="1"/>
  <c r="L862" i="1"/>
  <c r="Q861" i="1"/>
  <c r="L861" i="1"/>
  <c r="K861" i="1"/>
  <c r="F861" i="1"/>
  <c r="Q860" i="1"/>
  <c r="L860" i="1"/>
  <c r="K860" i="1"/>
  <c r="F860" i="1"/>
  <c r="Q859" i="1"/>
  <c r="L859" i="1"/>
  <c r="K859" i="1"/>
  <c r="F859" i="1"/>
  <c r="Q858" i="1"/>
  <c r="L858" i="1"/>
  <c r="K858" i="1"/>
  <c r="F858" i="1"/>
  <c r="Q857" i="1"/>
  <c r="L857" i="1"/>
  <c r="K857" i="1"/>
  <c r="F857" i="1"/>
  <c r="Q856" i="1"/>
  <c r="L856" i="1"/>
  <c r="K856" i="1"/>
  <c r="F856" i="1"/>
  <c r="Q855" i="1"/>
  <c r="L855" i="1"/>
  <c r="K855" i="1"/>
  <c r="F855" i="1"/>
  <c r="Q854" i="1"/>
  <c r="L854" i="1"/>
  <c r="K854" i="1"/>
  <c r="F854" i="1"/>
  <c r="Q853" i="1"/>
  <c r="L853" i="1"/>
  <c r="K853" i="1"/>
  <c r="F853" i="1"/>
  <c r="Q852" i="1"/>
  <c r="L852" i="1"/>
  <c r="K852" i="1"/>
  <c r="F852" i="1"/>
  <c r="Q851" i="1"/>
  <c r="L851" i="1"/>
  <c r="K851" i="1"/>
  <c r="F851" i="1"/>
  <c r="Q850" i="1"/>
  <c r="L850" i="1"/>
  <c r="K850" i="1"/>
  <c r="F850" i="1"/>
  <c r="Q849" i="1"/>
  <c r="L849" i="1"/>
  <c r="K849" i="1"/>
  <c r="F849" i="1"/>
  <c r="Q848" i="1"/>
  <c r="L848" i="1"/>
  <c r="K848" i="1"/>
  <c r="F848" i="1"/>
  <c r="Q847" i="1"/>
  <c r="L847" i="1"/>
  <c r="K847" i="1"/>
  <c r="F847" i="1"/>
  <c r="Q846" i="1"/>
  <c r="L846" i="1"/>
  <c r="K846" i="1"/>
  <c r="F846" i="1"/>
  <c r="Q845" i="1"/>
  <c r="L845" i="1"/>
  <c r="K845" i="1"/>
  <c r="F845" i="1"/>
  <c r="Q844" i="1"/>
  <c r="L844" i="1"/>
  <c r="K844" i="1"/>
  <c r="F844" i="1"/>
  <c r="Q843" i="1"/>
  <c r="L843" i="1"/>
  <c r="K843" i="1"/>
  <c r="F843" i="1"/>
  <c r="Q842" i="1"/>
  <c r="L842" i="1"/>
  <c r="K842" i="1"/>
  <c r="F842" i="1"/>
  <c r="Q841" i="1"/>
  <c r="L841" i="1"/>
  <c r="K841" i="1"/>
  <c r="F841" i="1"/>
  <c r="Q840" i="1"/>
  <c r="L840" i="1"/>
  <c r="K840" i="1"/>
  <c r="F840" i="1"/>
  <c r="Q839" i="1"/>
  <c r="L839" i="1"/>
  <c r="K839" i="1"/>
  <c r="F839" i="1"/>
  <c r="Q838" i="1"/>
  <c r="L838" i="1"/>
  <c r="K838" i="1"/>
  <c r="F838" i="1"/>
  <c r="Q837" i="1"/>
  <c r="L837" i="1"/>
  <c r="K837" i="1"/>
  <c r="F837" i="1"/>
  <c r="Q836" i="1"/>
  <c r="L836" i="1"/>
  <c r="K836" i="1"/>
  <c r="F836" i="1"/>
  <c r="Q835" i="1"/>
  <c r="L835" i="1"/>
  <c r="K835" i="1"/>
  <c r="F835" i="1"/>
  <c r="Q834" i="1"/>
  <c r="L834" i="1"/>
  <c r="K834" i="1"/>
  <c r="F834" i="1"/>
  <c r="Q833" i="1"/>
  <c r="L833" i="1"/>
  <c r="K833" i="1"/>
  <c r="F833" i="1"/>
  <c r="Q832" i="1"/>
  <c r="L832" i="1"/>
  <c r="K832" i="1"/>
  <c r="F832" i="1"/>
  <c r="Q831" i="1"/>
  <c r="L831" i="1"/>
  <c r="K831" i="1"/>
  <c r="F831" i="1"/>
  <c r="Q830" i="1"/>
  <c r="L830" i="1"/>
  <c r="K830" i="1"/>
  <c r="F830" i="1"/>
  <c r="Q829" i="1"/>
  <c r="L829" i="1"/>
  <c r="K829" i="1"/>
  <c r="F829" i="1"/>
  <c r="Q828" i="1"/>
  <c r="L828" i="1"/>
  <c r="K828" i="1"/>
  <c r="F828" i="1"/>
  <c r="Q827" i="1"/>
  <c r="L827" i="1"/>
  <c r="K827" i="1"/>
  <c r="F827" i="1"/>
  <c r="Q826" i="1"/>
  <c r="L826" i="1"/>
  <c r="K826" i="1"/>
  <c r="F826" i="1"/>
  <c r="Q825" i="1"/>
  <c r="L825" i="1"/>
  <c r="K825" i="1"/>
  <c r="F825" i="1"/>
  <c r="Q824" i="1"/>
  <c r="L824" i="1"/>
  <c r="K824" i="1"/>
  <c r="F824" i="1"/>
  <c r="Q823" i="1"/>
  <c r="L823" i="1"/>
  <c r="K823" i="1"/>
  <c r="F823" i="1"/>
  <c r="Q822" i="1"/>
  <c r="L822" i="1"/>
  <c r="K822" i="1"/>
  <c r="F822" i="1"/>
  <c r="Q821" i="1"/>
  <c r="L821" i="1"/>
  <c r="K821" i="1"/>
  <c r="F821" i="1"/>
  <c r="Q820" i="1"/>
  <c r="L820" i="1"/>
  <c r="K820" i="1"/>
  <c r="F820" i="1"/>
  <c r="Q819" i="1"/>
  <c r="L819" i="1"/>
  <c r="K819" i="1"/>
  <c r="F819" i="1"/>
  <c r="Q818" i="1"/>
  <c r="L818" i="1"/>
  <c r="K818" i="1"/>
  <c r="F818" i="1"/>
  <c r="Q817" i="1"/>
  <c r="L817" i="1"/>
  <c r="K817" i="1"/>
  <c r="F817" i="1"/>
  <c r="Q816" i="1"/>
  <c r="L816" i="1"/>
  <c r="K816" i="1"/>
  <c r="F816" i="1"/>
  <c r="Q815" i="1"/>
  <c r="L815" i="1"/>
  <c r="K815" i="1"/>
  <c r="F815" i="1"/>
  <c r="Q814" i="1"/>
  <c r="L814" i="1"/>
  <c r="K814" i="1"/>
  <c r="F814" i="1"/>
  <c r="Q813" i="1"/>
  <c r="L813" i="1"/>
  <c r="K813" i="1"/>
  <c r="F813" i="1"/>
  <c r="Q812" i="1"/>
  <c r="L812" i="1"/>
  <c r="K812" i="1"/>
  <c r="F812" i="1"/>
  <c r="Q811" i="1"/>
  <c r="L811" i="1"/>
  <c r="K811" i="1"/>
  <c r="F811" i="1"/>
  <c r="Q810" i="1"/>
  <c r="L810" i="1"/>
  <c r="K810" i="1"/>
  <c r="F810" i="1"/>
  <c r="Q809" i="1"/>
  <c r="L809" i="1"/>
  <c r="K809" i="1"/>
  <c r="F809" i="1"/>
  <c r="L808" i="1"/>
  <c r="Q807" i="1"/>
  <c r="L807" i="1"/>
  <c r="K807" i="1"/>
  <c r="F807" i="1"/>
  <c r="Q806" i="1"/>
  <c r="L806" i="1"/>
  <c r="K806" i="1"/>
  <c r="F806" i="1"/>
  <c r="Q805" i="1"/>
  <c r="L805" i="1"/>
  <c r="K805" i="1"/>
  <c r="F805" i="1"/>
  <c r="Q804" i="1"/>
  <c r="L804" i="1"/>
  <c r="K804" i="1"/>
  <c r="F804" i="1"/>
  <c r="Q803" i="1"/>
  <c r="L803" i="1"/>
  <c r="K803" i="1"/>
  <c r="F803" i="1"/>
  <c r="Q802" i="1"/>
  <c r="L802" i="1"/>
  <c r="K802" i="1"/>
  <c r="F802" i="1"/>
  <c r="Q801" i="1"/>
  <c r="L801" i="1"/>
  <c r="K801" i="1"/>
  <c r="F801" i="1"/>
  <c r="Q800" i="1"/>
  <c r="L800" i="1"/>
  <c r="K800" i="1"/>
  <c r="F800" i="1"/>
  <c r="Q799" i="1"/>
  <c r="L799" i="1"/>
  <c r="K799" i="1"/>
  <c r="F799" i="1"/>
  <c r="Q798" i="1"/>
  <c r="L798" i="1"/>
  <c r="K798" i="1"/>
  <c r="F798" i="1"/>
  <c r="Q797" i="1"/>
  <c r="L797" i="1"/>
  <c r="K797" i="1"/>
  <c r="F797" i="1"/>
  <c r="Q796" i="1"/>
  <c r="L796" i="1"/>
  <c r="K796" i="1"/>
  <c r="F796" i="1"/>
  <c r="Q795" i="1"/>
  <c r="L795" i="1"/>
  <c r="K795" i="1"/>
  <c r="F795" i="1"/>
  <c r="Q794" i="1"/>
  <c r="L794" i="1"/>
  <c r="K794" i="1"/>
  <c r="F794" i="1"/>
  <c r="Q793" i="1"/>
  <c r="L793" i="1"/>
  <c r="K793" i="1"/>
  <c r="F793" i="1"/>
  <c r="Q792" i="1"/>
  <c r="L792" i="1"/>
  <c r="K792" i="1"/>
  <c r="F792" i="1"/>
  <c r="Q791" i="1"/>
  <c r="L791" i="1"/>
  <c r="K791" i="1"/>
  <c r="F791" i="1"/>
  <c r="Q790" i="1"/>
  <c r="L790" i="1"/>
  <c r="K790" i="1"/>
  <c r="F790" i="1"/>
  <c r="Q789" i="1"/>
  <c r="L789" i="1"/>
  <c r="K789" i="1"/>
  <c r="F789" i="1"/>
  <c r="Q788" i="1"/>
  <c r="L788" i="1"/>
  <c r="K788" i="1"/>
  <c r="F788" i="1"/>
  <c r="Q787" i="1"/>
  <c r="L787" i="1"/>
  <c r="K787" i="1"/>
  <c r="F787" i="1"/>
  <c r="Q786" i="1"/>
  <c r="L786" i="1"/>
  <c r="K786" i="1"/>
  <c r="F786" i="1"/>
  <c r="Q785" i="1"/>
  <c r="L785" i="1"/>
  <c r="K785" i="1"/>
  <c r="F785" i="1"/>
  <c r="Q784" i="1"/>
  <c r="L784" i="1"/>
  <c r="K784" i="1"/>
  <c r="F784" i="1"/>
  <c r="Q783" i="1"/>
  <c r="L783" i="1"/>
  <c r="K783" i="1"/>
  <c r="F783" i="1"/>
  <c r="Q782" i="1"/>
  <c r="L782" i="1"/>
  <c r="K782" i="1"/>
  <c r="F782" i="1"/>
  <c r="Q781" i="1"/>
  <c r="L781" i="1"/>
  <c r="K781" i="1"/>
  <c r="F781" i="1"/>
  <c r="Q780" i="1"/>
  <c r="L780" i="1"/>
  <c r="K780" i="1"/>
  <c r="F780" i="1"/>
  <c r="Q779" i="1"/>
  <c r="L779" i="1"/>
  <c r="K779" i="1"/>
  <c r="F779" i="1"/>
  <c r="Q778" i="1"/>
  <c r="L778" i="1"/>
  <c r="K778" i="1"/>
  <c r="F778" i="1"/>
  <c r="Q777" i="1"/>
  <c r="L777" i="1"/>
  <c r="K777" i="1"/>
  <c r="F777" i="1"/>
  <c r="Q776" i="1"/>
  <c r="L776" i="1"/>
  <c r="K776" i="1"/>
  <c r="F776" i="1"/>
  <c r="Q775" i="1"/>
  <c r="L775" i="1"/>
  <c r="K775" i="1"/>
  <c r="F775" i="1"/>
  <c r="Q774" i="1"/>
  <c r="L774" i="1"/>
  <c r="K774" i="1"/>
  <c r="F774" i="1"/>
  <c r="Q773" i="1"/>
  <c r="L773" i="1"/>
  <c r="K773" i="1"/>
  <c r="F773" i="1"/>
  <c r="Q772" i="1"/>
  <c r="L772" i="1"/>
  <c r="K772" i="1"/>
  <c r="F772" i="1"/>
  <c r="Q771" i="1"/>
  <c r="L771" i="1"/>
  <c r="K771" i="1"/>
  <c r="F771" i="1"/>
  <c r="Q770" i="1"/>
  <c r="L770" i="1"/>
  <c r="K770" i="1"/>
  <c r="F770" i="1"/>
  <c r="Q769" i="1"/>
  <c r="L769" i="1"/>
  <c r="K769" i="1"/>
  <c r="F769" i="1"/>
  <c r="Q768" i="1"/>
  <c r="L768" i="1"/>
  <c r="K768" i="1"/>
  <c r="F768" i="1"/>
  <c r="Q767" i="1"/>
  <c r="L767" i="1"/>
  <c r="K767" i="1"/>
  <c r="F767" i="1"/>
  <c r="Q766" i="1"/>
  <c r="L766" i="1"/>
  <c r="K766" i="1"/>
  <c r="F766" i="1"/>
  <c r="Q765" i="1"/>
  <c r="L765" i="1"/>
  <c r="K765" i="1"/>
  <c r="F765" i="1"/>
  <c r="Q764" i="1"/>
  <c r="L764" i="1"/>
  <c r="K764" i="1"/>
  <c r="F764" i="1"/>
  <c r="Q763" i="1"/>
  <c r="L763" i="1"/>
  <c r="K763" i="1"/>
  <c r="F763" i="1"/>
  <c r="Q762" i="1"/>
  <c r="L762" i="1"/>
  <c r="K762" i="1"/>
  <c r="F762" i="1"/>
  <c r="Q761" i="1"/>
  <c r="L761" i="1"/>
  <c r="K761" i="1"/>
  <c r="F761" i="1"/>
  <c r="Q760" i="1"/>
  <c r="L760" i="1"/>
  <c r="K760" i="1"/>
  <c r="F760" i="1"/>
  <c r="Q759" i="1"/>
  <c r="L759" i="1"/>
  <c r="K759" i="1"/>
  <c r="F759" i="1"/>
  <c r="Q758" i="1"/>
  <c r="L758" i="1"/>
  <c r="K758" i="1"/>
  <c r="F758" i="1"/>
  <c r="Q757" i="1"/>
  <c r="L757" i="1"/>
  <c r="K757" i="1"/>
  <c r="F757" i="1"/>
  <c r="Q756" i="1"/>
  <c r="L756" i="1"/>
  <c r="K756" i="1"/>
  <c r="F756" i="1"/>
  <c r="Q755" i="1"/>
  <c r="L755" i="1"/>
  <c r="K755" i="1"/>
  <c r="F755" i="1"/>
  <c r="Q754" i="1"/>
  <c r="L754" i="1"/>
  <c r="K754" i="1"/>
  <c r="F754" i="1"/>
  <c r="Q753" i="1"/>
  <c r="L753" i="1"/>
  <c r="K753" i="1"/>
  <c r="F753" i="1"/>
  <c r="Q752" i="1"/>
  <c r="L752" i="1"/>
  <c r="K752" i="1"/>
  <c r="F752" i="1"/>
  <c r="Q751" i="1"/>
  <c r="L751" i="1"/>
  <c r="K751" i="1"/>
  <c r="F751" i="1"/>
  <c r="Q750" i="1"/>
  <c r="L750" i="1"/>
  <c r="K750" i="1"/>
  <c r="F750" i="1"/>
  <c r="Q749" i="1"/>
  <c r="L749" i="1"/>
  <c r="K749" i="1"/>
  <c r="F749" i="1"/>
  <c r="Q748" i="1"/>
  <c r="L748" i="1"/>
  <c r="K748" i="1"/>
  <c r="F748" i="1"/>
  <c r="Q747" i="1"/>
  <c r="L747" i="1"/>
  <c r="K747" i="1"/>
  <c r="F747" i="1"/>
  <c r="Q746" i="1"/>
  <c r="L746" i="1"/>
  <c r="K746" i="1"/>
  <c r="F746" i="1"/>
  <c r="Q745" i="1"/>
  <c r="L745" i="1"/>
  <c r="K745" i="1"/>
  <c r="F745" i="1"/>
  <c r="Q744" i="1"/>
  <c r="L744" i="1"/>
  <c r="K744" i="1"/>
  <c r="F744" i="1"/>
  <c r="Q743" i="1"/>
  <c r="L743" i="1"/>
  <c r="K743" i="1"/>
  <c r="F743" i="1"/>
  <c r="Q742" i="1"/>
  <c r="L742" i="1"/>
  <c r="K742" i="1"/>
  <c r="F742" i="1"/>
  <c r="L741" i="1"/>
  <c r="Q740" i="1"/>
  <c r="L740" i="1"/>
  <c r="K740" i="1"/>
  <c r="F740" i="1"/>
  <c r="Q739" i="1"/>
  <c r="L739" i="1"/>
  <c r="K739" i="1"/>
  <c r="F739" i="1"/>
  <c r="Q738" i="1"/>
  <c r="L738" i="1"/>
  <c r="K738" i="1"/>
  <c r="F738" i="1"/>
  <c r="Q737" i="1"/>
  <c r="L737" i="1"/>
  <c r="K737" i="1"/>
  <c r="F737" i="1"/>
  <c r="Q736" i="1"/>
  <c r="L736" i="1"/>
  <c r="K736" i="1"/>
  <c r="F736" i="1"/>
  <c r="Q735" i="1"/>
  <c r="L735" i="1"/>
  <c r="K735" i="1"/>
  <c r="F735" i="1"/>
  <c r="Q734" i="1"/>
  <c r="L734" i="1"/>
  <c r="K734" i="1"/>
  <c r="F734" i="1"/>
  <c r="Q733" i="1"/>
  <c r="L733" i="1"/>
  <c r="K733" i="1"/>
  <c r="F733" i="1"/>
  <c r="Q732" i="1"/>
  <c r="L732" i="1"/>
  <c r="K732" i="1"/>
  <c r="F732" i="1"/>
  <c r="Q731" i="1"/>
  <c r="L731" i="1"/>
  <c r="K731" i="1"/>
  <c r="F731" i="1"/>
  <c r="Q730" i="1"/>
  <c r="L730" i="1"/>
  <c r="K730" i="1"/>
  <c r="F730" i="1"/>
  <c r="Q729" i="1"/>
  <c r="L729" i="1"/>
  <c r="K729" i="1"/>
  <c r="F729" i="1"/>
  <c r="Q728" i="1"/>
  <c r="L728" i="1"/>
  <c r="K728" i="1"/>
  <c r="F728" i="1"/>
  <c r="Q727" i="1"/>
  <c r="L727" i="1"/>
  <c r="K727" i="1"/>
  <c r="F727" i="1"/>
  <c r="Q726" i="1"/>
  <c r="L726" i="1"/>
  <c r="K726" i="1"/>
  <c r="F726" i="1"/>
  <c r="Q725" i="1"/>
  <c r="L725" i="1"/>
  <c r="K725" i="1"/>
  <c r="F725" i="1"/>
  <c r="Q724" i="1"/>
  <c r="L724" i="1"/>
  <c r="K724" i="1"/>
  <c r="F724" i="1"/>
  <c r="Q723" i="1"/>
  <c r="L723" i="1"/>
  <c r="K723" i="1"/>
  <c r="F723" i="1"/>
  <c r="Q722" i="1"/>
  <c r="L722" i="1"/>
  <c r="K722" i="1"/>
  <c r="F722" i="1"/>
  <c r="Q721" i="1"/>
  <c r="L721" i="1"/>
  <c r="K721" i="1"/>
  <c r="F721" i="1"/>
  <c r="Q720" i="1"/>
  <c r="L720" i="1"/>
  <c r="K720" i="1"/>
  <c r="F720" i="1"/>
  <c r="Q719" i="1"/>
  <c r="L719" i="1"/>
  <c r="K719" i="1"/>
  <c r="F719" i="1"/>
  <c r="Q718" i="1"/>
  <c r="L718" i="1"/>
  <c r="K718" i="1"/>
  <c r="F718" i="1"/>
  <c r="Q717" i="1"/>
  <c r="L717" i="1"/>
  <c r="K717" i="1"/>
  <c r="F717" i="1"/>
  <c r="Q716" i="1"/>
  <c r="L716" i="1"/>
  <c r="K716" i="1"/>
  <c r="F716" i="1"/>
  <c r="Q715" i="1"/>
  <c r="L715" i="1"/>
  <c r="K715" i="1"/>
  <c r="F715" i="1"/>
  <c r="Q714" i="1"/>
  <c r="L714" i="1"/>
  <c r="K714" i="1"/>
  <c r="F714" i="1"/>
  <c r="Q713" i="1"/>
  <c r="L713" i="1"/>
  <c r="K713" i="1"/>
  <c r="F713" i="1"/>
  <c r="Q712" i="1"/>
  <c r="L712" i="1"/>
  <c r="K712" i="1"/>
  <c r="F712" i="1"/>
  <c r="Q711" i="1"/>
  <c r="L711" i="1"/>
  <c r="K711" i="1"/>
  <c r="F711" i="1"/>
  <c r="Q710" i="1"/>
  <c r="L710" i="1"/>
  <c r="K710" i="1"/>
  <c r="F710" i="1"/>
  <c r="Q709" i="1"/>
  <c r="L709" i="1"/>
  <c r="K709" i="1"/>
  <c r="F709" i="1"/>
  <c r="Q708" i="1"/>
  <c r="L708" i="1"/>
  <c r="K708" i="1"/>
  <c r="F708" i="1"/>
  <c r="Q707" i="1"/>
  <c r="L707" i="1"/>
  <c r="K707" i="1"/>
  <c r="F707" i="1"/>
  <c r="Q706" i="1"/>
  <c r="L706" i="1"/>
  <c r="K706" i="1"/>
  <c r="F706" i="1"/>
  <c r="Q705" i="1"/>
  <c r="L705" i="1"/>
  <c r="K705" i="1"/>
  <c r="F705" i="1"/>
  <c r="Q704" i="1"/>
  <c r="L704" i="1"/>
  <c r="K704" i="1"/>
  <c r="F704" i="1"/>
  <c r="Q703" i="1"/>
  <c r="L703" i="1"/>
  <c r="K703" i="1"/>
  <c r="F703" i="1"/>
  <c r="Q702" i="1"/>
  <c r="L702" i="1"/>
  <c r="K702" i="1"/>
  <c r="F702" i="1"/>
  <c r="Q701" i="1"/>
  <c r="L701" i="1"/>
  <c r="K701" i="1"/>
  <c r="F701" i="1"/>
  <c r="Q700" i="1"/>
  <c r="L700" i="1"/>
  <c r="K700" i="1"/>
  <c r="F700" i="1"/>
  <c r="Q699" i="1"/>
  <c r="L699" i="1"/>
  <c r="K699" i="1"/>
  <c r="F699" i="1"/>
  <c r="Q698" i="1"/>
  <c r="L698" i="1"/>
  <c r="K698" i="1"/>
  <c r="F698" i="1"/>
  <c r="Q697" i="1"/>
  <c r="L697" i="1"/>
  <c r="K697" i="1"/>
  <c r="F697" i="1"/>
  <c r="Q696" i="1"/>
  <c r="L696" i="1"/>
  <c r="K696" i="1"/>
  <c r="F696" i="1"/>
  <c r="Q695" i="1"/>
  <c r="L695" i="1"/>
  <c r="K695" i="1"/>
  <c r="F695" i="1"/>
  <c r="Q694" i="1"/>
  <c r="L694" i="1"/>
  <c r="K694" i="1"/>
  <c r="F694" i="1"/>
  <c r="Q693" i="1"/>
  <c r="L693" i="1"/>
  <c r="K693" i="1"/>
  <c r="F693" i="1"/>
  <c r="Q692" i="1"/>
  <c r="L692" i="1"/>
  <c r="K692" i="1"/>
  <c r="F692" i="1"/>
  <c r="Q691" i="1"/>
  <c r="L691" i="1"/>
  <c r="K691" i="1"/>
  <c r="F691" i="1"/>
  <c r="Q690" i="1"/>
  <c r="L690" i="1"/>
  <c r="K690" i="1"/>
  <c r="F690" i="1"/>
  <c r="Q689" i="1"/>
  <c r="L689" i="1"/>
  <c r="K689" i="1"/>
  <c r="F689" i="1"/>
  <c r="Q688" i="1"/>
  <c r="L688" i="1"/>
  <c r="K688" i="1"/>
  <c r="F688" i="1"/>
  <c r="L687" i="1"/>
  <c r="Q686" i="1"/>
  <c r="L686" i="1"/>
  <c r="K686" i="1"/>
  <c r="F686" i="1"/>
  <c r="Q685" i="1"/>
  <c r="L685" i="1"/>
  <c r="K685" i="1"/>
  <c r="F685" i="1"/>
  <c r="Q684" i="1"/>
  <c r="L684" i="1"/>
  <c r="K684" i="1"/>
  <c r="F684" i="1"/>
  <c r="Q683" i="1"/>
  <c r="L683" i="1"/>
  <c r="K683" i="1"/>
  <c r="F683" i="1"/>
  <c r="Q682" i="1"/>
  <c r="L682" i="1"/>
  <c r="K682" i="1"/>
  <c r="F682" i="1"/>
  <c r="Q681" i="1"/>
  <c r="L681" i="1"/>
  <c r="K681" i="1"/>
  <c r="F681" i="1"/>
  <c r="Q680" i="1"/>
  <c r="L680" i="1"/>
  <c r="K680" i="1"/>
  <c r="F680" i="1"/>
  <c r="Q679" i="1"/>
  <c r="L679" i="1"/>
  <c r="K679" i="1"/>
  <c r="F679" i="1"/>
  <c r="Q678" i="1"/>
  <c r="L678" i="1"/>
  <c r="K678" i="1"/>
  <c r="F678" i="1"/>
  <c r="Q677" i="1"/>
  <c r="L677" i="1"/>
  <c r="K677" i="1"/>
  <c r="F677" i="1"/>
  <c r="Q676" i="1"/>
  <c r="L676" i="1"/>
  <c r="K676" i="1"/>
  <c r="F676" i="1"/>
  <c r="Q675" i="1"/>
  <c r="L675" i="1"/>
  <c r="K675" i="1"/>
  <c r="F675" i="1"/>
  <c r="Q674" i="1"/>
  <c r="L674" i="1"/>
  <c r="K674" i="1"/>
  <c r="F674" i="1"/>
  <c r="Q673" i="1"/>
  <c r="L673" i="1"/>
  <c r="K673" i="1"/>
  <c r="F673" i="1"/>
  <c r="Q672" i="1"/>
  <c r="L672" i="1"/>
  <c r="K672" i="1"/>
  <c r="F672" i="1"/>
  <c r="Q671" i="1"/>
  <c r="L671" i="1"/>
  <c r="K671" i="1"/>
  <c r="F671" i="1"/>
  <c r="Q670" i="1"/>
  <c r="L670" i="1"/>
  <c r="K670" i="1"/>
  <c r="F670" i="1"/>
  <c r="Q669" i="1"/>
  <c r="L669" i="1"/>
  <c r="K669" i="1"/>
  <c r="F669" i="1"/>
  <c r="Q668" i="1"/>
  <c r="L668" i="1"/>
  <c r="K668" i="1"/>
  <c r="F668" i="1"/>
  <c r="Q667" i="1"/>
  <c r="L667" i="1"/>
  <c r="K667" i="1"/>
  <c r="F667" i="1"/>
  <c r="Q666" i="1"/>
  <c r="L666" i="1"/>
  <c r="K666" i="1"/>
  <c r="F666" i="1"/>
  <c r="Q665" i="1"/>
  <c r="L665" i="1"/>
  <c r="K665" i="1"/>
  <c r="F665" i="1"/>
  <c r="Q664" i="1"/>
  <c r="L664" i="1"/>
  <c r="K664" i="1"/>
  <c r="F664" i="1"/>
  <c r="Q663" i="1"/>
  <c r="L663" i="1"/>
  <c r="K663" i="1"/>
  <c r="F663" i="1"/>
  <c r="Q662" i="1"/>
  <c r="L662" i="1"/>
  <c r="K662" i="1"/>
  <c r="F662" i="1"/>
  <c r="Q661" i="1"/>
  <c r="L661" i="1"/>
  <c r="K661" i="1"/>
  <c r="F661" i="1"/>
  <c r="Q660" i="1"/>
  <c r="L660" i="1"/>
  <c r="K660" i="1"/>
  <c r="F660" i="1"/>
  <c r="Q659" i="1"/>
  <c r="L659" i="1"/>
  <c r="K659" i="1"/>
  <c r="F659" i="1"/>
  <c r="Q658" i="1"/>
  <c r="L658" i="1"/>
  <c r="K658" i="1"/>
  <c r="F658" i="1"/>
  <c r="Q657" i="1"/>
  <c r="L657" i="1"/>
  <c r="K657" i="1"/>
  <c r="F657" i="1"/>
  <c r="Q656" i="1"/>
  <c r="L656" i="1"/>
  <c r="K656" i="1"/>
  <c r="F656" i="1"/>
  <c r="Q655" i="1"/>
  <c r="L655" i="1"/>
  <c r="K655" i="1"/>
  <c r="F655" i="1"/>
  <c r="Q654" i="1"/>
  <c r="L654" i="1"/>
  <c r="K654" i="1"/>
  <c r="F654" i="1"/>
  <c r="Q653" i="1"/>
  <c r="L653" i="1"/>
  <c r="K653" i="1"/>
  <c r="F653" i="1"/>
  <c r="Q652" i="1"/>
  <c r="L652" i="1"/>
  <c r="K652" i="1"/>
  <c r="F652" i="1"/>
  <c r="Q651" i="1"/>
  <c r="L651" i="1"/>
  <c r="K651" i="1"/>
  <c r="F651" i="1"/>
  <c r="Q650" i="1"/>
  <c r="L650" i="1"/>
  <c r="K650" i="1"/>
  <c r="F650" i="1"/>
  <c r="Q649" i="1"/>
  <c r="L649" i="1"/>
  <c r="K649" i="1"/>
  <c r="F649" i="1"/>
  <c r="Q648" i="1"/>
  <c r="L648" i="1"/>
  <c r="K648" i="1"/>
  <c r="F648" i="1"/>
  <c r="Q647" i="1"/>
  <c r="L647" i="1"/>
  <c r="K647" i="1"/>
  <c r="F647" i="1"/>
  <c r="Q646" i="1"/>
  <c r="L646" i="1"/>
  <c r="K646" i="1"/>
  <c r="F646" i="1"/>
  <c r="Q645" i="1"/>
  <c r="L645" i="1"/>
  <c r="K645" i="1"/>
  <c r="F645" i="1"/>
  <c r="Q644" i="1"/>
  <c r="L644" i="1"/>
  <c r="K644" i="1"/>
  <c r="F644" i="1"/>
  <c r="Q643" i="1"/>
  <c r="L643" i="1"/>
  <c r="K643" i="1"/>
  <c r="F643" i="1"/>
  <c r="Q642" i="1"/>
  <c r="L642" i="1"/>
  <c r="K642" i="1"/>
  <c r="F642" i="1"/>
  <c r="Q641" i="1"/>
  <c r="L641" i="1"/>
  <c r="K641" i="1"/>
  <c r="F641" i="1"/>
  <c r="Q640" i="1"/>
  <c r="L640" i="1"/>
  <c r="K640" i="1"/>
  <c r="F640" i="1"/>
  <c r="Q639" i="1"/>
  <c r="L639" i="1"/>
  <c r="K639" i="1"/>
  <c r="F639" i="1"/>
  <c r="Q638" i="1"/>
  <c r="L638" i="1"/>
  <c r="K638" i="1"/>
  <c r="F638" i="1"/>
  <c r="Q637" i="1"/>
  <c r="L637" i="1"/>
  <c r="K637" i="1"/>
  <c r="F637" i="1"/>
  <c r="Q636" i="1"/>
  <c r="L636" i="1"/>
  <c r="K636" i="1"/>
  <c r="F636" i="1"/>
  <c r="Q635" i="1"/>
  <c r="L635" i="1"/>
  <c r="K635" i="1"/>
  <c r="F635" i="1"/>
  <c r="Q634" i="1"/>
  <c r="L634" i="1"/>
  <c r="K634" i="1"/>
  <c r="F634" i="1"/>
  <c r="Q633" i="1"/>
  <c r="L633" i="1"/>
  <c r="K633" i="1"/>
  <c r="F633" i="1"/>
  <c r="Q632" i="1"/>
  <c r="L632" i="1"/>
  <c r="K632" i="1"/>
  <c r="F632" i="1"/>
  <c r="Q631" i="1"/>
  <c r="L631" i="1"/>
  <c r="K631" i="1"/>
  <c r="F631" i="1"/>
  <c r="Q630" i="1"/>
  <c r="L630" i="1"/>
  <c r="K630" i="1"/>
  <c r="F630" i="1"/>
  <c r="Q629" i="1"/>
  <c r="L629" i="1"/>
  <c r="K629" i="1"/>
  <c r="F629" i="1"/>
  <c r="Q628" i="1"/>
  <c r="L628" i="1"/>
  <c r="K628" i="1"/>
  <c r="F628" i="1"/>
  <c r="Q627" i="1"/>
  <c r="L627" i="1"/>
  <c r="K627" i="1"/>
  <c r="F627" i="1"/>
  <c r="Q626" i="1"/>
  <c r="L626" i="1"/>
  <c r="K626" i="1"/>
  <c r="F626" i="1"/>
  <c r="Q625" i="1"/>
  <c r="L625" i="1"/>
  <c r="K625" i="1"/>
  <c r="F625" i="1"/>
  <c r="Q624" i="1"/>
  <c r="L624" i="1"/>
  <c r="K624" i="1"/>
  <c r="F624" i="1"/>
  <c r="Q623" i="1"/>
  <c r="L623" i="1"/>
  <c r="K623" i="1"/>
  <c r="F623" i="1"/>
  <c r="Q622" i="1"/>
  <c r="L622" i="1"/>
  <c r="K622" i="1"/>
  <c r="F622" i="1"/>
  <c r="L621" i="1"/>
  <c r="Q620" i="1"/>
  <c r="L620" i="1"/>
  <c r="K620" i="1"/>
  <c r="F620" i="1"/>
  <c r="Q619" i="1"/>
  <c r="L619" i="1"/>
  <c r="K619" i="1"/>
  <c r="F619" i="1"/>
  <c r="Q618" i="1"/>
  <c r="L618" i="1"/>
  <c r="K618" i="1"/>
  <c r="F618" i="1"/>
  <c r="Q617" i="1"/>
  <c r="L617" i="1"/>
  <c r="K617" i="1"/>
  <c r="F617" i="1"/>
  <c r="Q616" i="1"/>
  <c r="L616" i="1"/>
  <c r="K616" i="1"/>
  <c r="F616" i="1"/>
  <c r="Q615" i="1"/>
  <c r="L615" i="1"/>
  <c r="K615" i="1"/>
  <c r="F615" i="1"/>
  <c r="Q614" i="1"/>
  <c r="L614" i="1"/>
  <c r="K614" i="1"/>
  <c r="F614" i="1"/>
  <c r="Q613" i="1"/>
  <c r="L613" i="1"/>
  <c r="K613" i="1"/>
  <c r="F613" i="1"/>
  <c r="Q612" i="1"/>
  <c r="L612" i="1"/>
  <c r="K612" i="1"/>
  <c r="F612" i="1"/>
  <c r="Q611" i="1"/>
  <c r="L611" i="1"/>
  <c r="K611" i="1"/>
  <c r="F611" i="1"/>
  <c r="Q610" i="1"/>
  <c r="L610" i="1"/>
  <c r="K610" i="1"/>
  <c r="F610" i="1"/>
  <c r="Q609" i="1"/>
  <c r="L609" i="1"/>
  <c r="K609" i="1"/>
  <c r="F609" i="1"/>
  <c r="Q608" i="1"/>
  <c r="L608" i="1"/>
  <c r="K608" i="1"/>
  <c r="F608" i="1"/>
  <c r="Q607" i="1"/>
  <c r="L607" i="1"/>
  <c r="K607" i="1"/>
  <c r="F607" i="1"/>
  <c r="Q606" i="1"/>
  <c r="L606" i="1"/>
  <c r="K606" i="1"/>
  <c r="F606" i="1"/>
  <c r="Q605" i="1"/>
  <c r="L605" i="1"/>
  <c r="K605" i="1"/>
  <c r="F605" i="1"/>
  <c r="Q604" i="1"/>
  <c r="L604" i="1"/>
  <c r="K604" i="1"/>
  <c r="F604" i="1"/>
  <c r="Q603" i="1"/>
  <c r="L603" i="1"/>
  <c r="K603" i="1"/>
  <c r="F603" i="1"/>
  <c r="Q602" i="1"/>
  <c r="L602" i="1"/>
  <c r="K602" i="1"/>
  <c r="F602" i="1"/>
  <c r="Q601" i="1"/>
  <c r="L601" i="1"/>
  <c r="K601" i="1"/>
  <c r="F601" i="1"/>
  <c r="Q600" i="1"/>
  <c r="L600" i="1"/>
  <c r="K600" i="1"/>
  <c r="F600" i="1"/>
  <c r="Q599" i="1"/>
  <c r="L599" i="1"/>
  <c r="K599" i="1"/>
  <c r="F599" i="1"/>
  <c r="Q598" i="1"/>
  <c r="L598" i="1"/>
  <c r="K598" i="1"/>
  <c r="F598" i="1"/>
  <c r="Q597" i="1"/>
  <c r="L597" i="1"/>
  <c r="K597" i="1"/>
  <c r="F597" i="1"/>
  <c r="Q596" i="1"/>
  <c r="L596" i="1"/>
  <c r="K596" i="1"/>
  <c r="F596" i="1"/>
  <c r="Q595" i="1"/>
  <c r="L595" i="1"/>
  <c r="K595" i="1"/>
  <c r="F595" i="1"/>
  <c r="L594" i="1"/>
  <c r="Q593" i="1"/>
  <c r="L593" i="1"/>
  <c r="K593" i="1"/>
  <c r="F593" i="1"/>
  <c r="Q592" i="1"/>
  <c r="L592" i="1"/>
  <c r="K592" i="1"/>
  <c r="F592" i="1"/>
  <c r="Q591" i="1"/>
  <c r="L591" i="1"/>
  <c r="K591" i="1"/>
  <c r="F591" i="1"/>
  <c r="Q590" i="1"/>
  <c r="L590" i="1"/>
  <c r="K590" i="1"/>
  <c r="F590" i="1"/>
  <c r="Q589" i="1"/>
  <c r="L589" i="1"/>
  <c r="K589" i="1"/>
  <c r="F589" i="1"/>
  <c r="Q588" i="1"/>
  <c r="L588" i="1"/>
  <c r="K588" i="1"/>
  <c r="F588" i="1"/>
  <c r="Q587" i="1"/>
  <c r="L587" i="1"/>
  <c r="K587" i="1"/>
  <c r="F587" i="1"/>
  <c r="Q586" i="1"/>
  <c r="L586" i="1"/>
  <c r="K586" i="1"/>
  <c r="F586" i="1"/>
  <c r="Q585" i="1"/>
  <c r="L585" i="1"/>
  <c r="K585" i="1"/>
  <c r="F585" i="1"/>
  <c r="Q584" i="1"/>
  <c r="L584" i="1"/>
  <c r="K584" i="1"/>
  <c r="F584" i="1"/>
  <c r="Q583" i="1"/>
  <c r="L583" i="1"/>
  <c r="K583" i="1"/>
  <c r="F583" i="1"/>
  <c r="Q582" i="1"/>
  <c r="L582" i="1"/>
  <c r="K582" i="1"/>
  <c r="F582" i="1"/>
  <c r="Q581" i="1"/>
  <c r="L581" i="1"/>
  <c r="K581" i="1"/>
  <c r="F581" i="1"/>
  <c r="Q580" i="1"/>
  <c r="L580" i="1"/>
  <c r="K580" i="1"/>
  <c r="F580" i="1"/>
  <c r="Q579" i="1"/>
  <c r="L579" i="1"/>
  <c r="K579" i="1"/>
  <c r="F579" i="1"/>
  <c r="Q578" i="1"/>
  <c r="L578" i="1"/>
  <c r="K578" i="1"/>
  <c r="F578" i="1"/>
  <c r="Q577" i="1"/>
  <c r="L577" i="1"/>
  <c r="K577" i="1"/>
  <c r="F577" i="1"/>
  <c r="Q576" i="1"/>
  <c r="L576" i="1"/>
  <c r="K576" i="1"/>
  <c r="F576" i="1"/>
  <c r="Q575" i="1"/>
  <c r="L575" i="1"/>
  <c r="K575" i="1"/>
  <c r="F575" i="1"/>
  <c r="Q574" i="1"/>
  <c r="L574" i="1"/>
  <c r="K574" i="1"/>
  <c r="F574" i="1"/>
  <c r="Q573" i="1"/>
  <c r="L573" i="1"/>
  <c r="K573" i="1"/>
  <c r="F573" i="1"/>
  <c r="Q572" i="1"/>
  <c r="L572" i="1"/>
  <c r="K572" i="1"/>
  <c r="F572" i="1"/>
  <c r="Q571" i="1"/>
  <c r="L571" i="1"/>
  <c r="K571" i="1"/>
  <c r="F571" i="1"/>
  <c r="Q570" i="1"/>
  <c r="L570" i="1"/>
  <c r="K570" i="1"/>
  <c r="F570" i="1"/>
  <c r="Q569" i="1"/>
  <c r="L569" i="1"/>
  <c r="K569" i="1"/>
  <c r="F569" i="1"/>
  <c r="L568" i="1"/>
  <c r="Q567" i="1"/>
  <c r="L567" i="1"/>
  <c r="K567" i="1"/>
  <c r="F567" i="1"/>
  <c r="Q566" i="1"/>
  <c r="L566" i="1"/>
  <c r="K566" i="1"/>
  <c r="F566" i="1"/>
  <c r="Q565" i="1"/>
  <c r="L565" i="1"/>
  <c r="K565" i="1"/>
  <c r="F565" i="1"/>
  <c r="Q564" i="1"/>
  <c r="L564" i="1"/>
  <c r="K564" i="1"/>
  <c r="F564" i="1"/>
  <c r="Q563" i="1"/>
  <c r="L563" i="1"/>
  <c r="K563" i="1"/>
  <c r="F563" i="1"/>
  <c r="Q562" i="1"/>
  <c r="L562" i="1"/>
  <c r="K562" i="1"/>
  <c r="F562" i="1"/>
  <c r="Q561" i="1"/>
  <c r="L561" i="1"/>
  <c r="K561" i="1"/>
  <c r="F561" i="1"/>
  <c r="Q560" i="1"/>
  <c r="L560" i="1"/>
  <c r="K560" i="1"/>
  <c r="F560" i="1"/>
  <c r="Q559" i="1"/>
  <c r="L559" i="1"/>
  <c r="K559" i="1"/>
  <c r="F559" i="1"/>
  <c r="Q558" i="1"/>
  <c r="L558" i="1"/>
  <c r="K558" i="1"/>
  <c r="F558" i="1"/>
  <c r="Q557" i="1"/>
  <c r="L557" i="1"/>
  <c r="K557" i="1"/>
  <c r="F557" i="1"/>
  <c r="Q556" i="1"/>
  <c r="L556" i="1"/>
  <c r="K556" i="1"/>
  <c r="F556" i="1"/>
  <c r="Q555" i="1"/>
  <c r="L555" i="1"/>
  <c r="K555" i="1"/>
  <c r="F555" i="1"/>
  <c r="Q554" i="1"/>
  <c r="L554" i="1"/>
  <c r="K554" i="1"/>
  <c r="F554" i="1"/>
  <c r="Q553" i="1"/>
  <c r="L553" i="1"/>
  <c r="K553" i="1"/>
  <c r="F553" i="1"/>
  <c r="Q552" i="1"/>
  <c r="L552" i="1"/>
  <c r="K552" i="1"/>
  <c r="F552" i="1"/>
  <c r="Q551" i="1"/>
  <c r="L551" i="1"/>
  <c r="K551" i="1"/>
  <c r="F551" i="1"/>
  <c r="Q550" i="1"/>
  <c r="L550" i="1"/>
  <c r="K550" i="1"/>
  <c r="F550" i="1"/>
  <c r="Q549" i="1"/>
  <c r="L549" i="1"/>
  <c r="K549" i="1"/>
  <c r="F549" i="1"/>
  <c r="Q548" i="1"/>
  <c r="L548" i="1"/>
  <c r="K548" i="1"/>
  <c r="F548" i="1"/>
  <c r="Q547" i="1"/>
  <c r="L547" i="1"/>
  <c r="K547" i="1"/>
  <c r="F547" i="1"/>
  <c r="Q546" i="1"/>
  <c r="L546" i="1"/>
  <c r="K546" i="1"/>
  <c r="F546" i="1"/>
  <c r="Q545" i="1"/>
  <c r="L545" i="1"/>
  <c r="K545" i="1"/>
  <c r="F545" i="1"/>
  <c r="Q544" i="1"/>
  <c r="L544" i="1"/>
  <c r="K544" i="1"/>
  <c r="F544" i="1"/>
  <c r="Q543" i="1"/>
  <c r="L543" i="1"/>
  <c r="K543" i="1"/>
  <c r="F543" i="1"/>
  <c r="Q542" i="1"/>
  <c r="L542" i="1"/>
  <c r="K542" i="1"/>
  <c r="F542" i="1"/>
  <c r="Q541" i="1"/>
  <c r="L541" i="1"/>
  <c r="K541" i="1"/>
  <c r="F541" i="1"/>
  <c r="Q540" i="1"/>
  <c r="L540" i="1"/>
  <c r="K540" i="1"/>
  <c r="F540" i="1"/>
  <c r="L539" i="1"/>
  <c r="Q538" i="1"/>
  <c r="L538" i="1"/>
  <c r="K538" i="1"/>
  <c r="F538" i="1"/>
  <c r="Q537" i="1"/>
  <c r="L537" i="1"/>
  <c r="K537" i="1"/>
  <c r="F537" i="1"/>
  <c r="Q536" i="1"/>
  <c r="L536" i="1"/>
  <c r="K536" i="1"/>
  <c r="F536" i="1"/>
  <c r="Q535" i="1"/>
  <c r="L535" i="1"/>
  <c r="K535" i="1"/>
  <c r="F535" i="1"/>
  <c r="Q534" i="1"/>
  <c r="L534" i="1"/>
  <c r="K534" i="1"/>
  <c r="F534" i="1"/>
  <c r="Q533" i="1"/>
  <c r="L533" i="1"/>
  <c r="K533" i="1"/>
  <c r="F533" i="1"/>
  <c r="Q532" i="1"/>
  <c r="L532" i="1"/>
  <c r="K532" i="1"/>
  <c r="F532" i="1"/>
  <c r="Q531" i="1"/>
  <c r="L531" i="1"/>
  <c r="K531" i="1"/>
  <c r="F531" i="1"/>
  <c r="Q530" i="1"/>
  <c r="L530" i="1"/>
  <c r="K530" i="1"/>
  <c r="F530" i="1"/>
  <c r="Q529" i="1"/>
  <c r="L529" i="1"/>
  <c r="K529" i="1"/>
  <c r="F529" i="1"/>
  <c r="Q528" i="1"/>
  <c r="L528" i="1"/>
  <c r="K528" i="1"/>
  <c r="F528" i="1"/>
  <c r="Q527" i="1"/>
  <c r="L527" i="1"/>
  <c r="K527" i="1"/>
  <c r="F527" i="1"/>
  <c r="Q526" i="1"/>
  <c r="L526" i="1"/>
  <c r="K526" i="1"/>
  <c r="F526" i="1"/>
  <c r="Q525" i="1"/>
  <c r="L525" i="1"/>
  <c r="K525" i="1"/>
  <c r="F525" i="1"/>
  <c r="Q524" i="1"/>
  <c r="L524" i="1"/>
  <c r="K524" i="1"/>
  <c r="F524" i="1"/>
  <c r="Q523" i="1"/>
  <c r="L523" i="1"/>
  <c r="K523" i="1"/>
  <c r="F523" i="1"/>
  <c r="Q522" i="1"/>
  <c r="L522" i="1"/>
  <c r="K522" i="1"/>
  <c r="F522" i="1"/>
  <c r="Q521" i="1"/>
  <c r="L521" i="1"/>
  <c r="K521" i="1"/>
  <c r="F521" i="1"/>
  <c r="Q520" i="1"/>
  <c r="L520" i="1"/>
  <c r="K520" i="1"/>
  <c r="F520" i="1"/>
  <c r="Q519" i="1"/>
  <c r="L519" i="1"/>
  <c r="K519" i="1"/>
  <c r="F519" i="1"/>
  <c r="Q518" i="1"/>
  <c r="L518" i="1"/>
  <c r="K518" i="1"/>
  <c r="F518" i="1"/>
  <c r="Q517" i="1"/>
  <c r="L517" i="1"/>
  <c r="K517" i="1"/>
  <c r="F517" i="1"/>
  <c r="Q516" i="1"/>
  <c r="L516" i="1"/>
  <c r="K516" i="1"/>
  <c r="F516" i="1"/>
  <c r="Q515" i="1"/>
  <c r="L515" i="1"/>
  <c r="K515" i="1"/>
  <c r="F515" i="1"/>
  <c r="Q514" i="1"/>
  <c r="L514" i="1"/>
  <c r="K514" i="1"/>
  <c r="F514" i="1"/>
  <c r="L513" i="1"/>
  <c r="Q512" i="1"/>
  <c r="L512" i="1"/>
  <c r="K512" i="1"/>
  <c r="F512" i="1"/>
  <c r="Q511" i="1"/>
  <c r="L511" i="1"/>
  <c r="K511" i="1"/>
  <c r="F511" i="1"/>
  <c r="Q510" i="1"/>
  <c r="L510" i="1"/>
  <c r="K510" i="1"/>
  <c r="F510" i="1"/>
  <c r="Q509" i="1"/>
  <c r="L509" i="1"/>
  <c r="K509" i="1"/>
  <c r="F509" i="1"/>
  <c r="Q508" i="1"/>
  <c r="L508" i="1"/>
  <c r="K508" i="1"/>
  <c r="F508" i="1"/>
  <c r="Q507" i="1"/>
  <c r="L507" i="1"/>
  <c r="K507" i="1"/>
  <c r="F507" i="1"/>
  <c r="Q506" i="1"/>
  <c r="L506" i="1"/>
  <c r="K506" i="1"/>
  <c r="F506" i="1"/>
  <c r="Q505" i="1"/>
  <c r="L505" i="1"/>
  <c r="K505" i="1"/>
  <c r="F505" i="1"/>
  <c r="Q504" i="1"/>
  <c r="L504" i="1"/>
  <c r="K504" i="1"/>
  <c r="F504" i="1"/>
  <c r="Q503" i="1"/>
  <c r="L503" i="1"/>
  <c r="K503" i="1"/>
  <c r="F503" i="1"/>
  <c r="Q502" i="1"/>
  <c r="L502" i="1"/>
  <c r="K502" i="1"/>
  <c r="F502" i="1"/>
  <c r="Q501" i="1"/>
  <c r="L501" i="1"/>
  <c r="K501" i="1"/>
  <c r="F501" i="1"/>
  <c r="Q500" i="1"/>
  <c r="L500" i="1"/>
  <c r="K500" i="1"/>
  <c r="F500" i="1"/>
  <c r="L499" i="1"/>
  <c r="Q498" i="1"/>
  <c r="L498" i="1"/>
  <c r="K498" i="1"/>
  <c r="F498" i="1"/>
  <c r="Q497" i="1"/>
  <c r="L497" i="1"/>
  <c r="K497" i="1"/>
  <c r="F497" i="1"/>
  <c r="Q496" i="1"/>
  <c r="L496" i="1"/>
  <c r="K496" i="1"/>
  <c r="F496" i="1"/>
  <c r="Q495" i="1"/>
  <c r="L495" i="1"/>
  <c r="K495" i="1"/>
  <c r="F495" i="1"/>
  <c r="Q494" i="1"/>
  <c r="L494" i="1"/>
  <c r="K494" i="1"/>
  <c r="F494" i="1"/>
  <c r="Q493" i="1"/>
  <c r="L493" i="1"/>
  <c r="K493" i="1"/>
  <c r="F493" i="1"/>
  <c r="Q492" i="1"/>
  <c r="L492" i="1"/>
  <c r="K492" i="1"/>
  <c r="F492" i="1"/>
  <c r="Q491" i="1"/>
  <c r="L491" i="1"/>
  <c r="K491" i="1"/>
  <c r="F491" i="1"/>
  <c r="Q490" i="1"/>
  <c r="L490" i="1"/>
  <c r="K490" i="1"/>
  <c r="F490" i="1"/>
  <c r="Q489" i="1"/>
  <c r="L489" i="1"/>
  <c r="K489" i="1"/>
  <c r="F489" i="1"/>
  <c r="Q488" i="1"/>
  <c r="L488" i="1"/>
  <c r="K488" i="1"/>
  <c r="F488" i="1"/>
  <c r="Q487" i="1"/>
  <c r="L487" i="1"/>
  <c r="K487" i="1"/>
  <c r="F487" i="1"/>
  <c r="Q486" i="1"/>
  <c r="L486" i="1"/>
  <c r="K486" i="1"/>
  <c r="F486" i="1"/>
  <c r="Q485" i="1"/>
  <c r="L485" i="1"/>
  <c r="K485" i="1"/>
  <c r="F485" i="1"/>
  <c r="Q484" i="1"/>
  <c r="L484" i="1"/>
  <c r="K484" i="1"/>
  <c r="F484" i="1"/>
  <c r="Q483" i="1"/>
  <c r="L483" i="1"/>
  <c r="K483" i="1"/>
  <c r="F483" i="1"/>
  <c r="Q482" i="1"/>
  <c r="L482" i="1"/>
  <c r="K482" i="1"/>
  <c r="F482" i="1"/>
  <c r="Q481" i="1"/>
  <c r="L481" i="1"/>
  <c r="K481" i="1"/>
  <c r="F481" i="1"/>
  <c r="Q480" i="1"/>
  <c r="L480" i="1"/>
  <c r="K480" i="1"/>
  <c r="F480" i="1"/>
  <c r="Q479" i="1"/>
  <c r="L479" i="1"/>
  <c r="K479" i="1"/>
  <c r="F479" i="1"/>
  <c r="Q478" i="1"/>
  <c r="L478" i="1"/>
  <c r="K478" i="1"/>
  <c r="F478" i="1"/>
  <c r="Q477" i="1"/>
  <c r="L477" i="1"/>
  <c r="K477" i="1"/>
  <c r="F477" i="1"/>
  <c r="Q476" i="1"/>
  <c r="L476" i="1"/>
  <c r="K476" i="1"/>
  <c r="F476" i="1"/>
  <c r="Q475" i="1"/>
  <c r="L475" i="1"/>
  <c r="K475" i="1"/>
  <c r="F475" i="1"/>
  <c r="Q474" i="1"/>
  <c r="L474" i="1"/>
  <c r="K474" i="1"/>
  <c r="F474" i="1"/>
  <c r="L473" i="1"/>
  <c r="Q472" i="1"/>
  <c r="L472" i="1"/>
  <c r="K472" i="1"/>
  <c r="F472" i="1"/>
  <c r="Q471" i="1"/>
  <c r="L471" i="1"/>
  <c r="K471" i="1"/>
  <c r="F471" i="1"/>
  <c r="Q470" i="1"/>
  <c r="L470" i="1"/>
  <c r="K470" i="1"/>
  <c r="F470" i="1"/>
  <c r="Q469" i="1"/>
  <c r="L469" i="1"/>
  <c r="K469" i="1"/>
  <c r="F469" i="1"/>
  <c r="Q468" i="1"/>
  <c r="L468" i="1"/>
  <c r="K468" i="1"/>
  <c r="F468" i="1"/>
  <c r="Q467" i="1"/>
  <c r="L467" i="1"/>
  <c r="K467" i="1"/>
  <c r="F467" i="1"/>
  <c r="Q466" i="1"/>
  <c r="L466" i="1"/>
  <c r="K466" i="1"/>
  <c r="F466" i="1"/>
  <c r="Q465" i="1"/>
  <c r="L465" i="1"/>
  <c r="K465" i="1"/>
  <c r="F465" i="1"/>
  <c r="Q464" i="1"/>
  <c r="L464" i="1"/>
  <c r="K464" i="1"/>
  <c r="F464" i="1"/>
  <c r="Q463" i="1"/>
  <c r="L463" i="1"/>
  <c r="K463" i="1"/>
  <c r="F463" i="1"/>
  <c r="Q462" i="1"/>
  <c r="L462" i="1"/>
  <c r="K462" i="1"/>
  <c r="F462" i="1"/>
  <c r="Q461" i="1"/>
  <c r="L461" i="1"/>
  <c r="K461" i="1"/>
  <c r="F461" i="1"/>
  <c r="Q460" i="1"/>
  <c r="L460" i="1"/>
  <c r="K460" i="1"/>
  <c r="F460" i="1"/>
  <c r="Q459" i="1"/>
  <c r="L459" i="1"/>
  <c r="K459" i="1"/>
  <c r="F459" i="1"/>
  <c r="Q458" i="1"/>
  <c r="L458" i="1"/>
  <c r="K458" i="1"/>
  <c r="F458" i="1"/>
  <c r="Q457" i="1"/>
  <c r="L457" i="1"/>
  <c r="K457" i="1"/>
  <c r="F457" i="1"/>
  <c r="Q456" i="1"/>
  <c r="L456" i="1"/>
  <c r="K456" i="1"/>
  <c r="F456" i="1"/>
  <c r="Q455" i="1"/>
  <c r="L455" i="1"/>
  <c r="K455" i="1"/>
  <c r="F455" i="1"/>
  <c r="Q454" i="1"/>
  <c r="L454" i="1"/>
  <c r="K454" i="1"/>
  <c r="F454" i="1"/>
  <c r="Q453" i="1"/>
  <c r="L453" i="1"/>
  <c r="K453" i="1"/>
  <c r="F453" i="1"/>
  <c r="Q452" i="1"/>
  <c r="L452" i="1"/>
  <c r="K452" i="1"/>
  <c r="F452" i="1"/>
  <c r="Q451" i="1"/>
  <c r="L451" i="1"/>
  <c r="K451" i="1"/>
  <c r="F451" i="1"/>
  <c r="Q450" i="1"/>
  <c r="L450" i="1"/>
  <c r="K450" i="1"/>
  <c r="F450" i="1"/>
  <c r="Q449" i="1"/>
  <c r="L449" i="1"/>
  <c r="K449" i="1"/>
  <c r="F449" i="1"/>
  <c r="Q448" i="1"/>
  <c r="L448" i="1"/>
  <c r="K448" i="1"/>
  <c r="F448" i="1"/>
  <c r="Q447" i="1"/>
  <c r="L447" i="1"/>
  <c r="K447" i="1"/>
  <c r="F447" i="1"/>
  <c r="Q446" i="1"/>
  <c r="L446" i="1"/>
  <c r="K446" i="1"/>
  <c r="F446" i="1"/>
  <c r="Q445" i="1"/>
  <c r="L445" i="1"/>
  <c r="K445" i="1"/>
  <c r="F445" i="1"/>
  <c r="Q444" i="1"/>
  <c r="L444" i="1"/>
  <c r="K444" i="1"/>
  <c r="F444" i="1"/>
  <c r="Q443" i="1"/>
  <c r="L443" i="1"/>
  <c r="K443" i="1"/>
  <c r="F443" i="1"/>
  <c r="Q442" i="1"/>
  <c r="L442" i="1"/>
  <c r="K442" i="1"/>
  <c r="F442" i="1"/>
  <c r="Q441" i="1"/>
  <c r="L441" i="1"/>
  <c r="K441" i="1"/>
  <c r="F441" i="1"/>
  <c r="Q440" i="1"/>
  <c r="L440" i="1"/>
  <c r="K440" i="1"/>
  <c r="F440" i="1"/>
  <c r="Q439" i="1"/>
  <c r="L439" i="1"/>
  <c r="K439" i="1"/>
  <c r="F439" i="1"/>
  <c r="Q438" i="1"/>
  <c r="L438" i="1"/>
  <c r="K438" i="1"/>
  <c r="F438" i="1"/>
  <c r="Q437" i="1"/>
  <c r="L437" i="1"/>
  <c r="K437" i="1"/>
  <c r="F437" i="1"/>
  <c r="Q436" i="1"/>
  <c r="L436" i="1"/>
  <c r="K436" i="1"/>
  <c r="F436" i="1"/>
  <c r="Q435" i="1"/>
  <c r="L435" i="1"/>
  <c r="K435" i="1"/>
  <c r="F435" i="1"/>
  <c r="Q434" i="1"/>
  <c r="L434" i="1"/>
  <c r="K434" i="1"/>
  <c r="F434" i="1"/>
  <c r="Q433" i="1"/>
  <c r="L433" i="1"/>
  <c r="K433" i="1"/>
  <c r="F433" i="1"/>
  <c r="Q432" i="1"/>
  <c r="L432" i="1"/>
  <c r="K432" i="1"/>
  <c r="F432" i="1"/>
  <c r="Q431" i="1"/>
  <c r="L431" i="1"/>
  <c r="K431" i="1"/>
  <c r="F431" i="1"/>
  <c r="Q430" i="1"/>
  <c r="L430" i="1"/>
  <c r="K430" i="1"/>
  <c r="F430" i="1"/>
  <c r="Q429" i="1"/>
  <c r="L429" i="1"/>
  <c r="K429" i="1"/>
  <c r="F429" i="1"/>
  <c r="Q428" i="1"/>
  <c r="L428" i="1"/>
  <c r="K428" i="1"/>
  <c r="F428" i="1"/>
  <c r="Q427" i="1"/>
  <c r="L427" i="1"/>
  <c r="K427" i="1"/>
  <c r="F427" i="1"/>
  <c r="Q426" i="1"/>
  <c r="L426" i="1"/>
  <c r="K426" i="1"/>
  <c r="F426" i="1"/>
  <c r="Q425" i="1"/>
  <c r="L425" i="1"/>
  <c r="K425" i="1"/>
  <c r="F425" i="1"/>
  <c r="Q424" i="1"/>
  <c r="L424" i="1"/>
  <c r="K424" i="1"/>
  <c r="F424" i="1"/>
  <c r="Q423" i="1"/>
  <c r="L423" i="1"/>
  <c r="K423" i="1"/>
  <c r="F423" i="1"/>
  <c r="Q422" i="1"/>
  <c r="L422" i="1"/>
  <c r="K422" i="1"/>
  <c r="F422" i="1"/>
  <c r="Q421" i="1"/>
  <c r="L421" i="1"/>
  <c r="K421" i="1"/>
  <c r="F421" i="1"/>
  <c r="L420" i="1"/>
  <c r="Q419" i="1"/>
  <c r="L419" i="1"/>
  <c r="K419" i="1"/>
  <c r="F419" i="1"/>
  <c r="Q418" i="1"/>
  <c r="L418" i="1"/>
  <c r="K418" i="1"/>
  <c r="F418" i="1"/>
  <c r="Q417" i="1"/>
  <c r="L417" i="1"/>
  <c r="K417" i="1"/>
  <c r="F417" i="1"/>
  <c r="Q416" i="1"/>
  <c r="L416" i="1"/>
  <c r="K416" i="1"/>
  <c r="F416" i="1"/>
  <c r="Q415" i="1"/>
  <c r="L415" i="1"/>
  <c r="K415" i="1"/>
  <c r="F415" i="1"/>
  <c r="Q414" i="1"/>
  <c r="L414" i="1"/>
  <c r="K414" i="1"/>
  <c r="F414" i="1"/>
  <c r="Q413" i="1"/>
  <c r="L413" i="1"/>
  <c r="K413" i="1"/>
  <c r="F413" i="1"/>
  <c r="Q412" i="1"/>
  <c r="L412" i="1"/>
  <c r="K412" i="1"/>
  <c r="F412" i="1"/>
  <c r="Q411" i="1"/>
  <c r="L411" i="1"/>
  <c r="K411" i="1"/>
  <c r="F411" i="1"/>
  <c r="Q410" i="1"/>
  <c r="L410" i="1"/>
  <c r="K410" i="1"/>
  <c r="F410" i="1"/>
  <c r="Q409" i="1"/>
  <c r="L409" i="1"/>
  <c r="K409" i="1"/>
  <c r="F409" i="1"/>
  <c r="Q408" i="1"/>
  <c r="L408" i="1"/>
  <c r="K408" i="1"/>
  <c r="F408" i="1"/>
  <c r="Q407" i="1"/>
  <c r="L407" i="1"/>
  <c r="K407" i="1"/>
  <c r="F407" i="1"/>
  <c r="Q406" i="1"/>
  <c r="L406" i="1"/>
  <c r="K406" i="1"/>
  <c r="F406" i="1"/>
  <c r="Q405" i="1"/>
  <c r="L405" i="1"/>
  <c r="K405" i="1"/>
  <c r="F405" i="1"/>
  <c r="Q404" i="1"/>
  <c r="L404" i="1"/>
  <c r="K404" i="1"/>
  <c r="F404" i="1"/>
  <c r="Q403" i="1"/>
  <c r="L403" i="1"/>
  <c r="K403" i="1"/>
  <c r="F403" i="1"/>
  <c r="Q402" i="1"/>
  <c r="L402" i="1"/>
  <c r="K402" i="1"/>
  <c r="F402" i="1"/>
  <c r="Q401" i="1"/>
  <c r="L401" i="1"/>
  <c r="K401" i="1"/>
  <c r="F401" i="1"/>
  <c r="Q400" i="1"/>
  <c r="L400" i="1"/>
  <c r="K400" i="1"/>
  <c r="F400" i="1"/>
  <c r="Q399" i="1"/>
  <c r="L399" i="1"/>
  <c r="K399" i="1"/>
  <c r="F399" i="1"/>
  <c r="Q398" i="1"/>
  <c r="L398" i="1"/>
  <c r="K398" i="1"/>
  <c r="F398" i="1"/>
  <c r="Q397" i="1"/>
  <c r="L397" i="1"/>
  <c r="K397" i="1"/>
  <c r="F397" i="1"/>
  <c r="Q396" i="1"/>
  <c r="L396" i="1"/>
  <c r="K396" i="1"/>
  <c r="F396" i="1"/>
  <c r="Q395" i="1"/>
  <c r="L395" i="1"/>
  <c r="K395" i="1"/>
  <c r="F395" i="1"/>
  <c r="Q394" i="1"/>
  <c r="L394" i="1"/>
  <c r="K394" i="1"/>
  <c r="F394" i="1"/>
  <c r="Q393" i="1"/>
  <c r="L393" i="1"/>
  <c r="K393" i="1"/>
  <c r="F393" i="1"/>
  <c r="Q392" i="1"/>
  <c r="L392" i="1"/>
  <c r="K392" i="1"/>
  <c r="F392" i="1"/>
  <c r="Q391" i="1"/>
  <c r="L391" i="1"/>
  <c r="K391" i="1"/>
  <c r="F391" i="1"/>
  <c r="Q390" i="1"/>
  <c r="L390" i="1"/>
  <c r="K390" i="1"/>
  <c r="F390" i="1"/>
  <c r="Q389" i="1"/>
  <c r="L389" i="1"/>
  <c r="K389" i="1"/>
  <c r="F389" i="1"/>
  <c r="Q388" i="1"/>
  <c r="L388" i="1"/>
  <c r="K388" i="1"/>
  <c r="F388" i="1"/>
  <c r="Q387" i="1"/>
  <c r="L387" i="1"/>
  <c r="K387" i="1"/>
  <c r="F387" i="1"/>
  <c r="Q386" i="1"/>
  <c r="L386" i="1"/>
  <c r="K386" i="1"/>
  <c r="F386" i="1"/>
  <c r="Q385" i="1"/>
  <c r="L385" i="1"/>
  <c r="K385" i="1"/>
  <c r="F385" i="1"/>
  <c r="Q384" i="1"/>
  <c r="L384" i="1"/>
  <c r="K384" i="1"/>
  <c r="F384" i="1"/>
  <c r="Q383" i="1"/>
  <c r="L383" i="1"/>
  <c r="K383" i="1"/>
  <c r="F383" i="1"/>
  <c r="Q382" i="1"/>
  <c r="L382" i="1"/>
  <c r="K382" i="1"/>
  <c r="F382" i="1"/>
  <c r="Q381" i="1"/>
  <c r="L381" i="1"/>
  <c r="K381" i="1"/>
  <c r="F381" i="1"/>
  <c r="Q380" i="1"/>
  <c r="L380" i="1"/>
  <c r="K380" i="1"/>
  <c r="F380" i="1"/>
  <c r="Q379" i="1"/>
  <c r="L379" i="1"/>
  <c r="K379" i="1"/>
  <c r="F379" i="1"/>
  <c r="Q378" i="1"/>
  <c r="L378" i="1"/>
  <c r="K378" i="1"/>
  <c r="F378" i="1"/>
  <c r="Q377" i="1"/>
  <c r="L377" i="1"/>
  <c r="K377" i="1"/>
  <c r="F377" i="1"/>
  <c r="Q376" i="1"/>
  <c r="L376" i="1"/>
  <c r="K376" i="1"/>
  <c r="F376" i="1"/>
  <c r="Q375" i="1"/>
  <c r="L375" i="1"/>
  <c r="K375" i="1"/>
  <c r="F375" i="1"/>
  <c r="Q374" i="1"/>
  <c r="L374" i="1"/>
  <c r="K374" i="1"/>
  <c r="F374" i="1"/>
  <c r="Q373" i="1"/>
  <c r="L373" i="1"/>
  <c r="K373" i="1"/>
  <c r="F373" i="1"/>
  <c r="Q372" i="1"/>
  <c r="L372" i="1"/>
  <c r="K372" i="1"/>
  <c r="F372" i="1"/>
  <c r="Q371" i="1"/>
  <c r="L371" i="1"/>
  <c r="K371" i="1"/>
  <c r="F371" i="1"/>
  <c r="Q370" i="1"/>
  <c r="L370" i="1"/>
  <c r="K370" i="1"/>
  <c r="F370" i="1"/>
  <c r="Q369" i="1"/>
  <c r="L369" i="1"/>
  <c r="K369" i="1"/>
  <c r="F369" i="1"/>
  <c r="Q368" i="1"/>
  <c r="L368" i="1"/>
  <c r="K368" i="1"/>
  <c r="F368" i="1"/>
  <c r="Q367" i="1"/>
  <c r="L367" i="1"/>
  <c r="K367" i="1"/>
  <c r="F367" i="1"/>
  <c r="Q366" i="1"/>
  <c r="L366" i="1"/>
  <c r="K366" i="1"/>
  <c r="F366" i="1"/>
  <c r="Q365" i="1"/>
  <c r="L365" i="1"/>
  <c r="K365" i="1"/>
  <c r="F365" i="1"/>
  <c r="Q364" i="1"/>
  <c r="L364" i="1"/>
  <c r="K364" i="1"/>
  <c r="F364" i="1"/>
  <c r="Q363" i="1"/>
  <c r="L363" i="1"/>
  <c r="K363" i="1"/>
  <c r="F363" i="1"/>
  <c r="Q362" i="1"/>
  <c r="L362" i="1"/>
  <c r="K362" i="1"/>
  <c r="F362" i="1"/>
  <c r="Q361" i="1"/>
  <c r="L361" i="1"/>
  <c r="K361" i="1"/>
  <c r="F361" i="1"/>
  <c r="Q360" i="1"/>
  <c r="L360" i="1"/>
  <c r="K360" i="1"/>
  <c r="F360" i="1"/>
  <c r="Q359" i="1"/>
  <c r="L359" i="1"/>
  <c r="K359" i="1"/>
  <c r="F359" i="1"/>
  <c r="Q358" i="1"/>
  <c r="L358" i="1"/>
  <c r="K358" i="1"/>
  <c r="F358" i="1"/>
  <c r="Q357" i="1"/>
  <c r="L357" i="1"/>
  <c r="K357" i="1"/>
  <c r="F357" i="1"/>
  <c r="L356" i="1"/>
  <c r="Q355" i="1"/>
  <c r="L355" i="1"/>
  <c r="K355" i="1"/>
  <c r="F355" i="1"/>
  <c r="Q354" i="1"/>
  <c r="L354" i="1"/>
  <c r="K354" i="1"/>
  <c r="F354" i="1"/>
  <c r="Q353" i="1"/>
  <c r="L353" i="1"/>
  <c r="K353" i="1"/>
  <c r="F353" i="1"/>
  <c r="Q352" i="1"/>
  <c r="L352" i="1"/>
  <c r="K352" i="1"/>
  <c r="F352" i="1"/>
  <c r="Q351" i="1"/>
  <c r="L351" i="1"/>
  <c r="K351" i="1"/>
  <c r="F351" i="1"/>
  <c r="Q350" i="1"/>
  <c r="L350" i="1"/>
  <c r="K350" i="1"/>
  <c r="F350" i="1"/>
  <c r="Q349" i="1"/>
  <c r="L349" i="1"/>
  <c r="K349" i="1"/>
  <c r="F349" i="1"/>
  <c r="Q348" i="1"/>
  <c r="L348" i="1"/>
  <c r="K348" i="1"/>
  <c r="F348" i="1"/>
  <c r="Q347" i="1"/>
  <c r="L347" i="1"/>
  <c r="K347" i="1"/>
  <c r="F347" i="1"/>
  <c r="Q346" i="1"/>
  <c r="L346" i="1"/>
  <c r="K346" i="1"/>
  <c r="F346" i="1"/>
  <c r="Q345" i="1"/>
  <c r="L345" i="1"/>
  <c r="K345" i="1"/>
  <c r="F345" i="1"/>
  <c r="Q344" i="1"/>
  <c r="L344" i="1"/>
  <c r="K344" i="1"/>
  <c r="F344" i="1"/>
  <c r="Q343" i="1"/>
  <c r="L343" i="1"/>
  <c r="K343" i="1"/>
  <c r="F343" i="1"/>
  <c r="Q342" i="1"/>
  <c r="L342" i="1"/>
  <c r="K342" i="1"/>
  <c r="F342" i="1"/>
  <c r="Q341" i="1"/>
  <c r="L341" i="1"/>
  <c r="K341" i="1"/>
  <c r="F341" i="1"/>
  <c r="L340" i="1"/>
  <c r="Q339" i="1"/>
  <c r="L339" i="1"/>
  <c r="K339" i="1"/>
  <c r="F339" i="1"/>
  <c r="Q338" i="1"/>
  <c r="L338" i="1"/>
  <c r="K338" i="1"/>
  <c r="F338" i="1"/>
  <c r="Q337" i="1"/>
  <c r="L337" i="1"/>
  <c r="K337" i="1"/>
  <c r="F337" i="1"/>
  <c r="Q336" i="1"/>
  <c r="L336" i="1"/>
  <c r="K336" i="1"/>
  <c r="F336" i="1"/>
  <c r="Q335" i="1"/>
  <c r="L335" i="1"/>
  <c r="K335" i="1"/>
  <c r="F335" i="1"/>
  <c r="Q334" i="1"/>
  <c r="L334" i="1"/>
  <c r="K334" i="1"/>
  <c r="F334" i="1"/>
  <c r="Q333" i="1"/>
  <c r="L333" i="1"/>
  <c r="K333" i="1"/>
  <c r="F333" i="1"/>
  <c r="Q332" i="1"/>
  <c r="L332" i="1"/>
  <c r="K332" i="1"/>
  <c r="F332" i="1"/>
  <c r="Q331" i="1"/>
  <c r="L331" i="1"/>
  <c r="K331" i="1"/>
  <c r="F331" i="1"/>
  <c r="Q330" i="1"/>
  <c r="L330" i="1"/>
  <c r="K330" i="1"/>
  <c r="F330" i="1"/>
  <c r="Q329" i="1"/>
  <c r="L329" i="1"/>
  <c r="K329" i="1"/>
  <c r="F329" i="1"/>
  <c r="Q328" i="1"/>
  <c r="L328" i="1"/>
  <c r="K328" i="1"/>
  <c r="F328" i="1"/>
  <c r="Q327" i="1"/>
  <c r="L327" i="1"/>
  <c r="K327" i="1"/>
  <c r="F327" i="1"/>
  <c r="Q326" i="1"/>
  <c r="L326" i="1"/>
  <c r="K326" i="1"/>
  <c r="F326" i="1"/>
  <c r="Q325" i="1"/>
  <c r="L325" i="1"/>
  <c r="K325" i="1"/>
  <c r="F325" i="1"/>
  <c r="Q324" i="1"/>
  <c r="L324" i="1"/>
  <c r="K324" i="1"/>
  <c r="F324" i="1"/>
  <c r="Q323" i="1"/>
  <c r="L323" i="1"/>
  <c r="K323" i="1"/>
  <c r="F323" i="1"/>
  <c r="Q322" i="1"/>
  <c r="L322" i="1"/>
  <c r="K322" i="1"/>
  <c r="F322" i="1"/>
  <c r="Q321" i="1"/>
  <c r="L321" i="1"/>
  <c r="K321" i="1"/>
  <c r="F321" i="1"/>
  <c r="Q320" i="1"/>
  <c r="L320" i="1"/>
  <c r="K320" i="1"/>
  <c r="F320" i="1"/>
  <c r="Q319" i="1"/>
  <c r="L319" i="1"/>
  <c r="K319" i="1"/>
  <c r="F319" i="1"/>
  <c r="Q318" i="1"/>
  <c r="L318" i="1"/>
  <c r="K318" i="1"/>
  <c r="F318" i="1"/>
  <c r="Q317" i="1"/>
  <c r="L317" i="1"/>
  <c r="K317" i="1"/>
  <c r="F317" i="1"/>
  <c r="Q316" i="1"/>
  <c r="L316" i="1"/>
  <c r="K316" i="1"/>
  <c r="F316" i="1"/>
  <c r="Q315" i="1"/>
  <c r="L315" i="1"/>
  <c r="K315" i="1"/>
  <c r="F315" i="1"/>
  <c r="Q314" i="1"/>
  <c r="L314" i="1"/>
  <c r="K314" i="1"/>
  <c r="F314" i="1"/>
  <c r="Q313" i="1"/>
  <c r="L313" i="1"/>
  <c r="K313" i="1"/>
  <c r="F313" i="1"/>
  <c r="Q312" i="1"/>
  <c r="L312" i="1"/>
  <c r="K312" i="1"/>
  <c r="F312" i="1"/>
  <c r="Q311" i="1"/>
  <c r="L311" i="1"/>
  <c r="K311" i="1"/>
  <c r="F311" i="1"/>
  <c r="Q310" i="1"/>
  <c r="L310" i="1"/>
  <c r="K310" i="1"/>
  <c r="F310" i="1"/>
  <c r="Q309" i="1"/>
  <c r="L309" i="1"/>
  <c r="K309" i="1"/>
  <c r="F309" i="1"/>
  <c r="Q308" i="1"/>
  <c r="L308" i="1"/>
  <c r="K308" i="1"/>
  <c r="F308" i="1"/>
  <c r="Q307" i="1"/>
  <c r="L307" i="1"/>
  <c r="K307" i="1"/>
  <c r="F307" i="1"/>
  <c r="Q306" i="1"/>
  <c r="L306" i="1"/>
  <c r="K306" i="1"/>
  <c r="F306" i="1"/>
  <c r="Q305" i="1"/>
  <c r="L305" i="1"/>
  <c r="K305" i="1"/>
  <c r="F305" i="1"/>
  <c r="Q304" i="1"/>
  <c r="L304" i="1"/>
  <c r="K304" i="1"/>
  <c r="F304" i="1"/>
  <c r="Q303" i="1"/>
  <c r="L303" i="1"/>
  <c r="K303" i="1"/>
  <c r="F303" i="1"/>
  <c r="Q302" i="1"/>
  <c r="L302" i="1"/>
  <c r="K302" i="1"/>
  <c r="F302" i="1"/>
  <c r="Q301" i="1"/>
  <c r="L301" i="1"/>
  <c r="K301" i="1"/>
  <c r="F301" i="1"/>
  <c r="Q300" i="1"/>
  <c r="L300" i="1"/>
  <c r="K300" i="1"/>
  <c r="F300" i="1"/>
  <c r="Q299" i="1"/>
  <c r="L299" i="1"/>
  <c r="K299" i="1"/>
  <c r="F299" i="1"/>
  <c r="Q298" i="1"/>
  <c r="L298" i="1"/>
  <c r="K298" i="1"/>
  <c r="F298" i="1"/>
  <c r="Q297" i="1"/>
  <c r="L297" i="1"/>
  <c r="K297" i="1"/>
  <c r="F297" i="1"/>
  <c r="Q296" i="1"/>
  <c r="L296" i="1"/>
  <c r="K296" i="1"/>
  <c r="F296" i="1"/>
  <c r="Q295" i="1"/>
  <c r="L295" i="1"/>
  <c r="K295" i="1"/>
  <c r="F295" i="1"/>
  <c r="Q294" i="1"/>
  <c r="L294" i="1"/>
  <c r="K294" i="1"/>
  <c r="F294" i="1"/>
  <c r="Q293" i="1"/>
  <c r="L293" i="1"/>
  <c r="K293" i="1"/>
  <c r="F293" i="1"/>
  <c r="Q292" i="1"/>
  <c r="L292" i="1"/>
  <c r="K292" i="1"/>
  <c r="F292" i="1"/>
  <c r="Q291" i="1"/>
  <c r="L291" i="1"/>
  <c r="K291" i="1"/>
  <c r="F291" i="1"/>
  <c r="Q290" i="1"/>
  <c r="L290" i="1"/>
  <c r="K290" i="1"/>
  <c r="F290" i="1"/>
  <c r="Q289" i="1"/>
  <c r="L289" i="1"/>
  <c r="K289" i="1"/>
  <c r="F289" i="1"/>
  <c r="Q288" i="1"/>
  <c r="L288" i="1"/>
  <c r="K288" i="1"/>
  <c r="F288" i="1"/>
  <c r="Q287" i="1"/>
  <c r="L287" i="1"/>
  <c r="K287" i="1"/>
  <c r="F287" i="1"/>
  <c r="Q286" i="1"/>
  <c r="L286" i="1"/>
  <c r="K286" i="1"/>
  <c r="F286" i="1"/>
  <c r="Q285" i="1"/>
  <c r="L285" i="1"/>
  <c r="K285" i="1"/>
  <c r="F285" i="1"/>
  <c r="L284" i="1"/>
  <c r="Q283" i="1"/>
  <c r="L283" i="1"/>
  <c r="K283" i="1"/>
  <c r="F283" i="1"/>
  <c r="Q282" i="1"/>
  <c r="L282" i="1"/>
  <c r="K282" i="1"/>
  <c r="F282" i="1"/>
  <c r="Q281" i="1"/>
  <c r="L281" i="1"/>
  <c r="K281" i="1"/>
  <c r="F281" i="1"/>
  <c r="Q280" i="1"/>
  <c r="L280" i="1"/>
  <c r="K280" i="1"/>
  <c r="F280" i="1"/>
  <c r="Q279" i="1"/>
  <c r="L279" i="1"/>
  <c r="K279" i="1"/>
  <c r="F279" i="1"/>
  <c r="Q278" i="1"/>
  <c r="L278" i="1"/>
  <c r="K278" i="1"/>
  <c r="F278" i="1"/>
  <c r="Q277" i="1"/>
  <c r="L277" i="1"/>
  <c r="K277" i="1"/>
  <c r="F277" i="1"/>
  <c r="Q276" i="1"/>
  <c r="L276" i="1"/>
  <c r="K276" i="1"/>
  <c r="F276" i="1"/>
  <c r="Q275" i="1"/>
  <c r="L275" i="1"/>
  <c r="K275" i="1"/>
  <c r="F275" i="1"/>
  <c r="Q274" i="1"/>
  <c r="L274" i="1"/>
  <c r="K274" i="1"/>
  <c r="F274" i="1"/>
  <c r="Q273" i="1"/>
  <c r="L273" i="1"/>
  <c r="K273" i="1"/>
  <c r="F273" i="1"/>
  <c r="Q272" i="1"/>
  <c r="L272" i="1"/>
  <c r="K272" i="1"/>
  <c r="F272" i="1"/>
  <c r="Q271" i="1"/>
  <c r="L271" i="1"/>
  <c r="K271" i="1"/>
  <c r="F271" i="1"/>
  <c r="Q270" i="1"/>
  <c r="L270" i="1"/>
  <c r="K270" i="1"/>
  <c r="F270" i="1"/>
  <c r="Q269" i="1"/>
  <c r="L269" i="1"/>
  <c r="K269" i="1"/>
  <c r="F269" i="1"/>
  <c r="Q268" i="1"/>
  <c r="L268" i="1"/>
  <c r="K268" i="1"/>
  <c r="F268" i="1"/>
  <c r="Q267" i="1"/>
  <c r="L267" i="1"/>
  <c r="K267" i="1"/>
  <c r="F267" i="1"/>
  <c r="Q266" i="1"/>
  <c r="L266" i="1"/>
  <c r="K266" i="1"/>
  <c r="F266" i="1"/>
  <c r="Q265" i="1"/>
  <c r="L265" i="1"/>
  <c r="K265" i="1"/>
  <c r="F265" i="1"/>
  <c r="Q264" i="1"/>
  <c r="L264" i="1"/>
  <c r="K264" i="1"/>
  <c r="F264" i="1"/>
  <c r="Q263" i="1"/>
  <c r="L263" i="1"/>
  <c r="K263" i="1"/>
  <c r="F263" i="1"/>
  <c r="Q262" i="1"/>
  <c r="L262" i="1"/>
  <c r="K262" i="1"/>
  <c r="F262" i="1"/>
  <c r="Q261" i="1"/>
  <c r="L261" i="1"/>
  <c r="K261" i="1"/>
  <c r="F261" i="1"/>
  <c r="Q260" i="1"/>
  <c r="L260" i="1"/>
  <c r="K260" i="1"/>
  <c r="F260" i="1"/>
  <c r="Q259" i="1"/>
  <c r="L259" i="1"/>
  <c r="K259" i="1"/>
  <c r="F259" i="1"/>
  <c r="Q258" i="1"/>
  <c r="L258" i="1"/>
  <c r="K258" i="1"/>
  <c r="F258" i="1"/>
  <c r="Q257" i="1"/>
  <c r="L257" i="1"/>
  <c r="K257" i="1"/>
  <c r="F257" i="1"/>
  <c r="Q256" i="1"/>
  <c r="L256" i="1"/>
  <c r="K256" i="1"/>
  <c r="F256" i="1"/>
  <c r="Q255" i="1"/>
  <c r="L255" i="1"/>
  <c r="K255" i="1"/>
  <c r="F255" i="1"/>
  <c r="Q254" i="1"/>
  <c r="L254" i="1"/>
  <c r="K254" i="1"/>
  <c r="F254" i="1"/>
  <c r="Q253" i="1"/>
  <c r="L253" i="1"/>
  <c r="K253" i="1"/>
  <c r="F253" i="1"/>
  <c r="Q252" i="1"/>
  <c r="L252" i="1"/>
  <c r="K252" i="1"/>
  <c r="F252" i="1"/>
  <c r="Q251" i="1"/>
  <c r="L251" i="1"/>
  <c r="K251" i="1"/>
  <c r="F251" i="1"/>
  <c r="Q250" i="1"/>
  <c r="L250" i="1"/>
  <c r="K250" i="1"/>
  <c r="F250" i="1"/>
  <c r="Q249" i="1"/>
  <c r="L249" i="1"/>
  <c r="K249" i="1"/>
  <c r="F249" i="1"/>
  <c r="Q248" i="1"/>
  <c r="L248" i="1"/>
  <c r="K248" i="1"/>
  <c r="F248" i="1"/>
  <c r="Q247" i="1"/>
  <c r="L247" i="1"/>
  <c r="K247" i="1"/>
  <c r="F247" i="1"/>
  <c r="Q246" i="1"/>
  <c r="L246" i="1"/>
  <c r="K246" i="1"/>
  <c r="F246" i="1"/>
  <c r="Q245" i="1"/>
  <c r="L245" i="1"/>
  <c r="K245" i="1"/>
  <c r="F245" i="1"/>
  <c r="Q244" i="1"/>
  <c r="L244" i="1"/>
  <c r="K244" i="1"/>
  <c r="F244" i="1"/>
  <c r="Q243" i="1"/>
  <c r="L243" i="1"/>
  <c r="K243" i="1"/>
  <c r="F243" i="1"/>
  <c r="Q242" i="1"/>
  <c r="L242" i="1"/>
  <c r="K242" i="1"/>
  <c r="F242" i="1"/>
  <c r="Q241" i="1"/>
  <c r="L241" i="1"/>
  <c r="K241" i="1"/>
  <c r="F241" i="1"/>
  <c r="Q240" i="1"/>
  <c r="L240" i="1"/>
  <c r="K240" i="1"/>
  <c r="F240" i="1"/>
  <c r="Q239" i="1"/>
  <c r="L239" i="1"/>
  <c r="K239" i="1"/>
  <c r="F239" i="1"/>
  <c r="Q238" i="1"/>
  <c r="L238" i="1"/>
  <c r="K238" i="1"/>
  <c r="F238" i="1"/>
  <c r="Q237" i="1"/>
  <c r="L237" i="1"/>
  <c r="K237" i="1"/>
  <c r="F237" i="1"/>
  <c r="Q236" i="1"/>
  <c r="L236" i="1"/>
  <c r="K236" i="1"/>
  <c r="F236" i="1"/>
  <c r="Q235" i="1"/>
  <c r="L235" i="1"/>
  <c r="K235" i="1"/>
  <c r="F235" i="1"/>
  <c r="Q234" i="1"/>
  <c r="L234" i="1"/>
  <c r="K234" i="1"/>
  <c r="F234" i="1"/>
  <c r="Q233" i="1"/>
  <c r="L233" i="1"/>
  <c r="K233" i="1"/>
  <c r="F233" i="1"/>
  <c r="Q232" i="1"/>
  <c r="L232" i="1"/>
  <c r="K232" i="1"/>
  <c r="F232" i="1"/>
  <c r="Q231" i="1"/>
  <c r="L231" i="1"/>
  <c r="K231" i="1"/>
  <c r="F231" i="1"/>
  <c r="Q230" i="1"/>
  <c r="L230" i="1"/>
  <c r="K230" i="1"/>
  <c r="F230" i="1"/>
  <c r="Q229" i="1"/>
  <c r="L229" i="1"/>
  <c r="K229" i="1"/>
  <c r="F229" i="1"/>
  <c r="Q228" i="1"/>
  <c r="L228" i="1"/>
  <c r="K228" i="1"/>
  <c r="F228" i="1"/>
  <c r="Q227" i="1"/>
  <c r="L227" i="1"/>
  <c r="K227" i="1"/>
  <c r="F227" i="1"/>
  <c r="Q226" i="1"/>
  <c r="L226" i="1"/>
  <c r="K226" i="1"/>
  <c r="F226" i="1"/>
  <c r="Q225" i="1"/>
  <c r="L225" i="1"/>
  <c r="K225" i="1"/>
  <c r="F225" i="1"/>
  <c r="Q224" i="1"/>
  <c r="L224" i="1"/>
  <c r="K224" i="1"/>
  <c r="F224" i="1"/>
  <c r="Q223" i="1"/>
  <c r="L223" i="1"/>
  <c r="K223" i="1"/>
  <c r="F223" i="1"/>
  <c r="Q222" i="1"/>
  <c r="L222" i="1"/>
  <c r="K222" i="1"/>
  <c r="F222" i="1"/>
  <c r="Q221" i="1"/>
  <c r="L221" i="1"/>
  <c r="K221" i="1"/>
  <c r="F221" i="1"/>
  <c r="Q220" i="1"/>
  <c r="L220" i="1"/>
  <c r="K220" i="1"/>
  <c r="F220" i="1"/>
  <c r="Q219" i="1"/>
  <c r="L219" i="1"/>
  <c r="K219" i="1"/>
  <c r="F219" i="1"/>
  <c r="Q218" i="1"/>
  <c r="L218" i="1"/>
  <c r="K218" i="1"/>
  <c r="F218" i="1"/>
  <c r="Q217" i="1"/>
  <c r="L217" i="1"/>
  <c r="K217" i="1"/>
  <c r="F217" i="1"/>
  <c r="Q216" i="1"/>
  <c r="L216" i="1"/>
  <c r="K216" i="1"/>
  <c r="F216" i="1"/>
  <c r="Q215" i="1"/>
  <c r="L215" i="1"/>
  <c r="K215" i="1"/>
  <c r="F215" i="1"/>
  <c r="Q214" i="1"/>
  <c r="L214" i="1"/>
  <c r="K214" i="1"/>
  <c r="F214" i="1"/>
  <c r="L213" i="1"/>
  <c r="Q212" i="1"/>
  <c r="L212" i="1"/>
  <c r="K212" i="1"/>
  <c r="F212" i="1"/>
  <c r="Q211" i="1"/>
  <c r="L211" i="1"/>
  <c r="K211" i="1"/>
  <c r="F211" i="1"/>
  <c r="Q210" i="1"/>
  <c r="L210" i="1"/>
  <c r="K210" i="1"/>
  <c r="F210" i="1"/>
  <c r="Q209" i="1"/>
  <c r="L209" i="1"/>
  <c r="K209" i="1"/>
  <c r="F209" i="1"/>
  <c r="Q208" i="1"/>
  <c r="L208" i="1"/>
  <c r="K208" i="1"/>
  <c r="F208" i="1"/>
  <c r="Q207" i="1"/>
  <c r="L207" i="1"/>
  <c r="K207" i="1"/>
  <c r="F207" i="1"/>
  <c r="Q206" i="1"/>
  <c r="L206" i="1"/>
  <c r="K206" i="1"/>
  <c r="F206" i="1"/>
  <c r="Q205" i="1"/>
  <c r="L205" i="1"/>
  <c r="K205" i="1"/>
  <c r="F205" i="1"/>
  <c r="Q204" i="1"/>
  <c r="L204" i="1"/>
  <c r="K204" i="1"/>
  <c r="F204" i="1"/>
  <c r="Q203" i="1"/>
  <c r="L203" i="1"/>
  <c r="K203" i="1"/>
  <c r="F203" i="1"/>
  <c r="Q202" i="1"/>
  <c r="L202" i="1"/>
  <c r="K202" i="1"/>
  <c r="F202" i="1"/>
  <c r="Q201" i="1"/>
  <c r="L201" i="1"/>
  <c r="K201" i="1"/>
  <c r="F201" i="1"/>
  <c r="Q200" i="1"/>
  <c r="L200" i="1"/>
  <c r="K200" i="1"/>
  <c r="F200" i="1"/>
  <c r="Q199" i="1"/>
  <c r="L199" i="1"/>
  <c r="K199" i="1"/>
  <c r="F199" i="1"/>
  <c r="Q198" i="1"/>
  <c r="L198" i="1"/>
  <c r="K198" i="1"/>
  <c r="F198" i="1"/>
  <c r="Q197" i="1"/>
  <c r="L197" i="1"/>
  <c r="K197" i="1"/>
  <c r="F197" i="1"/>
  <c r="Q196" i="1"/>
  <c r="L196" i="1"/>
  <c r="K196" i="1"/>
  <c r="F196" i="1"/>
  <c r="Q195" i="1"/>
  <c r="L195" i="1"/>
  <c r="K195" i="1"/>
  <c r="F195" i="1"/>
  <c r="Q194" i="1"/>
  <c r="L194" i="1"/>
  <c r="K194" i="1"/>
  <c r="F194" i="1"/>
  <c r="Q193" i="1"/>
  <c r="L193" i="1"/>
  <c r="K193" i="1"/>
  <c r="F193" i="1"/>
  <c r="Q192" i="1"/>
  <c r="L192" i="1"/>
  <c r="K192" i="1"/>
  <c r="F192" i="1"/>
  <c r="Q191" i="1"/>
  <c r="L191" i="1"/>
  <c r="K191" i="1"/>
  <c r="F191" i="1"/>
  <c r="Q190" i="1"/>
  <c r="L190" i="1"/>
  <c r="K190" i="1"/>
  <c r="F190" i="1"/>
  <c r="Q189" i="1"/>
  <c r="L189" i="1"/>
  <c r="K189" i="1"/>
  <c r="F189" i="1"/>
  <c r="Q188" i="1"/>
  <c r="L188" i="1"/>
  <c r="K188" i="1"/>
  <c r="F188" i="1"/>
  <c r="L187" i="1"/>
  <c r="Q186" i="1"/>
  <c r="L186" i="1"/>
  <c r="K186" i="1"/>
  <c r="F186" i="1"/>
  <c r="Q185" i="1"/>
  <c r="L185" i="1"/>
  <c r="K185" i="1"/>
  <c r="F185" i="1"/>
  <c r="Q184" i="1"/>
  <c r="L184" i="1"/>
  <c r="K184" i="1"/>
  <c r="F184" i="1"/>
  <c r="Q183" i="1"/>
  <c r="L183" i="1"/>
  <c r="K183" i="1"/>
  <c r="F183" i="1"/>
  <c r="Q182" i="1"/>
  <c r="L182" i="1"/>
  <c r="K182" i="1"/>
  <c r="F182" i="1"/>
  <c r="Q181" i="1"/>
  <c r="L181" i="1"/>
  <c r="K181" i="1"/>
  <c r="F181" i="1"/>
  <c r="Q180" i="1"/>
  <c r="L180" i="1"/>
  <c r="K180" i="1"/>
  <c r="F180" i="1"/>
  <c r="Q179" i="1"/>
  <c r="L179" i="1"/>
  <c r="K179" i="1"/>
  <c r="F179" i="1"/>
  <c r="Q178" i="1"/>
  <c r="L178" i="1"/>
  <c r="K178" i="1"/>
  <c r="F178" i="1"/>
  <c r="Q177" i="1"/>
  <c r="L177" i="1"/>
  <c r="K177" i="1"/>
  <c r="F177" i="1"/>
  <c r="Q176" i="1"/>
  <c r="L176" i="1"/>
  <c r="K176" i="1"/>
  <c r="F176" i="1"/>
  <c r="Q175" i="1"/>
  <c r="L175" i="1"/>
  <c r="K175" i="1"/>
  <c r="F175" i="1"/>
  <c r="Q174" i="1"/>
  <c r="L174" i="1"/>
  <c r="K174" i="1"/>
  <c r="F174" i="1"/>
  <c r="Q173" i="1"/>
  <c r="L173" i="1"/>
  <c r="K173" i="1"/>
  <c r="F173" i="1"/>
  <c r="Q172" i="1"/>
  <c r="L172" i="1"/>
  <c r="K172" i="1"/>
  <c r="F172" i="1"/>
  <c r="Q171" i="1"/>
  <c r="L171" i="1"/>
  <c r="K171" i="1"/>
  <c r="F171" i="1"/>
  <c r="Q170" i="1"/>
  <c r="L170" i="1"/>
  <c r="K170" i="1"/>
  <c r="F170" i="1"/>
  <c r="Q169" i="1"/>
  <c r="L169" i="1"/>
  <c r="K169" i="1"/>
  <c r="F169" i="1"/>
  <c r="Q168" i="1"/>
  <c r="L168" i="1"/>
  <c r="K168" i="1"/>
  <c r="F168" i="1"/>
  <c r="Q167" i="1"/>
  <c r="L167" i="1"/>
  <c r="K167" i="1"/>
  <c r="F167" i="1"/>
  <c r="Q166" i="1"/>
  <c r="L166" i="1"/>
  <c r="K166" i="1"/>
  <c r="F166" i="1"/>
  <c r="Q165" i="1"/>
  <c r="L165" i="1"/>
  <c r="K165" i="1"/>
  <c r="F165" i="1"/>
  <c r="Q164" i="1"/>
  <c r="L164" i="1"/>
  <c r="K164" i="1"/>
  <c r="F164" i="1"/>
  <c r="Q163" i="1"/>
  <c r="L163" i="1"/>
  <c r="K163" i="1"/>
  <c r="F163" i="1"/>
  <c r="Q162" i="1"/>
  <c r="L162" i="1"/>
  <c r="K162" i="1"/>
  <c r="F162" i="1"/>
  <c r="Q161" i="1"/>
  <c r="L161" i="1"/>
  <c r="K161" i="1"/>
  <c r="F161" i="1"/>
  <c r="Q160" i="1"/>
  <c r="L160" i="1"/>
  <c r="K160" i="1"/>
  <c r="F160" i="1"/>
  <c r="Q159" i="1"/>
  <c r="L159" i="1"/>
  <c r="K159" i="1"/>
  <c r="F159" i="1"/>
  <c r="Q158" i="1"/>
  <c r="L158" i="1"/>
  <c r="K158" i="1"/>
  <c r="F158" i="1"/>
  <c r="Q157" i="1"/>
  <c r="L157" i="1"/>
  <c r="K157" i="1"/>
  <c r="F157" i="1"/>
  <c r="Q156" i="1"/>
  <c r="L156" i="1"/>
  <c r="K156" i="1"/>
  <c r="F156" i="1"/>
  <c r="Q155" i="1"/>
  <c r="L155" i="1"/>
  <c r="K155" i="1"/>
  <c r="F155" i="1"/>
  <c r="Q154" i="1"/>
  <c r="L154" i="1"/>
  <c r="K154" i="1"/>
  <c r="F154" i="1"/>
  <c r="Q153" i="1"/>
  <c r="L153" i="1"/>
  <c r="K153" i="1"/>
  <c r="F153" i="1"/>
  <c r="Q152" i="1"/>
  <c r="L152" i="1"/>
  <c r="K152" i="1"/>
  <c r="F152" i="1"/>
  <c r="Q151" i="1"/>
  <c r="L151" i="1"/>
  <c r="K151" i="1"/>
  <c r="F151" i="1"/>
  <c r="Q150" i="1"/>
  <c r="L150" i="1"/>
  <c r="K150" i="1"/>
  <c r="F150" i="1"/>
  <c r="Q149" i="1"/>
  <c r="L149" i="1"/>
  <c r="K149" i="1"/>
  <c r="F149" i="1"/>
  <c r="Q148" i="1"/>
  <c r="L148" i="1"/>
  <c r="K148" i="1"/>
  <c r="F148" i="1"/>
  <c r="Q147" i="1"/>
  <c r="L147" i="1"/>
  <c r="K147" i="1"/>
  <c r="F147" i="1"/>
  <c r="Q146" i="1"/>
  <c r="L146" i="1"/>
  <c r="K146" i="1"/>
  <c r="F146" i="1"/>
  <c r="Q145" i="1"/>
  <c r="L145" i="1"/>
  <c r="K145" i="1"/>
  <c r="F145" i="1"/>
  <c r="Q144" i="1"/>
  <c r="L144" i="1"/>
  <c r="K144" i="1"/>
  <c r="F144" i="1"/>
  <c r="Q143" i="1"/>
  <c r="L143" i="1"/>
  <c r="K143" i="1"/>
  <c r="F143" i="1"/>
  <c r="Q142" i="1"/>
  <c r="L142" i="1"/>
  <c r="K142" i="1"/>
  <c r="F142" i="1"/>
  <c r="Q141" i="1"/>
  <c r="L141" i="1"/>
  <c r="K141" i="1"/>
  <c r="F141" i="1"/>
  <c r="Q140" i="1"/>
  <c r="L140" i="1"/>
  <c r="K140" i="1"/>
  <c r="F140" i="1"/>
  <c r="Q139" i="1"/>
  <c r="L139" i="1"/>
  <c r="K139" i="1"/>
  <c r="F139" i="1"/>
  <c r="Q138" i="1"/>
  <c r="L138" i="1"/>
  <c r="K138" i="1"/>
  <c r="F138" i="1"/>
  <c r="Q137" i="1"/>
  <c r="L137" i="1"/>
  <c r="K137" i="1"/>
  <c r="F137" i="1"/>
  <c r="Q136" i="1"/>
  <c r="L136" i="1"/>
  <c r="K136" i="1"/>
  <c r="F136" i="1"/>
  <c r="Q135" i="1"/>
  <c r="L135" i="1"/>
  <c r="K135" i="1"/>
  <c r="F135" i="1"/>
  <c r="Q134" i="1"/>
  <c r="L134" i="1"/>
  <c r="K134" i="1"/>
  <c r="F134" i="1"/>
  <c r="Q133" i="1"/>
  <c r="L133" i="1"/>
  <c r="K133" i="1"/>
  <c r="F133" i="1"/>
  <c r="Q132" i="1"/>
  <c r="L132" i="1"/>
  <c r="K132" i="1"/>
  <c r="F132" i="1"/>
  <c r="Q131" i="1"/>
  <c r="L131" i="1"/>
  <c r="K131" i="1"/>
  <c r="F131" i="1"/>
  <c r="Q130" i="1"/>
  <c r="L130" i="1"/>
  <c r="K130" i="1"/>
  <c r="F130" i="1"/>
  <c r="Q129" i="1"/>
  <c r="L129" i="1"/>
  <c r="K129" i="1"/>
  <c r="F129" i="1"/>
  <c r="Q128" i="1"/>
  <c r="L128" i="1"/>
  <c r="K128" i="1"/>
  <c r="F128" i="1"/>
  <c r="Q127" i="1"/>
  <c r="L127" i="1"/>
  <c r="K127" i="1"/>
  <c r="F127" i="1"/>
  <c r="Q126" i="1"/>
  <c r="L126" i="1"/>
  <c r="K126" i="1"/>
  <c r="F126" i="1"/>
  <c r="Q125" i="1"/>
  <c r="L125" i="1"/>
  <c r="K125" i="1"/>
  <c r="F125" i="1"/>
  <c r="Q124" i="1"/>
  <c r="L124" i="1"/>
  <c r="K124" i="1"/>
  <c r="F124" i="1"/>
  <c r="Q123" i="1"/>
  <c r="L123" i="1"/>
  <c r="K123" i="1"/>
  <c r="F123" i="1"/>
  <c r="Q122" i="1"/>
  <c r="L122" i="1"/>
  <c r="K122" i="1"/>
  <c r="F122" i="1"/>
  <c r="Q121" i="1"/>
  <c r="L121" i="1"/>
  <c r="K121" i="1"/>
  <c r="F121" i="1"/>
  <c r="Q120" i="1"/>
  <c r="L120" i="1"/>
  <c r="K120" i="1"/>
  <c r="F120" i="1"/>
  <c r="Q119" i="1"/>
  <c r="L119" i="1"/>
  <c r="K119" i="1"/>
  <c r="F119" i="1"/>
  <c r="Q118" i="1"/>
  <c r="L118" i="1"/>
  <c r="K118" i="1"/>
  <c r="F118" i="1"/>
  <c r="Q117" i="1"/>
  <c r="L117" i="1"/>
  <c r="K117" i="1"/>
  <c r="F117" i="1"/>
  <c r="Q116" i="1"/>
  <c r="L116" i="1"/>
  <c r="K116" i="1"/>
  <c r="F116" i="1"/>
  <c r="Q115" i="1"/>
  <c r="L115" i="1"/>
  <c r="K115" i="1"/>
  <c r="F115" i="1"/>
  <c r="Q114" i="1"/>
  <c r="L114" i="1"/>
  <c r="K114" i="1"/>
  <c r="F114" i="1"/>
  <c r="Q113" i="1"/>
  <c r="L113" i="1"/>
  <c r="K113" i="1"/>
  <c r="F113" i="1"/>
  <c r="Q112" i="1"/>
  <c r="L112" i="1"/>
  <c r="K112" i="1"/>
  <c r="F112" i="1"/>
  <c r="Q111" i="1"/>
  <c r="L111" i="1"/>
  <c r="K111" i="1"/>
  <c r="F111" i="1"/>
  <c r="Q110" i="1"/>
  <c r="L110" i="1"/>
  <c r="K110" i="1"/>
  <c r="F110" i="1"/>
  <c r="Q109" i="1"/>
  <c r="L109" i="1"/>
  <c r="K109" i="1"/>
  <c r="F109" i="1"/>
  <c r="Q108" i="1"/>
  <c r="L108" i="1"/>
  <c r="K108" i="1"/>
  <c r="F108" i="1"/>
  <c r="Q107" i="1"/>
  <c r="L107" i="1"/>
  <c r="K107" i="1"/>
  <c r="F107" i="1"/>
  <c r="Q106" i="1"/>
  <c r="L106" i="1"/>
  <c r="K106" i="1"/>
  <c r="F106" i="1"/>
  <c r="Q105" i="1"/>
  <c r="L105" i="1"/>
  <c r="K105" i="1"/>
  <c r="F105" i="1"/>
  <c r="Q104" i="1"/>
  <c r="L104" i="1"/>
  <c r="K104" i="1"/>
  <c r="F104" i="1"/>
  <c r="Q103" i="1"/>
  <c r="L103" i="1"/>
  <c r="K103" i="1"/>
  <c r="F103" i="1"/>
  <c r="Q102" i="1"/>
  <c r="L102" i="1"/>
  <c r="K102" i="1"/>
  <c r="F102" i="1"/>
  <c r="Q101" i="1"/>
  <c r="L101" i="1"/>
  <c r="K101" i="1"/>
  <c r="F101" i="1"/>
  <c r="Q100" i="1"/>
  <c r="L100" i="1"/>
  <c r="K100" i="1"/>
  <c r="F100" i="1"/>
  <c r="L99" i="1"/>
  <c r="Q98" i="1"/>
  <c r="L98" i="1"/>
  <c r="K98" i="1"/>
  <c r="F98" i="1"/>
  <c r="Q97" i="1"/>
  <c r="L97" i="1"/>
  <c r="K97" i="1"/>
  <c r="F97" i="1"/>
  <c r="Q96" i="1"/>
  <c r="L96" i="1"/>
  <c r="K96" i="1"/>
  <c r="F96" i="1"/>
  <c r="Q95" i="1"/>
  <c r="L95" i="1"/>
  <c r="K95" i="1"/>
  <c r="F95" i="1"/>
  <c r="Q94" i="1"/>
  <c r="L94" i="1"/>
  <c r="K94" i="1"/>
  <c r="F94" i="1"/>
  <c r="Q93" i="1"/>
  <c r="L93" i="1"/>
  <c r="K93" i="1"/>
  <c r="F93" i="1"/>
  <c r="Q92" i="1"/>
  <c r="L92" i="1"/>
  <c r="K92" i="1"/>
  <c r="F92" i="1"/>
  <c r="Q91" i="1"/>
  <c r="L91" i="1"/>
  <c r="K91" i="1"/>
  <c r="F91" i="1"/>
  <c r="Q90" i="1"/>
  <c r="L90" i="1"/>
  <c r="K90" i="1"/>
  <c r="F90" i="1"/>
  <c r="Q89" i="1"/>
  <c r="L89" i="1"/>
  <c r="K89" i="1"/>
  <c r="F89" i="1"/>
  <c r="Q88" i="1"/>
  <c r="L88" i="1"/>
  <c r="K88" i="1"/>
  <c r="F88" i="1"/>
  <c r="Q87" i="1"/>
  <c r="L87" i="1"/>
  <c r="K87" i="1"/>
  <c r="F87" i="1"/>
  <c r="Q86" i="1"/>
  <c r="L86" i="1"/>
  <c r="K86" i="1"/>
  <c r="F86" i="1"/>
  <c r="Q85" i="1"/>
  <c r="L85" i="1"/>
  <c r="K85" i="1"/>
  <c r="F85" i="1"/>
  <c r="Q84" i="1"/>
  <c r="L84" i="1"/>
  <c r="K84" i="1"/>
  <c r="F84" i="1"/>
  <c r="Q83" i="1"/>
  <c r="L83" i="1"/>
  <c r="K83" i="1"/>
  <c r="F83" i="1"/>
  <c r="Q82" i="1"/>
  <c r="L82" i="1"/>
  <c r="K82" i="1"/>
  <c r="F82" i="1"/>
  <c r="Q81" i="1"/>
  <c r="L81" i="1"/>
  <c r="K81" i="1"/>
  <c r="F81" i="1"/>
  <c r="Q80" i="1"/>
  <c r="L80" i="1"/>
  <c r="K80" i="1"/>
  <c r="F80" i="1"/>
  <c r="Q79" i="1"/>
  <c r="L79" i="1"/>
  <c r="K79" i="1"/>
  <c r="F79" i="1"/>
  <c r="Q78" i="1"/>
  <c r="L78" i="1"/>
  <c r="K78" i="1"/>
  <c r="F78" i="1"/>
  <c r="Q77" i="1"/>
  <c r="L77" i="1"/>
  <c r="K77" i="1"/>
  <c r="F77" i="1"/>
  <c r="Q76" i="1"/>
  <c r="L76" i="1"/>
  <c r="K76" i="1"/>
  <c r="F76" i="1"/>
  <c r="Q75" i="1"/>
  <c r="L75" i="1"/>
  <c r="K75" i="1"/>
  <c r="F75" i="1"/>
  <c r="L74" i="1"/>
  <c r="Q73" i="1"/>
  <c r="L73" i="1"/>
  <c r="K73" i="1"/>
  <c r="F73" i="1"/>
  <c r="Q72" i="1"/>
  <c r="L72" i="1"/>
  <c r="K72" i="1"/>
  <c r="F72" i="1"/>
  <c r="Q71" i="1"/>
  <c r="L71" i="1"/>
  <c r="K71" i="1"/>
  <c r="F71" i="1"/>
  <c r="Q70" i="1"/>
  <c r="L70" i="1"/>
  <c r="K70" i="1"/>
  <c r="F70" i="1"/>
  <c r="Q69" i="1"/>
  <c r="L69" i="1"/>
  <c r="K69" i="1"/>
  <c r="F69" i="1"/>
  <c r="Q68" i="1"/>
  <c r="L68" i="1"/>
  <c r="K68" i="1"/>
  <c r="F68" i="1"/>
  <c r="Q67" i="1"/>
  <c r="L67" i="1"/>
  <c r="K67" i="1"/>
  <c r="F67" i="1"/>
  <c r="Q66" i="1"/>
  <c r="L66" i="1"/>
  <c r="K66" i="1"/>
  <c r="F66" i="1"/>
  <c r="Q65" i="1"/>
  <c r="L65" i="1"/>
  <c r="K65" i="1"/>
  <c r="F65" i="1"/>
  <c r="Q64" i="1"/>
  <c r="L64" i="1"/>
  <c r="K64" i="1"/>
  <c r="F64" i="1"/>
  <c r="Q63" i="1"/>
  <c r="L63" i="1"/>
  <c r="K63" i="1"/>
  <c r="F63" i="1"/>
  <c r="Q62" i="1"/>
  <c r="L62" i="1"/>
  <c r="K62" i="1"/>
  <c r="F62" i="1"/>
  <c r="L61" i="1"/>
  <c r="Q60" i="1"/>
  <c r="L60" i="1"/>
  <c r="K60" i="1"/>
  <c r="F60" i="1"/>
  <c r="Q59" i="1"/>
  <c r="L59" i="1"/>
  <c r="K59" i="1"/>
  <c r="F59" i="1"/>
  <c r="Q58" i="1"/>
  <c r="L58" i="1"/>
  <c r="K58" i="1"/>
  <c r="F58" i="1"/>
  <c r="Q57" i="1"/>
  <c r="L57" i="1"/>
  <c r="K57" i="1"/>
  <c r="F57" i="1"/>
  <c r="Q56" i="1"/>
  <c r="L56" i="1"/>
  <c r="K56" i="1"/>
  <c r="F56" i="1"/>
  <c r="Q55" i="1"/>
  <c r="L55" i="1"/>
  <c r="K55" i="1"/>
  <c r="F55" i="1"/>
  <c r="Q54" i="1"/>
  <c r="L54" i="1"/>
  <c r="K54" i="1"/>
  <c r="F54" i="1"/>
  <c r="Q53" i="1"/>
  <c r="L53" i="1"/>
  <c r="K53" i="1"/>
  <c r="F53" i="1"/>
  <c r="Q52" i="1"/>
  <c r="L52" i="1"/>
  <c r="K52" i="1"/>
  <c r="F52" i="1"/>
  <c r="Q51" i="1"/>
  <c r="L51" i="1"/>
  <c r="K51" i="1"/>
  <c r="F51" i="1"/>
  <c r="Q50" i="1"/>
  <c r="L50" i="1"/>
  <c r="K50" i="1"/>
  <c r="F50" i="1"/>
  <c r="Q49" i="1"/>
  <c r="L49" i="1"/>
  <c r="K49" i="1"/>
  <c r="F49" i="1"/>
  <c r="Q48" i="1"/>
  <c r="L48" i="1"/>
  <c r="K48" i="1"/>
  <c r="F48" i="1"/>
  <c r="Q47" i="1"/>
  <c r="L47" i="1"/>
  <c r="K47" i="1"/>
  <c r="F47" i="1"/>
  <c r="Q46" i="1"/>
  <c r="L46" i="1"/>
  <c r="K46" i="1"/>
  <c r="F46" i="1"/>
  <c r="Q45" i="1"/>
  <c r="L45" i="1"/>
  <c r="K45" i="1"/>
  <c r="F45" i="1"/>
  <c r="Q44" i="1"/>
  <c r="L44" i="1"/>
  <c r="K44" i="1"/>
  <c r="F44" i="1"/>
  <c r="Q43" i="1"/>
  <c r="L43" i="1"/>
  <c r="K43" i="1"/>
  <c r="F43" i="1"/>
  <c r="Q42" i="1"/>
  <c r="L42" i="1"/>
  <c r="K42" i="1"/>
  <c r="F42" i="1"/>
  <c r="Q41" i="1"/>
  <c r="L41" i="1"/>
  <c r="K41" i="1"/>
  <c r="F41" i="1"/>
  <c r="Q40" i="1"/>
  <c r="L40" i="1"/>
  <c r="K40" i="1"/>
  <c r="F40" i="1"/>
  <c r="Q39" i="1"/>
  <c r="L39" i="1"/>
  <c r="K39" i="1"/>
  <c r="F39" i="1"/>
  <c r="Q38" i="1"/>
  <c r="L38" i="1"/>
  <c r="K38" i="1"/>
  <c r="F38" i="1"/>
  <c r="Q37" i="1"/>
  <c r="L37" i="1"/>
  <c r="K37" i="1"/>
  <c r="F37" i="1"/>
  <c r="Q36" i="1"/>
  <c r="L36" i="1"/>
  <c r="K36" i="1"/>
  <c r="F36" i="1"/>
  <c r="Q35" i="1"/>
  <c r="L35" i="1"/>
  <c r="K35" i="1"/>
  <c r="F35" i="1"/>
  <c r="Q34" i="1"/>
  <c r="L34" i="1"/>
  <c r="K34" i="1"/>
  <c r="F34" i="1"/>
  <c r="Q33" i="1"/>
  <c r="L33" i="1"/>
  <c r="K33" i="1"/>
  <c r="F33" i="1"/>
  <c r="Q32" i="1"/>
  <c r="L32" i="1"/>
  <c r="K32" i="1"/>
  <c r="F32" i="1"/>
  <c r="Q31" i="1"/>
  <c r="L31" i="1"/>
  <c r="K31" i="1"/>
  <c r="F31" i="1"/>
  <c r="Q30" i="1"/>
  <c r="L30" i="1"/>
  <c r="K30" i="1"/>
  <c r="F30" i="1"/>
  <c r="Q29" i="1"/>
  <c r="L29" i="1"/>
  <c r="K29" i="1"/>
  <c r="F29" i="1"/>
  <c r="Q28" i="1"/>
  <c r="L28" i="1"/>
  <c r="K28" i="1"/>
  <c r="F28" i="1"/>
  <c r="Q27" i="1"/>
  <c r="L27" i="1"/>
  <c r="K27" i="1"/>
  <c r="F27" i="1"/>
  <c r="Q26" i="1"/>
  <c r="L26" i="1"/>
  <c r="K26" i="1"/>
  <c r="F26" i="1"/>
  <c r="Q25" i="1"/>
  <c r="L25" i="1"/>
  <c r="K25" i="1"/>
  <c r="F25" i="1"/>
  <c r="Q24" i="1"/>
  <c r="L24" i="1"/>
  <c r="K24" i="1"/>
  <c r="F24" i="1"/>
  <c r="Q23" i="1"/>
  <c r="L23" i="1"/>
  <c r="K23" i="1"/>
  <c r="F23" i="1"/>
  <c r="Q22" i="1"/>
  <c r="L22" i="1"/>
  <c r="K22" i="1"/>
  <c r="F22" i="1"/>
  <c r="Q21" i="1"/>
  <c r="L21" i="1"/>
  <c r="K21" i="1"/>
  <c r="F21" i="1"/>
  <c r="Q20" i="1"/>
  <c r="L20" i="1"/>
  <c r="K20" i="1"/>
  <c r="F20" i="1"/>
  <c r="Q19" i="1"/>
  <c r="L19" i="1"/>
  <c r="K19" i="1"/>
  <c r="F19" i="1"/>
  <c r="Q18" i="1"/>
  <c r="L18" i="1"/>
  <c r="K18" i="1"/>
  <c r="F18" i="1"/>
  <c r="Q17" i="1"/>
  <c r="L17" i="1"/>
  <c r="K17" i="1"/>
  <c r="F17" i="1"/>
  <c r="Q16" i="1"/>
  <c r="L16" i="1"/>
  <c r="K16" i="1"/>
  <c r="F16" i="1"/>
  <c r="Q15" i="1"/>
  <c r="L15" i="1"/>
  <c r="K15" i="1"/>
  <c r="F15" i="1"/>
  <c r="Q14" i="1"/>
  <c r="L14" i="1"/>
  <c r="K14" i="1"/>
  <c r="F14" i="1"/>
  <c r="L13" i="1"/>
  <c r="Q12" i="1"/>
  <c r="L12" i="1"/>
  <c r="K12" i="1"/>
  <c r="F12" i="1"/>
  <c r="L11" i="1"/>
  <c r="Q10" i="1"/>
  <c r="L10" i="1"/>
  <c r="K10" i="1"/>
  <c r="F10" i="1"/>
  <c r="Q9" i="1"/>
  <c r="L9" i="1"/>
  <c r="K9" i="1"/>
  <c r="F9" i="1"/>
  <c r="Q8" i="1"/>
  <c r="L8" i="1"/>
  <c r="K8" i="1"/>
  <c r="F8" i="1"/>
  <c r="Q7" i="1"/>
  <c r="L7" i="1"/>
  <c r="K7" i="1"/>
  <c r="F7" i="1"/>
  <c r="Q6" i="1"/>
  <c r="L6" i="1"/>
  <c r="K6" i="1"/>
  <c r="F6" i="1"/>
  <c r="Q5" i="1"/>
  <c r="L5" i="1"/>
  <c r="K5" i="1"/>
  <c r="F5" i="1"/>
  <c r="Q4" i="1"/>
  <c r="L4" i="1"/>
  <c r="K4" i="1"/>
  <c r="F4" i="1"/>
  <c r="Q3" i="1"/>
  <c r="L3" i="1"/>
  <c r="K3" i="1"/>
  <c r="F3" i="1"/>
  <c r="L2" i="1"/>
</calcChain>
</file>

<file path=xl/sharedStrings.xml><?xml version="1.0" encoding="utf-8"?>
<sst xmlns="http://schemas.openxmlformats.org/spreadsheetml/2006/main" count="9499" uniqueCount="2096">
  <si>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</si>
  <si>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</si>
  <si>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</si>
  <si>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</si>
  <si>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</si>
  <si>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</si>
  <si>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</si>
  <si>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</si>
  <si>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</si>
  <si>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</si>
  <si>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</si>
  <si>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</si>
  <si>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</si>
  <si>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Frente de Obra</t>
  </si>
  <si>
    <t>Frente de Obra</t>
  </si>
  <si>
    <t>Qtd.</t>
  </si>
  <si>
    <t>Valor</t>
  </si>
  <si>
    <t>Macrosserviço</t>
  </si>
  <si>
    <t>1</t>
  </si>
  <si>
    <t>INSTALAÇÕES PRELIMINARES / CANTEIRO DE OBRAS</t>
  </si>
  <si>
    <t>Serviço</t>
  </si>
  <si>
    <t>1.1</t>
  </si>
  <si>
    <t>Composição</t>
  </si>
  <si>
    <t>39</t>
  </si>
  <si>
    <t>PLACA DE IDENTIFICACAO DE OBRA FORNECIMENTO E INSTALACAO</t>
  </si>
  <si>
    <t>M2</t>
  </si>
  <si>
    <t>25,7%</t>
  </si>
  <si>
    <t>Frente Única</t>
  </si>
  <si>
    <t>1.2</t>
  </si>
  <si>
    <t>Outros</t>
  </si>
  <si>
    <t>COPAS65003890</t>
  </si>
  <si>
    <t>CANTEIRO DE OBRAS - LOCACAO DE CONTAINER ESCRITORIO.</t>
  </si>
  <si>
    <t>MES</t>
  </si>
  <si>
    <t>1.3</t>
  </si>
  <si>
    <t>COPAS65003889</t>
  </si>
  <si>
    <t>CANTEIRO DE OBRAS LOCACAO DE CONTAINER – MOBILIZACAO E DESMOBILIZACAO.</t>
  </si>
  <si>
    <t>KM</t>
  </si>
  <si>
    <t>1.4</t>
  </si>
  <si>
    <t>COPAS65003892</t>
  </si>
  <si>
    <t>CANTEIRO DE OBRAS - LOCACAO DE CONTAINER ALMOXARIFADO.</t>
  </si>
  <si>
    <t>1.5</t>
  </si>
  <si>
    <t>COPAS65002504</t>
  </si>
  <si>
    <t>BANHEIRO QUIMICO - CABINE EM FIBRA DE VIDRO, TETO TRANSLUCIDO BRANCO, CAPACIDADE MAXIMA OPERACIONAL 180 LITROS, PORTA PAPEL HIGIENICO, PLACA DE IDENTIFICACAO "MA</t>
  </si>
  <si>
    <t>1.6</t>
  </si>
  <si>
    <t>SETOPED-16341</t>
  </si>
  <si>
    <t>LIGAÇÃO PROVISÓRIA DE ÁGUA E ESGOTO PARA CONTAINER (ESCRITÓRIO DE OBRA)</t>
  </si>
  <si>
    <t>UN</t>
  </si>
  <si>
    <t>1.7</t>
  </si>
  <si>
    <t>SETOPED-16343</t>
  </si>
  <si>
    <t>LIGAÇÃO PROVISÓRIA DE ÁGUA E ESGOTO PARA CONTAINER (VESTIÁRIO DE OBRA), EXCLUSIVE CHUVEIRO ELÉTRICO</t>
  </si>
  <si>
    <t>1.8</t>
  </si>
  <si>
    <t>SETOPED-16342</t>
  </si>
  <si>
    <t>LIGAÇÃO PROVISÓRIA DE ENERGIA ELÉTRICA PARA CONTAINER</t>
  </si>
  <si>
    <t>2</t>
  </si>
  <si>
    <t>ADMINISTRAÇÃO LOCAL</t>
  </si>
  <si>
    <t>2.1</t>
  </si>
  <si>
    <t>MÊS</t>
  </si>
  <si>
    <t>3</t>
  </si>
  <si>
    <t>CAPTAÇÃO - EAB01/BALSA/ PASSARELA E PIER</t>
  </si>
  <si>
    <t>3.1</t>
  </si>
  <si>
    <t>COPAS65000017</t>
  </si>
  <si>
    <t>LOCACAO ESTRUTURAS - GABARITO/TABEIRA PARA OBRAS</t>
  </si>
  <si>
    <t>3.2</t>
  </si>
  <si>
    <t>SINAPI</t>
  </si>
  <si>
    <t>96540</t>
  </si>
  <si>
    <t>FABRICAÇÃO, MONTAGEM E DESMONTAGEM DE FÔRMA PARA BLOCO DE COROAMENTO, EM CHAPA DE MADEIRA COMPENSADA RESINADA, E=17 MM, 4 UTILIZAÇÕES. AF_01/2024</t>
  </si>
  <si>
    <t>3.3</t>
  </si>
  <si>
    <t>92419</t>
  </si>
  <si>
    <t>MONTAGEM E DESMONTAGEM DE FÔRMA DE PILARES RETANGULARES E ESTRUTURAS SIMILARES, PÉ-DIREITO SIMPLES, EM CHAPA DE MADEIRA COMPENSADA RESINADA, 4 UTILIZAÇÕES. AF_09/2020</t>
  </si>
  <si>
    <t>3.4</t>
  </si>
  <si>
    <t>103761</t>
  </si>
  <si>
    <t>MONTAGEM E DESMONTAGEM DE FÔRMA DE LAJE MACIÇA, PÉ-DIREITO SIMPLES, EM CHAPA DE MADEIRA COMPENSADA RESINADA E CIMBRAMENTO DE MADEIRA, 4 UTILIZAÇÕES. AF_03/2022</t>
  </si>
  <si>
    <t>3.5</t>
  </si>
  <si>
    <t>COPAS65003654</t>
  </si>
  <si>
    <t>CONCRETO FCK 35 MPA USINADO - FORNECIMENTO, TRANSPORTE, BOMBEAMENTO/LANCAMENTO E ADENSAMENTO</t>
  </si>
  <si>
    <t>M3</t>
  </si>
  <si>
    <t>3.6</t>
  </si>
  <si>
    <t>COPAS65000276</t>
  </si>
  <si>
    <t>ARMADURA DE ACO CA 50, FORNECIMENTO E COLOCACAO</t>
  </si>
  <si>
    <t>KG</t>
  </si>
  <si>
    <t>3.7</t>
  </si>
  <si>
    <t>COPAS65000277</t>
  </si>
  <si>
    <t>ARMADURA DE ACO CA 60, FORNECIMENTO E COLOCACAO</t>
  </si>
  <si>
    <t>3.8</t>
  </si>
  <si>
    <t>COPAS65002365</t>
  </si>
  <si>
    <t>INSTALACAO DE CONJUNTO MOTOBOMBA COM POTENCIA ACIMA DE 25CV ATE 60CV</t>
  </si>
  <si>
    <t>3.9</t>
  </si>
  <si>
    <t>COPAS65000403</t>
  </si>
  <si>
    <t>MONTAGENS ESPECIAIS EM FERRO FUNDIDO</t>
  </si>
  <si>
    <t>3.10</t>
  </si>
  <si>
    <t>COPAS65001130</t>
  </si>
  <si>
    <t>TALHA MANUAL COMPACTA, CAPACIDADE DE CARGA DE 500 KG, ELEVACAO DE 5,0 M E CARRO TROLE MANUAL - FORNECIMENTO E INSTALACAO</t>
  </si>
  <si>
    <t>CJ</t>
  </si>
  <si>
    <t>3.11</t>
  </si>
  <si>
    <t>COPAS65004605</t>
  </si>
  <si>
    <t>GUARDA CORPO EM PRFV, FORNECIMENTO E ASSENTAMENTO</t>
  </si>
  <si>
    <t>M</t>
  </si>
  <si>
    <t>3.12</t>
  </si>
  <si>
    <t>9</t>
  </si>
  <si>
    <t>CHAPA DE PISO EM AÇO CARBONO GALVANIZADO ASTM A36, XADREZ-ESP.=6,3 FORNECIMENTO E ASSENTAMENTO</t>
  </si>
  <si>
    <t>3.13</t>
  </si>
  <si>
    <t>18</t>
  </si>
  <si>
    <t>GUINDASTE DE LANÇA GIRATÓRIO, CAP 500 KG, LANÇA DE 1400MM, GIRO MANUAL DE 360º, INSTALAÇÃO.</t>
  </si>
  <si>
    <t>3.14</t>
  </si>
  <si>
    <t>SETOPED-49664</t>
  </si>
  <si>
    <t>FORNECIMENTO DE ESTRUTURA METÁLICA EM PERFIL LAMINADO, INCLUSIVE FABRICAÇÃO, TRANSPORTE, MONTAGEM E APLICAÇÃO DE FUNDO PREPARADOR ANTICORROSIVO EM SUPERFÍCIE METÁLICA, UMA (1) DEMÃO</t>
  </si>
  <si>
    <t>3.15</t>
  </si>
  <si>
    <t>100975</t>
  </si>
  <si>
    <t>CARGA, MANOBRA E DESCARGA DE SOLOS E MATERIAIS GRANULARES EM CAMINHÃO BASCULANTE 14 M³ - CARGA COM PÁ CARREGADEIRA (CAÇAMBA DE 1,7 A 2,8 M³ / 128 HP) E DESCARGA LIVRE (UNIDADE: M3). AF_07/2020</t>
  </si>
  <si>
    <t>3.16</t>
  </si>
  <si>
    <t>97913</t>
  </si>
  <si>
    <t>TRANSPORTE COM CAMINHÃO BASCULANTE DE 6 M³, EM VIA URBANA EM REVESTIMENTO PRIMÁRIO (UNIDADE: M3XKM). AF_07/2020</t>
  </si>
  <si>
    <t>M3XKM</t>
  </si>
  <si>
    <t>3.17</t>
  </si>
  <si>
    <t>100574</t>
  </si>
  <si>
    <t>ESPALHAMENTO DE MATERIAL COM TRATOR DE ESTEIRAS. AF_09/2024</t>
  </si>
  <si>
    <t>3.18</t>
  </si>
  <si>
    <t>98531</t>
  </si>
  <si>
    <t>CORTE RASO E RECORTE DE ÁRVORE COM DIÂMETRO DE TRONCO MAIOR OU IGUAL A 0,60 M. AF_03/2024</t>
  </si>
  <si>
    <t>3.19</t>
  </si>
  <si>
    <t>COPAS25003566</t>
  </si>
  <si>
    <t>ARRUELA BORRACHA FLANGE PN10 DN100</t>
  </si>
  <si>
    <t>19,05%</t>
  </si>
  <si>
    <t>3.20</t>
  </si>
  <si>
    <t>COPAS25003569</t>
  </si>
  <si>
    <t>ARRUELA BORRACHA FLANGE PN10 DN200</t>
  </si>
  <si>
    <t>3.21</t>
  </si>
  <si>
    <t>COPAS25003570</t>
  </si>
  <si>
    <t>ARRUELA BORRACHA FLANGE PN10 DN250</t>
  </si>
  <si>
    <t>3.22</t>
  </si>
  <si>
    <t>COPAS25003732</t>
  </si>
  <si>
    <t>ARRUELA BORRACHA FLANGE PN10 DN80</t>
  </si>
  <si>
    <t>3.23</t>
  </si>
  <si>
    <t>COPAS25000824</t>
  </si>
  <si>
    <t>CURVA 45º FOFO FF PN10/16 DN 100</t>
  </si>
  <si>
    <t>3.24</t>
  </si>
  <si>
    <t>EMBM011703021</t>
  </si>
  <si>
    <t>C90FF10 FoFo DN 250</t>
  </si>
  <si>
    <t>3.25</t>
  </si>
  <si>
    <t>EMBM011304017</t>
  </si>
  <si>
    <t>EFJGS10 FoFo DN 250</t>
  </si>
  <si>
    <t>3.26</t>
  </si>
  <si>
    <t>EMBM011712021</t>
  </si>
  <si>
    <t>FC10 FoFo DN 250</t>
  </si>
  <si>
    <t>3.27</t>
  </si>
  <si>
    <t>EMBM012101013</t>
  </si>
  <si>
    <t>JDTA10 DN 250</t>
  </si>
  <si>
    <t>3.28</t>
  </si>
  <si>
    <t>COPAS25028103</t>
  </si>
  <si>
    <t>MANGOTE BORR.SINT.C/TRAMA POLIESTER DN8"</t>
  </si>
  <si>
    <t>3.29</t>
  </si>
  <si>
    <t>COPAS25025256</t>
  </si>
  <si>
    <t>PARAFUSO C/PORCAS P/ FLANGES DN20 x 90</t>
  </si>
  <si>
    <t>3.30</t>
  </si>
  <si>
    <t>COPAS25025390</t>
  </si>
  <si>
    <t>PARAFUSO C/PORCAS P/FLANGE PN10 DN16x80</t>
  </si>
  <si>
    <t>3.31</t>
  </si>
  <si>
    <t>COPAS25000393</t>
  </si>
  <si>
    <t>REDUCAO FOFO FF PN10 DN 250X 200</t>
  </si>
  <si>
    <t>3.32</t>
  </si>
  <si>
    <t>COPAS25027688</t>
  </si>
  <si>
    <t>REGISTRO FOFO CBOR.FV S14 PN10 DN250</t>
  </si>
  <si>
    <t>3.33</t>
  </si>
  <si>
    <t>COPAS25003290</t>
  </si>
  <si>
    <t>REGISTRO FOFO CBOR.FV S14 PN10/16 DN 80</t>
  </si>
  <si>
    <t>3.34</t>
  </si>
  <si>
    <t>COPAS25019977</t>
  </si>
  <si>
    <t>REGISTRO FOFO CBOR.FV S14 PN10/16 DN100</t>
  </si>
  <si>
    <t>3.35</t>
  </si>
  <si>
    <t>COPAS25000461</t>
  </si>
  <si>
    <t>TE FOFO FFF PN10 DN 250</t>
  </si>
  <si>
    <t>3.36</t>
  </si>
  <si>
    <t>EMBM011707061</t>
  </si>
  <si>
    <t>TFF10 FoFo DN 250 X 80</t>
  </si>
  <si>
    <t>3.37</t>
  </si>
  <si>
    <t>EMBM011701021</t>
  </si>
  <si>
    <t>TOF10 FoFo L = 0,25m DN 250</t>
  </si>
  <si>
    <t>3.38</t>
  </si>
  <si>
    <t>COPAS25019594</t>
  </si>
  <si>
    <t>TUBO FOFO FF PN10 DN100X1,50M</t>
  </si>
  <si>
    <t>3.39</t>
  </si>
  <si>
    <t>EMBM010501197</t>
  </si>
  <si>
    <t>TFL10 FoFo DN 250 X 1,00</t>
  </si>
  <si>
    <t>3.40</t>
  </si>
  <si>
    <t>EMBM010501201</t>
  </si>
  <si>
    <t>TFL10 FoFo DN 250 X 1,50</t>
  </si>
  <si>
    <t>3.41</t>
  </si>
  <si>
    <t>EMBM010501205</t>
  </si>
  <si>
    <t>TFL10 FoFo DN 250 X 2,00</t>
  </si>
  <si>
    <t>3.42</t>
  </si>
  <si>
    <t>COPAS25002963</t>
  </si>
  <si>
    <t>VALVULA RET.FOFO PORT.DUP.WAF.PN10 DN250</t>
  </si>
  <si>
    <t>3.43</t>
  </si>
  <si>
    <t>COPAS25057742</t>
  </si>
  <si>
    <t>VENTOSA TRIPLICE FUNC.AGUA FF PN16 DN80</t>
  </si>
  <si>
    <t>3.44</t>
  </si>
  <si>
    <t>Cotação</t>
  </si>
  <si>
    <t>BALSA FLUTUANTE TIPO HIGRA OU SIMILAR</t>
  </si>
  <si>
    <t>3.45</t>
  </si>
  <si>
    <t>5</t>
  </si>
  <si>
    <t>CONJUNTO MOTO-BOMBA MODELO ANFIBIA, Q=90 L/S HMAN.= 15,32 MCA - POTÊNCIA = 50CV</t>
  </si>
  <si>
    <t>3.46</t>
  </si>
  <si>
    <t>7</t>
  </si>
  <si>
    <t>FLUTUADORES EM POLIETILENO</t>
  </si>
  <si>
    <t>3.47</t>
  </si>
  <si>
    <t>8</t>
  </si>
  <si>
    <t>PÓRTICO DE LANÇA GIRATÓRIO, CAP 500 KG, ALTURA DE ELEVAÇÃO 3500 MM, LANÇA DE 3500MM, GIRO MANUAL DE 360º</t>
  </si>
  <si>
    <t>4</t>
  </si>
  <si>
    <t>AAB1- INTERLIGAÇÕES</t>
  </si>
  <si>
    <t>4.1</t>
  </si>
  <si>
    <t>93358</t>
  </si>
  <si>
    <t>ESCAVAÇÃO MANUAL DE VALA. AF_09/2024</t>
  </si>
  <si>
    <t>4.2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</si>
  <si>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</si>
  <si>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</si>
  <si>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4.3</t>
  </si>
  <si>
    <t>COPAS65000174</t>
  </si>
  <si>
    <t>ATERRO DE VALAS E CAVAS DE FUNDACAO, C/ CONTROLE DO GRAU DE COMPACTACAO DE NO MINIMO 97% DO PROCTOR NORMAL</t>
  </si>
  <si>
    <t>4.4</t>
  </si>
  <si>
    <t>101616</t>
  </si>
  <si>
    <t>PREPARO DE FUNDO DE VALA COM LARGURA MENOR QUE 1,5 M (ACERTO DO SOLO NATURAL). AF_08/2020</t>
  </si>
  <si>
    <t>4.5</t>
  </si>
  <si>
    <t>4.6</t>
  </si>
  <si>
    <t>4.7</t>
  </si>
  <si>
    <t>4.8</t>
  </si>
  <si>
    <t>97145</t>
  </si>
  <si>
    <t>ASSENTAMENTO DE TUBO DE FERRO FUNDIDO PARA REDE DE ÁGUA, DN 250 MM, JUNTA ELÁSTICA, INSTALADO EM LOCAL COM NÍVEL ALTO DE INTERFERÊNCIAS (NÃO INCLUI FORNECIMENTO). AF_05/2024</t>
  </si>
  <si>
    <t>4.9</t>
  </si>
  <si>
    <t>COPAS65000380</t>
  </si>
  <si>
    <t>ASSENTAMENTO DE TUBOS E CONEXOES PVC JE DN 300</t>
  </si>
  <si>
    <t>4.10</t>
  </si>
  <si>
    <t>EMBM010903017</t>
  </si>
  <si>
    <t>C22 JGS FoFo DN 250</t>
  </si>
  <si>
    <t>4.11</t>
  </si>
  <si>
    <t>COPAS25040214</t>
  </si>
  <si>
    <t>TUBO FOFO PB EMIN 5,20MM DN 250XCMIN5,5M</t>
  </si>
  <si>
    <t>4.12</t>
  </si>
  <si>
    <t>41932</t>
  </si>
  <si>
    <t>TUBO COLETOR DE ESGOTO PVC, JEI, DN 300 MM (NBR 7362)</t>
  </si>
  <si>
    <t>INSTALAÇÕES ELÉTRICAS EAB01</t>
  </si>
  <si>
    <t>5.1</t>
  </si>
  <si>
    <t>COPAS65004093</t>
  </si>
  <si>
    <t>ELETRODUTO PVC RIGIDO ROSCAVEL Ø 2" ANTICHAMA, COR PRETA, CL PESADA, NBR 15465, FORNECIDO C/ LUVA, BARRA DE 3,0 M - FORNECIMENTO E ASSENTAMENTO</t>
  </si>
  <si>
    <t>5.2</t>
  </si>
  <si>
    <t>COPAS65004094</t>
  </si>
  <si>
    <t>ELETRODUTO PVC RIGIDO ROSCAVEL Ø 2 1/2" ANTICHAMA, COR PRETA, CL PESADA, NBR 15465, FORNECIDO C/ LUVA, BARRA DE 3,0 M - FORNECIMENTO E ASSENTAMENTO</t>
  </si>
  <si>
    <t>5.3</t>
  </si>
  <si>
    <t>COPAS65004085</t>
  </si>
  <si>
    <t>ELETRODUTO Ø 2" ACO CARBONO GALVANIZADO ZICAGEM POR IMERSAO A QUENTE, ROSCA BSP C/LUVA, CL PESADA (PAREDE 3,00MM), NBR 5598. BARRA DE 3,0 M-FORNECIMENTO E ASSENT</t>
  </si>
  <si>
    <t>5.4</t>
  </si>
  <si>
    <t>COPAS65004086</t>
  </si>
  <si>
    <t>ELETRODUTO Ø 2 1/2" ACO CARBONO GALVANIZADO ZICAGEM POR IMERSAO A QUENTE, ROSCA BSP C/LUVA, CL PESADA (PAREDE 3,35MM), NBR 5598. BARRA DE 3,0 M-FORNECIMENTO E AS</t>
  </si>
  <si>
    <t>5.5</t>
  </si>
  <si>
    <t>COPAS65004101</t>
  </si>
  <si>
    <t>CURVA 90G ACO CARBONO GALVANIZADO Ø 2" ZICAGEM POR IMERSAO A QUENTE, BSP, CL PESADA (PAREDE 3,00MM) NBR 5598-FORNECIMENTO E ASSENTAMENTO</t>
  </si>
  <si>
    <t>5.6</t>
  </si>
  <si>
    <t>COPAS65004102</t>
  </si>
  <si>
    <t>CURVA 90G ACO CARBONO GALVANIZADO Ø 2 1/2" ZICAGEM POR IMERSAO A QUENTE, BSP, CL PESADA (PAREDE 3,35MM) NBR 5598-FORNECIMENTO E ASSENTAMENTO</t>
  </si>
  <si>
    <t>5.7</t>
  </si>
  <si>
    <t>COPAS65004142</t>
  </si>
  <si>
    <t>CONDULETE LIGA DE ALUMINIO FUNDIDO TIPO T Ø 2", ROSCA BSP, C/TAMPA CEGA, PARAFUSO EM ACO ZINCADO OU INOX E JUNTA DE VEDACAO, NBR 15701-FORNECIMENTO E ASSENTAMENT</t>
  </si>
  <si>
    <t>5.8</t>
  </si>
  <si>
    <t>COPAS65004141</t>
  </si>
  <si>
    <t>CONDULETE LIGA DE ALUMINIO FUNDIDO TIPO LR/LL Ø 2", ROSCA BSP, C/TAMPA CEGA, PARAFUSO EM ACO ZINCADO OU INOX E JUNTA DE VEDACAO, NBR 15701-FORNECIMENTO E ASSENTA</t>
  </si>
  <si>
    <t>5.9</t>
  </si>
  <si>
    <t>36</t>
  </si>
  <si>
    <t>CONDULETE LIGA DE ALUMINIO FUNDIDO TIPO T Ø 2.1/2", ROSCA BSP, C/TAMPA CEGA, PARAFUSO EM ACO ZINCADO OU INOX E JUNTA DE VEDACAO, FORNECIMENTO E ASSENTAMENTO</t>
  </si>
  <si>
    <t>5.10</t>
  </si>
  <si>
    <t>37</t>
  </si>
  <si>
    <t>CONDULETE LIGA DE ALUMINIO FUNDIDO TIPO LL Ø 2.1/2", ROSCA BSP, C/TAMPA CEGA, PARAFUSO EM ACO ZINCADO OU INOX E JUNTA DE VEDACAO, FORNECIMENTO E ASSENTAMENTO</t>
  </si>
  <si>
    <t>5.11</t>
  </si>
  <si>
    <t>COPAS65004005</t>
  </si>
  <si>
    <t>CABO CONTROLE MULTIPOLAR 7X1,5MM2, 0,6/1kV, C/ COND. COBRE NU TEMPERA MOLE, NUM. SEQUENCIAL, CL5, ISOLACAO TERMOPLASTICO PVC,  70G EM SERVICO, NBR 7289-FORNECIME</t>
  </si>
  <si>
    <t>5.12</t>
  </si>
  <si>
    <t>COPAS65004006</t>
  </si>
  <si>
    <t>CABO CONTROLE MULTIPOLAR 9X1,5MM2, 0,6/1kV, C/ COND. COBRE NU TEMPERA MOLE, NUM. SEQUENCIAL, CL5, ISOLACAO TERMOPLASTICO PVC,  70G EM SERVICO, NBR 7289-FORNECIME</t>
  </si>
  <si>
    <t>5.13</t>
  </si>
  <si>
    <t>COPAS65004008</t>
  </si>
  <si>
    <t>CABO CONTROLE MULTIPOLAR 15X1,5MM2, 0,6/1kV, C/ COND. COBRE NU TEMPERA MOLE, NUM. SEQUENCIAL, CL5, ISOLACAO TERMOPLASTICO PVC,  70G EM SERVICO, NBR 7289-FORNECIM</t>
  </si>
  <si>
    <t>5.14</t>
  </si>
  <si>
    <t>COPAS65003964</t>
  </si>
  <si>
    <t>CABO UNIPOLAR 16,0MM2, ISOLACAO HEPR/EPR, 0,6/1kV, 90G EM SERVICO, ENCHIMENTO E COBERTURA PVC, COND COBRE NU TEMPERA MOLE, CL5, ANTI CHAMA, NBR 7286-FORNECIMENTO</t>
  </si>
  <si>
    <t>5.15</t>
  </si>
  <si>
    <t>COPAS65003965</t>
  </si>
  <si>
    <t>CABO UNIPOLAR 25,0MM2, ISOLACAO HEPR/EPR, 0,6/1kV, 90G EM SERVICO, ENCHIMENTO E COBERTURA PVC, COND COBRE NU TEMPERA MOLE, CL5, ANTI CHAMA, NBR 7286-FORNECIMENTO</t>
  </si>
  <si>
    <t>5.16</t>
  </si>
  <si>
    <t>COPAS65003966</t>
  </si>
  <si>
    <t>CABO UNIPOLAR 35,0MM2, ISOLACAO HEPR/EPR, 0,6/1kV, 90G EM SERVICO, ENCHIMENTO E COBERTURA PVC, COND COBRE NU TEMPERA MOLE, CL5, ANTI CHAMA, NBR 7286-FORNECIMENTO</t>
  </si>
  <si>
    <t>5.17</t>
  </si>
  <si>
    <t>COPAS65003967</t>
  </si>
  <si>
    <t>CABO UNIPOLAR 50,0MM2, ISOLACAO HEPR/EPR, 0,6/1kV, 90G EM SERVICO, ENCHIMENTO E COBERTURA PVC, COND COBRE NU TEMPERA MOLE, CL5, ANTI CHAMA, NBR 7286-FORNECIMENTO</t>
  </si>
  <si>
    <t>5.18</t>
  </si>
  <si>
    <t>COPAS65004010</t>
  </si>
  <si>
    <t>CABO INSTRUMENTACAO 1PX1,0MM2, C/COND. COBRE NU TEMPERA MOLE, NUM. SEQUENCIAL, CL2, ISOLACAO TERMOP. PVC, BLIND INDIV,  300V, 70G EM SERVICO, NBR 10300-FORNECIME</t>
  </si>
  <si>
    <t>5.19</t>
  </si>
  <si>
    <t>COPAS65004003</t>
  </si>
  <si>
    <t>CABO DE COBRE NU 50,00MM2, MEIO DURO PARA ATERRAMENTO E SPDA, FORMACAO  COM 7 FIOS, NBR 6524-FORNECIMENTO E ASSENTAMENTO</t>
  </si>
  <si>
    <t>5.20</t>
  </si>
  <si>
    <t>104750</t>
  </si>
  <si>
    <t>CONECTOR GRAMPO METÁLICO TIPO OLHAL, PARA SPDA, PARA HASTE DE ATERRAMENTO DE 5/8'' E CABOS DE 10 A 50 MM2 - FORNECIMENTO E INSTALAÇÃO. AF_08/2023</t>
  </si>
  <si>
    <t>5.21</t>
  </si>
  <si>
    <t>COPAS65004418</t>
  </si>
  <si>
    <t>CAIXA DE COMANDO LOCAL, COM 5 FUROS: 1 CHAVE SELETORA 3 POSICÕES NA, 2 BOTOEIRAS PULSO NA, 1 SINALEIRO LED E 1 BOTAO DE EMERGENCIA COGUMELO COM TRAVA - FORNECIME</t>
  </si>
  <si>
    <t>5.22</t>
  </si>
  <si>
    <t>COPAS65004176</t>
  </si>
  <si>
    <t>ASSENTAMENTO E INTERLIGACAO DE QCM DE 15,1 A 50,0 CV</t>
  </si>
  <si>
    <t>5.23</t>
  </si>
  <si>
    <t>COPAS45010225</t>
  </si>
  <si>
    <t>PAINEL BT QCM 1B INV 100A 440V P.402</t>
  </si>
  <si>
    <t>5.24</t>
  </si>
  <si>
    <t>COPAS25057765</t>
  </si>
  <si>
    <t>TRANSMISSOR DE PRESSAO FAIXA 0 A 20 MCA</t>
  </si>
  <si>
    <t>6</t>
  </si>
  <si>
    <t>CAPTAÇÃO - CAIXA DE AREIA E ESTAÇÃO ELEVATÓRIA ÁGUA BRUTA 02 - EAB02</t>
  </si>
  <si>
    <t>6.1</t>
  </si>
  <si>
    <t>6.2</t>
  </si>
  <si>
    <t>103357</t>
  </si>
  <si>
    <t>ALVENARIA DE VEDAÇÃO DE BLOCOS CERÂMICOS FURADOS NA HORIZONTAL DE 9X19X29 CM (ESPESSURA 9 CM) E ARGAMASSA DE ASSENTAMENTO COM PREPARO MANUAL. AF_12/2021</t>
  </si>
  <si>
    <t>6.3</t>
  </si>
  <si>
    <t>87878</t>
  </si>
  <si>
    <t>CHAPISCO APLICADO EM ALVENARIAS E ESTRUTURAS DE CONCRETO INTERNAS, COM COLHER DE PEDREIRO. ARGAMASSA TRAÇO 1:3 COM PREPARO MANUAL. AF_10/2022</t>
  </si>
  <si>
    <t>6.4</t>
  </si>
  <si>
    <t>104641</t>
  </si>
  <si>
    <t>PINTURA LÁTEX ACRÍLICA ECONÔMICA, APLICAÇÃO MANUAL EM PAREDES, DUAS DEMÃOS. AF_04/2023</t>
  </si>
  <si>
    <t>6.5</t>
  </si>
  <si>
    <t>COPAS65003898</t>
  </si>
  <si>
    <t>JANELA DE CORRER EM ESTRUTURA DE ALUMINIO, INCLUSIVE VIDRO 3MM - FORNECIMENTO E INSTALACAO.</t>
  </si>
  <si>
    <t>6.6</t>
  </si>
  <si>
    <t>88495</t>
  </si>
  <si>
    <t>EMASSAMENTO COM MASSA LÁTEX, APLICAÇÃO EM PAREDE, UMA DEMÃO, LIXAMENTO MANUAL. AF_04/2023</t>
  </si>
  <si>
    <t>6.7</t>
  </si>
  <si>
    <t>COPAS65003894</t>
  </si>
  <si>
    <t>PORTA OU PORTAO EM CHAPA DE ACO CARBONO LISA - FORNECIMENTO E INSTALACAO.</t>
  </si>
  <si>
    <t>6.8</t>
  </si>
  <si>
    <t>94218</t>
  </si>
  <si>
    <t>TELHAMENTO COM TELHA ESTRUTURAL DE FIBROCIMENTO E= 8 MM, COM ATÉ 2 ÁGUAS, INCLUSO IÇAMENTO. AF_07/2019_PS</t>
  </si>
  <si>
    <t>6.9</t>
  </si>
  <si>
    <t>COPAS65000118</t>
  </si>
  <si>
    <t>PORTINHOLAS E TAMPAS DE CHAPA DE FERRO</t>
  </si>
  <si>
    <t>6.10</t>
  </si>
  <si>
    <t>98680</t>
  </si>
  <si>
    <t>PISO CIMENTADO, TRAÇO 1:3 (CIMENTO E AREIA), ACABAMENTO LISO, ESPESSURA 3,0 CM, PREPARO MECÂNICO DA ARGAMASSA. AF_09/2020</t>
  </si>
  <si>
    <t>6.11</t>
  </si>
  <si>
    <t>6.12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</si>
  <si>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</si>
  <si>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</si>
  <si>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6.13</t>
  </si>
  <si>
    <t>6.14</t>
  </si>
  <si>
    <t>6.15</t>
  </si>
  <si>
    <t>6.16</t>
  </si>
  <si>
    <t>6.17</t>
  </si>
  <si>
    <t>6.18</t>
  </si>
  <si>
    <t>94227</t>
  </si>
  <si>
    <t>CALHA EM CHAPA DE AÇO GALVANIZADO NÚMERO 24, DESENVOLVIMENTO DE 33 CM, INCLUSO TRANSPORTE VERTICAL. AF_07/2019</t>
  </si>
  <si>
    <t>6.19</t>
  </si>
  <si>
    <t>100327</t>
  </si>
  <si>
    <t>RUFO EXTERNO/INTERNO EM CHAPA DE AÇO GALVANIZADO NÚMERO 26, CORTE DE 33 CM, INCLUSO IÇAMENTO. AF_07/2019</t>
  </si>
  <si>
    <t>6.20</t>
  </si>
  <si>
    <t>COPAS65000242</t>
  </si>
  <si>
    <t>FORMA PLANA EM CHAPA DE MADEIRA RESINADA, E=20 MM, P/ ESTRUTURAS</t>
  </si>
  <si>
    <t>6.21</t>
  </si>
  <si>
    <t>COPAS65003743</t>
  </si>
  <si>
    <t>DESFORMA DE ESTRUTURAS, QUALQUER ALTURA OU PROFUNDIDADE</t>
  </si>
  <si>
    <t>6.22</t>
  </si>
  <si>
    <t>COPAS65003652</t>
  </si>
  <si>
    <t>CONCRETO FCK 25 MPA USINADO - FORNECIMENTO, TRANSPORTE, BOMBEAMENTO/LANCAMENTO E ADENSAMENTO</t>
  </si>
  <si>
    <t>6.23</t>
  </si>
  <si>
    <t>6.24</t>
  </si>
  <si>
    <t>6.25</t>
  </si>
  <si>
    <t>94974</t>
  </si>
  <si>
    <t>CONCRETO MAGRO PARA LASTRO, TRAÇO 1:4,5:4,5 (EM MASSA SECA DE CIMENTO/ AREIA MÉDIA/ BRITA 1) - PREPARO MANUAL. AF_05/2021</t>
  </si>
  <si>
    <t>6.26</t>
  </si>
  <si>
    <t>103673</t>
  </si>
  <si>
    <t>LANÇAMENTO COM USO DE BOMBA, ADENSAMENTO E ACABAMENTO DE CONCRETO EM ESTRUTURAS. AF_02/2022</t>
  </si>
  <si>
    <t>6.27</t>
  </si>
  <si>
    <t>COPAS65002366</t>
  </si>
  <si>
    <t>INSTALACAO DE CONJUNTO MOTOBOMBA COM POTENCIA ACIMA DE 60CV ATE 250CV</t>
  </si>
  <si>
    <t>6.28</t>
  </si>
  <si>
    <t>6.29</t>
  </si>
  <si>
    <t>6.30</t>
  </si>
  <si>
    <t>30</t>
  </si>
  <si>
    <t>TALHA MANUAL COMPACTA, CAPACIDADE DE CARGA DE 2TON, ELEVACAO DE 5,0 M E CARRO TROLE MANUAL - FORNECIMENTO E INSTALACAO</t>
  </si>
  <si>
    <t>6.31</t>
  </si>
  <si>
    <t>COPAS65001134</t>
  </si>
  <si>
    <t>MONOVIA EM PERFIL METALICO " I " DE 10" - FORNECIMENTO E INSTALACAO</t>
  </si>
  <si>
    <t>6.32</t>
  </si>
  <si>
    <t>COPAS65001126</t>
  </si>
  <si>
    <t>PINTURA DE TUBULACOES DE FERRO FUNDIDO</t>
  </si>
  <si>
    <t>6.33</t>
  </si>
  <si>
    <t>13</t>
  </si>
  <si>
    <t>EXECUÇÃO DAS INSTALAÇÕES DE MANÔMETROS E PRESSOSTATO COMPLETAS, COM FORNECIMENTO DE TODA MÃO-DE-OBRA E MATERIAIS NECESSÁRIOS, CONFORME PROJETO</t>
  </si>
  <si>
    <t>6.34</t>
  </si>
  <si>
    <t>12</t>
  </si>
  <si>
    <t>EXECUÇÃO DA ANCORAGEM DA TUBULAÇÃO, COM FORNECIMENTO DE TODO MATERIAL E MÃO-DE-OBRA NECESSÁRIA, CONFORME PROJETO</t>
  </si>
  <si>
    <t>6.35</t>
  </si>
  <si>
    <t>6.36</t>
  </si>
  <si>
    <t>COPAS25003568</t>
  </si>
  <si>
    <t>ARRUELA BORRACHA FLANGE PN10 DN150</t>
  </si>
  <si>
    <t>6.37</t>
  </si>
  <si>
    <t>6.38</t>
  </si>
  <si>
    <t>6.39</t>
  </si>
  <si>
    <t>COPAS25003571</t>
  </si>
  <si>
    <t>ARRUELA BORRACHA FLANGE PN10 DN300</t>
  </si>
  <si>
    <t>6.40</t>
  </si>
  <si>
    <t>6.41</t>
  </si>
  <si>
    <t>COPAS25000090</t>
  </si>
  <si>
    <t>CURVA 90º FOFO BB JE DN 250</t>
  </si>
  <si>
    <t>6.42</t>
  </si>
  <si>
    <t>COPAS25000091</t>
  </si>
  <si>
    <t>CURVA 90º FOFO BB JE DN 300</t>
  </si>
  <si>
    <t>6.43</t>
  </si>
  <si>
    <t>COPAS25000831</t>
  </si>
  <si>
    <t>CURVA 90º FOFO FF PN10/16 DN 100</t>
  </si>
  <si>
    <t>6.44</t>
  </si>
  <si>
    <t>6.45</t>
  </si>
  <si>
    <t>COPAS25000128</t>
  </si>
  <si>
    <t>CURVA 90º FOFO FF PN10 DN 300</t>
  </si>
  <si>
    <t>6.46</t>
  </si>
  <si>
    <t>1959</t>
  </si>
  <si>
    <t>CURVA DE PVC 90 GRAUS, SOLDAVEL, 50 MM, COR MARROM, PARA AGUA FRIA PREDIAL</t>
  </si>
  <si>
    <t>6.47</t>
  </si>
  <si>
    <t>EMBM011713017</t>
  </si>
  <si>
    <t>EPFAV10 FoFo DN 250</t>
  </si>
  <si>
    <t>6.48</t>
  </si>
  <si>
    <t>COPAS25000221</t>
  </si>
  <si>
    <t>EXTREMIDADE FOFO PF PN10/16 DN 100</t>
  </si>
  <si>
    <t>6.49</t>
  </si>
  <si>
    <t>EMBM011307021</t>
  </si>
  <si>
    <t>EFP10 FoFo DN 250</t>
  </si>
  <si>
    <t>6.50</t>
  </si>
  <si>
    <t>6.51</t>
  </si>
  <si>
    <t>COPAS25001892</t>
  </si>
  <si>
    <t>JOELHO 90º PVC BB JS PN 7,5 DN 50</t>
  </si>
  <si>
    <t>6.52</t>
  </si>
  <si>
    <t>EMBM011708045</t>
  </si>
  <si>
    <t>YFF10 FoFo DN 250 X 250</t>
  </si>
  <si>
    <t>6.53</t>
  </si>
  <si>
    <t>6.54</t>
  </si>
  <si>
    <t>EMBM012101017</t>
  </si>
  <si>
    <t>JDTA10 DN 300</t>
  </si>
  <si>
    <t>6.55</t>
  </si>
  <si>
    <t>COPAS25001359</t>
  </si>
  <si>
    <t>NIPLE DUPLO FG(N8) CL10 JR DN 1/2"</t>
  </si>
  <si>
    <t>6.56</t>
  </si>
  <si>
    <t>4187</t>
  </si>
  <si>
    <t>NIPLE DE REDUCAO DE FERRO GALVANIZADO, COM ROSCA BSP, DE 3/4" X 1/2"</t>
  </si>
  <si>
    <t>6.57</t>
  </si>
  <si>
    <t>6.58</t>
  </si>
  <si>
    <t>6.59</t>
  </si>
  <si>
    <t>EMBM011710041</t>
  </si>
  <si>
    <t>REFF10 FoFo DN 300 X 200</t>
  </si>
  <si>
    <t>6.60</t>
  </si>
  <si>
    <t>COPAS25001032</t>
  </si>
  <si>
    <t>REDUCAO FOFO FF PN10 DN 250X 150</t>
  </si>
  <si>
    <t>6.61</t>
  </si>
  <si>
    <t>6.62</t>
  </si>
  <si>
    <t>COPAS25027692</t>
  </si>
  <si>
    <t>REGISTRO FOFO CBOR.FC S15 PN10 DN300</t>
  </si>
  <si>
    <t>6.63</t>
  </si>
  <si>
    <t>6.64</t>
  </si>
  <si>
    <t>COPAS25000451</t>
  </si>
  <si>
    <t>TE FOFO BBB JE DN 250</t>
  </si>
  <si>
    <t>6.65</t>
  </si>
  <si>
    <t>6.66</t>
  </si>
  <si>
    <t>EMBM011714021</t>
  </si>
  <si>
    <t>TOFAV10 FoFo DN 300</t>
  </si>
  <si>
    <t>6.67</t>
  </si>
  <si>
    <t>6.68</t>
  </si>
  <si>
    <t>EMBM011701093</t>
  </si>
  <si>
    <t>TOF10 FoFo L = 0,50m DN 300</t>
  </si>
  <si>
    <t>6.69</t>
  </si>
  <si>
    <t>EMBM010801021</t>
  </si>
  <si>
    <t>TCL FoFo DN 300</t>
  </si>
  <si>
    <t>6.70</t>
  </si>
  <si>
    <t>6.71</t>
  </si>
  <si>
    <t>6.72</t>
  </si>
  <si>
    <t>EMBM010501209</t>
  </si>
  <si>
    <t>TFL10 FoFo DN 250 X 2,50</t>
  </si>
  <si>
    <t>6.73</t>
  </si>
  <si>
    <t>EMBM010501245</t>
  </si>
  <si>
    <t>TFL10 FoFo DN 300 X 1,00</t>
  </si>
  <si>
    <t>6.74</t>
  </si>
  <si>
    <t>6.75</t>
  </si>
  <si>
    <t>EMBM010701209</t>
  </si>
  <si>
    <t>TFP10 FoFo DN 250 X 2,50</t>
  </si>
  <si>
    <t>6.76</t>
  </si>
  <si>
    <t>EMBM010701213</t>
  </si>
  <si>
    <t>TFP10 FoFo DN 250 X 3,00</t>
  </si>
  <si>
    <t>6.77</t>
  </si>
  <si>
    <t>EMBM010701169</t>
  </si>
  <si>
    <t>TFP10 FoFo DN 200 X 3,50</t>
  </si>
  <si>
    <t>6.78</t>
  </si>
  <si>
    <t>EMBM010801017</t>
  </si>
  <si>
    <t>TCL FoFo DN 250</t>
  </si>
  <si>
    <t>6.79</t>
  </si>
  <si>
    <t>6.80</t>
  </si>
  <si>
    <t>9875</t>
  </si>
  <si>
    <t>TUBO PVC, SOLDAVEL, DE 50 MM, AGUA FRIA (NBR-5648)</t>
  </si>
  <si>
    <t>6.81</t>
  </si>
  <si>
    <t>COPAS25002969</t>
  </si>
  <si>
    <t>VALVULA DE PE C/CRIVO FOFO FF PN10 DN300</t>
  </si>
  <si>
    <t>6.82</t>
  </si>
  <si>
    <t>6.83</t>
  </si>
  <si>
    <t>6.84</t>
  </si>
  <si>
    <t>COPAS35001224</t>
  </si>
  <si>
    <t>AMORTECEDOR PULSACAO DESMONTAVEL D=1/2", 10KG/CM2</t>
  </si>
  <si>
    <t>6.85</t>
  </si>
  <si>
    <t>COPAS35001232</t>
  </si>
  <si>
    <t>MANOMETRO DN 100 ESC. 0 A 100 MCA 1/2" GLICERINA</t>
  </si>
  <si>
    <t>6.86</t>
  </si>
  <si>
    <t>13417</t>
  </si>
  <si>
    <t>TORNEIRA METALICA CROMADA CANO CURTO, SEM BICO, SEM AREJADOR, DE PAREDE, PARA TANQUE E USO GERAL, 1/2" OU 3/4"</t>
  </si>
  <si>
    <t>6.87</t>
  </si>
  <si>
    <t>CONJUNTO MOTOBOMBA DE EIXO HORIZONTAL Q=90,0L/S, HM=77,03M, POT=150CV - EAB02</t>
  </si>
  <si>
    <t>CAPTAÇÃO-SUBESTAÇÃO CEMIG</t>
  </si>
  <si>
    <t>7.1</t>
  </si>
  <si>
    <t>7.2</t>
  </si>
  <si>
    <t>103341</t>
  </si>
  <si>
    <t>ALVENARIA DE VEDAÇÃO DE BLOCOS VAZADOS DE CONCRETO APARENTE DE 19X19X39 CM (ESPESSURA 19 CM) E ARGAMASSA DE ASSENTAMENTO COM PREPARO MANUAL. AF_12/2021</t>
  </si>
  <si>
    <t>7.3</t>
  </si>
  <si>
    <t>89453</t>
  </si>
  <si>
    <t>ALVENARIA DE BLOCOS DE CONCRETO ESTRUTURAL 14X19X39 CM (ESPESSURA 14 CM), FBK = 4,5 MPA, UTILIZANDO PALHETA. AF_10/2022</t>
  </si>
  <si>
    <t>7.4</t>
  </si>
  <si>
    <t>7.5</t>
  </si>
  <si>
    <t>7.6</t>
  </si>
  <si>
    <t>7.7</t>
  </si>
  <si>
    <t>7.8</t>
  </si>
  <si>
    <t>19</t>
  </si>
  <si>
    <t>JANELA TIPO BASCULANTE COM VIDRO LISO DE 4MM, EM ALUMÍNIO, DE 1,00M(LARGURA)X0,50M (ALTURA)</t>
  </si>
  <si>
    <t>7.9</t>
  </si>
  <si>
    <t>28</t>
  </si>
  <si>
    <t>PORTA EM CHAPA DE AÇO LISA DO TIPO CORTA FOGO, DOBRADIÇA ESPECIAL COM FECHADURA E MAÇANETA, COM BARRA ANTI-PÂNICO. DIMENSÕES 120X210CM - FORNECIMENTO E INSTALAÇÃO</t>
  </si>
  <si>
    <t>7.10</t>
  </si>
  <si>
    <t>17</t>
  </si>
  <si>
    <t>GRADE DE PROTEÇÃO EM PERFIL "L", DE 38,1X38,1X4,76X50MM E TELA DE ARAME ZINCADO Nº12 COM MALHA DE 30X30MM</t>
  </si>
  <si>
    <t>7.11</t>
  </si>
  <si>
    <t>94216</t>
  </si>
  <si>
    <t>TELHAMENTO COM TELHA METÁLICA TERMOACÚSTICA E = 30 MM, COM ATÉ 2 ÁGUAS, INCLUSO IÇAMENTO. AF_07/2019</t>
  </si>
  <si>
    <t>7.12</t>
  </si>
  <si>
    <t>14</t>
  </si>
  <si>
    <t>FABRICAÇÃO E INSTALAÇÃO DE PONTALETES DE MADEIRA NÃO APARELHADA PARA TELHADOS COM ATÉ 2 ÁGUAS E COM TELHA ONDULADA DE FIBROCIMENTO, ALUMÍNIO OU TERMOACÚSTICA</t>
  </si>
  <si>
    <t>7.13</t>
  </si>
  <si>
    <t>7.14</t>
  </si>
  <si>
    <t>7.15</t>
  </si>
  <si>
    <t>7.16</t>
  </si>
  <si>
    <t>7.17</t>
  </si>
  <si>
    <t>7.18</t>
  </si>
  <si>
    <t>COPAS65000237</t>
  </si>
  <si>
    <t>CIMBRAMENTO DE MADEIRA</t>
  </si>
  <si>
    <t>7.19</t>
  </si>
  <si>
    <t>7.20</t>
  </si>
  <si>
    <t>96535</t>
  </si>
  <si>
    <t>FABRICAÇÃO, MONTAGEM E DESMONTAGEM DE FÔRMA PARA SAPATA, EM MADEIRA SERRADA, E=25 MM, 4 UTILIZAÇÕES. AF_01/2024</t>
  </si>
  <si>
    <t>7.21</t>
  </si>
  <si>
    <t>7.22</t>
  </si>
  <si>
    <t>7.23</t>
  </si>
  <si>
    <t>7.24</t>
  </si>
  <si>
    <t>7.25</t>
  </si>
  <si>
    <t>97093</t>
  </si>
  <si>
    <t>ARMAÇÃO PARA EXECUÇÃO DE RADIER, PISO DE CONCRETO OU LAJE SOBRE SOLO, COM USO DE TELA Q-283. AF_09/2021</t>
  </si>
  <si>
    <t>INSTALAÇÕES ELÉTRICAS EAB02</t>
  </si>
  <si>
    <t>8.1</t>
  </si>
  <si>
    <t>COPAS65004160</t>
  </si>
  <si>
    <t>INTERRUPTOR BIPOLAR TECLA DUPLA 10A-250V, TERMINAIS EM LATAO, COM PLACA DE ALUMINIO PARA FIXACAO EM CONDULETE 3/4" - FORNECIMENTO E INSTALACAO</t>
  </si>
  <si>
    <t>8.2</t>
  </si>
  <si>
    <t>COPAS65004159</t>
  </si>
  <si>
    <t>TOMADA 2P+T DE 20A-250V, CONFORME NBR-14136, TERMINAIS EM LATAO, COR PRETA COM PLACA DE ALUMINIO PARA FIXACAO EM CONDULETE DE 3/4"-FORNECIMENTO E INSTALACAO</t>
  </si>
  <si>
    <t>8.3</t>
  </si>
  <si>
    <t>COPAS65004162</t>
  </si>
  <si>
    <t>TOMADA INDUSTRIAL DE SOBREPOR 4 POLOS, 16A-500V, EM MATERIAL TERMOPLASTICO AUTO-EXTINGUIVEL, TERMINAIS EM LATAO, IP-44-FORNECIMENTO E INSTALACAO</t>
  </si>
  <si>
    <t>8.4</t>
  </si>
  <si>
    <t>COPAS65004404</t>
  </si>
  <si>
    <t>QUADRO DE EQUALIZACAO DE POTENCIAIS 200X200MM EM ACO, DE SOBREPOR, COM BARRAMENTO DE COBRE, 8 (OITO) TERMINAIS DE 16-25MM2 E 1 (UM) TERMINAL DE 50MM2 - FORNECIME</t>
  </si>
  <si>
    <t>8.5</t>
  </si>
  <si>
    <t>COPAS65004164</t>
  </si>
  <si>
    <t>LUMINARIA COM 2 LAMPADAS DE 1200MM, 1650 LUMENS INSTALADA EM PERFILADO 38X38MM-FORNECIMENTO E INSTALACAO</t>
  </si>
  <si>
    <t>8.6</t>
  </si>
  <si>
    <t>COPAS65004165</t>
  </si>
  <si>
    <t>PERFILADO DE 38X38MM FIXADO NO TETO COM SUPORTE DE SUSPENSAO E BARRA ROSCADA-FORNECIMENTO E INSTALACAO</t>
  </si>
  <si>
    <t>8.7</t>
  </si>
  <si>
    <t>COPAS65004090</t>
  </si>
  <si>
    <t>ELETRODUTO PVC RIGIDO ROSCAVEL Ø 1" ANTICHAMA, COR PRETA, CL PESADA, NBR 15465, FORNECIDO C/ LUVA, BARRA DE 3,0 M - FORNECIMENTO E ASSENTAMENTO</t>
  </si>
  <si>
    <t>8.8</t>
  </si>
  <si>
    <t>8.9</t>
  </si>
  <si>
    <t>8.10</t>
  </si>
  <si>
    <t>COPAS65004095</t>
  </si>
  <si>
    <t>ELETRODUTO PVC RIGIDO ROSCAVEL Ø 3" ANTICHAMA, COR PRETA, CL PESADA, NBR 15465, FORNECIDO C/ LUVA, BARRA DE 3,0 M - FORNECIMENTO E ASSENTAMENTO</t>
  </si>
  <si>
    <t>8.11</t>
  </si>
  <si>
    <t>COPAS65004096</t>
  </si>
  <si>
    <t>ELETRODUTO PVC RIGIDO ROSCAVEL Ø 4" ANTICHAMA, COR PRETA, CL PESADA, NBR 15465, FORNECIDO C/ LUVA, BARRA DE 3,0 M - FORNECIMENTO E ASSENTAMENTO</t>
  </si>
  <si>
    <t>8.12</t>
  </si>
  <si>
    <t>COPAS65004081</t>
  </si>
  <si>
    <t>ELETRODUTO Ø 3/4"  ACO CARBONO GALVANIZADO ZICAGEM POR IMERSAO A QUENTE, ROSCA BSP C/LUVA, CL PESADA (PAREDE 2,25MM), NBR 5598. BARRA DE 3,0 M-FORNECIMENTO E ASS</t>
  </si>
  <si>
    <t>8.13</t>
  </si>
  <si>
    <t>COPAS65004082</t>
  </si>
  <si>
    <t>ELETRODUTO Ø 1"  ACO CARBONO GALVANIZADO ZICAGEM POR IMERSAO A QUENTE, ROSCA BSP C/LUVA, CL PESADA (PAREDE 2,65MM), NBR 5598. BARRA DE 3,0 M-FORNECIMENTO E ASSEN</t>
  </si>
  <si>
    <t>8.14</t>
  </si>
  <si>
    <t>8.15</t>
  </si>
  <si>
    <t>COPAS65004087</t>
  </si>
  <si>
    <t>ELETRODUTO Ø 3" ACO CARBONO GALVANIZADO ZICAGEM POR IMERSAO A QUENTE, ROSCA BSP C/LUVA, CL PESADA (PAREDE 3,35MM), NBR 5598. BARRA DE 3,0 M-FORNECIMENTO E ASSENT</t>
  </si>
  <si>
    <t>8.16</t>
  </si>
  <si>
    <t>COPAS65004097</t>
  </si>
  <si>
    <t>CURVA 90G ACO CARBONO GALVANIZADO Ø 3/4" ZICAGEM POR IMERSAO A QUENTE, BSP, CL PESADA (PAREDE 2,25MM) NBR 5598-FORNECIMENTO E ASSENTAMENTO</t>
  </si>
  <si>
    <t>8.17</t>
  </si>
  <si>
    <t>COPAS65004098</t>
  </si>
  <si>
    <t>CURVA 90G ACO CARBONO GALVANIZADO Ø 1" ZICAGEM POR IMERSAO A QUENTE, BSP, CL PESADA (PAREDE 2,65MM) NBR 5598-FORNECIMENTO E ASSENTAMENTO</t>
  </si>
  <si>
    <t>8.18</t>
  </si>
  <si>
    <t>8.19</t>
  </si>
  <si>
    <t>COPAS65004103</t>
  </si>
  <si>
    <t>CURVA 90G ACO CARBONO GALVANIZADO Ø 3" ZICAGEM POR IMERSAO A QUENTE, BSP, CL PESADA (PAREDE 3,35MM) NBR 5598-FORNECIMENTO E ASSENTAMENTO</t>
  </si>
  <si>
    <t>8.20</t>
  </si>
  <si>
    <t>COPAS65004106</t>
  </si>
  <si>
    <t>CURVA 90G PVC RIGIDO ROSCAVEL Ø 1" ANTICHAMA, COR PRETA CL PESADA, NBR 15465 - FORNECIMENTO E ASSENTAMENTO</t>
  </si>
  <si>
    <t>8.21</t>
  </si>
  <si>
    <t>COPAS65004109</t>
  </si>
  <si>
    <t>CURVA 90G PVC RIGIDO ROSCAVEL Ø 2" ANTICHAMA, COR PRETA CL PESADA, NBR 15465 - FORNECIMENTO E ASSENTAMENTO</t>
  </si>
  <si>
    <t>8.22</t>
  </si>
  <si>
    <t>COPAS65004111</t>
  </si>
  <si>
    <t>CURVA 90G PVC RIGIDO ROSCAVEL Ø 3" ANTICHAMA, COR PRETA CL PESADA, NBR 15465 - FORNECIMENTO E ASSENTAMENTO</t>
  </si>
  <si>
    <t>8.23</t>
  </si>
  <si>
    <t>COPAS65004112</t>
  </si>
  <si>
    <t>CURVA 90G PVC RIGIDO ROSCAVEL Ø 4" ANTICHAMA, COR PRETA CL PESADA, NBR 15465 - FORNECIMENTO E ASSENTAMENTO</t>
  </si>
  <si>
    <t>8.24</t>
  </si>
  <si>
    <t>8.25</t>
  </si>
  <si>
    <t>COPAS65004116</t>
  </si>
  <si>
    <t>CONDULETE LIGA DE ALUMINIO FUNDIDO TIPO E Ø 3/4", ROSCA BSP, C/TAMPA CEGA, PARAFUSO EM ACO ZINCADO OU INOX E JUNTA DE VEDACAO, NBR 15701-FORNECIMENTO E ASSENTAME</t>
  </si>
  <si>
    <t>8.26</t>
  </si>
  <si>
    <t>COPAS65004115</t>
  </si>
  <si>
    <t>CONDULETE LIGA DE ALUMINIO FUNDIDO TIPO C Ø 3/4", ROSCA BSP, C/TAMPA CEGA, PARAFUSO EM ACO ZINCADO OU INOX E JUNTA DE VEDACAO, NBR 15701-FORNECIMENTO E ASSENTAME</t>
  </si>
  <si>
    <t>8.27</t>
  </si>
  <si>
    <t>COPAS65004114</t>
  </si>
  <si>
    <t>CONDULETE LIGA DE ALUMINIO FUNDIDO TIPO T Ø 3/4", ROSCA BSP, C/TAMPA CEGA, PARAFUSO EM ACO ZINCADO OU INOX E JUNTA DE VEDACAO, NBR 15701-FORNECIMENTO E ASSENTAME</t>
  </si>
  <si>
    <t>8.28</t>
  </si>
  <si>
    <t>COPAS65004113</t>
  </si>
  <si>
    <t>CONDULETE LIGA DE ALUMINIO FUNDIDO TIPO LR/LL Ø 3/4", ROSCA BSP, C/TAMPA CEGA, PARAFUSO EM ACO ZINCADO OU INOX E JUNTA DE VEDACAO, NBR 15701 - FORNECIMENTO E ASS</t>
  </si>
  <si>
    <t>8.29</t>
  </si>
  <si>
    <t>COPAS65004121</t>
  </si>
  <si>
    <t>CONDULETE LIGA DE ALUMINIO FUNDIDO TIPO T Ø 1", ROSCA BSP, C/TAMPA CEGA, PARAFUSO EM ACO ZINCADO OU INOX E JUNTA DE VEDACAO, NBR 15701-FORNECIMENTO E ASSENTAMENT</t>
  </si>
  <si>
    <t>8.30</t>
  </si>
  <si>
    <t>COPAS65004120</t>
  </si>
  <si>
    <t>CONDULETE LIGA DE ALUMINIO FUNDIDO TIPO LR/LL Ø 1", ROSCA BSP, C/TAMPA CEGA, PARAFUSO EM ACO ZINCADO OU INOX E JUNTA DE VEDACAO, NBR 15701-FORNECIMENTO E ASSENTA</t>
  </si>
  <si>
    <t>8.31</t>
  </si>
  <si>
    <t>COPAS65003985</t>
  </si>
  <si>
    <t>CABO UNIPOLAR 2,5MM2, ISOLACAO TERMOPLASTICO PVC, 450/750V, 70G EM SERVICO, CONDUTOR COBRE NU TEMPERA MOLE, CL5, ANTI CHAMA, NBR 13248-FORNECIMENTO E ASSENTAMENT</t>
  </si>
  <si>
    <t>8.32</t>
  </si>
  <si>
    <t>8.33</t>
  </si>
  <si>
    <t>8.34</t>
  </si>
  <si>
    <t>COPAS65003986</t>
  </si>
  <si>
    <t>CABO UNIPOLAR 4,0MM2, ISOLACAO TERMOPLASTICO PVC, 450/750V, 70G EM SERVICO, CONDUTOR COBRE NU TEMPERA MOLE, CL5, ANTI CHAMA, NBR 13248-FORNECIMENTO E ASSENTAMENT</t>
  </si>
  <si>
    <t>8.35</t>
  </si>
  <si>
    <t>COPAS65003963</t>
  </si>
  <si>
    <t>CABO UNIPOLAR 10,0MM2, ISOLACAO HEPR/EPR, 0,6/1kV, 90G EM SERVICO, ENCHIMENTO E COBERTURA PVC, COND COBRE NU TEMPERA MOLE, CL5, ANTI CHAMA, NBR 7286-FORNECIMENTO</t>
  </si>
  <si>
    <t>8.36</t>
  </si>
  <si>
    <t>8.37</t>
  </si>
  <si>
    <t>COPAS65003968</t>
  </si>
  <si>
    <t>CABO UNIPOLAR 70,0MM2, ISOLACAO HEPR/EPR, 0,6/1kV, 90G EM SERVICO, ENCHIMENTO E COBERTURA PVC, COND COBRE NU TEMPERA MOLE, CL5, ANTI CHAMA, NBR 7286-FORNECIMENTO</t>
  </si>
  <si>
    <t>8.38</t>
  </si>
  <si>
    <t>COPAS65003969</t>
  </si>
  <si>
    <t>CABO UNIPOLAR 95,0MM2, ISOLACAO HEPR/EPR, 0,6/1kV, 90G EM SERVICO, ENCHIMENTO E COBERTURA PVC, COND COBRE NU TEMPERA MOLE, CL5, ANTI CHAMA, NBR 7286-FORNECIMENTO</t>
  </si>
  <si>
    <t>8.39</t>
  </si>
  <si>
    <t>COPAS65003971</t>
  </si>
  <si>
    <t>CABO UNIPOLAR 150,0MM2, ISOLACAO HEPR/EPR, 0,6/1kV, 90G EM SERVICO, ENCHIMENTO E COBERTURA PVC, COND COBRE NU TEMPERA MOLE, CL5, ANTI CHAMA, NBR 7286-FORNECIMENT</t>
  </si>
  <si>
    <t>8.40</t>
  </si>
  <si>
    <t>COPAS65003972</t>
  </si>
  <si>
    <t>CABO UNIPOLAR 185,0MM2, ISOLACAO HEPR/EPR, 0,6/1kV, 90G EM SERVICO, ENCHIMENTO E COBERTURA PVC, COND COBRE NU TEMPERA MOLE, CL5, ANTI CHAMA, NBR 7286-FORNECIMENT</t>
  </si>
  <si>
    <t>8.41</t>
  </si>
  <si>
    <t>8.42</t>
  </si>
  <si>
    <t>8.43</t>
  </si>
  <si>
    <t>COPAS65004064</t>
  </si>
  <si>
    <t>HASTE DE ATERRAMENTO COM CAIXA - SPDA</t>
  </si>
  <si>
    <t>8.44</t>
  </si>
  <si>
    <t>COPAS65004067</t>
  </si>
  <si>
    <t>TERMINAL AEREO EM PLATIBANDA/BEIRAL - SPDA</t>
  </si>
  <si>
    <t>8.45</t>
  </si>
  <si>
    <t>COPAS65004193</t>
  </si>
  <si>
    <t>ABRACADEIRA METALICA PARA TUBULACAO DN 250 - FORNECIMENTO E INSTALACAO</t>
  </si>
  <si>
    <t>8.46</t>
  </si>
  <si>
    <t>COPAS65004403</t>
  </si>
  <si>
    <t>LUMINÁRIA EMERGENCIA COM 60 LED - 200 LUMENS, BIVOLT 127-220V, COM BATERIA DE LITIO AUTONOMIA DE 3 HORAS A PLENA CARGA - FORNECIMENTO E INSTALACAO</t>
  </si>
  <si>
    <t>8.47</t>
  </si>
  <si>
    <t>COPAS65004166</t>
  </si>
  <si>
    <t>POSTE 5 METROS COM BASE FLANGELADA PARA ILUMINACAO EXTERNA - FORNECIMENTO E INSTALACAO</t>
  </si>
  <si>
    <t>8.48</t>
  </si>
  <si>
    <t>COPAS65004170</t>
  </si>
  <si>
    <t>LUMINARIA PUBLICA MULTILED COMPLETA, LUM &gt;=11000 LUMENS, EFIC&gt;= 110LM/W, 220V, T5000K,  IRC70%, FP&gt;= 0,92, IP66, C/SUP INST POSTE, SUP SURTO E RELE FOTOEL-FORNEC</t>
  </si>
  <si>
    <t>8.49</t>
  </si>
  <si>
    <t>COPAS65004058</t>
  </si>
  <si>
    <t>CAIXA DE PASSAGEM 30X30X50 CM PARA REDE DE DUTOS ELETRICOS</t>
  </si>
  <si>
    <t>8.50</t>
  </si>
  <si>
    <t>COPAS65004060</t>
  </si>
  <si>
    <t>CAIXA DE PASSAGEM 60X60X100 CM PARA REDE DE DUTOS ELETRICOS</t>
  </si>
  <si>
    <t>8.51</t>
  </si>
  <si>
    <t>COPAS65004061</t>
  </si>
  <si>
    <t>CAIXA DE PASSAGEM 80X80X120 CM PARA REDE DE DUTOS ELETRICOS</t>
  </si>
  <si>
    <t>8.52</t>
  </si>
  <si>
    <t>COPAS65004375</t>
  </si>
  <si>
    <t>INSTALACAO DE MEDIDOR DE NIVEL ULTRASSONICO, INCLUINDO FORNECIMENTO DE SUPORTE ARTICULAVEL EM ALUMINIO E MATERIAIS PARA CONEXAO E FIXACAO</t>
  </si>
  <si>
    <t>8.53</t>
  </si>
  <si>
    <t>COPAS65004031</t>
  </si>
  <si>
    <t>REDE SUBTERRANEA DE DUTOS FLEXIVEIS CORRUGADOS EM PEAD  2X2" COM CABO DE ATERRAMENTO EM COBRE NU 50MM2, ENVELOPAMENTO PARCIAL COM CONCRETO MAGRO</t>
  </si>
  <si>
    <t>8.54</t>
  </si>
  <si>
    <t>8.55</t>
  </si>
  <si>
    <t>COPAS65004049</t>
  </si>
  <si>
    <t>REDE SUBTERRANEA DE DUTOS FLEXIVEIS CORRUGADOS EM PEAD  4X4" COM CABO DE ATERRAMENTO EM COBRE NU 50MM2, ENVELOPAMENTO PARCIAL COM CONCRETO MAGRO</t>
  </si>
  <si>
    <t>8.56</t>
  </si>
  <si>
    <t>8.57</t>
  </si>
  <si>
    <t>SETOPED-51019</t>
  </si>
  <si>
    <t>BARRA CHATA DE ALUMÍNIO 7/8" X 1/8" X 3M</t>
  </si>
  <si>
    <t>8.58</t>
  </si>
  <si>
    <t>91927</t>
  </si>
  <si>
    <t>CABO DE COBRE FLEXÍVEL ISOLADO, 2,5 MM², ANTI-CHAMA 0,6/1,0 KV, PARA CIRCUITOS TERMINAIS - FORNECIMENTO E INSTALAÇÃO. AF_03/2023</t>
  </si>
  <si>
    <t>8.59</t>
  </si>
  <si>
    <t>98111</t>
  </si>
  <si>
    <t>CAIXA DE INSPEÇÃO PARA ATERRAMENTO, CIRCULAR, EM POLIETILENO, DIÂMETRO INTERNO = 0,3 M. AF_12/2020</t>
  </si>
  <si>
    <t>8.60</t>
  </si>
  <si>
    <t>8.61</t>
  </si>
  <si>
    <t>101875</t>
  </si>
  <si>
    <t>QUADRO DE DISTRIBUIÇÃO DE ENERGIA EM CHAPA DE AÇO GALVANIZADO, DE EMBUTIR, COM BARRAMENTO TRIFÁSICO, PARA 12 DISJUNTORES DIN 100A - FORNECIMENTO E INSTALAÇÃO. AF_07/2025</t>
  </si>
  <si>
    <t>8.62</t>
  </si>
  <si>
    <t>COPAS45009378</t>
  </si>
  <si>
    <t>PAINEL BT QCM 1B INV 24A 220V P410</t>
  </si>
  <si>
    <t>8.63</t>
  </si>
  <si>
    <t>COPAS35002140</t>
  </si>
  <si>
    <t>CABO DE REDE UTP CAT 6 (ROLO DE  300 M).</t>
  </si>
  <si>
    <t>8.64</t>
  </si>
  <si>
    <t>COPAS35001507</t>
  </si>
  <si>
    <t>CARTUCHO DE PO PARA SOLDA EXOTERMICA DE SPDA. N 90.</t>
  </si>
  <si>
    <t>8.65</t>
  </si>
  <si>
    <t>COPAS45011134</t>
  </si>
  <si>
    <t>PAINEL BT QCM 1B INV 300A 440V P.402</t>
  </si>
  <si>
    <t>8.66</t>
  </si>
  <si>
    <t>COPAS45013262</t>
  </si>
  <si>
    <t>PAINEL BT PDA EEAT-01 220V 2F</t>
  </si>
  <si>
    <t>8.67</t>
  </si>
  <si>
    <t>COPAS45012271</t>
  </si>
  <si>
    <t>PAINEL BT QGBT ETA 440V P.397</t>
  </si>
  <si>
    <t>8.68</t>
  </si>
  <si>
    <t>COPAS45011828</t>
  </si>
  <si>
    <t>GRUPO GERADOR 300 KVA TRIF 440/380/220V</t>
  </si>
  <si>
    <t>8.69</t>
  </si>
  <si>
    <t>COPAS25038496</t>
  </si>
  <si>
    <t>AUTO-TRANSFORMADOR TRIF SECO 25KVA 220V</t>
  </si>
  <si>
    <t>8.70</t>
  </si>
  <si>
    <t>AAB02-ADUTORA DE ÁGUA BRUTA / CAIXA DE MANOBRA E TRANSIÇÃO / VRPS</t>
  </si>
  <si>
    <t>9.1</t>
  </si>
  <si>
    <t>COPAS65002346</t>
  </si>
  <si>
    <t>SINALIZACAO - TELA TAPUME FABRICADA EM POLIETILENO COR LARANJA H=1,20M</t>
  </si>
  <si>
    <t>9.2</t>
  </si>
  <si>
    <t>COPAS65000012</t>
  </si>
  <si>
    <t>SINALIZACAO NOTURNA - FORNECIMENTO E INSTALACAO</t>
  </si>
  <si>
    <t>9.3</t>
  </si>
  <si>
    <t>COPAS65000010</t>
  </si>
  <si>
    <t>SINALIZACAO - CONE CONFORME PADRAO COPASA P.065 FORNECIMENTO E MOVIMENTACAO</t>
  </si>
  <si>
    <t>9.4</t>
  </si>
  <si>
    <t>COPAS65000014</t>
  </si>
  <si>
    <t>TRAVESSIA PARA VEICULOS EM CHAPA DE ACO FORNECIMENTO E POSICIONAMENTO</t>
  </si>
  <si>
    <t>9.5</t>
  </si>
  <si>
    <t>COPAS65000015</t>
  </si>
  <si>
    <t>TRAVESSIA PARA PEDESTRES EM MADEIRA INCLUSIVE GUARDA-CORPO FORNECIMENTO E POSICIONAMENTO</t>
  </si>
  <si>
    <t>9.6</t>
  </si>
  <si>
    <t>COPAS65000008</t>
  </si>
  <si>
    <t>SINALIZACAO - PLACA DE DISTANCIA DE OBRAS CONFORME PADRAO COPASA P.066 - FORNECIMENTO E MOVIMENTACAO</t>
  </si>
  <si>
    <t>9.7</t>
  </si>
  <si>
    <t>COPAS65000068</t>
  </si>
  <si>
    <t>LIMPEZA MANUAL INCLUSIVE VARRICAO</t>
  </si>
  <si>
    <t>9.8</t>
  </si>
  <si>
    <t>99814</t>
  </si>
  <si>
    <t>LIMPEZA DE SUPERFÍCIE COM JATO DE ALTA PRESSÃO. AF_04/2019</t>
  </si>
  <si>
    <t>9.9</t>
  </si>
  <si>
    <t>COPAS65003271</t>
  </si>
  <si>
    <t>VISTORIA CAUTELAR</t>
  </si>
  <si>
    <t>9.10</t>
  </si>
  <si>
    <t>9.11</t>
  </si>
  <si>
    <t>9.12</t>
  </si>
  <si>
    <t>9.13</t>
  </si>
  <si>
    <t>9.14</t>
  </si>
  <si>
    <t>9.15</t>
  </si>
  <si>
    <t>9.16</t>
  </si>
  <si>
    <t>9.17</t>
  </si>
  <si>
    <t>COPAS65000177</t>
  </si>
  <si>
    <t>ESPALHAMENTO DE ROCHA EM BOTA FORA</t>
  </si>
  <si>
    <t>9.18</t>
  </si>
  <si>
    <t>101572</t>
  </si>
  <si>
    <t>ESCORAMENTO DE VALA, TIPO PONTALETEAMENTO, COM PROFUNDIDADE DE 1,5 A 3,0 M, LARGURA MENOR QUE 1,5 M. AF_08/2020</t>
  </si>
  <si>
    <t>9.19</t>
  </si>
  <si>
    <t>COPAS65003959</t>
  </si>
  <si>
    <t>PLACA DE ANCORAGEM, EM CONCRETO ESTRUTURAL 20 MPA, COM ARMACAO.</t>
  </si>
  <si>
    <t>9.20</t>
  </si>
  <si>
    <t>COPAS65002374</t>
  </si>
  <si>
    <t>BLOCO DE ANCORAGEM EM CONCRETO ESTRUTURAL FCK=20,0MPA, INCLUSIVE ARMACAO</t>
  </si>
  <si>
    <t>9.21</t>
  </si>
  <si>
    <t>COPAS65000379</t>
  </si>
  <si>
    <t>ASSENTAMENTO DE TUBOS E CONEXOES PVC JE DN 250</t>
  </si>
  <si>
    <t>9.22</t>
  </si>
  <si>
    <t>ASSENTAMENTO TUBO PEAD DE280MM</t>
  </si>
  <si>
    <t>9.23</t>
  </si>
  <si>
    <t>COPAS65000492</t>
  </si>
  <si>
    <t>BASE DE BICA CORRIDA COMPACTADA</t>
  </si>
  <si>
    <t>9.24</t>
  </si>
  <si>
    <t>102098</t>
  </si>
  <si>
    <t>RECOMPOSIÇÃO DE REVESTIMENTO EM CONCRETO ASFÁLTICO (AQUISIÇÃO EM USINA), PARA O FECHAMENTO DE VALAS - INCLUSO DEMOLIÇÃO DO PAVIMENTO. AF_12/2020</t>
  </si>
  <si>
    <t>9.25</t>
  </si>
  <si>
    <t>COPAS65003304</t>
  </si>
  <si>
    <t>MANOMETRO - INSTALACAO DE PONTO DE TOMADA</t>
  </si>
  <si>
    <t>9.26</t>
  </si>
  <si>
    <t>CAIXA MANOBRA E TRANSIÇÃO EM CONCRETO ESTRUTURAL, INCLUSIVE ARMADURA DE ACO, FORMA E DESFORMA - DIMENSOES INTERNAS (2,00X3,40)M</t>
  </si>
  <si>
    <t>9.27</t>
  </si>
  <si>
    <t>33</t>
  </si>
  <si>
    <t>CAIXA DE VR, INCLUSIVE ARMADURA DE ACO, FORMA E DESFORMA - DIMENSOES INTERNAS (2,00X4,00)M</t>
  </si>
  <si>
    <t>9.28</t>
  </si>
  <si>
    <t>EMBM010904017</t>
  </si>
  <si>
    <t>C11 JGS FoFo DN 250</t>
  </si>
  <si>
    <t>9.29</t>
  </si>
  <si>
    <t>9.30</t>
  </si>
  <si>
    <t>EMBM080104057</t>
  </si>
  <si>
    <t>T PEAD CL. 6,0 kgf/cm? DE 280</t>
  </si>
  <si>
    <t>9.31</t>
  </si>
  <si>
    <t>COPAS25052338</t>
  </si>
  <si>
    <t>TUBO PVC-O PB JEI PN 12,5 AGUA DN 250</t>
  </si>
  <si>
    <t>9.32</t>
  </si>
  <si>
    <t>9.33</t>
  </si>
  <si>
    <t>9.34</t>
  </si>
  <si>
    <t>9.35</t>
  </si>
  <si>
    <t>9.36</t>
  </si>
  <si>
    <t>9.37</t>
  </si>
  <si>
    <t>COPAS25000187</t>
  </si>
  <si>
    <t>EXTREMIDADE FOFO BF JE PN10/16 DN 100</t>
  </si>
  <si>
    <t>9.38</t>
  </si>
  <si>
    <t>EMBM010801005</t>
  </si>
  <si>
    <t>TCL FoFo DN 100</t>
  </si>
  <si>
    <t>9.39</t>
  </si>
  <si>
    <t>21090</t>
  </si>
  <si>
    <t>TAMPAO FOFO ARTICULADO, COM BASE / REQUADRO, CLASSE D400 CARGA MAX 40 T, REDONDO, TAMPA 600 MM (COM INSCRICAO EM RELEVO DO TIPO DE REDE)</t>
  </si>
  <si>
    <t>9.40</t>
  </si>
  <si>
    <t>9.41</t>
  </si>
  <si>
    <t>9.42</t>
  </si>
  <si>
    <t>9.43</t>
  </si>
  <si>
    <t>9.44</t>
  </si>
  <si>
    <t>COPAS25039057</t>
  </si>
  <si>
    <t>EXTREMIDADE FOFO BF JM PN16 DN 250</t>
  </si>
  <si>
    <t>9.45</t>
  </si>
  <si>
    <t>COPAS25000470</t>
  </si>
  <si>
    <t>TE FOFO FFF PN16 DN 250</t>
  </si>
  <si>
    <t>9.46</t>
  </si>
  <si>
    <t>EMBM012102013</t>
  </si>
  <si>
    <t>JDTA16 DN 250</t>
  </si>
  <si>
    <t>9.47</t>
  </si>
  <si>
    <t>EMBM011801021</t>
  </si>
  <si>
    <t>TOF16 FoFo L = 0,25m DN 250</t>
  </si>
  <si>
    <t>9.48</t>
  </si>
  <si>
    <t>COPAS25027686</t>
  </si>
  <si>
    <t>REGISTRO FOFO CBOR.FV S14 PN16 DN250</t>
  </si>
  <si>
    <t>9.49</t>
  </si>
  <si>
    <t>COPAS25003076</t>
  </si>
  <si>
    <t>VALVULA RET.FOFO PORT.DUP.WAF.PN16 DN250</t>
  </si>
  <si>
    <t>9.50</t>
  </si>
  <si>
    <t>EMBM011803021</t>
  </si>
  <si>
    <t>C90FF16 FoFo DN 250</t>
  </si>
  <si>
    <t>9.51</t>
  </si>
  <si>
    <t>COPAS25045335</t>
  </si>
  <si>
    <t>ARRUELA BORR.VED.AR.MET.P/FL PN16 DN250</t>
  </si>
  <si>
    <t>9.52</t>
  </si>
  <si>
    <t>9.53</t>
  </si>
  <si>
    <t>9.54</t>
  </si>
  <si>
    <t>COPAS25051397</t>
  </si>
  <si>
    <t>TAMPAO FOFO AGUA DN800 ARTICULADO</t>
  </si>
  <si>
    <t>9.55</t>
  </si>
  <si>
    <t>4177</t>
  </si>
  <si>
    <t>NIPLE DE FERRO GALVANIZADO, COM ROSCA BSP, DE 1/2"</t>
  </si>
  <si>
    <t>10</t>
  </si>
  <si>
    <t>AAB2 -TRAVESSIA MND E CAIXAS</t>
  </si>
  <si>
    <t>10.1</t>
  </si>
  <si>
    <t>COPAS65003757</t>
  </si>
  <si>
    <t>CAIXA PARA PROTECAO DE APARELHOS EM CONCRETO ESTRURAL, INCLUSIVE ARMADURA DE ACO, FORMA E DESFORMA - DIMENSOES INTERNAS (1,40X1,40)M - H = 1,90M</t>
  </si>
  <si>
    <t>10.2</t>
  </si>
  <si>
    <t>CAIXA PARA PROTECAO DE APARELHOS EM CONCRETO ESTRUTURAL, INCLUSIVE ARMADURA DE ACO, FORMA E DESFORMA - DIMENSOES INTERNAS (2,50X3,50)M - H = 1,90M - TRAVESSIA</t>
  </si>
  <si>
    <t>10.3</t>
  </si>
  <si>
    <t>10.4</t>
  </si>
  <si>
    <t>32</t>
  </si>
  <si>
    <t>TRAVESSIA POR MÉTODO NÃO DESTRUTIVO, (MND-HDD), COM TUBO CAMISA DE PEAD, DE 450MM E CONDUTOR PEAD DE 280MM, EXCETO FORNECIMENTO DOS TUBOS, CONFORME PROJETO</t>
  </si>
  <si>
    <t>10.5</t>
  </si>
  <si>
    <t>10.6</t>
  </si>
  <si>
    <t>EMBM080378121</t>
  </si>
  <si>
    <t>COLARINHO P/ FLANGE PEAD TF CL. 10,0 kgf/cm? DE 280</t>
  </si>
  <si>
    <t>10.7</t>
  </si>
  <si>
    <t>EMBM011704021</t>
  </si>
  <si>
    <t>C45FF10 FoFo DN 250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</si>
  <si>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</si>
  <si>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</si>
  <si>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</si>
  <si>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</si>
  <si>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</si>
  <si>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</si>
  <si>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</si>
  <si>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</si>
  <si>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EMBM080104073</t>
  </si>
  <si>
    <t>T PEAD CL. 6,0 kgf/cm? DE 450</t>
  </si>
  <si>
    <t>11</t>
  </si>
  <si>
    <t>ETA-RESERVATÓRIO APOIADO 450M3 - RAP07</t>
  </si>
  <si>
    <t>11.1</t>
  </si>
  <si>
    <t>97649</t>
  </si>
  <si>
    <t>REMOÇÃO DE TELHAS DE FIBROCIMENTO, METÁLICA E CERÂMICA, DE FORMA MECANIZADA, COM USO DE GUINDASTE, SEM REAPROVEITAMENTO. AF_09/2023</t>
  </si>
  <si>
    <t>11.2</t>
  </si>
  <si>
    <t>97625</t>
  </si>
  <si>
    <t>DEMOLIÇÃO DE ALVENARIA PARA QUALQUER TIPO DE BLOCO, DE FORMA MECANIZADA, SEM REAPROVEITAMENTO. AF_09/2023</t>
  </si>
  <si>
    <t>11.3</t>
  </si>
  <si>
    <t>97645</t>
  </si>
  <si>
    <t>REMOÇÃO DE JANELAS, DE FORMA MANUAL, SEM REAPROVEITAMENTO. AF_09/2023</t>
  </si>
  <si>
    <t>11.4</t>
  </si>
  <si>
    <t>11.5</t>
  </si>
  <si>
    <t>11.6</t>
  </si>
  <si>
    <t>11.7</t>
  </si>
  <si>
    <t>27</t>
  </si>
  <si>
    <t>PINTURA - LOGOTIPO PADRAO EM ALVENARIA OU CONCRETO</t>
  </si>
  <si>
    <t>11.8</t>
  </si>
  <si>
    <t>11.9</t>
  </si>
  <si>
    <t>11.10</t>
  </si>
  <si>
    <t>COPAS65000113</t>
  </si>
  <si>
    <t>PROTECAO LAJE COBERTURA COM CAMADA DE BRITA</t>
  </si>
  <si>
    <t>11.11</t>
  </si>
  <si>
    <t>11.12</t>
  </si>
  <si>
    <t>101146</t>
  </si>
  <si>
    <t>ESCAVAÇÃO HORIZONTAL, INCLUINDO CARGA, DESCARGA E TRANSPORTE EM SOLO DE 1A CATEGORIA COM TRATOR DE ESTEIRAS (170HP/LÂMINA: 5,20M3) E CAMINHÃO BASCULANTE DE 14M3, DMT ATÉ 200M. AF_07/2020</t>
  </si>
  <si>
    <t>11.13</t>
  </si>
  <si>
    <t>104740</t>
  </si>
  <si>
    <t>REATERRO MECANIZADO DE VALA COM MINICARREGADEIRA, COM COMPACTADOR DE SOLOS DE PERCUSSÃO. AF_08/2023</t>
  </si>
  <si>
    <t>11.14</t>
  </si>
  <si>
    <t>11.15</t>
  </si>
  <si>
    <t>11.16</t>
  </si>
  <si>
    <t>11.17</t>
  </si>
  <si>
    <t>COPAS65005043</t>
  </si>
  <si>
    <t>ESCORAMENTO DE VALAS TIPO CONTINUO METALICO PARA PROFUNDIDADE ATE 3,0M – PERFIS "U", ESTRONCA, LONGARINA, CHAPA.</t>
  </si>
  <si>
    <t>11.18</t>
  </si>
  <si>
    <t>101792</t>
  </si>
  <si>
    <t>ESCORAMENTO DE FÔRMAS DE LAJE EM MADEIRA NÃO APARELHADA, PÉ-DIREITO SIMPLES, INCLUSO TRAVAMENTO, 4 UTILIZAÇÕES. AF_09/2020</t>
  </si>
  <si>
    <t>11.19</t>
  </si>
  <si>
    <t>COPAS65000232</t>
  </si>
  <si>
    <t>DRENAGEM COM PEDRA BRITADA</t>
  </si>
  <si>
    <t>11.20</t>
  </si>
  <si>
    <t>COPAS65004502</t>
  </si>
  <si>
    <t>MANTA GEOTEXTIL 9 kN/M,  FORNECIMENTO E ASSENTAMENTO</t>
  </si>
  <si>
    <t>11.21</t>
  </si>
  <si>
    <t>15</t>
  </si>
  <si>
    <t>FORNECIMENTO E ASSENTAMENTO DE DRENO EM PVC (BUZINOTE), ESGOTO, DN 32MM, L = 30 CM</t>
  </si>
  <si>
    <t>11.22</t>
  </si>
  <si>
    <t>92423</t>
  </si>
  <si>
    <t>MONTAGEM E DESMONTAGEM DE FÔRMA DE PILARES RETANGULARES E ESTRUTURAS SIMILARES, PÉ-DIREITO SIMPLES, EM CHAPA DE MADEIRA COMPENSADA RESINADA, 6 UTILIZAÇÕES. AF_09/2020</t>
  </si>
  <si>
    <t>11.23</t>
  </si>
  <si>
    <t>11.24</t>
  </si>
  <si>
    <t>11.25</t>
  </si>
  <si>
    <t>11.26</t>
  </si>
  <si>
    <t>11.27</t>
  </si>
  <si>
    <t>COPAS65000333</t>
  </si>
  <si>
    <t>POCO SECO (ALT. = 1,00 M, BALAO DE DIAM.= 0,60 M) EM ANEIS PRE-MOLDADOS DE CONCRETO, CONFORME PADRAO P-COPASA 243/-, INCLUSIVE TAMPAO DE FERRO FUNDIDO P - 139/-.</t>
  </si>
  <si>
    <t>11.28</t>
  </si>
  <si>
    <t>COPAS65000317</t>
  </si>
  <si>
    <t>ADICIONAL DE PRECO P/ ACRESCIMO NA ALTURA DE POCO DE VISITA EM ANEIS PRE-MOLDADOS DE CONCRETO (BALAO: DIAMETRO = 0,60 M)</t>
  </si>
  <si>
    <t>11.29</t>
  </si>
  <si>
    <t>90733</t>
  </si>
  <si>
    <t>ASSENTAMENTO DE TUBO DE PVC PARA REDE COLETORA DE ESGOTO DE PAREDE MACIÇA, DN 100 MM, JUNTA ELÁSTICA (NÃO INCLUI FORNECIMENTO). AF_01/2021</t>
  </si>
  <si>
    <t>11.30</t>
  </si>
  <si>
    <t>90737</t>
  </si>
  <si>
    <t>ASSENTAMENTO DE TUBO DE PVC PARA REDE COLETORA DE ESGOTO DE PAREDE MACIÇA, DN 300 MM, JUNTA ELÁSTICA (NÃO INCLUI FORNECIMENTO). AF_01/2021</t>
  </si>
  <si>
    <t>11.31</t>
  </si>
  <si>
    <t>11.32</t>
  </si>
  <si>
    <t>COPAS65001135</t>
  </si>
  <si>
    <t>ESCADA TIPO MARINHEIRO, DEGRAUS EM FERRO REDONDO, DIAMETRO = 1/2"</t>
  </si>
  <si>
    <t>11.33</t>
  </si>
  <si>
    <t>11.34</t>
  </si>
  <si>
    <t>BRAÇADEIRA EM GRAMPO "U" COM PARCAS, GALVANIZADA, DIÂMETRO 1/4" AÇO CARBONO ASTM A36</t>
  </si>
  <si>
    <t>11.35</t>
  </si>
  <si>
    <t>31</t>
  </si>
  <si>
    <t>TAMPA DE INSPEÇÃO EM PRFV - FIBRA DE VIDRO - FORNECIMENTO E INSTALAÇÃO</t>
  </si>
  <si>
    <t>11.36</t>
  </si>
  <si>
    <t>BRAÇADEIRA EM CHAPA DE AÇO #11 MSG (3MM)X5CM SAE 1008/1010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</si>
  <si>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</si>
  <si>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</si>
  <si>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</si>
  <si>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</si>
  <si>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</si>
  <si>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</si>
  <si>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</si>
  <si>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</si>
  <si>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COPAS25000841</t>
  </si>
  <si>
    <t>EXTREMIDADE FOFO PF ABA PN10 DN 100</t>
  </si>
  <si>
    <t>11.45</t>
  </si>
  <si>
    <t>11.46</t>
  </si>
  <si>
    <t>COPAS25000703</t>
  </si>
  <si>
    <t>EXTREMIDADE FOFO PF ABA PN10 DN 300</t>
  </si>
  <si>
    <t>11.47</t>
  </si>
  <si>
    <t>COPAS25000365</t>
  </si>
  <si>
    <t>LUVA FOFO BB JE DN 100</t>
  </si>
  <si>
    <t>11.48</t>
  </si>
  <si>
    <t>COPAS25000350</t>
  </si>
  <si>
    <t>LUVA FOFO BB JE DN 250</t>
  </si>
  <si>
    <t>11.49</t>
  </si>
  <si>
    <t>EMBM010909021</t>
  </si>
  <si>
    <t>L JGS FoFo DN 300</t>
  </si>
  <si>
    <t>11.50</t>
  </si>
  <si>
    <t>11.51</t>
  </si>
  <si>
    <t>11.52</t>
  </si>
  <si>
    <t>11.53</t>
  </si>
  <si>
    <t>EMBM011707085</t>
  </si>
  <si>
    <t>TFF10 FoFo DN 300 X 300</t>
  </si>
  <si>
    <t>11.54</t>
  </si>
  <si>
    <t>EMBM010501249</t>
  </si>
  <si>
    <t>TFL10 FoFo DN 300 X 1.50</t>
  </si>
  <si>
    <t>11.55</t>
  </si>
  <si>
    <t>EMBM010701197</t>
  </si>
  <si>
    <t>TFP10 FoFo DN 250 X 1,00</t>
  </si>
  <si>
    <t>11.56</t>
  </si>
  <si>
    <t>EMBM010701201</t>
  </si>
  <si>
    <t>TFP10 FoFo DN 250 X 1,50</t>
  </si>
  <si>
    <t>11.57</t>
  </si>
  <si>
    <t>EMBM010701157</t>
  </si>
  <si>
    <t>TFP10 FoFo DN 200 X 2,00</t>
  </si>
  <si>
    <t>11.58</t>
  </si>
  <si>
    <t>EMBM010701249</t>
  </si>
  <si>
    <t>TFP10 FoFo DN 300 X 1,50</t>
  </si>
  <si>
    <t>11.59</t>
  </si>
  <si>
    <t>44315</t>
  </si>
  <si>
    <t>TUBO PVC, RIGIDO, CORRUGADO, PERFURADO DN 100 MM, PARA DRENAGEM, SISTEMA IRRIGACAO</t>
  </si>
  <si>
    <t>11.60</t>
  </si>
  <si>
    <t>36365</t>
  </si>
  <si>
    <t>TUBO COLETOR DE ESGOTO PVC, JEI, DN 100 MM (NBR 7362)</t>
  </si>
  <si>
    <t>11.61</t>
  </si>
  <si>
    <t>11.62</t>
  </si>
  <si>
    <t>EMBM012313021</t>
  </si>
  <si>
    <t>VB C/ ALAVANCA 'WAFER' PN 10 FoFo DN 250</t>
  </si>
  <si>
    <t>11.63</t>
  </si>
  <si>
    <t>COPAS25029842</t>
  </si>
  <si>
    <t>VALVULA B.W.C.BD.D.FF.A.M.PN10 DN 300</t>
  </si>
  <si>
    <t>ETA-RESERVATÓRIO ELEVADO 100M3 - REL06</t>
  </si>
  <si>
    <t>12.1</t>
  </si>
  <si>
    <t>12.2</t>
  </si>
  <si>
    <t>12.3</t>
  </si>
  <si>
    <t>12.4</t>
  </si>
  <si>
    <t>12.5</t>
  </si>
  <si>
    <t>12.6</t>
  </si>
  <si>
    <t>12.7</t>
  </si>
  <si>
    <t>104737</t>
  </si>
  <si>
    <t>REATERRO MANUAL DE VALAS, COM PLACA VIBRATÓRIA. AF_08/2023</t>
  </si>
  <si>
    <t>12.8</t>
  </si>
  <si>
    <t>12.9</t>
  </si>
  <si>
    <t>12.10</t>
  </si>
  <si>
    <t>12.11</t>
  </si>
  <si>
    <t>96534</t>
  </si>
  <si>
    <t>FABRICAÇÃO, MONTAGEM E DESMONTAGEM DE FÔRMA PARA BLOCO DE COROAMENTO, EM MADEIRA SERRADA, E=25 MM, 4 UTILIZAÇÕES. AF_01/2024</t>
  </si>
  <si>
    <t>12.12</t>
  </si>
  <si>
    <t>12.13</t>
  </si>
  <si>
    <t>12.14</t>
  </si>
  <si>
    <t>94965</t>
  </si>
  <si>
    <t>CONCRETO FCK = 25MPA, TRAÇO 1:2,3:2,7 (EM MASSA SECA DE CIMENTO/ AREIA MÉDIA/ BRITA 1) - PREPARO MECÂNICO COM BETONEIRA 400 L. AF_05/2021</t>
  </si>
  <si>
    <t>12.15</t>
  </si>
  <si>
    <t>12.16</t>
  </si>
  <si>
    <t>12.17</t>
  </si>
  <si>
    <t>12.18</t>
  </si>
  <si>
    <t>12.19</t>
  </si>
  <si>
    <t>12.20</t>
  </si>
  <si>
    <t>26</t>
  </si>
  <si>
    <t>MONTAGEM E INSTALAÇÃO DO SUPORTE SP1/SP2 CONFORME PROJETO - 32 UNIDADES</t>
  </si>
  <si>
    <t>12.21</t>
  </si>
  <si>
    <t>COPAS25001679</t>
  </si>
  <si>
    <t>ADAPTADOR PVC/FOFO PB JE DN100X100</t>
  </si>
  <si>
    <t>12.22</t>
  </si>
  <si>
    <t>12.23</t>
  </si>
  <si>
    <t>12.24</t>
  </si>
  <si>
    <t>12.25</t>
  </si>
  <si>
    <t>EMBM011704013</t>
  </si>
  <si>
    <t>C45FF10 FoFo DN 150</t>
  </si>
  <si>
    <t>12.26</t>
  </si>
  <si>
    <t>COPAS25000087</t>
  </si>
  <si>
    <t>CURVA 90º FOFO BB JE DN 100</t>
  </si>
  <si>
    <t>12.27</t>
  </si>
  <si>
    <t>COPAS25000088</t>
  </si>
  <si>
    <t>CURVA 90º FOFO BB JE DN 150</t>
  </si>
  <si>
    <t>12.28</t>
  </si>
  <si>
    <t>12.29</t>
  </si>
  <si>
    <t>COPAS25000833</t>
  </si>
  <si>
    <t>CURVA 90º FOFO FF PN10 DN 150</t>
  </si>
  <si>
    <t>12.30</t>
  </si>
  <si>
    <t>COPAS25000837</t>
  </si>
  <si>
    <t>CURVA PE 90º FOFO FF PN10/16 DN 100</t>
  </si>
  <si>
    <t>12.31</t>
  </si>
  <si>
    <t>COPAS25000838</t>
  </si>
  <si>
    <t>CURVA PE 90º FOFO FF PN10/16 DN 150</t>
  </si>
  <si>
    <t>12.32</t>
  </si>
  <si>
    <t>12.33</t>
  </si>
  <si>
    <t>COPAS25000222</t>
  </si>
  <si>
    <t>EXTREMIDADE FOFO PF PN10/16 DN 150</t>
  </si>
  <si>
    <t>12.34</t>
  </si>
  <si>
    <t>12.35</t>
  </si>
  <si>
    <t>12.36</t>
  </si>
  <si>
    <t>12.37</t>
  </si>
  <si>
    <t>RESERVATÓRIO METÁLICO ELEVADO 100M³, TIPO TAÇA, SEM ÁGUA NA COLUNA</t>
  </si>
  <si>
    <t>12.38</t>
  </si>
  <si>
    <t>COPAS25004193</t>
  </si>
  <si>
    <t>TUBO FOFO FF PN10 DN100X1,00M</t>
  </si>
  <si>
    <t>12.39</t>
  </si>
  <si>
    <t>COPAS25003971</t>
  </si>
  <si>
    <t>TUBO FOFO FF PN10 DN100X5,80M</t>
  </si>
  <si>
    <t>12.40</t>
  </si>
  <si>
    <t>EMBM010501101</t>
  </si>
  <si>
    <t>TFL10 FoFo DN 150 X 1,00</t>
  </si>
  <si>
    <t>12.41</t>
  </si>
  <si>
    <t>COPAS25047124</t>
  </si>
  <si>
    <t>TUBO FOFO FF EM 6,00 PN10 DN150X5,80</t>
  </si>
  <si>
    <t>12.42</t>
  </si>
  <si>
    <t>EMBM010501061</t>
  </si>
  <si>
    <t>TFL10 FoFo DN 100 X 2,00</t>
  </si>
  <si>
    <t>12.43</t>
  </si>
  <si>
    <t>12.44</t>
  </si>
  <si>
    <t>12.45</t>
  </si>
  <si>
    <t>EMBM010501073</t>
  </si>
  <si>
    <t>TFL10 FoFo DN 100 X 3,50</t>
  </si>
  <si>
    <t>12.46</t>
  </si>
  <si>
    <t>EMBM010501105</t>
  </si>
  <si>
    <t>TFL10 FoFo DN 150 X 1,50</t>
  </si>
  <si>
    <t>12.47</t>
  </si>
  <si>
    <t>EMBM010501121</t>
  </si>
  <si>
    <t>TFL10 FoFo DN 150 X 3,50</t>
  </si>
  <si>
    <t>12.48</t>
  </si>
  <si>
    <t>12.49</t>
  </si>
  <si>
    <t>COPAS25047135</t>
  </si>
  <si>
    <t>TUBO FOFO PF EM 6,00 PN10 DN100X1,40</t>
  </si>
  <si>
    <t>12.50</t>
  </si>
  <si>
    <t>COPAS25004162</t>
  </si>
  <si>
    <t>TUBO FOFO PF PN10 DN100X1,00M</t>
  </si>
  <si>
    <t>12.51</t>
  </si>
  <si>
    <t>12.52</t>
  </si>
  <si>
    <t>EMBM010801009</t>
  </si>
  <si>
    <t>TCL FoFo DN 150</t>
  </si>
  <si>
    <t>ETA-INTERLIGAÇÕES</t>
  </si>
  <si>
    <t>13.1</t>
  </si>
  <si>
    <t>13.2</t>
  </si>
  <si>
    <t>13.3</t>
  </si>
  <si>
    <t>13.4</t>
  </si>
  <si>
    <t>13.5</t>
  </si>
  <si>
    <t>13.6</t>
  </si>
  <si>
    <t>13.7</t>
  </si>
  <si>
    <t>13.8</t>
  </si>
  <si>
    <t>97142</t>
  </si>
  <si>
    <t>ASSENTAMENTO DE TUBO DE FERRO FUNDIDO PARA REDE DE ÁGUA, DN 100 MM, JUNTA ELÁSTICA, INSTALADO EM LOCAL COM NÍVEL ALTO DE INTERFERÊNCIAS (NÃO INCLUI FORNECIMENTO). AF_05/2024</t>
  </si>
  <si>
    <t>13.9</t>
  </si>
  <si>
    <t>13.10</t>
  </si>
  <si>
    <t>97146</t>
  </si>
  <si>
    <t>ASSENTAMENTO DE TUBO DE FERRO FUNDIDO PARA REDE DE ÁGUA, DN 300 MM, JUNTA ELÁSTICA, INSTALADO EM LOCAL COM NÍVEL ALTO DE INTERFERÊNCIAS (NÃO INCLUI FORNECIMENTO). AF_05/2024</t>
  </si>
  <si>
    <t>13.11</t>
  </si>
  <si>
    <t>COPAS65000378</t>
  </si>
  <si>
    <t>ASSENTAMENTO DE TUBOS E CONEXOES PVC JE DN 200</t>
  </si>
  <si>
    <t>13.12</t>
  </si>
  <si>
    <t>13.13</t>
  </si>
  <si>
    <t>13.14</t>
  </si>
  <si>
    <t>13.15</t>
  </si>
  <si>
    <t>13.16</t>
  </si>
  <si>
    <t>COPAS25000089</t>
  </si>
  <si>
    <t>CURVA 90º FOFO BB JE DN 200</t>
  </si>
  <si>
    <t>13.17</t>
  </si>
  <si>
    <t>13.18</t>
  </si>
  <si>
    <t>13.19</t>
  </si>
  <si>
    <t>13.20</t>
  </si>
  <si>
    <t>EMBM010701285</t>
  </si>
  <si>
    <t>TFP10 FoFo DN 300 X 5,80</t>
  </si>
  <si>
    <t>13.21</t>
  </si>
  <si>
    <t>COPAS25040210</t>
  </si>
  <si>
    <t>TUBO FOFO PB EMIN 4,62MM DN 100XCMIN5,5M</t>
  </si>
  <si>
    <t>13.22</t>
  </si>
  <si>
    <t>13.23</t>
  </si>
  <si>
    <t>13.24</t>
  </si>
  <si>
    <t>41930</t>
  </si>
  <si>
    <t>TUBO COLETOR DE ESGOTO PVC, JEI, DN 200 MM (NBR 7362)</t>
  </si>
  <si>
    <t>13.25</t>
  </si>
  <si>
    <t>INSTALAÇÕES ELÉTRICAS ETA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</si>
  <si>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</si>
  <si>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</si>
  <si>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</si>
  <si>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</si>
  <si>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</si>
  <si>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</si>
  <si>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</si>
  <si>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</si>
  <si>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</si>
  <si>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</si>
  <si>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</si>
  <si>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</si>
  <si>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</si>
  <si>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COPAS45006913</t>
  </si>
  <si>
    <t>QUADRO TELECOMANDO E TELEMETRIA 850KM</t>
  </si>
  <si>
    <t>AT01-AAT - TRECHO 1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</si>
  <si>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</si>
  <si>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</si>
  <si>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</si>
  <si>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</si>
  <si>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</si>
  <si>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</si>
  <si>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</si>
  <si>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</si>
  <si>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</si>
  <si>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</si>
  <si>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</si>
  <si>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</si>
  <si>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</si>
  <si>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</si>
  <si>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</si>
  <si>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</si>
  <si>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</si>
  <si>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</si>
  <si>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94231</t>
  </si>
  <si>
    <t>RUFO EM CHAPA DE AÇO GALVANIZADO NÚMERO 24, CORTE DE 25 CM, INCLUSO TRANSPORTE VERTICAL. AF_07/2019</t>
  </si>
  <si>
    <t>15.19</t>
  </si>
  <si>
    <t>15.20</t>
  </si>
  <si>
    <t>15.21</t>
  </si>
  <si>
    <t>15.22</t>
  </si>
  <si>
    <t>15.23</t>
  </si>
  <si>
    <t>COPAS25000067</t>
  </si>
  <si>
    <t>CURVA 22º30' FOFO BB JE DN 200</t>
  </si>
  <si>
    <t>15.24</t>
  </si>
  <si>
    <t>15.25</t>
  </si>
  <si>
    <t>COPAS25052337</t>
  </si>
  <si>
    <t>TUBO PVC-O PB JEI PN 12,5 AGUA DN 200</t>
  </si>
  <si>
    <t>16</t>
  </si>
  <si>
    <t>AT02-AAT - TRECHO 2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</si>
  <si>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</si>
  <si>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</si>
  <si>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</si>
  <si>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</si>
  <si>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</si>
  <si>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</si>
  <si>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</si>
  <si>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</si>
  <si>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</si>
  <si>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</si>
  <si>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</si>
  <si>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</si>
  <si>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</si>
  <si>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</si>
  <si>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</si>
  <si>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</si>
  <si>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</si>
  <si>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</si>
  <si>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COPAS65000235</t>
  </si>
  <si>
    <t>CALHA EM CHAPA GALVANIZADA Nº24, DESENVOLVIMENTO = 0,33 M</t>
  </si>
  <si>
    <t>16.19</t>
  </si>
  <si>
    <t>102666</t>
  </si>
  <si>
    <t>DRENO SUBSUPERFICIAL (SEÇÃO 0,40 X 0,40 M), COM TUBO DE PEAD CORRUGADO PERFURADO, DN 100 MM, ENCHIMENTO COM BRITA, ENVOLVIDO COM MANTA GEOTÊXTIL. AF_07/2021</t>
  </si>
  <si>
    <t>16.20</t>
  </si>
  <si>
    <t>97143</t>
  </si>
  <si>
    <t>ASSENTAMENTO DE TUBO DE FERRO FUNDIDO PARA REDE DE ÁGUA, DN 150 MM, JUNTA ELÁSTICA, INSTALADO EM LOCAL COM NÍVEL ALTO DE INTERFERÊNCIAS (NÃO INCLUI FORNECIMENTO). AF_05/2024</t>
  </si>
  <si>
    <t>16.21</t>
  </si>
  <si>
    <t>COPAS65000377</t>
  </si>
  <si>
    <t>ASSENTAMENTO DE TUBOS E CONEXOES PVC JE DN 150</t>
  </si>
  <si>
    <t>16.22</t>
  </si>
  <si>
    <t>16.23</t>
  </si>
  <si>
    <t>16.24</t>
  </si>
  <si>
    <t>16.25</t>
  </si>
  <si>
    <t>ENVELOPAMENTO EM CONCRETO ARMADO 25MPA PARA TUBOS DN 150MM, CONFORME PROJETO</t>
  </si>
  <si>
    <t>16.26</t>
  </si>
  <si>
    <t>16.27</t>
  </si>
  <si>
    <t>COPAS25040212</t>
  </si>
  <si>
    <t>TUBO FOFO PB EMIN 4,62MM DN 150XCMIN5,5M</t>
  </si>
  <si>
    <t>16.28</t>
  </si>
  <si>
    <t>9828</t>
  </si>
  <si>
    <t>TUBO PVC DEFOFO, JEI, 1 MPA, DN 150 MM, PARA REDE DE AGUA (NBR 7665)</t>
  </si>
  <si>
    <t>AT03-AAT - TRECHO 3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</si>
  <si>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</si>
  <si>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</si>
  <si>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</si>
  <si>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</si>
  <si>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</si>
  <si>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</si>
  <si>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</si>
  <si>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</si>
  <si>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</si>
  <si>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</si>
  <si>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</si>
  <si>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</si>
  <si>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</si>
  <si>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</si>
  <si>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</si>
  <si>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</si>
  <si>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COPAS65000236</t>
  </si>
  <si>
    <t>CONDUTOR EM CHAPA GALVANIZADA Nº26, Ø 75 MM</t>
  </si>
  <si>
    <t>17.17</t>
  </si>
  <si>
    <t>17.18</t>
  </si>
  <si>
    <t>17.19</t>
  </si>
  <si>
    <t>17.20</t>
  </si>
  <si>
    <t>17.21</t>
  </si>
  <si>
    <t>COPAS25000600</t>
  </si>
  <si>
    <t>CURVA 11º15' FOFO BB JE DN 150</t>
  </si>
  <si>
    <t>17.22</t>
  </si>
  <si>
    <t>COPAS25000066</t>
  </si>
  <si>
    <t>CURVA 22º30' FOFO BB JE DN 150</t>
  </si>
  <si>
    <t>17.23</t>
  </si>
  <si>
    <t>COPAS25000077</t>
  </si>
  <si>
    <t>CURVA 45º FOFO BB JE DN 150</t>
  </si>
  <si>
    <t>17.24</t>
  </si>
  <si>
    <t>17.25</t>
  </si>
  <si>
    <t>CAIXAS DE DESCARGAS - (DN150 E DN200) / CAIXA DE VENTOSA</t>
  </si>
  <si>
    <t>18.1</t>
  </si>
  <si>
    <t>18.2</t>
  </si>
  <si>
    <t>18.3</t>
  </si>
  <si>
    <t>CAIXA DE DESCARGA (DIMENSÕES 2,0x1,80) E POÇO SECO (DIMENSÕES 1,20x1,20) EM CONCRETO ESTRURAL, INCLUSIVE ARMADURA DE ACO, FORMA E DESFORMA - DIMENSOES AAT01 - TRECHO 01</t>
  </si>
  <si>
    <t>18.4</t>
  </si>
  <si>
    <t>38</t>
  </si>
  <si>
    <t>CAIXA DE DESCARGA (DIMENSÕES 2,0x1,80) E POÇO SECO (DIMENSÕES 1,20x1,20) EM CONCRETO ESTRURAL, INCLUSIVE ARMADURA DE ACO, FORMA E DESFORMA - DIMENSOES AAT01 - TRECHO 02</t>
  </si>
  <si>
    <t>18.5</t>
  </si>
  <si>
    <t>CAIXA DE VENTOSA PARA PROTECAO DE APARELHOS EM CONCRETO ESTRURAL, INCLUSIVE ARMADURA DE ACO, FORMA E DESFORMA - DIMENSOES EXTERNAS (2,00X1,80)M - H=1,90M - TRECHO 1</t>
  </si>
  <si>
    <t>18.6</t>
  </si>
  <si>
    <t>18.7</t>
  </si>
  <si>
    <t>18.8</t>
  </si>
  <si>
    <t>18.9</t>
  </si>
  <si>
    <t>18.10</t>
  </si>
  <si>
    <t>18.11</t>
  </si>
  <si>
    <t>18.12</t>
  </si>
  <si>
    <t>COPAS25000847</t>
  </si>
  <si>
    <t>EXTREMIDADE FOFO BF JE PN10 DN 150</t>
  </si>
  <si>
    <t>18.13</t>
  </si>
  <si>
    <t>COPAS25000184</t>
  </si>
  <si>
    <t>EXTREMIDADE FOFO BF JE PN10 DN 200</t>
  </si>
  <si>
    <t>18.14</t>
  </si>
  <si>
    <t>EMBM012101001</t>
  </si>
  <si>
    <t>JDTA10 DN 100</t>
  </si>
  <si>
    <t>18.15</t>
  </si>
  <si>
    <t>18.16</t>
  </si>
  <si>
    <t>18.17</t>
  </si>
  <si>
    <t>18.18</t>
  </si>
  <si>
    <t>COPAS25003296</t>
  </si>
  <si>
    <t>REGISTRO FOFO CBOR.FC S14 PN10/16 DN 80</t>
  </si>
  <si>
    <t>18.19</t>
  </si>
  <si>
    <t>18.20</t>
  </si>
  <si>
    <t>18.21</t>
  </si>
  <si>
    <t>COPAS25000910</t>
  </si>
  <si>
    <t>TE RED.FOFO FFF PN10 DN 150X 100</t>
  </si>
  <si>
    <t>18.22</t>
  </si>
  <si>
    <t>EMBM011707045</t>
  </si>
  <si>
    <t>TFF10 FoFo DN 200 X 100</t>
  </si>
  <si>
    <t>18.23</t>
  </si>
  <si>
    <t>18.24</t>
  </si>
  <si>
    <t>EMBM010801013</t>
  </si>
  <si>
    <t>TCL FoFo DN 200</t>
  </si>
  <si>
    <t>18.25</t>
  </si>
  <si>
    <t>9825</t>
  </si>
  <si>
    <t>TUBO PVC DEFOFO, JEI, 1 MPA, DN 100 MM, PARA REDE DE AGUA (NBR 7665)</t>
  </si>
  <si>
    <t>18.26</t>
  </si>
  <si>
    <t>EAT02 - EAT02 - BOOSTER CAIXA AMARELA</t>
  </si>
  <si>
    <t>19.1</t>
  </si>
  <si>
    <t>19.2</t>
  </si>
  <si>
    <t>COPAS65000117</t>
  </si>
  <si>
    <t>ESQUADRIA BASCULANTE - CAIXILHO DE FERRO</t>
  </si>
  <si>
    <t>19.3</t>
  </si>
  <si>
    <t>102162</t>
  </si>
  <si>
    <t>INSTALAÇÃO DE VIDRO LISO INCOLOR, E = 4 MM, EM ESQUADRIA DE ALUMÍNIO OU PVC, FIXADO COM BAGUETE. AF_01/2021_PS</t>
  </si>
  <si>
    <t>19.4</t>
  </si>
  <si>
    <t>19.5</t>
  </si>
  <si>
    <t>19.6</t>
  </si>
  <si>
    <t>19.7</t>
  </si>
  <si>
    <t>91341</t>
  </si>
  <si>
    <t>PORTA EM ALUMÍNIO DE ABRIR TIPO VENEZIANA COM GUARNIÇÃO, FIXAÇÃO COM PARAFUSOS - FORNECIMENTO E INSTALAÇÃO. AF_12/2019</t>
  </si>
  <si>
    <t>19.8</t>
  </si>
  <si>
    <t>19.9</t>
  </si>
  <si>
    <t>COPAS65000138</t>
  </si>
  <si>
    <t>PINTURA - OLEO ESQUADRIAS DE FERRO</t>
  </si>
  <si>
    <t>19.10</t>
  </si>
  <si>
    <t>19.11</t>
  </si>
  <si>
    <t>19.12</t>
  </si>
  <si>
    <t>COPAS65003893</t>
  </si>
  <si>
    <t>PORTA OU PORTAO EM CHAPA DE ACO CARBONO DOBRADA - FORNECIMENTO E INSTALACAO.</t>
  </si>
  <si>
    <t>19.13</t>
  </si>
  <si>
    <t>101965</t>
  </si>
  <si>
    <t>PEITORIL LINEAR EM GRANITO OU MÁRMORE, L = 15CM, ASSENTADO COM ARGAMASSA 1:6 COM ADITIVO. AF_11/2020</t>
  </si>
  <si>
    <t>19.14</t>
  </si>
  <si>
    <t>98689</t>
  </si>
  <si>
    <t>SOLEIRA EM GRANITO, LARGURA 15 CM, ESPESSURA 2,0 CM. AF_09/2020</t>
  </si>
  <si>
    <t>19.15</t>
  </si>
  <si>
    <t>19.16</t>
  </si>
  <si>
    <t>19.17</t>
  </si>
  <si>
    <t>19.18</t>
  </si>
  <si>
    <t>19.19</t>
  </si>
  <si>
    <t>19.20</t>
  </si>
  <si>
    <t>COPAS65000243</t>
  </si>
  <si>
    <t>FORMA PLANA EM CHAPA DE MADEIRA COMPENSADA RESINADA, E = 14 MM, P/ ESTRUTURAS</t>
  </si>
  <si>
    <t>19.21</t>
  </si>
  <si>
    <t>19.22</t>
  </si>
  <si>
    <t>19.23</t>
  </si>
  <si>
    <t>19.24</t>
  </si>
  <si>
    <t>19.25</t>
  </si>
  <si>
    <t>19.26</t>
  </si>
  <si>
    <t>COPAS65002363</t>
  </si>
  <si>
    <t>INSTALACAO DE CONJUNTO MOTOBOMBA COM POTENCIA MENOR OU IGUAL A 5CV</t>
  </si>
  <si>
    <t>19.27</t>
  </si>
  <si>
    <t>COPAS65000445</t>
  </si>
  <si>
    <t>MONTAGEM DE CONEXOES DE FERRO GALVANIZADO, DIAMETRO = 1/2"</t>
  </si>
  <si>
    <t>19.28</t>
  </si>
  <si>
    <t>COPAS65000447</t>
  </si>
  <si>
    <t>MONTAGEM DE CONEXOES DE FERRO GALVANIZADO, DIAMETRO = 1 "</t>
  </si>
  <si>
    <t>19.29</t>
  </si>
  <si>
    <t>94992</t>
  </si>
  <si>
    <t>EXECUÇÃO DE PASSEIO (CALÇADA) OU PISO DE CONCRETO COM CONCRETO MOLDADO IN LOCO, FEITO EM OBRA, ACABAMENTO CONVENCIONAL, ESPESSURA 6 CM, ARMADO. AF_08/2022</t>
  </si>
  <si>
    <t>19.30</t>
  </si>
  <si>
    <t>19.31</t>
  </si>
  <si>
    <t>19.32</t>
  </si>
  <si>
    <t>99253</t>
  </si>
  <si>
    <t>CAIXA ENTERRADA HIDRÁULICA RETANGULAR EM ALVENARIA COM TIJOLOS CERÂMICOS MACIÇOS, DIMENSÕES INTERNAS: 0,6X0,6X0,6 M PARA REDE DE DRENAGEM. AF_12/2020</t>
  </si>
  <si>
    <t>19.33</t>
  </si>
  <si>
    <t>19.34</t>
  </si>
  <si>
    <t>COPAS25003563</t>
  </si>
  <si>
    <t>ARRUELA BORRACHA FLANGE PN10 DN50</t>
  </si>
  <si>
    <t>19.35</t>
  </si>
  <si>
    <t>19.36</t>
  </si>
  <si>
    <t>COPAS25000165</t>
  </si>
  <si>
    <t>COLAR DE TOMADA FOFO DN100 X1"</t>
  </si>
  <si>
    <t>19.37</t>
  </si>
  <si>
    <t>COPAS25000166</t>
  </si>
  <si>
    <t>COLAR DE TOMADA FOFO DUC DN150 X 1/2"</t>
  </si>
  <si>
    <t>19.38</t>
  </si>
  <si>
    <t>COPAS25001185</t>
  </si>
  <si>
    <t>CURVA 90º FOFO BB JE DN  80</t>
  </si>
  <si>
    <t>19.39</t>
  </si>
  <si>
    <t>19.40</t>
  </si>
  <si>
    <t>EMBM011703005</t>
  </si>
  <si>
    <t>C90FF10 FoFo DN 80</t>
  </si>
  <si>
    <t>19.41</t>
  </si>
  <si>
    <t>19.42</t>
  </si>
  <si>
    <t>EMBM011712005</t>
  </si>
  <si>
    <t>FC10 FoFo DN 80</t>
  </si>
  <si>
    <t>19.43</t>
  </si>
  <si>
    <t>EMBM011708005</t>
  </si>
  <si>
    <t>YFF10 FoFo DN 80 X 80</t>
  </si>
  <si>
    <t>19.44</t>
  </si>
  <si>
    <t>19.45</t>
  </si>
  <si>
    <t>COPAS25001361</t>
  </si>
  <si>
    <t>NIPLE DUPLO FG (N8) JR DN 1"</t>
  </si>
  <si>
    <t>19.46</t>
  </si>
  <si>
    <t>19.47</t>
  </si>
  <si>
    <t>19.48</t>
  </si>
  <si>
    <t>COPAS25003289</t>
  </si>
  <si>
    <t>REGISTRO FOFO CBOR.FC S14 PN10/16 DN 50</t>
  </si>
  <si>
    <t>19.49</t>
  </si>
  <si>
    <t>19.50</t>
  </si>
  <si>
    <t>COPAS25003286</t>
  </si>
  <si>
    <t>REGISTRO FOFO CBOR.FC S15 PN10/16 DN100</t>
  </si>
  <si>
    <t>19.51</t>
  </si>
  <si>
    <t>COPAS25002935</t>
  </si>
  <si>
    <t>REGISTRO GAV.BRONZE C/VOL.PN16 DN1"</t>
  </si>
  <si>
    <t>19.52</t>
  </si>
  <si>
    <t>COPAS25000448</t>
  </si>
  <si>
    <t>TE FOFO BBB JE DN 100</t>
  </si>
  <si>
    <t>19.53</t>
  </si>
  <si>
    <t>EMBM011707001</t>
  </si>
  <si>
    <t>TFF10 FoFo DN 80 X 50</t>
  </si>
  <si>
    <t>19.54</t>
  </si>
  <si>
    <t>EMBM011701005</t>
  </si>
  <si>
    <t>TOF10 FoFo L = 0,25m DN 80</t>
  </si>
  <si>
    <t>19.55</t>
  </si>
  <si>
    <t>COPAS25000942</t>
  </si>
  <si>
    <t>TOCO FOFO FF EMIN 4,8MM PN10 DN100X0,25M</t>
  </si>
  <si>
    <t>19.56</t>
  </si>
  <si>
    <t>COPAS25053487</t>
  </si>
  <si>
    <t>TUBO FOFO FF EM 6,00 PN10 DN 80X0,30</t>
  </si>
  <si>
    <t>19.57</t>
  </si>
  <si>
    <t>EMBM010501009</t>
  </si>
  <si>
    <t>TFL10 FoFo DN 80 X 1,50</t>
  </si>
  <si>
    <t>19.58</t>
  </si>
  <si>
    <t>19.59</t>
  </si>
  <si>
    <t>19.60</t>
  </si>
  <si>
    <t>EMBM010701013</t>
  </si>
  <si>
    <t>TFP10 FoFo DN 80 X 2,00</t>
  </si>
  <si>
    <t>19.61</t>
  </si>
  <si>
    <t>19.62</t>
  </si>
  <si>
    <t>EMBM012609001</t>
  </si>
  <si>
    <t>VRFRW FoFo PN 10 DN 80</t>
  </si>
  <si>
    <t>19.63</t>
  </si>
  <si>
    <t>COPAS35000185</t>
  </si>
  <si>
    <t>VENTOSA SIMPLES FABRICADA EM FERRO FUNDIDO DUCTIL, COM ROSCA CONFORME A NBR 6414, PRESSAO DE TRABALHO 25KGF/CM2 (VSCR25) DN 1"</t>
  </si>
  <si>
    <t>19.64</t>
  </si>
  <si>
    <t>COPAS25044870</t>
  </si>
  <si>
    <t>VENTOSA TRIPLICE FUNC.AGUA FF PN10 DN50</t>
  </si>
  <si>
    <t>19.65</t>
  </si>
  <si>
    <t>CONJUNTO MOTOBOMBA Q=3,85L/S, HM=16,95M, POT=1,50CV - EAT02/EAT04/EAT05</t>
  </si>
  <si>
    <t>20</t>
  </si>
  <si>
    <t>INSTALAÇÕES ELÉTRICAS EAT02</t>
  </si>
  <si>
    <t>20.1</t>
  </si>
  <si>
    <t>20.2</t>
  </si>
  <si>
    <t>20.3</t>
  </si>
  <si>
    <t>20.4</t>
  </si>
  <si>
    <t>20.5</t>
  </si>
  <si>
    <t>20.6</t>
  </si>
  <si>
    <t>20.7</t>
  </si>
  <si>
    <t>COPAS65004402</t>
  </si>
  <si>
    <t>LUMINARIA TIPO ARANDELA EM ALUMINIO BLINDADA, A PROVA DE TEMPO, ANGULO 45°, GRADE DE PROTECAO E GLOBO DE VIDRO ROSQUEADO AO CORPO, BASE E27 C/ LAMPADA LED 15W -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</si>
  <si>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</si>
  <si>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</si>
  <si>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</si>
  <si>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</si>
  <si>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</si>
  <si>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</si>
  <si>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</si>
  <si>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</si>
  <si>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</si>
  <si>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</si>
  <si>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</si>
  <si>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COPAS65004154</t>
  </si>
  <si>
    <t>CONDUITE METALICO FLEXIVEL Ø 1" FABRICADO EM ESPIRAL DE ACO ZINCAGEM POR IMERSAO A QUENTE, REVESTIDO EXTERNAMENTE EM PVC EXTRUDADO, COR PRETA-FORNECIMENTO E ASSE</t>
  </si>
  <si>
    <t>20.19</t>
  </si>
  <si>
    <t>20.20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</si>
  <si>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</si>
  <si>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</si>
  <si>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</si>
  <si>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</si>
  <si>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</si>
  <si>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</si>
  <si>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</si>
  <si>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</si>
  <si>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</si>
  <si>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</si>
  <si>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</si>
  <si>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</si>
  <si>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20.33</t>
  </si>
  <si>
    <t>20.34</t>
  </si>
  <si>
    <t>20.35</t>
  </si>
  <si>
    <t>20.36</t>
  </si>
  <si>
    <t>20.37</t>
  </si>
  <si>
    <t>COPAS65004070</t>
  </si>
  <si>
    <t>PADRAO DE ENTRADA DE ENERGIA CEMIG TIPO C2,  220V TRIFASICO, DEMANDA DE 15,1 KVA A 23,0 KVA</t>
  </si>
  <si>
    <t>20.38</t>
  </si>
  <si>
    <t>20.39</t>
  </si>
  <si>
    <t>COPAS65004059</t>
  </si>
  <si>
    <t>CAIXA DE PASSAGEM 40X40X90 CM PARA REDE DE DUTOS ELETRICOS</t>
  </si>
  <si>
    <t>20.40</t>
  </si>
  <si>
    <t>COPAS65004149</t>
  </si>
  <si>
    <t>CAIXA DE PASSAGEM EM ALUMINIO 200X200X100MM PARA INSTALACAO EM PISO, C/TAMPA REVERSIVEL LISA/ANTIADERENTE E PARAFUSOS EM ACO ZINCADO OU ACO INOX-FORNECIMENTO E A</t>
  </si>
  <si>
    <t>20.41</t>
  </si>
  <si>
    <t>20.42</t>
  </si>
  <si>
    <t>COPAS65004027</t>
  </si>
  <si>
    <t>REDE SUBTERRANEA DE DUTOS FLEXIVEIS CORRUGADOS EM PEAD  1X2", ENVELOPAMENTO PARCIAL COM CONCRETO MAGRO</t>
  </si>
  <si>
    <t>20.43</t>
  </si>
  <si>
    <t>20.44</t>
  </si>
  <si>
    <t>COPAS65004035</t>
  </si>
  <si>
    <t>REDE SUBTERRANEA DE DUTOS FLEXIVEIS CORRUGADOS EM PEAD  4X2" COM CABO DE ATERRAMENTO EM COBRE NU 50MM2, ENVELOPAMENTO PARCIAL COM CONCRETO MAGRO</t>
  </si>
  <si>
    <t>20.45</t>
  </si>
  <si>
    <t>20.46</t>
  </si>
  <si>
    <t>20.47</t>
  </si>
  <si>
    <t>20.48</t>
  </si>
  <si>
    <t>20.49</t>
  </si>
  <si>
    <t>20.50</t>
  </si>
  <si>
    <t>COPAS45009375</t>
  </si>
  <si>
    <t>PAINEL BT QCM 1B INV 10A 220V P410</t>
  </si>
  <si>
    <t>20.51</t>
  </si>
  <si>
    <t>COPAS45011765</t>
  </si>
  <si>
    <t>PAINEL BT PDA 2B (1+1) 2F 220V P416</t>
  </si>
  <si>
    <t>20.52</t>
  </si>
  <si>
    <t>COPAS45008939</t>
  </si>
  <si>
    <t>PAINEL BT QGBT 2B 19,3-24,0A-220V P392</t>
  </si>
  <si>
    <t>20.53</t>
  </si>
  <si>
    <t>21</t>
  </si>
  <si>
    <t>EAT04 - BOOSTER JARDIM VITÓRIA 2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</si>
  <si>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</si>
  <si>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</si>
  <si>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</si>
  <si>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</si>
  <si>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</si>
  <si>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</si>
  <si>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</si>
  <si>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</si>
  <si>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</si>
  <si>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</si>
  <si>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</si>
  <si>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</si>
  <si>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</si>
  <si>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</si>
  <si>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</si>
  <si>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</si>
  <si>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</si>
  <si>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</si>
  <si>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</si>
  <si>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</si>
  <si>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</si>
  <si>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</si>
  <si>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</si>
  <si>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</si>
  <si>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</si>
  <si>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</si>
  <si>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</si>
  <si>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</si>
  <si>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</si>
  <si>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</si>
  <si>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</si>
  <si>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21.32</t>
  </si>
  <si>
    <t>21.33</t>
  </si>
  <si>
    <t>21.34</t>
  </si>
  <si>
    <t>21.35</t>
  </si>
  <si>
    <t>21.36</t>
  </si>
  <si>
    <t>21.37</t>
  </si>
  <si>
    <t>21.38</t>
  </si>
  <si>
    <t>21.39</t>
  </si>
  <si>
    <t>21.40</t>
  </si>
  <si>
    <t>21.41</t>
  </si>
  <si>
    <t>21.42</t>
  </si>
  <si>
    <t>21.43</t>
  </si>
  <si>
    <t>21.44</t>
  </si>
  <si>
    <t>21.45</t>
  </si>
  <si>
    <t>21.46</t>
  </si>
  <si>
    <t>21.47</t>
  </si>
  <si>
    <t>21.48</t>
  </si>
  <si>
    <t>21.49</t>
  </si>
  <si>
    <t>21.50</t>
  </si>
  <si>
    <t>21.51</t>
  </si>
  <si>
    <t>21.52</t>
  </si>
  <si>
    <t>21.53</t>
  </si>
  <si>
    <t>21.54</t>
  </si>
  <si>
    <t>21.55</t>
  </si>
  <si>
    <t>21.56</t>
  </si>
  <si>
    <t>21.57</t>
  </si>
  <si>
    <t>21.58</t>
  </si>
  <si>
    <t>21.59</t>
  </si>
  <si>
    <t>21.60</t>
  </si>
  <si>
    <t>21.61</t>
  </si>
  <si>
    <t>21.62</t>
  </si>
  <si>
    <t>21.63</t>
  </si>
  <si>
    <t>21.64</t>
  </si>
  <si>
    <t>21.65</t>
  </si>
  <si>
    <t>21.66</t>
  </si>
  <si>
    <t>22</t>
  </si>
  <si>
    <t>INSTALAÇÕES ELÉTRICAS EAT04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</si>
  <si>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</si>
  <si>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</si>
  <si>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</si>
  <si>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</si>
  <si>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</si>
  <si>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</si>
  <si>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</si>
  <si>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</si>
  <si>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</si>
  <si>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</si>
  <si>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</si>
  <si>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</si>
  <si>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</si>
  <si>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</si>
  <si>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</si>
  <si>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</si>
  <si>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</si>
  <si>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</si>
  <si>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</si>
  <si>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22.20</t>
  </si>
  <si>
    <t>22.21</t>
  </si>
  <si>
    <t>22.22</t>
  </si>
  <si>
    <t>22.23</t>
  </si>
  <si>
    <t>22.24</t>
  </si>
  <si>
    <t>22.25</t>
  </si>
  <si>
    <t>22.26</t>
  </si>
  <si>
    <t>22.27</t>
  </si>
  <si>
    <t>22.28</t>
  </si>
  <si>
    <t>22.29</t>
  </si>
  <si>
    <t>22.30</t>
  </si>
  <si>
    <t>22.31</t>
  </si>
  <si>
    <t>22.32</t>
  </si>
  <si>
    <t>22.33</t>
  </si>
  <si>
    <t>22.34</t>
  </si>
  <si>
    <t>22.35</t>
  </si>
  <si>
    <t>22.36</t>
  </si>
  <si>
    <t>22.37</t>
  </si>
  <si>
    <t>22.38</t>
  </si>
  <si>
    <t>22.39</t>
  </si>
  <si>
    <t>22.40</t>
  </si>
  <si>
    <t>22.41</t>
  </si>
  <si>
    <t>22.42</t>
  </si>
  <si>
    <t>22.43</t>
  </si>
  <si>
    <t>22.44</t>
  </si>
  <si>
    <t>22.45</t>
  </si>
  <si>
    <t>22.46</t>
  </si>
  <si>
    <t>22.47</t>
  </si>
  <si>
    <t>22.48</t>
  </si>
  <si>
    <t>22.49</t>
  </si>
  <si>
    <t>22.50</t>
  </si>
  <si>
    <t>22.51</t>
  </si>
  <si>
    <t>22.52</t>
  </si>
  <si>
    <t>22.53</t>
  </si>
  <si>
    <t>23</t>
  </si>
  <si>
    <t>EAT05 - BOOSTER BONFIM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</si>
  <si>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</si>
  <si>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</si>
  <si>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</si>
  <si>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</si>
  <si>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</si>
  <si>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</si>
  <si>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</si>
  <si>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</si>
  <si>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</si>
  <si>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</si>
  <si>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23.11</t>
  </si>
  <si>
    <t>23.12</t>
  </si>
  <si>
    <t>23.13</t>
  </si>
  <si>
    <t>23.14</t>
  </si>
  <si>
    <t>23.15</t>
  </si>
  <si>
    <t>23.16</t>
  </si>
  <si>
    <t>23.17</t>
  </si>
  <si>
    <t>23.18</t>
  </si>
  <si>
    <t>23.19</t>
  </si>
  <si>
    <t>23.20</t>
  </si>
  <si>
    <t>23.21</t>
  </si>
  <si>
    <t>23.22</t>
  </si>
  <si>
    <t>23.23</t>
  </si>
  <si>
    <t>23.24</t>
  </si>
  <si>
    <t>23.25</t>
  </si>
  <si>
    <t>23.26</t>
  </si>
  <si>
    <t>23.27</t>
  </si>
  <si>
    <t>23.28</t>
  </si>
  <si>
    <t>23.29</t>
  </si>
  <si>
    <t>23.30</t>
  </si>
  <si>
    <t>23.31</t>
  </si>
  <si>
    <t>23.32</t>
  </si>
  <si>
    <t>23.33</t>
  </si>
  <si>
    <t>23.34</t>
  </si>
  <si>
    <t>23.35</t>
  </si>
  <si>
    <t>23.36</t>
  </si>
  <si>
    <t>23.37</t>
  </si>
  <si>
    <t>23.38</t>
  </si>
  <si>
    <t>23.39</t>
  </si>
  <si>
    <t>23.40</t>
  </si>
  <si>
    <t>23.41</t>
  </si>
  <si>
    <t>23.42</t>
  </si>
  <si>
    <t>23.43</t>
  </si>
  <si>
    <t>23.44</t>
  </si>
  <si>
    <t>23.45</t>
  </si>
  <si>
    <t>23.46</t>
  </si>
  <si>
    <t>23.47</t>
  </si>
  <si>
    <t>23.48</t>
  </si>
  <si>
    <t>23.49</t>
  </si>
  <si>
    <t>23.50</t>
  </si>
  <si>
    <t>23.51</t>
  </si>
  <si>
    <t>23.52</t>
  </si>
  <si>
    <t>23.53</t>
  </si>
  <si>
    <t>23.54</t>
  </si>
  <si>
    <t>23.55</t>
  </si>
  <si>
    <t>23.56</t>
  </si>
  <si>
    <t>23.57</t>
  </si>
  <si>
    <t>23.58</t>
  </si>
  <si>
    <t>23.59</t>
  </si>
  <si>
    <t>23.60</t>
  </si>
  <si>
    <t>23.61</t>
  </si>
  <si>
    <t>23.62</t>
  </si>
  <si>
    <t>23.63</t>
  </si>
  <si>
    <t>23.64</t>
  </si>
  <si>
    <t>23.65</t>
  </si>
  <si>
    <t>23.66</t>
  </si>
  <si>
    <t>24</t>
  </si>
  <si>
    <t>INSTALAÇÕES ELÉTRICAS EAT05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</si>
  <si>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</si>
  <si>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</si>
  <si>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</si>
  <si>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</si>
  <si>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</si>
  <si>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</si>
  <si>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</si>
  <si>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</si>
  <si>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</si>
  <si>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</si>
  <si>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24.11</t>
  </si>
  <si>
    <t>24.12</t>
  </si>
  <si>
    <t>24.13</t>
  </si>
  <si>
    <t>24.14</t>
  </si>
  <si>
    <t>24.15</t>
  </si>
  <si>
    <t>24.16</t>
  </si>
  <si>
    <t>24.17</t>
  </si>
  <si>
    <t>24.18</t>
  </si>
  <si>
    <t>24.19</t>
  </si>
  <si>
    <t>24.20</t>
  </si>
  <si>
    <t>24.21</t>
  </si>
  <si>
    <t>24.22</t>
  </si>
  <si>
    <t>24.23</t>
  </si>
  <si>
    <t>24.24</t>
  </si>
  <si>
    <t>24.25</t>
  </si>
  <si>
    <t>24.26</t>
  </si>
  <si>
    <t>24.27</t>
  </si>
  <si>
    <t>24.28</t>
  </si>
  <si>
    <t>24.29</t>
  </si>
  <si>
    <t>24.30</t>
  </si>
  <si>
    <t>24.31</t>
  </si>
  <si>
    <t>24.32</t>
  </si>
  <si>
    <t>24.33</t>
  </si>
  <si>
    <t>24.34</t>
  </si>
  <si>
    <t>24.35</t>
  </si>
  <si>
    <t>24.36</t>
  </si>
  <si>
    <t>24.37</t>
  </si>
  <si>
    <t>24.38</t>
  </si>
  <si>
    <t>24.39</t>
  </si>
  <si>
    <t>24.40</t>
  </si>
  <si>
    <t>24.41</t>
  </si>
  <si>
    <t>24.42</t>
  </si>
  <si>
    <t>24.43</t>
  </si>
  <si>
    <t>24.44</t>
  </si>
  <si>
    <t>24.45</t>
  </si>
  <si>
    <t>24.46</t>
  </si>
  <si>
    <t>24.47</t>
  </si>
  <si>
    <t>24.48</t>
  </si>
  <si>
    <t>24.49</t>
  </si>
  <si>
    <t>24.50</t>
  </si>
  <si>
    <t>24.51</t>
  </si>
  <si>
    <t>24.52</t>
  </si>
  <si>
    <t>24.53</t>
  </si>
  <si>
    <t>25</t>
  </si>
  <si>
    <t>RESERVATÓRIO ELEVADO 100M3 - REL07 / INTERLIGAÇÕES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</si>
  <si>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</si>
  <si>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</si>
  <si>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</si>
  <si>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</si>
  <si>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</si>
  <si>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</si>
  <si>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</si>
  <si>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</si>
  <si>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</si>
  <si>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</si>
  <si>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</si>
  <si>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</si>
  <si>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</si>
  <si>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25.14</t>
  </si>
  <si>
    <t>25.15</t>
  </si>
  <si>
    <t>25.16</t>
  </si>
  <si>
    <t>25.17</t>
  </si>
  <si>
    <t>25.18</t>
  </si>
  <si>
    <t>25.19</t>
  </si>
  <si>
    <t>25.20</t>
  </si>
  <si>
    <t>25.21</t>
  </si>
  <si>
    <t>25.22</t>
  </si>
  <si>
    <t>25.23</t>
  </si>
  <si>
    <t>25.24</t>
  </si>
  <si>
    <t>25.25</t>
  </si>
  <si>
    <t>97157</t>
  </si>
  <si>
    <t>ASSENTAMENTO DE TUBO DE FERRO FUNDIDO PARA REDE DE ÁGUA, DN 80 MM, JUNTA ELÁSTICA, INSTALADO EM LOCAL COM NÍVEL BAIXO DE INTERFERÊNCIAS (NÃO INCLUI FORNECIMENTO). AF_05/2024</t>
  </si>
  <si>
    <t>25.26</t>
  </si>
  <si>
    <t>97158</t>
  </si>
  <si>
    <t>ASSENTAMENTO DE TUBO DE FERRO FUNDIDO PARA REDE DE ÁGUA, DN 100 MM, JUNTA ELÁSTICA, INSTALADO EM LOCAL COM NÍVEL BAIXO DE INTERFERÊNCIAS (NÃO INCLUI FORNECIMENTO). AF_05/2024</t>
  </si>
  <si>
    <t>25.27</t>
  </si>
  <si>
    <t>97159</t>
  </si>
  <si>
    <t>ASSENTAMENTO DE TUBO DE FERRO FUNDIDO PARA REDE DE ÁGUA, DN 150 MM, JUNTA ELÁSTICA, INSTALADO EM LOCAL COM NÍVEL BAIXO DE INTERFERÊNCIAS (NÃO INCLUI FORNECIMENTO). AF_05/2024</t>
  </si>
  <si>
    <t>25.28</t>
  </si>
  <si>
    <t>97144</t>
  </si>
  <si>
    <t>ASSENTAMENTO DE TUBO DE FERRO FUNDIDO PARA REDE DE ÁGUA, DN 200 MM, JUNTA ELÁSTICA, INSTALADO EM LOCAL COM NÍVEL ALTO DE INTERFERÊNCIAS (NÃO INCLUI FORNECIMENTO). AF_05/2024</t>
  </si>
  <si>
    <t>25.29</t>
  </si>
  <si>
    <t>25.30</t>
  </si>
  <si>
    <t>25.31</t>
  </si>
  <si>
    <t>25.32</t>
  </si>
  <si>
    <t>25.33</t>
  </si>
  <si>
    <t>25.34</t>
  </si>
  <si>
    <t>25.35</t>
  </si>
  <si>
    <t>25.36</t>
  </si>
  <si>
    <t>25.37</t>
  </si>
  <si>
    <t>25.38</t>
  </si>
  <si>
    <t>25.39</t>
  </si>
  <si>
    <t>25.40</t>
  </si>
  <si>
    <t>25.41</t>
  </si>
  <si>
    <t>25.42</t>
  </si>
  <si>
    <t>25.43</t>
  </si>
  <si>
    <t>25.44</t>
  </si>
  <si>
    <t>25.45</t>
  </si>
  <si>
    <t>25.46</t>
  </si>
  <si>
    <t>25.47</t>
  </si>
  <si>
    <t>25.48</t>
  </si>
  <si>
    <t>25.49</t>
  </si>
  <si>
    <t>25.50</t>
  </si>
  <si>
    <t>25.51</t>
  </si>
  <si>
    <t>25.52</t>
  </si>
  <si>
    <t>25.53</t>
  </si>
  <si>
    <t>25.54</t>
  </si>
  <si>
    <t>25.55</t>
  </si>
  <si>
    <t>25.56</t>
  </si>
  <si>
    <t>25.57</t>
  </si>
  <si>
    <t>25.58</t>
  </si>
  <si>
    <t>25.59</t>
  </si>
  <si>
    <t>25.60</t>
  </si>
  <si>
    <t>25.61</t>
  </si>
  <si>
    <t>COPAS25040213</t>
  </si>
  <si>
    <t>TUBO FOFO PB EMIN 4,8MM DN 200XCMIN5,5M</t>
  </si>
  <si>
    <t>25.62</t>
  </si>
  <si>
    <t>COPAS25000450</t>
  </si>
  <si>
    <t>TE FOFO BBB JE DN 200</t>
  </si>
  <si>
    <t>25.63</t>
  </si>
  <si>
    <t>25.64</t>
  </si>
  <si>
    <t>25.65</t>
  </si>
  <si>
    <t>COPAS25000432</t>
  </si>
  <si>
    <t>REDUCAO FOFO PB JE DN 200X 150</t>
  </si>
  <si>
    <t>25.66</t>
  </si>
  <si>
    <t>COPAS25000449</t>
  </si>
  <si>
    <t>TE FOFO BBB JE DN 150</t>
  </si>
  <si>
    <t>25.67</t>
  </si>
  <si>
    <t>25.68</t>
  </si>
  <si>
    <t>25.69</t>
  </si>
  <si>
    <t>25.70</t>
  </si>
  <si>
    <t>25.71</t>
  </si>
  <si>
    <t>EMBM010701057</t>
  </si>
  <si>
    <t>TFP10 FoFo DN 100 X 1,50</t>
  </si>
  <si>
    <t>25.72</t>
  </si>
  <si>
    <t>COPAS25000076</t>
  </si>
  <si>
    <t>CURVA 45º FOFO BB JE DN 100</t>
  </si>
  <si>
    <t>25.73</t>
  </si>
  <si>
    <t>25.74</t>
  </si>
  <si>
    <t>25.75</t>
  </si>
  <si>
    <t>COPAS25040209</t>
  </si>
  <si>
    <t>TUBO FOFO PB EMIN 4,62MM DN  80XCMIN5,5M</t>
  </si>
  <si>
    <t>25.76</t>
  </si>
  <si>
    <t>25.77</t>
  </si>
  <si>
    <t>EMBM010905001</t>
  </si>
  <si>
    <t>T JGS FoFo DN 80 X 80</t>
  </si>
  <si>
    <t>25.78</t>
  </si>
  <si>
    <t>EMBM010907001</t>
  </si>
  <si>
    <t>R PB JGS FoFo DN 100 X 80</t>
  </si>
  <si>
    <t>25.79</t>
  </si>
  <si>
    <t>25.80</t>
  </si>
  <si>
    <t>RA01-RESERVATÓRIO APOIADO 300M3 - RAP09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</si>
  <si>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</si>
  <si>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</si>
  <si>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</si>
  <si>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</si>
  <si>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</si>
  <si>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</si>
  <si>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</si>
  <si>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</si>
  <si>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</si>
  <si>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</si>
  <si>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COPAS65000250</t>
  </si>
  <si>
    <t>FORMA CURVA EM CHAPA DE MADEIRA COMPENSADA RESINADA, E = 10 MM, P/ ESTRUTURAS</t>
  </si>
  <si>
    <t>26.11</t>
  </si>
  <si>
    <t>COPAS65000239</t>
  </si>
  <si>
    <t>FORMA PLANA EM CHAPA DE MADEIRA COMPENSADA RESINADA, E = 14 MM, P/ FUNDACOES</t>
  </si>
  <si>
    <t>26.12</t>
  </si>
  <si>
    <t>26.13</t>
  </si>
  <si>
    <t>26.14</t>
  </si>
  <si>
    <t>26.15</t>
  </si>
  <si>
    <t>26.16</t>
  </si>
  <si>
    <t>26.17</t>
  </si>
  <si>
    <t>26.18</t>
  </si>
  <si>
    <t>26.19</t>
  </si>
  <si>
    <t>MONTAGEM E INSTALAÇÃO DE SUPORTE SP1,EM GRAMPO "U",C/ PORCAS,GALVANIZADOS,¢ 1/2" ASTM A36 P/ TUBO DN200 DE FERRO FUNDIDO,COM FORNECIMENTO DE TODO MATERIAL E MÃO-DE-OBRA NECESSÁRIOS</t>
  </si>
  <si>
    <t>26.20</t>
  </si>
  <si>
    <t>MONTAGEM E INSTALAÇÃO DE SUPORTE SP2,EM GRAMPO "U",COM PORCAS,GALVANIZADOS,¢1/2" ASTM A36 P/ TUBO DN150 DE FERRO FUNDIDO,COM FORNECIMENTO DE TODO MATERIAL E MÃO-DE-OBRA NECESSÁRIOS</t>
  </si>
  <si>
    <t>26.21</t>
  </si>
  <si>
    <t>26.22</t>
  </si>
  <si>
    <t>26.23</t>
  </si>
  <si>
    <t>26.24</t>
  </si>
  <si>
    <t>26.25</t>
  </si>
  <si>
    <t>26.26</t>
  </si>
  <si>
    <t>EMBM011702017</t>
  </si>
  <si>
    <t>CP90FF10 FoFo DN 200</t>
  </si>
  <si>
    <t>26.27</t>
  </si>
  <si>
    <t>26.28</t>
  </si>
  <si>
    <t>COPAS25000349</t>
  </si>
  <si>
    <t>LUVA FOFO BB JE DN 200</t>
  </si>
  <si>
    <t>26.29</t>
  </si>
  <si>
    <t>26.30</t>
  </si>
  <si>
    <t>COPAS25003293</t>
  </si>
  <si>
    <t>REGISTRO FOFO CBOR.FV S14 PN10 DN200</t>
  </si>
  <si>
    <t>26.31</t>
  </si>
  <si>
    <t>COPAS25003298</t>
  </si>
  <si>
    <t>REGISTRO FOFO CBOR.FV S14 PN10/16 DN150</t>
  </si>
  <si>
    <t>26.32</t>
  </si>
  <si>
    <t>RESERVATÓRIO APOIADO METÁLICO 300M³</t>
  </si>
  <si>
    <t>26.33</t>
  </si>
  <si>
    <t>EMBM011701017</t>
  </si>
  <si>
    <t>TOF10 FoFo L = 0,25m DN 200</t>
  </si>
  <si>
    <t>26.34</t>
  </si>
  <si>
    <t>26.35</t>
  </si>
  <si>
    <t>COPAS25019736</t>
  </si>
  <si>
    <t>TUBO FOFO PF PN10 DN150X2,00M</t>
  </si>
  <si>
    <t>26.36</t>
  </si>
  <si>
    <t>EMBM010701149</t>
  </si>
  <si>
    <t>TFP10 FoFo DN 200 X 1,00</t>
  </si>
  <si>
    <t>26.37</t>
  </si>
  <si>
    <t>EMBM010701185</t>
  </si>
  <si>
    <t>TFP10 FoFo DN 200 X 5,50</t>
  </si>
  <si>
    <t>26.38</t>
  </si>
  <si>
    <t>97629</t>
  </si>
  <si>
    <t>DEMOLIÇÃO DE LAJES, EM CONCRETO ARMADO, DE FORMA MECANIZADA COM MARTELETE, SEM REAPROVEITAMENTO. AF_09/2023</t>
  </si>
  <si>
    <t>26.39</t>
  </si>
  <si>
    <t>29</t>
  </si>
  <si>
    <t>REMOCAO DE RESERVATÓRIOS</t>
  </si>
  <si>
    <t>26.40</t>
  </si>
  <si>
    <t>26.41</t>
  </si>
  <si>
    <t>COPAS65000178</t>
  </si>
  <si>
    <t>CARGA MANUAL (MATERIAL EM GERAL), SEM MANUSEIO E ARRUMACAO DO MATERIAL, INCLUSIVE DESCARGA</t>
  </si>
  <si>
    <t>26.42</t>
  </si>
  <si>
    <t>COPAS65000182</t>
  </si>
  <si>
    <t>DESCARGA DE MATERIAL EM GERAL, A GRANEL, DE CAMINHAO BASCULANTE</t>
  </si>
  <si>
    <t>26.43</t>
  </si>
  <si>
    <t>26.44</t>
  </si>
  <si>
    <t>26.45</t>
  </si>
  <si>
    <t>26.46</t>
  </si>
  <si>
    <t>26.47</t>
  </si>
  <si>
    <t>26.48</t>
  </si>
  <si>
    <t>26.49</t>
  </si>
  <si>
    <t>26.50</t>
  </si>
  <si>
    <t>26.51</t>
  </si>
  <si>
    <t>26.52</t>
  </si>
  <si>
    <t>26.53</t>
  </si>
  <si>
    <t>COPAS65001147</t>
  </si>
  <si>
    <t>CADASTRO DE REDE DE DISTRIBUICAO DE AGUA (RDA)</t>
  </si>
  <si>
    <t>26.54</t>
  </si>
  <si>
    <t>COPAS65001171</t>
  </si>
  <si>
    <t>LOCACAO DE REDE E ELABORACAO DE NOTA DE SERVICO, INCLUSIVE LEVANTAMENTO DE NORMAIS - OBRAS</t>
  </si>
  <si>
    <t>26.55</t>
  </si>
  <si>
    <t>26.56</t>
  </si>
  <si>
    <t>26.57</t>
  </si>
  <si>
    <t>26.58</t>
  </si>
  <si>
    <t>COPAS25000431</t>
  </si>
  <si>
    <t>REDUCAO FOFO PB JE DN 200X 100</t>
  </si>
  <si>
    <t>26.59</t>
  </si>
  <si>
    <t>26.60</t>
  </si>
  <si>
    <t>26.61</t>
  </si>
  <si>
    <t>26.62</t>
  </si>
  <si>
    <t>COPAS25040215</t>
  </si>
  <si>
    <t>TUBO FOFO PB EMIN 5,60MM DN 300XCMIN5,5M</t>
  </si>
  <si>
    <t>RESERVATÓRIO ELEVADO 100M3 - REL09 / INTERLIGAÇÕES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</si>
  <si>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</si>
  <si>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</si>
  <si>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</si>
  <si>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</si>
  <si>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</si>
  <si>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</si>
  <si>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</si>
  <si>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</si>
  <si>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</si>
  <si>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27.10</t>
  </si>
  <si>
    <t>27.11</t>
  </si>
  <si>
    <t>27.12</t>
  </si>
  <si>
    <t>27.13</t>
  </si>
  <si>
    <t>27.14</t>
  </si>
  <si>
    <t>27.15</t>
  </si>
  <si>
    <t>27.16</t>
  </si>
  <si>
    <t>27.17</t>
  </si>
  <si>
    <t>27.18</t>
  </si>
  <si>
    <t>27.19</t>
  </si>
  <si>
    <t>27.20</t>
  </si>
  <si>
    <t>27.21</t>
  </si>
  <si>
    <t>27.22</t>
  </si>
  <si>
    <t>27.23</t>
  </si>
  <si>
    <t>27.24</t>
  </si>
  <si>
    <t>27.25</t>
  </si>
  <si>
    <t>27.26</t>
  </si>
  <si>
    <t>27.27</t>
  </si>
  <si>
    <t>27.28</t>
  </si>
  <si>
    <t>90735</t>
  </si>
  <si>
    <t>ASSENTAMENTO DE TUBO DE PVC PARA REDE COLETORA DE ESGOTO DE PAREDE MACIÇA, DN 200 MM, JUNTA ELÁSTICA (NÃO INCLUI FORNECIMENTO). AF_01/2021</t>
  </si>
  <si>
    <t>27.29</t>
  </si>
  <si>
    <t>27.30</t>
  </si>
  <si>
    <t>27.31</t>
  </si>
  <si>
    <t>27.32</t>
  </si>
  <si>
    <t>27.33</t>
  </si>
  <si>
    <t>27.34</t>
  </si>
  <si>
    <t>27.35</t>
  </si>
  <si>
    <t>27.36</t>
  </si>
  <si>
    <t>27.37</t>
  </si>
  <si>
    <t>27.38</t>
  </si>
  <si>
    <t>27.39</t>
  </si>
  <si>
    <t>27.40</t>
  </si>
  <si>
    <t>27.41</t>
  </si>
  <si>
    <t>27.42</t>
  </si>
  <si>
    <t>27.43</t>
  </si>
  <si>
    <t>27.44</t>
  </si>
  <si>
    <t>27.45</t>
  </si>
  <si>
    <t>27.46</t>
  </si>
  <si>
    <t>27.47</t>
  </si>
  <si>
    <t>27.48</t>
  </si>
  <si>
    <t>27.49</t>
  </si>
  <si>
    <t>27.50</t>
  </si>
  <si>
    <t>27.51</t>
  </si>
  <si>
    <t>27.52</t>
  </si>
  <si>
    <t>27.53</t>
  </si>
  <si>
    <t>27.54</t>
  </si>
  <si>
    <t>27.55</t>
  </si>
  <si>
    <t>27.56</t>
  </si>
  <si>
    <t>27.57</t>
  </si>
  <si>
    <t>27.58</t>
  </si>
  <si>
    <t>27.59</t>
  </si>
  <si>
    <t>27.60</t>
  </si>
  <si>
    <t>27.61</t>
  </si>
  <si>
    <t>27.62</t>
  </si>
  <si>
    <t>EMBM010501053</t>
  </si>
  <si>
    <t>TFL10 FoFo DN 100 X 1,00</t>
  </si>
  <si>
    <t>27.63</t>
  </si>
  <si>
    <t>27.64</t>
  </si>
  <si>
    <t>COPAS25040296</t>
  </si>
  <si>
    <t>TUBO FOFO ESG.PB C/ANEL DN 100XCMIN5,5M</t>
  </si>
  <si>
    <t>27.65</t>
  </si>
  <si>
    <t>COPAS25040294</t>
  </si>
  <si>
    <t>TUBO FOFO ESG.PB C/ANEL DN  80XCMIN5,5M</t>
  </si>
  <si>
    <t>27.66</t>
  </si>
  <si>
    <t>27.67</t>
  </si>
  <si>
    <t>27.68</t>
  </si>
  <si>
    <t>27.69</t>
  </si>
  <si>
    <t>27.70</t>
  </si>
  <si>
    <t>27.71</t>
  </si>
  <si>
    <t>27.72</t>
  </si>
  <si>
    <t>Total:</t>
  </si>
  <si>
    <t>Valor não utilizado (QCI):</t>
  </si>
  <si>
    <t>Número</t>
  </si>
  <si>
    <t>Parcela</t>
  </si>
  <si>
    <t>Percentual Parcela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</si>
</sst>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1" fillId="0" borderId="0"/>
  </cellStyleXfs>
  <cellXfs count="20">
    <xf numFmtId="0" fontId="0" fillId="0" borderId="0" xfId="0"/>
    <xf numFmtId="0" fontId="2" fillId="2" borderId="0" xfId="3" applyFont="1" applyFill="1" applyAlignment="1">
      <alignment horizontal="center"/>
    </xf>
    <xf numFmtId="49" fontId="2" fillId="2" borderId="0" xfId="3" applyNumberFormat="1" applyFont="1" applyFill="1" applyAlignment="1">
      <alignment horizontal="center"/>
    </xf>
    <xf numFmtId="0" fontId="1" fillId="0" borderId="0" xfId="3"/>
    <xf numFmtId="49" fontId="3" fillId="0" borderId="1" xfId="3" applyNumberFormat="1" applyFont="1" applyBorder="1" applyAlignment="1">
      <alignment horizontal="center" vertical="center" wrapText="1"/>
    </xf>
    <xf numFmtId="49" fontId="3" fillId="0" borderId="1" xfId="3" quotePrefix="1" applyNumberFormat="1" applyFont="1" applyBorder="1" applyAlignment="1">
      <alignment horizontal="center" vertical="center" wrapText="1"/>
    </xf>
    <xf numFmtId="4" fontId="3" fillId="3" borderId="1" xfId="3" applyNumberFormat="1" applyFont="1" applyFill="1" applyBorder="1" applyAlignment="1">
      <alignment horizontal="center" vertical="center"/>
    </xf>
    <xf numFmtId="164" fontId="3" fillId="0" borderId="1" xfId="3" applyNumberFormat="1" applyFont="1" applyBorder="1" applyAlignment="1">
      <alignment horizontal="center" vertical="center"/>
    </xf>
    <xf numFmtId="10" fontId="3" fillId="0" borderId="1" xfId="2" applyNumberFormat="1" applyBorder="1" applyAlignment="1">
      <alignment horizontal="center" vertical="center"/>
    </xf>
    <xf numFmtId="164" fontId="3" fillId="3" borderId="1" xfId="3" applyNumberFormat="1" applyFont="1" applyFill="1" applyBorder="1" applyAlignment="1">
      <alignment horizontal="center" vertical="center"/>
    </xf>
    <xf numFmtId="1" fontId="3" fillId="0" borderId="1" xfId="3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/>
    </xf>
    <xf numFmtId="49" fontId="1" fillId="0" borderId="0" xfId="3" applyNumberFormat="1"/>
    <xf numFmtId="0" fontId="1" fillId="0" borderId="0" xfId="3" applyAlignment="1">
      <alignment horizontal="right"/>
    </xf>
    <xf numFmtId="165" fontId="3" fillId="4" borderId="1" xfId="1" applyFill="1" applyBorder="1"/>
    <xf numFmtId="0" fontId="3" fillId="0" borderId="2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2" fontId="3" fillId="0" borderId="3" xfId="3" applyNumberFormat="1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4" xfId="3" xr:uid="{F05299A9-DF5D-462E-92A6-B484C70A5445}"/>
    <cellStyle name="Porcentagem" xfId="2" builtinId="5"/>
  </cellStyles>
  <dxfs count="18"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ESPRO\CARMO%20DO%20CAJURU\6&#170;ENTREGA\1-OR&#199;AMENTO\1-OR&#199;AMENTO\Planilha_Multipla_v3_16.xlsm" TargetMode="External"/><Relationship Id="rId1" Type="http://schemas.openxmlformats.org/officeDocument/2006/relationships/externalLinkPath" Target="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1">
          <cell r="J1" t="str">
            <v>PM</v>
          </cell>
          <cell r="K1" t="b">
            <v>1</v>
          </cell>
        </row>
        <row r="2">
          <cell r="J2" t="str">
            <v>v3.16</v>
          </cell>
          <cell r="K2" t="b">
            <v>1</v>
          </cell>
        </row>
        <row r="3">
          <cell r="O3">
            <v>1</v>
          </cell>
        </row>
        <row r="4">
          <cell r="J4" t="str">
            <v>BM</v>
          </cell>
        </row>
      </sheetData>
      <sheetData sheetId="2">
        <row r="2">
          <cell r="G2" t="str">
            <v>(SELECIONAR)</v>
          </cell>
          <cell r="H2" t="str">
            <v>(SELECIONAR)</v>
          </cell>
          <cell r="I2" t="str">
            <v>(SELECIONAR)</v>
          </cell>
          <cell r="J2" t="str">
            <v>Tradicional</v>
          </cell>
          <cell r="L2" t="str">
            <v>Itens de Investimento</v>
          </cell>
          <cell r="M2" t="str">
            <v>Unidades habitacionais</v>
          </cell>
          <cell r="N2">
            <v>3</v>
          </cell>
          <cell r="O2" t="str">
            <v>Equipamentos comunitários</v>
          </cell>
          <cell r="P2">
            <v>6</v>
          </cell>
          <cell r="Q2" t="str">
            <v>Pavimentação</v>
          </cell>
          <cell r="R2">
            <v>6</v>
          </cell>
          <cell r="S2" t="str">
            <v xml:space="preserve">Drenagem </v>
          </cell>
          <cell r="T2">
            <v>6</v>
          </cell>
          <cell r="U2" t="str">
            <v>Abastecimento de água</v>
          </cell>
          <cell r="V2">
            <v>11</v>
          </cell>
          <cell r="W2" t="str">
            <v>Esgotamento sanitário</v>
          </cell>
          <cell r="X2">
            <v>8</v>
          </cell>
          <cell r="Y2" t="str">
            <v>Energia elétrica e iluminação pública</v>
          </cell>
          <cell r="Z2">
            <v>4</v>
          </cell>
          <cell r="AA2" t="str">
            <v>Coleta e tratamento de resíduos sólidos</v>
          </cell>
          <cell r="AB2">
            <v>6</v>
          </cell>
          <cell r="AC2" t="str">
            <v xml:space="preserve">Contenção e estabilização de encostas </v>
          </cell>
          <cell r="AD2">
            <v>2</v>
          </cell>
          <cell r="AE2" t="str">
            <v>Regularização fundiária</v>
          </cell>
          <cell r="AF2">
            <v>2</v>
          </cell>
          <cell r="AG2" t="str">
            <v>Aquisição de terreno</v>
          </cell>
          <cell r="AH2">
            <v>2</v>
          </cell>
          <cell r="AI2" t="str">
            <v>Aquisição de equipamentos e insumos</v>
          </cell>
          <cell r="AJ2">
            <v>1</v>
          </cell>
          <cell r="AK2" t="str">
            <v>Elaboração de estudos e projetos</v>
          </cell>
          <cell r="AL2">
            <v>1</v>
          </cell>
          <cell r="AM2" t="str">
            <v>Instrumentos e ações em planejamento e gestão pública</v>
          </cell>
          <cell r="AN2">
            <v>1</v>
          </cell>
          <cell r="AO2" t="str">
            <v>Ações complementares às obras</v>
          </cell>
          <cell r="AP2">
            <v>3</v>
          </cell>
          <cell r="AQ2" t="str">
            <v>Gerenciamento</v>
          </cell>
          <cell r="AR2">
            <v>1</v>
          </cell>
          <cell r="AS2" t="str">
            <v>Trabalho social</v>
          </cell>
          <cell r="AT2">
            <v>4</v>
          </cell>
          <cell r="AV2" t="str">
            <v>Sigla</v>
          </cell>
          <cell r="AW2" t="str">
            <v>Descrição</v>
          </cell>
        </row>
        <row r="3">
          <cell r="G3" t="str">
            <v>OGU</v>
          </cell>
          <cell r="H3" t="str">
            <v>NÃO SE APLICA</v>
          </cell>
          <cell r="I3" t="str">
            <v>INDEFINIDO / NÃO SE APLICA</v>
          </cell>
          <cell r="J3" t="str">
            <v>TransfereGOV</v>
          </cell>
          <cell r="L3" t="str">
            <v>Unidades habitacionais</v>
          </cell>
          <cell r="AV3" t="str">
            <v>%CT</v>
          </cell>
        </row>
        <row r="4">
          <cell r="C4" t="str">
            <v>OGU</v>
          </cell>
          <cell r="G4" t="str">
            <v>FGTS</v>
          </cell>
          <cell r="H4" t="str">
            <v>DESONERADO</v>
          </cell>
          <cell r="I4" t="str">
            <v>EMPREITADA POR PREÇO GLOBAL</v>
          </cell>
          <cell r="L4" t="str">
            <v>Equipamentos comunitários</v>
          </cell>
          <cell r="AV4" t="str">
            <v>°C</v>
          </cell>
        </row>
        <row r="5">
          <cell r="C5" t="str">
            <v>SERVIÇO AUTÁRQUICO DE ÁGUA E ESGOTO</v>
          </cell>
          <cell r="H5" t="str">
            <v>NÃO DESONERADO</v>
          </cell>
          <cell r="I5" t="str">
            <v>EMPREITADA POR PREÇO UNITÁRIO</v>
          </cell>
          <cell r="L5" t="str">
            <v>Pavimentação</v>
          </cell>
          <cell r="AV5" t="str">
            <v>°F</v>
          </cell>
        </row>
        <row r="6">
          <cell r="C6" t="str">
            <v>Carmo Cajuru/ MG</v>
          </cell>
          <cell r="I6" t="str">
            <v>EMPREITADA INTEGRAL</v>
          </cell>
          <cell r="L6" t="str">
            <v xml:space="preserve">Drenagem </v>
          </cell>
          <cell r="AV6" t="str">
            <v>100M</v>
          </cell>
        </row>
        <row r="7">
          <cell r="C7" t="str">
            <v>1098046-05</v>
          </cell>
          <cell r="I7" t="str">
            <v>TAREFA</v>
          </cell>
          <cell r="L7" t="str">
            <v>Abastecimento de água</v>
          </cell>
          <cell r="AV7" t="str">
            <v>18L</v>
          </cell>
        </row>
        <row r="8">
          <cell r="C8" t="str">
            <v>968219/2024</v>
          </cell>
          <cell r="I8" t="str">
            <v>CONTRATAÇÃO INTEGRADA</v>
          </cell>
          <cell r="L8" t="str">
            <v>Esgotamento sanitário</v>
          </cell>
          <cell r="AV8" t="str">
            <v>200KG</v>
          </cell>
        </row>
        <row r="9">
          <cell r="C9">
            <v>8213841.1100000003</v>
          </cell>
          <cell r="I9" t="str">
            <v>ADM. DIRETA</v>
          </cell>
          <cell r="L9" t="str">
            <v>Energia elétrica e iluminação pública</v>
          </cell>
          <cell r="AV9" t="str">
            <v>250G</v>
          </cell>
        </row>
        <row r="10">
          <cell r="C10">
            <v>2743809.22</v>
          </cell>
          <cell r="L10" t="str">
            <v>Coleta e tratamento de resíduos sólidos</v>
          </cell>
          <cell r="AV10" t="str">
            <v>310ML</v>
          </cell>
        </row>
        <row r="11">
          <cell r="C11">
            <v>0.25040000000000001</v>
          </cell>
          <cell r="L11" t="str">
            <v xml:space="preserve">Contenção e estabilização de encostas </v>
          </cell>
          <cell r="AV11" t="str">
            <v>50KG</v>
          </cell>
        </row>
        <row r="12">
          <cell r="L12" t="str">
            <v>Regularização fundiária</v>
          </cell>
          <cell r="AV12" t="str">
            <v>A</v>
          </cell>
        </row>
        <row r="13">
          <cell r="L13" t="str">
            <v>Aquisição de terreno</v>
          </cell>
          <cell r="AV13" t="str">
            <v>ACA/ACC</v>
          </cell>
        </row>
        <row r="14">
          <cell r="L14" t="str">
            <v>Aquisição de equipamentos e insumos</v>
          </cell>
          <cell r="AV14" t="str">
            <v>AH</v>
          </cell>
        </row>
        <row r="15">
          <cell r="L15" t="str">
            <v>Elaboração de estudos e projetos</v>
          </cell>
          <cell r="AV15" t="str">
            <v>AH/H/V</v>
          </cell>
        </row>
        <row r="16">
          <cell r="C16" t="str">
            <v>SAA CARMO CAJURU</v>
          </cell>
          <cell r="L16" t="str">
            <v>Instrumentos e ações em planejamento e gestão pública</v>
          </cell>
          <cell r="AV16" t="str">
            <v>AM</v>
          </cell>
        </row>
        <row r="17">
          <cell r="C17" t="str">
            <v>Sistema de Esgotamento Sanitário Carmo do Cajuru- MG</v>
          </cell>
          <cell r="L17" t="str">
            <v>Ações complementares às obras</v>
          </cell>
          <cell r="AV17" t="str">
            <v>AM0/4ML</v>
          </cell>
        </row>
        <row r="18">
          <cell r="C18" t="str">
            <v>DESONERADO</v>
          </cell>
          <cell r="D18" t="str">
            <v/>
          </cell>
          <cell r="L18" t="str">
            <v>Gerenciamento</v>
          </cell>
          <cell r="AV18" t="str">
            <v>AM0/5ML</v>
          </cell>
        </row>
        <row r="19">
          <cell r="D19" t="str">
            <v/>
          </cell>
          <cell r="L19" t="str">
            <v>Trabalho social</v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ALBERTO OLIVEIRA CHAVES</v>
          </cell>
          <cell r="AV22" t="str">
            <v>AM2/5ML</v>
          </cell>
        </row>
        <row r="23">
          <cell r="C23" t="str">
            <v>68765/D</v>
          </cell>
          <cell r="AV23" t="str">
            <v>AM2ML</v>
          </cell>
        </row>
        <row r="24">
          <cell r="C24" t="str">
            <v>MG20254162549</v>
          </cell>
          <cell r="AV24" t="str">
            <v>AM3ML</v>
          </cell>
        </row>
        <row r="25">
          <cell r="D25" t="str">
            <v/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D41" t="str">
            <v/>
          </cell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4">
          <cell r="J14" t="str">
            <v>BDI 1</v>
          </cell>
        </row>
        <row r="17">
          <cell r="J17" t="str">
            <v>Construção de Redes de Abastecimento de Água, Coleta de Esgoto</v>
          </cell>
        </row>
        <row r="54">
          <cell r="J54" t="str">
            <v>BDI 2</v>
          </cell>
        </row>
        <row r="57">
          <cell r="J57" t="str">
            <v>Fornecimento de Materiais e Equipamentos (aquisição indireta - em conjunto com licitação de obras)</v>
          </cell>
        </row>
        <row r="94">
          <cell r="J94" t="str">
            <v>BDI 3</v>
          </cell>
        </row>
        <row r="97">
          <cell r="J97" t="str">
            <v>(SELECIONAR)</v>
          </cell>
        </row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  <row r="8">
          <cell r="F8" t="str">
            <v>'[Referência 09-2025.xlsm]Banco'!$a5:$a$65536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10957650.330000009</v>
          </cell>
          <cell r="Z15" t="str">
            <v/>
          </cell>
          <cell r="AA15">
            <v>2743809.2200000044</v>
          </cell>
          <cell r="AB15">
            <v>0</v>
          </cell>
        </row>
        <row r="16">
          <cell r="X16">
            <v>10957650.33</v>
          </cell>
          <cell r="Z16" t="str">
            <v/>
          </cell>
          <cell r="AA16">
            <v>2743809.2200000044</v>
          </cell>
          <cell r="AB16">
            <v>0</v>
          </cell>
        </row>
        <row r="17">
          <cell r="X17">
            <v>78231.81</v>
          </cell>
          <cell r="Z17" t="str">
            <v/>
          </cell>
          <cell r="AA17">
            <v>19589.342159204327</v>
          </cell>
          <cell r="AB17">
            <v>0</v>
          </cell>
        </row>
        <row r="18">
          <cell r="X18">
            <v>28585.200000000001</v>
          </cell>
          <cell r="Z18" t="str">
            <v>RA</v>
          </cell>
          <cell r="AA18">
            <v>7157.7694992521265</v>
          </cell>
          <cell r="AB18">
            <v>0</v>
          </cell>
        </row>
        <row r="19">
          <cell r="X19">
            <v>12768.6</v>
          </cell>
          <cell r="Z19" t="str">
            <v>RA</v>
          </cell>
          <cell r="AA19">
            <v>3197.2732612733407</v>
          </cell>
          <cell r="AB19">
            <v>0</v>
          </cell>
        </row>
        <row r="20">
          <cell r="X20">
            <v>2623.92</v>
          </cell>
          <cell r="Z20" t="str">
            <v>RA</v>
          </cell>
          <cell r="AA20">
            <v>657.03281923784482</v>
          </cell>
          <cell r="AB20">
            <v>0</v>
          </cell>
        </row>
        <row r="21">
          <cell r="X21">
            <v>8748.7199999999993</v>
          </cell>
          <cell r="Z21" t="str">
            <v>RA</v>
          </cell>
          <cell r="AA21">
            <v>2190.6903283341398</v>
          </cell>
          <cell r="AB21">
            <v>0</v>
          </cell>
        </row>
        <row r="22">
          <cell r="X22">
            <v>24202.560000000001</v>
          </cell>
          <cell r="Z22" t="str">
            <v>RA</v>
          </cell>
          <cell r="AA22">
            <v>6060.3510128255029</v>
          </cell>
          <cell r="AB22">
            <v>0</v>
          </cell>
        </row>
        <row r="23">
          <cell r="X23">
            <v>399.47</v>
          </cell>
          <cell r="Z23" t="str">
            <v>RA</v>
          </cell>
          <cell r="AA23">
            <v>100.02778297392521</v>
          </cell>
          <cell r="AB23">
            <v>0</v>
          </cell>
        </row>
        <row r="24">
          <cell r="X24">
            <v>476.44</v>
          </cell>
          <cell r="Z24" t="str">
            <v>RA</v>
          </cell>
          <cell r="AA24">
            <v>119.3011663456503</v>
          </cell>
          <cell r="AB24">
            <v>0</v>
          </cell>
        </row>
        <row r="25">
          <cell r="X25">
            <v>426.9</v>
          </cell>
          <cell r="Z25" t="str">
            <v>RA</v>
          </cell>
          <cell r="AA25">
            <v>106.89628896179606</v>
          </cell>
          <cell r="AB25">
            <v>0</v>
          </cell>
        </row>
        <row r="26">
          <cell r="X26">
            <v>791609.28</v>
          </cell>
          <cell r="Z26" t="str">
            <v/>
          </cell>
          <cell r="AA26">
            <v>198219.9445765269</v>
          </cell>
          <cell r="AB26">
            <v>0</v>
          </cell>
        </row>
        <row r="27">
          <cell r="X27">
            <v>791609.28</v>
          </cell>
          <cell r="Z27" t="str">
            <v>RA</v>
          </cell>
          <cell r="AA27">
            <v>198219.9445765269</v>
          </cell>
          <cell r="AB27">
            <v>0</v>
          </cell>
        </row>
        <row r="28">
          <cell r="X28">
            <v>724770.3</v>
          </cell>
          <cell r="Z28" t="str">
            <v/>
          </cell>
          <cell r="AA28">
            <v>181483.38116591147</v>
          </cell>
          <cell r="AB28">
            <v>0</v>
          </cell>
        </row>
        <row r="29">
          <cell r="X29">
            <v>288744.23</v>
          </cell>
          <cell r="Z29" t="str">
            <v/>
          </cell>
          <cell r="AA29">
            <v>72301.912968215751</v>
          </cell>
          <cell r="AB29">
            <v>0</v>
          </cell>
        </row>
        <row r="30">
          <cell r="X30">
            <v>532.16999999999996</v>
          </cell>
          <cell r="Z30" t="str">
            <v>RA</v>
          </cell>
          <cell r="AA30">
            <v>133.25602739938864</v>
          </cell>
          <cell r="AB30">
            <v>0</v>
          </cell>
        </row>
        <row r="31">
          <cell r="X31">
            <v>323.86</v>
          </cell>
          <cell r="Z31" t="str">
            <v>RA</v>
          </cell>
          <cell r="AA31">
            <v>81.094945287344288</v>
          </cell>
          <cell r="AB31">
            <v>0</v>
          </cell>
        </row>
        <row r="32">
          <cell r="X32">
            <v>2204.6</v>
          </cell>
          <cell r="Z32" t="str">
            <v>RA</v>
          </cell>
          <cell r="AA32">
            <v>552.03457166824921</v>
          </cell>
          <cell r="AB32">
            <v>0</v>
          </cell>
        </row>
        <row r="33">
          <cell r="X33">
            <v>650.64</v>
          </cell>
          <cell r="Z33" t="str">
            <v>RA</v>
          </cell>
          <cell r="AA33">
            <v>162.92106219279219</v>
          </cell>
          <cell r="AB33">
            <v>0</v>
          </cell>
        </row>
        <row r="34">
          <cell r="X34">
            <v>3716.13</v>
          </cell>
          <cell r="Z34" t="str">
            <v>RA</v>
          </cell>
          <cell r="AA34">
            <v>930.52355656968655</v>
          </cell>
          <cell r="AB34">
            <v>0</v>
          </cell>
        </row>
        <row r="35">
          <cell r="X35">
            <v>3321.31</v>
          </cell>
          <cell r="Z35" t="str">
            <v>RA</v>
          </cell>
          <cell r="AA35">
            <v>831.66013935746753</v>
          </cell>
          <cell r="AB35">
            <v>0</v>
          </cell>
        </row>
        <row r="36">
          <cell r="X36">
            <v>834.5</v>
          </cell>
          <cell r="Z36" t="str">
            <v>RA</v>
          </cell>
          <cell r="AA36">
            <v>208.95983400941395</v>
          </cell>
          <cell r="AB36">
            <v>0</v>
          </cell>
        </row>
        <row r="37">
          <cell r="X37">
            <v>5255.26</v>
          </cell>
          <cell r="Z37" t="str">
            <v>RA</v>
          </cell>
          <cell r="AA37">
            <v>1315.9236156696379</v>
          </cell>
          <cell r="AB37">
            <v>0</v>
          </cell>
        </row>
        <row r="38">
          <cell r="X38">
            <v>9655.61</v>
          </cell>
          <cell r="Z38" t="str">
            <v>RA</v>
          </cell>
          <cell r="AA38">
            <v>2417.7767080403087</v>
          </cell>
          <cell r="AB38">
            <v>0</v>
          </cell>
        </row>
        <row r="39">
          <cell r="X39">
            <v>5504.34</v>
          </cell>
          <cell r="Z39" t="str">
            <v>RA</v>
          </cell>
          <cell r="AA39">
            <v>1378.2935562988348</v>
          </cell>
          <cell r="AB39">
            <v>0</v>
          </cell>
        </row>
        <row r="40">
          <cell r="X40">
            <v>56503.94</v>
          </cell>
          <cell r="Z40" t="str">
            <v>RA</v>
          </cell>
          <cell r="AA40">
            <v>14148.656588709269</v>
          </cell>
          <cell r="AB40">
            <v>0</v>
          </cell>
        </row>
        <row r="41">
          <cell r="X41">
            <v>36626</v>
          </cell>
          <cell r="Z41" t="str">
            <v>RA</v>
          </cell>
          <cell r="AA41">
            <v>9171.1957824191668</v>
          </cell>
          <cell r="AB41">
            <v>0</v>
          </cell>
        </row>
        <row r="42">
          <cell r="X42">
            <v>1736.85</v>
          </cell>
          <cell r="Z42" t="str">
            <v>RA</v>
          </cell>
          <cell r="AA42">
            <v>434.90939209017449</v>
          </cell>
          <cell r="AB42">
            <v>0</v>
          </cell>
        </row>
        <row r="43">
          <cell r="X43">
            <v>159690.74</v>
          </cell>
          <cell r="Z43" t="str">
            <v>RA</v>
          </cell>
          <cell r="AA43">
            <v>39986.75916505749</v>
          </cell>
          <cell r="AB43">
            <v>0</v>
          </cell>
        </row>
        <row r="44">
          <cell r="X44">
            <v>86.88</v>
          </cell>
          <cell r="Z44" t="str">
            <v>RA</v>
          </cell>
          <cell r="AA44">
            <v>21.754859650974094</v>
          </cell>
          <cell r="AB44">
            <v>0</v>
          </cell>
        </row>
        <row r="45">
          <cell r="X45">
            <v>133.12</v>
          </cell>
          <cell r="Z45" t="str">
            <v>RA</v>
          </cell>
          <cell r="AA45">
            <v>33.333412945875594</v>
          </cell>
          <cell r="AB45">
            <v>0</v>
          </cell>
        </row>
        <row r="46">
          <cell r="X46">
            <v>14.56</v>
          </cell>
          <cell r="Z46" t="str">
            <v>RA</v>
          </cell>
          <cell r="AA46">
            <v>3.6458420409551433</v>
          </cell>
          <cell r="AB46">
            <v>0</v>
          </cell>
        </row>
        <row r="47">
          <cell r="X47">
            <v>1953.72</v>
          </cell>
          <cell r="Z47" t="str">
            <v>RA</v>
          </cell>
          <cell r="AA47">
            <v>489.21390880871445</v>
          </cell>
          <cell r="AB47">
            <v>0</v>
          </cell>
        </row>
        <row r="48">
          <cell r="X48">
            <v>73970.3</v>
          </cell>
          <cell r="Z48" t="str">
            <v/>
          </cell>
          <cell r="AA48">
            <v>18522.254774867051</v>
          </cell>
          <cell r="AB48">
            <v>0</v>
          </cell>
        </row>
        <row r="49">
          <cell r="X49">
            <v>11.94</v>
          </cell>
          <cell r="Z49" t="str">
            <v>RA</v>
          </cell>
          <cell r="AA49">
            <v>2.9897907945744788</v>
          </cell>
          <cell r="AB49">
            <v>0</v>
          </cell>
        </row>
        <row r="50">
          <cell r="X50">
            <v>29.84</v>
          </cell>
          <cell r="Z50" t="str">
            <v>RA</v>
          </cell>
          <cell r="AA50">
            <v>7.471972974045431</v>
          </cell>
          <cell r="AB50">
            <v>0</v>
          </cell>
        </row>
        <row r="51">
          <cell r="X51">
            <v>234.48</v>
          </cell>
          <cell r="Z51" t="str">
            <v>RA</v>
          </cell>
          <cell r="AA51">
            <v>58.714082538678703</v>
          </cell>
          <cell r="AB51">
            <v>0</v>
          </cell>
        </row>
        <row r="52">
          <cell r="X52">
            <v>6.16</v>
          </cell>
          <cell r="Z52" t="str">
            <v>RA</v>
          </cell>
          <cell r="AA52">
            <v>1.5424716327117913</v>
          </cell>
          <cell r="AB52">
            <v>0</v>
          </cell>
        </row>
        <row r="53">
          <cell r="X53">
            <v>343.57</v>
          </cell>
          <cell r="Z53" t="str">
            <v>RA</v>
          </cell>
          <cell r="AA53">
            <v>86.03035370954386</v>
          </cell>
          <cell r="AB53">
            <v>0</v>
          </cell>
        </row>
        <row r="54">
          <cell r="X54">
            <v>5459.64</v>
          </cell>
          <cell r="Z54" t="str">
            <v>RA</v>
          </cell>
          <cell r="AA54">
            <v>1367.1006209121113</v>
          </cell>
          <cell r="AB54">
            <v>0</v>
          </cell>
        </row>
        <row r="55">
          <cell r="X55">
            <v>899.77</v>
          </cell>
          <cell r="Z55" t="str">
            <v>RA</v>
          </cell>
          <cell r="AA55">
            <v>225.30352288394295</v>
          </cell>
          <cell r="AB55">
            <v>0</v>
          </cell>
        </row>
        <row r="56">
          <cell r="X56">
            <v>464.12</v>
          </cell>
          <cell r="Z56" t="str">
            <v>RA</v>
          </cell>
          <cell r="AA56">
            <v>116.21622308022673</v>
          </cell>
          <cell r="AB56">
            <v>0</v>
          </cell>
        </row>
        <row r="57">
          <cell r="X57">
            <v>11306.18</v>
          </cell>
          <cell r="Z57" t="str">
            <v>RA</v>
          </cell>
          <cell r="AA57">
            <v>2831.0814812229551</v>
          </cell>
          <cell r="AB57">
            <v>0</v>
          </cell>
        </row>
        <row r="58">
          <cell r="X58">
            <v>1835.66</v>
          </cell>
          <cell r="Z58" t="str">
            <v>RA</v>
          </cell>
          <cell r="AA58">
            <v>459.65153852333231</v>
          </cell>
          <cell r="AB58">
            <v>0</v>
          </cell>
        </row>
        <row r="59">
          <cell r="X59">
            <v>3494.4</v>
          </cell>
          <cell r="Z59" t="str">
            <v>RA</v>
          </cell>
          <cell r="AA59">
            <v>875.00208982923436</v>
          </cell>
          <cell r="AB59">
            <v>0</v>
          </cell>
        </row>
        <row r="60">
          <cell r="X60">
            <v>179.6</v>
          </cell>
          <cell r="Z60" t="str">
            <v>RA</v>
          </cell>
          <cell r="AA60">
            <v>44.972062538155477</v>
          </cell>
          <cell r="AB60">
            <v>0</v>
          </cell>
        </row>
        <row r="61">
          <cell r="X61">
            <v>1798.48</v>
          </cell>
          <cell r="Z61" t="str">
            <v>RA</v>
          </cell>
          <cell r="AA61">
            <v>450.3416204544647</v>
          </cell>
          <cell r="AB61">
            <v>0</v>
          </cell>
        </row>
        <row r="62">
          <cell r="X62">
            <v>7129.64</v>
          </cell>
          <cell r="Z62" t="str">
            <v>RA</v>
          </cell>
          <cell r="AA62">
            <v>1785.2706901700158</v>
          </cell>
          <cell r="AB62">
            <v>0</v>
          </cell>
        </row>
        <row r="63">
          <cell r="X63">
            <v>702.55</v>
          </cell>
          <cell r="Z63" t="str">
            <v>RA</v>
          </cell>
          <cell r="AA63">
            <v>175.91939051325795</v>
          </cell>
          <cell r="AB63">
            <v>0</v>
          </cell>
        </row>
        <row r="64">
          <cell r="X64">
            <v>942.84</v>
          </cell>
          <cell r="Z64" t="str">
            <v>RA</v>
          </cell>
          <cell r="AA64">
            <v>236.08830425097167</v>
          </cell>
          <cell r="AB64">
            <v>0</v>
          </cell>
        </row>
        <row r="65">
          <cell r="X65">
            <v>3791.74</v>
          </cell>
          <cell r="Z65" t="str">
            <v>RA</v>
          </cell>
          <cell r="AA65">
            <v>949.45639425626746</v>
          </cell>
          <cell r="AB65">
            <v>0</v>
          </cell>
        </row>
        <row r="66">
          <cell r="X66">
            <v>3107.71</v>
          </cell>
          <cell r="Z66" t="str">
            <v>RA</v>
          </cell>
          <cell r="AA66">
            <v>778.17443469070804</v>
          </cell>
          <cell r="AB66">
            <v>0</v>
          </cell>
        </row>
        <row r="67">
          <cell r="X67">
            <v>5598</v>
          </cell>
          <cell r="Z67" t="str">
            <v>RA</v>
          </cell>
          <cell r="AA67">
            <v>1401.746136350748</v>
          </cell>
          <cell r="AB67">
            <v>0</v>
          </cell>
        </row>
        <row r="68">
          <cell r="X68">
            <v>1460.06</v>
          </cell>
          <cell r="Z68" t="str">
            <v>RA</v>
          </cell>
          <cell r="AA68">
            <v>365.60083312616524</v>
          </cell>
          <cell r="AB68">
            <v>0</v>
          </cell>
        </row>
        <row r="69">
          <cell r="X69">
            <v>4602.09</v>
          </cell>
          <cell r="Z69" t="str">
            <v>RA</v>
          </cell>
          <cell r="AA69">
            <v>1152.3690383419819</v>
          </cell>
          <cell r="AB69">
            <v>0</v>
          </cell>
        </row>
        <row r="70">
          <cell r="X70">
            <v>10331.84</v>
          </cell>
          <cell r="Z70" t="str">
            <v>RA</v>
          </cell>
          <cell r="AA70">
            <v>2587.1055379410705</v>
          </cell>
          <cell r="AB70">
            <v>0</v>
          </cell>
        </row>
        <row r="71">
          <cell r="X71">
            <v>5807.5</v>
          </cell>
          <cell r="Z71" t="str">
            <v>RA</v>
          </cell>
          <cell r="AA71">
            <v>1454.2051959372936</v>
          </cell>
          <cell r="AB71">
            <v>0</v>
          </cell>
        </row>
        <row r="72">
          <cell r="X72">
            <v>2718.04</v>
          </cell>
          <cell r="Z72" t="str">
            <v>RA</v>
          </cell>
          <cell r="AA72">
            <v>680.60058385973332</v>
          </cell>
          <cell r="AB72">
            <v>0</v>
          </cell>
        </row>
        <row r="73">
          <cell r="X73">
            <v>1714.45</v>
          </cell>
          <cell r="Z73" t="str">
            <v>RA</v>
          </cell>
          <cell r="AA73">
            <v>429.30040433485891</v>
          </cell>
          <cell r="AB73">
            <v>0</v>
          </cell>
        </row>
        <row r="74">
          <cell r="X74">
            <v>362055.77</v>
          </cell>
          <cell r="Z74" t="str">
            <v/>
          </cell>
          <cell r="AA74">
            <v>90659.213422828703</v>
          </cell>
          <cell r="AB74">
            <v>0</v>
          </cell>
        </row>
        <row r="75">
          <cell r="X75">
            <v>66668</v>
          </cell>
          <cell r="Z75" t="str">
            <v>RA</v>
          </cell>
          <cell r="AA75">
            <v>16693.749806758071</v>
          </cell>
          <cell r="AB75">
            <v>0</v>
          </cell>
        </row>
        <row r="76">
          <cell r="X76">
            <v>211871.12</v>
          </cell>
          <cell r="Z76" t="str">
            <v>RA</v>
          </cell>
          <cell r="AA76">
            <v>53052.790972544783</v>
          </cell>
          <cell r="AB76">
            <v>0</v>
          </cell>
        </row>
        <row r="77">
          <cell r="X77">
            <v>52218.400000000001</v>
          </cell>
          <cell r="Z77" t="str">
            <v>RA</v>
          </cell>
          <cell r="AA77">
            <v>13075.552062596982</v>
          </cell>
          <cell r="AB77">
            <v>0</v>
          </cell>
        </row>
        <row r="78">
          <cell r="X78">
            <v>31298.25</v>
          </cell>
          <cell r="Z78" t="str">
            <v>RA</v>
          </cell>
          <cell r="AA78">
            <v>7837.1205809288676</v>
          </cell>
          <cell r="AB78">
            <v>0</v>
          </cell>
        </row>
        <row r="79">
          <cell r="X79">
            <v>47481.24</v>
          </cell>
          <cell r="Z79" t="str">
            <v/>
          </cell>
          <cell r="AA79">
            <v>11889.361328892923</v>
          </cell>
          <cell r="AB79">
            <v>0</v>
          </cell>
        </row>
        <row r="80">
          <cell r="X80">
            <v>5416.76</v>
          </cell>
          <cell r="Z80" t="str">
            <v/>
          </cell>
          <cell r="AA80">
            <v>1356.363415780507</v>
          </cell>
          <cell r="AB80">
            <v>0</v>
          </cell>
        </row>
        <row r="81">
          <cell r="X81">
            <v>312.06</v>
          </cell>
          <cell r="Z81" t="str">
            <v>RA</v>
          </cell>
          <cell r="AA81">
            <v>78.14021066624052</v>
          </cell>
          <cell r="AB81">
            <v>0</v>
          </cell>
        </row>
        <row r="82">
          <cell r="X82">
            <v>944.35</v>
          </cell>
          <cell r="Z82" t="str">
            <v>RA</v>
          </cell>
          <cell r="AA82">
            <v>236.4664101219773</v>
          </cell>
          <cell r="AB82">
            <v>0</v>
          </cell>
        </row>
        <row r="83">
          <cell r="X83">
            <v>2476.88</v>
          </cell>
          <cell r="Z83" t="str">
            <v>RA</v>
          </cell>
          <cell r="AA83">
            <v>620.21382104402301</v>
          </cell>
          <cell r="AB83">
            <v>0</v>
          </cell>
        </row>
        <row r="84">
          <cell r="X84">
            <v>465.16</v>
          </cell>
          <cell r="Z84" t="str">
            <v>RA</v>
          </cell>
          <cell r="AA84">
            <v>116.47664036886638</v>
          </cell>
          <cell r="AB84">
            <v>0</v>
          </cell>
        </row>
        <row r="85">
          <cell r="X85">
            <v>21.72</v>
          </cell>
          <cell r="Z85" t="str">
            <v>RA</v>
          </cell>
          <cell r="AA85">
            <v>5.4387149127435235</v>
          </cell>
          <cell r="AB85">
            <v>0</v>
          </cell>
        </row>
        <row r="86">
          <cell r="X86">
            <v>33.28</v>
          </cell>
          <cell r="Z86" t="str">
            <v>RA</v>
          </cell>
          <cell r="AA86">
            <v>8.3333532364688985</v>
          </cell>
          <cell r="AB86">
            <v>0</v>
          </cell>
        </row>
        <row r="87">
          <cell r="X87">
            <v>3.64</v>
          </cell>
          <cell r="Z87" t="str">
            <v>RA</v>
          </cell>
          <cell r="AA87">
            <v>0.91146051023878583</v>
          </cell>
          <cell r="AB87">
            <v>0</v>
          </cell>
        </row>
        <row r="88">
          <cell r="X88">
            <v>716</v>
          </cell>
          <cell r="Z88" t="str">
            <v>RA</v>
          </cell>
          <cell r="AA88">
            <v>179.28728717883808</v>
          </cell>
          <cell r="AB88">
            <v>0</v>
          </cell>
        </row>
        <row r="89">
          <cell r="X89">
            <v>443.67</v>
          </cell>
          <cell r="Z89" t="str">
            <v>RA</v>
          </cell>
          <cell r="AA89">
            <v>111.09551774111047</v>
          </cell>
          <cell r="AB89">
            <v>0</v>
          </cell>
        </row>
        <row r="90">
          <cell r="X90">
            <v>42064.480000000003</v>
          </cell>
          <cell r="Z90" t="str">
            <v/>
          </cell>
          <cell r="AA90">
            <v>10532.997913112416</v>
          </cell>
          <cell r="AB90">
            <v>0</v>
          </cell>
        </row>
        <row r="91">
          <cell r="X91">
            <v>896.68</v>
          </cell>
          <cell r="Z91" t="str">
            <v>RA</v>
          </cell>
          <cell r="AA91">
            <v>224.52978305519628</v>
          </cell>
          <cell r="AB91">
            <v>0</v>
          </cell>
        </row>
        <row r="92">
          <cell r="X92">
            <v>30880.44</v>
          </cell>
          <cell r="Z92" t="str">
            <v>RA</v>
          </cell>
          <cell r="AA92">
            <v>7732.5004392302772</v>
          </cell>
          <cell r="AB92">
            <v>0</v>
          </cell>
        </row>
        <row r="93">
          <cell r="X93">
            <v>10287.36</v>
          </cell>
          <cell r="Z93" t="str">
            <v>RA</v>
          </cell>
          <cell r="AA93">
            <v>2575.9676908269439</v>
          </cell>
          <cell r="AB93">
            <v>0</v>
          </cell>
        </row>
        <row r="94">
          <cell r="X94">
            <v>369813.81</v>
          </cell>
          <cell r="Z94" t="str">
            <v/>
          </cell>
          <cell r="AA94">
            <v>92601.836251634435</v>
          </cell>
          <cell r="AB94">
            <v>0</v>
          </cell>
        </row>
        <row r="95">
          <cell r="X95">
            <v>703.62</v>
          </cell>
          <cell r="Z95" t="str">
            <v>RA</v>
          </cell>
          <cell r="AA95">
            <v>176.18731983906991</v>
          </cell>
          <cell r="AB95">
            <v>0</v>
          </cell>
        </row>
        <row r="96">
          <cell r="X96">
            <v>514.32000000000005</v>
          </cell>
          <cell r="Z96" t="str">
            <v>RA</v>
          </cell>
          <cell r="AA96">
            <v>128.78636528187153</v>
          </cell>
          <cell r="AB96">
            <v>0</v>
          </cell>
        </row>
        <row r="97">
          <cell r="X97">
            <v>11673.45</v>
          </cell>
          <cell r="Z97" t="str">
            <v>RA</v>
          </cell>
          <cell r="AA97">
            <v>2923.0463442986138</v>
          </cell>
          <cell r="AB97">
            <v>0</v>
          </cell>
        </row>
        <row r="98">
          <cell r="X98">
            <v>7880.16</v>
          </cell>
          <cell r="Z98" t="str">
            <v>RA</v>
          </cell>
          <cell r="AA98">
            <v>1973.2018281217775</v>
          </cell>
          <cell r="AB98">
            <v>0</v>
          </cell>
        </row>
        <row r="99">
          <cell r="X99">
            <v>992.55</v>
          </cell>
          <cell r="Z99" t="str">
            <v>RA</v>
          </cell>
          <cell r="AA99">
            <v>248.5357498454689</v>
          </cell>
          <cell r="AB99">
            <v>0</v>
          </cell>
        </row>
        <row r="100">
          <cell r="X100">
            <v>1180.26</v>
          </cell>
          <cell r="Z100" t="str">
            <v>RA</v>
          </cell>
          <cell r="AA100">
            <v>295.53856643253556</v>
          </cell>
          <cell r="AB100">
            <v>0</v>
          </cell>
        </row>
        <row r="101">
          <cell r="X101">
            <v>946.45</v>
          </cell>
          <cell r="Z101" t="str">
            <v>RA</v>
          </cell>
          <cell r="AA101">
            <v>236.99225272403817</v>
          </cell>
          <cell r="AB101">
            <v>0</v>
          </cell>
        </row>
        <row r="102">
          <cell r="X102">
            <v>1787.8</v>
          </cell>
          <cell r="Z102" t="str">
            <v>RA</v>
          </cell>
          <cell r="AA102">
            <v>447.66733522112673</v>
          </cell>
          <cell r="AB102">
            <v>0</v>
          </cell>
        </row>
        <row r="103">
          <cell r="X103">
            <v>599.28</v>
          </cell>
          <cell r="Z103" t="str">
            <v>RA</v>
          </cell>
          <cell r="AA103">
            <v>150.06045455381854</v>
          </cell>
          <cell r="AB103">
            <v>0</v>
          </cell>
        </row>
        <row r="104">
          <cell r="X104">
            <v>799.04</v>
          </cell>
          <cell r="Z104" t="str">
            <v>RA</v>
          </cell>
          <cell r="AA104">
            <v>200.08060607175807</v>
          </cell>
          <cell r="AB104">
            <v>0</v>
          </cell>
        </row>
        <row r="105">
          <cell r="X105">
            <v>4681.8</v>
          </cell>
          <cell r="Z105" t="str">
            <v>RA</v>
          </cell>
          <cell r="AA105">
            <v>1172.3285211087768</v>
          </cell>
          <cell r="AB105">
            <v>0</v>
          </cell>
        </row>
        <row r="106">
          <cell r="X106">
            <v>639.79999999999995</v>
          </cell>
          <cell r="Z106" t="str">
            <v>RA</v>
          </cell>
          <cell r="AA106">
            <v>160.20671276120197</v>
          </cell>
          <cell r="AB106">
            <v>0</v>
          </cell>
        </row>
        <row r="107">
          <cell r="X107">
            <v>3145.8</v>
          </cell>
          <cell r="Z107" t="str">
            <v>RA</v>
          </cell>
          <cell r="AA107">
            <v>787.71221788713535</v>
          </cell>
          <cell r="AB107">
            <v>0</v>
          </cell>
        </row>
        <row r="108">
          <cell r="X108">
            <v>4393.8</v>
          </cell>
          <cell r="Z108" t="str">
            <v>RA</v>
          </cell>
          <cell r="AA108">
            <v>1100.2129642547191</v>
          </cell>
          <cell r="AB108">
            <v>0</v>
          </cell>
        </row>
        <row r="109">
          <cell r="X109">
            <v>753.6</v>
          </cell>
          <cell r="Z109" t="str">
            <v>RA</v>
          </cell>
          <cell r="AA109">
            <v>188.70237376811787</v>
          </cell>
          <cell r="AB109">
            <v>0</v>
          </cell>
        </row>
        <row r="110">
          <cell r="X110">
            <v>27252.5</v>
          </cell>
          <cell r="Z110" t="str">
            <v>RA</v>
          </cell>
          <cell r="AA110">
            <v>6824.0597679347557</v>
          </cell>
          <cell r="AB110">
            <v>0</v>
          </cell>
        </row>
        <row r="111">
          <cell r="X111">
            <v>4046.4</v>
          </cell>
          <cell r="Z111" t="str">
            <v>RA</v>
          </cell>
          <cell r="AA111">
            <v>1013.2235737995118</v>
          </cell>
          <cell r="AB111">
            <v>0</v>
          </cell>
        </row>
        <row r="112">
          <cell r="X112">
            <v>684.6</v>
          </cell>
          <cell r="Z112" t="str">
            <v>RA</v>
          </cell>
          <cell r="AA112">
            <v>171.42468827183319</v>
          </cell>
          <cell r="AB112">
            <v>0</v>
          </cell>
        </row>
        <row r="113">
          <cell r="X113">
            <v>724.5</v>
          </cell>
          <cell r="Z113" t="str">
            <v>RA</v>
          </cell>
          <cell r="AA113">
            <v>181.41569771098909</v>
          </cell>
          <cell r="AB113">
            <v>0</v>
          </cell>
        </row>
        <row r="114">
          <cell r="X114">
            <v>46.48</v>
          </cell>
          <cell r="Z114" t="str">
            <v>RA</v>
          </cell>
          <cell r="AA114">
            <v>11.638649592279879</v>
          </cell>
          <cell r="AB114">
            <v>0</v>
          </cell>
        </row>
        <row r="115">
          <cell r="X115">
            <v>556.30999999999995</v>
          </cell>
          <cell r="Z115" t="str">
            <v>RA</v>
          </cell>
          <cell r="AA115">
            <v>139.30071331069749</v>
          </cell>
          <cell r="AB115">
            <v>0</v>
          </cell>
        </row>
        <row r="116">
          <cell r="X116">
            <v>2710.98</v>
          </cell>
          <cell r="Z116" t="str">
            <v>RA</v>
          </cell>
          <cell r="AA116">
            <v>678.83275111185264</v>
          </cell>
          <cell r="AB116">
            <v>0</v>
          </cell>
        </row>
        <row r="117">
          <cell r="X117">
            <v>290958.2</v>
          </cell>
          <cell r="Z117" t="str">
            <v>RA</v>
          </cell>
          <cell r="AA117">
            <v>72856.293799494146</v>
          </cell>
          <cell r="AB117">
            <v>0</v>
          </cell>
        </row>
        <row r="118">
          <cell r="X118">
            <v>2142.11</v>
          </cell>
          <cell r="Z118" t="str">
            <v>RA</v>
          </cell>
          <cell r="AA118">
            <v>536.38699823835316</v>
          </cell>
          <cell r="AB118">
            <v>0</v>
          </cell>
        </row>
        <row r="119">
          <cell r="X119">
            <v>1059516.78</v>
          </cell>
          <cell r="Z119" t="str">
            <v/>
          </cell>
          <cell r="AA119">
            <v>265304.31453443819</v>
          </cell>
          <cell r="AB119">
            <v>0</v>
          </cell>
        </row>
        <row r="120">
          <cell r="X120">
            <v>495025.11</v>
          </cell>
          <cell r="Z120" t="str">
            <v/>
          </cell>
          <cell r="AA120">
            <v>123954.90091802501</v>
          </cell>
          <cell r="AB120">
            <v>0</v>
          </cell>
        </row>
        <row r="121">
          <cell r="X121">
            <v>1038.83</v>
          </cell>
          <cell r="Z121" t="str">
            <v>RA</v>
          </cell>
          <cell r="AA121">
            <v>260.12431918993349</v>
          </cell>
          <cell r="AB121">
            <v>0</v>
          </cell>
        </row>
        <row r="122">
          <cell r="X122">
            <v>4896.88</v>
          </cell>
          <cell r="Z122" t="str">
            <v>RA</v>
          </cell>
          <cell r="AA122">
            <v>1226.1848196093697</v>
          </cell>
          <cell r="AB122">
            <v>0</v>
          </cell>
        </row>
        <row r="123">
          <cell r="X123">
            <v>1107.2</v>
          </cell>
          <cell r="Z123" t="str">
            <v>RA</v>
          </cell>
          <cell r="AA123">
            <v>277.24425190559992</v>
          </cell>
          <cell r="AB123">
            <v>0</v>
          </cell>
        </row>
        <row r="124">
          <cell r="X124">
            <v>2093.3000000000002</v>
          </cell>
          <cell r="Z124" t="str">
            <v>RA</v>
          </cell>
          <cell r="AA124">
            <v>524.1649137590249</v>
          </cell>
          <cell r="AB124">
            <v>0</v>
          </cell>
        </row>
        <row r="125">
          <cell r="X125">
            <v>5732.16</v>
          </cell>
          <cell r="Z125" t="str">
            <v>RA</v>
          </cell>
          <cell r="AA125">
            <v>1435.3399665852633</v>
          </cell>
          <cell r="AB125">
            <v>0</v>
          </cell>
        </row>
        <row r="126">
          <cell r="X126">
            <v>2598.46</v>
          </cell>
          <cell r="Z126" t="str">
            <v>RA</v>
          </cell>
          <cell r="AA126">
            <v>650.65760369095483</v>
          </cell>
          <cell r="AB126">
            <v>0</v>
          </cell>
        </row>
        <row r="127">
          <cell r="X127">
            <v>5064.0600000000004</v>
          </cell>
          <cell r="Z127" t="str">
            <v>RA</v>
          </cell>
          <cell r="AA127">
            <v>1268.0468987581939</v>
          </cell>
          <cell r="AB127">
            <v>0</v>
          </cell>
        </row>
        <row r="128">
          <cell r="X128">
            <v>4201.2299999999996</v>
          </cell>
          <cell r="Z128" t="str">
            <v>RA</v>
          </cell>
          <cell r="AA128">
            <v>1051.9931976457401</v>
          </cell>
          <cell r="AB128">
            <v>0</v>
          </cell>
        </row>
        <row r="129">
          <cell r="X129">
            <v>5074.3999999999996</v>
          </cell>
          <cell r="Z129" t="str">
            <v>RA</v>
          </cell>
          <cell r="AA129">
            <v>1270.6360475702456</v>
          </cell>
          <cell r="AB129">
            <v>0</v>
          </cell>
        </row>
        <row r="130">
          <cell r="X130">
            <v>2298.7399999999998</v>
          </cell>
          <cell r="Z130" t="str">
            <v>RA</v>
          </cell>
          <cell r="AA130">
            <v>575.60734431491926</v>
          </cell>
          <cell r="AB130">
            <v>0</v>
          </cell>
        </row>
        <row r="131">
          <cell r="X131">
            <v>2206.35</v>
          </cell>
          <cell r="Z131" t="str">
            <v>RA</v>
          </cell>
          <cell r="AA131">
            <v>552.47277383663322</v>
          </cell>
          <cell r="AB131">
            <v>0</v>
          </cell>
        </row>
        <row r="132">
          <cell r="X132">
            <v>264.35000000000002</v>
          </cell>
          <cell r="Z132" t="str">
            <v>RA</v>
          </cell>
          <cell r="AA132">
            <v>66.193567549896443</v>
          </cell>
          <cell r="AB132">
            <v>0</v>
          </cell>
        </row>
        <row r="133">
          <cell r="X133">
            <v>1404.27</v>
          </cell>
          <cell r="Z133" t="str">
            <v>RA</v>
          </cell>
          <cell r="AA133">
            <v>351.63094799808232</v>
          </cell>
          <cell r="AB133">
            <v>0</v>
          </cell>
        </row>
        <row r="134">
          <cell r="X134">
            <v>2941.3</v>
          </cell>
          <cell r="Z134" t="str">
            <v>RA</v>
          </cell>
          <cell r="AA134">
            <v>736.50516449597274</v>
          </cell>
          <cell r="AB134">
            <v>0</v>
          </cell>
        </row>
        <row r="135">
          <cell r="X135">
            <v>1303.2</v>
          </cell>
          <cell r="Z135" t="str">
            <v>RA</v>
          </cell>
          <cell r="AA135">
            <v>326.32289476461148</v>
          </cell>
          <cell r="AB135">
            <v>0</v>
          </cell>
        </row>
        <row r="136">
          <cell r="X136">
            <v>218.4</v>
          </cell>
          <cell r="Z136" t="str">
            <v>RA</v>
          </cell>
          <cell r="AA136">
            <v>54.687630614327148</v>
          </cell>
          <cell r="AB136">
            <v>0</v>
          </cell>
        </row>
        <row r="137">
          <cell r="X137">
            <v>1996.8</v>
          </cell>
          <cell r="Z137" t="str">
            <v>RA</v>
          </cell>
          <cell r="AA137">
            <v>500.00119418813392</v>
          </cell>
          <cell r="AB137">
            <v>0</v>
          </cell>
        </row>
        <row r="138">
          <cell r="X138">
            <v>611.03</v>
          </cell>
          <cell r="Z138" t="str">
            <v>RA</v>
          </cell>
          <cell r="AA138">
            <v>153.00266911296848</v>
          </cell>
          <cell r="AB138">
            <v>0</v>
          </cell>
        </row>
        <row r="139">
          <cell r="X139">
            <v>1443.6</v>
          </cell>
          <cell r="Z139" t="str">
            <v>RA</v>
          </cell>
          <cell r="AA139">
            <v>361.47922873096462</v>
          </cell>
          <cell r="AB139">
            <v>0</v>
          </cell>
        </row>
        <row r="140">
          <cell r="X140">
            <v>103584.32000000001</v>
          </cell>
          <cell r="Z140" t="str">
            <v>RA</v>
          </cell>
          <cell r="AA140">
            <v>25937.642076905955</v>
          </cell>
          <cell r="AB140">
            <v>0</v>
          </cell>
        </row>
        <row r="141">
          <cell r="X141">
            <v>24004</v>
          </cell>
          <cell r="Z141" t="str">
            <v>RA</v>
          </cell>
          <cell r="AA141">
            <v>6010.6313427944542</v>
          </cell>
          <cell r="AB141">
            <v>0</v>
          </cell>
        </row>
        <row r="142">
          <cell r="X142">
            <v>89666.8</v>
          </cell>
          <cell r="Z142" t="str">
            <v>RA</v>
          </cell>
          <cell r="AA142">
            <v>22452.677824032737</v>
          </cell>
          <cell r="AB142">
            <v>0</v>
          </cell>
        </row>
        <row r="143">
          <cell r="X143">
            <v>159172.53</v>
          </cell>
          <cell r="Z143" t="str">
            <v>RA</v>
          </cell>
          <cell r="AA143">
            <v>39856.998738955619</v>
          </cell>
          <cell r="AB143">
            <v>0</v>
          </cell>
        </row>
        <row r="144">
          <cell r="X144">
            <v>5891.57</v>
          </cell>
          <cell r="Z144" t="str">
            <v>RA</v>
          </cell>
          <cell r="AA144">
            <v>1475.2564281064624</v>
          </cell>
          <cell r="AB144">
            <v>0</v>
          </cell>
        </row>
        <row r="145">
          <cell r="X145">
            <v>3427.78</v>
          </cell>
          <cell r="Z145" t="str">
            <v>RA</v>
          </cell>
          <cell r="AA145">
            <v>858.32035928195205</v>
          </cell>
          <cell r="AB145">
            <v>0</v>
          </cell>
        </row>
        <row r="146">
          <cell r="X146">
            <v>273.48</v>
          </cell>
          <cell r="Z146" t="str">
            <v>RA</v>
          </cell>
          <cell r="AA146">
            <v>68.479730862665704</v>
          </cell>
          <cell r="AB146">
            <v>0</v>
          </cell>
        </row>
        <row r="147">
          <cell r="X147">
            <v>8408.42</v>
          </cell>
          <cell r="Z147" t="str">
            <v>RA</v>
          </cell>
          <cell r="AA147">
            <v>2105.4787866763768</v>
          </cell>
          <cell r="AB147">
            <v>0</v>
          </cell>
        </row>
        <row r="148">
          <cell r="X148">
            <v>231.48</v>
          </cell>
          <cell r="Z148" t="str">
            <v>RA</v>
          </cell>
          <cell r="AA148">
            <v>57.962878821448939</v>
          </cell>
          <cell r="AB148">
            <v>0</v>
          </cell>
        </row>
        <row r="149">
          <cell r="X149">
            <v>37520.410000000003</v>
          </cell>
          <cell r="Z149" t="str">
            <v>RA</v>
          </cell>
          <cell r="AA149">
            <v>9395.1571546616615</v>
          </cell>
          <cell r="AB149">
            <v>0</v>
          </cell>
        </row>
        <row r="150">
          <cell r="X150">
            <v>2715.69</v>
          </cell>
          <cell r="Z150" t="str">
            <v>RA</v>
          </cell>
          <cell r="AA150">
            <v>680.01214094790339</v>
          </cell>
          <cell r="AB150">
            <v>0</v>
          </cell>
        </row>
        <row r="151">
          <cell r="X151">
            <v>13058.8</v>
          </cell>
          <cell r="Z151" t="str">
            <v>RA</v>
          </cell>
          <cell r="AA151">
            <v>3269.939700853367</v>
          </cell>
          <cell r="AB151">
            <v>0</v>
          </cell>
        </row>
        <row r="152">
          <cell r="X152">
            <v>147.84</v>
          </cell>
          <cell r="Z152" t="str">
            <v>RA</v>
          </cell>
          <cell r="AA152">
            <v>37.019319185082992</v>
          </cell>
          <cell r="AB152">
            <v>0</v>
          </cell>
        </row>
        <row r="153">
          <cell r="X153">
            <v>197.07</v>
          </cell>
          <cell r="Z153" t="str">
            <v>RA</v>
          </cell>
          <cell r="AA153">
            <v>49.346572184823494</v>
          </cell>
          <cell r="AB153">
            <v>0</v>
          </cell>
        </row>
        <row r="154">
          <cell r="X154">
            <v>230.36</v>
          </cell>
          <cell r="Z154" t="str">
            <v>RA</v>
          </cell>
          <cell r="AA154">
            <v>57.682429433683161</v>
          </cell>
          <cell r="AB154">
            <v>0</v>
          </cell>
        </row>
        <row r="155">
          <cell r="X155">
            <v>246211.49</v>
          </cell>
          <cell r="Z155" t="str">
            <v/>
          </cell>
          <cell r="AA155">
            <v>61651.662170893331</v>
          </cell>
          <cell r="AB155">
            <v>0</v>
          </cell>
        </row>
        <row r="156">
          <cell r="X156">
            <v>71.64</v>
          </cell>
          <cell r="Z156" t="str">
            <v>RA</v>
          </cell>
          <cell r="AA156">
            <v>17.938744767446874</v>
          </cell>
          <cell r="AB156">
            <v>0</v>
          </cell>
        </row>
        <row r="157">
          <cell r="X157">
            <v>12.7</v>
          </cell>
          <cell r="Z157" t="str">
            <v>RA</v>
          </cell>
          <cell r="AA157">
            <v>3.1800957362726865</v>
          </cell>
          <cell r="AB157">
            <v>0</v>
          </cell>
        </row>
        <row r="158">
          <cell r="X158">
            <v>14.92</v>
          </cell>
          <cell r="Z158" t="str">
            <v>RA</v>
          </cell>
          <cell r="AA158">
            <v>3.7359864870227155</v>
          </cell>
          <cell r="AB158">
            <v>0</v>
          </cell>
        </row>
        <row r="159">
          <cell r="X159">
            <v>302.87</v>
          </cell>
          <cell r="Z159" t="str">
            <v>RA</v>
          </cell>
          <cell r="AA159">
            <v>75.839023279126664</v>
          </cell>
          <cell r="AB159">
            <v>0</v>
          </cell>
        </row>
        <row r="160">
          <cell r="X160">
            <v>207.9</v>
          </cell>
          <cell r="Z160" t="str">
            <v>RA</v>
          </cell>
          <cell r="AA160">
            <v>52.058417604022964</v>
          </cell>
          <cell r="AB160">
            <v>0</v>
          </cell>
        </row>
        <row r="161">
          <cell r="X161">
            <v>6.16</v>
          </cell>
          <cell r="Z161" t="str">
            <v>RA</v>
          </cell>
          <cell r="AA161">
            <v>1.5424716327117913</v>
          </cell>
          <cell r="AB161">
            <v>0</v>
          </cell>
        </row>
        <row r="162">
          <cell r="X162">
            <v>2738.19</v>
          </cell>
          <cell r="Z162" t="str">
            <v>RA</v>
          </cell>
          <cell r="AA162">
            <v>685.64616882712664</v>
          </cell>
          <cell r="AB162">
            <v>0</v>
          </cell>
        </row>
        <row r="163">
          <cell r="X163">
            <v>3947.52</v>
          </cell>
          <cell r="Z163" t="str">
            <v>RA</v>
          </cell>
          <cell r="AA163">
            <v>988.46389927961866</v>
          </cell>
          <cell r="AB163">
            <v>0</v>
          </cell>
        </row>
        <row r="164">
          <cell r="X164">
            <v>2116.4</v>
          </cell>
          <cell r="Z164" t="str">
            <v>RA</v>
          </cell>
          <cell r="AA164">
            <v>529.94918238169407</v>
          </cell>
          <cell r="AB164">
            <v>0</v>
          </cell>
        </row>
        <row r="165">
          <cell r="X165">
            <v>12739.16</v>
          </cell>
          <cell r="Z165" t="str">
            <v>RA</v>
          </cell>
          <cell r="AA165">
            <v>3189.9014487949262</v>
          </cell>
          <cell r="AB165">
            <v>0</v>
          </cell>
        </row>
        <row r="166">
          <cell r="X166">
            <v>3395.36</v>
          </cell>
          <cell r="Z166" t="str">
            <v>RA</v>
          </cell>
          <cell r="AA166">
            <v>850.202351111089</v>
          </cell>
          <cell r="AB166">
            <v>0</v>
          </cell>
        </row>
        <row r="167">
          <cell r="X167">
            <v>16</v>
          </cell>
          <cell r="Z167" t="str">
            <v>RA</v>
          </cell>
          <cell r="AA167">
            <v>4.0064198252254322</v>
          </cell>
          <cell r="AB167">
            <v>0</v>
          </cell>
        </row>
        <row r="168">
          <cell r="X168">
            <v>5984.86</v>
          </cell>
          <cell r="Z168" t="str">
            <v>RA</v>
          </cell>
          <cell r="AA168">
            <v>1498.6163596999174</v>
          </cell>
          <cell r="AB168">
            <v>0</v>
          </cell>
        </row>
        <row r="169">
          <cell r="X169">
            <v>4864.4399999999996</v>
          </cell>
          <cell r="Z169" t="str">
            <v>RA</v>
          </cell>
          <cell r="AA169">
            <v>1218.0618034137249</v>
          </cell>
          <cell r="AB169">
            <v>0</v>
          </cell>
        </row>
        <row r="170">
          <cell r="X170">
            <v>5583.16</v>
          </cell>
          <cell r="Z170" t="str">
            <v>RA</v>
          </cell>
          <cell r="AA170">
            <v>1398.0301819628514</v>
          </cell>
          <cell r="AB170">
            <v>0</v>
          </cell>
        </row>
        <row r="171">
          <cell r="X171">
            <v>464.12</v>
          </cell>
          <cell r="Z171" t="str">
            <v>RA</v>
          </cell>
          <cell r="AA171">
            <v>116.21622308022673</v>
          </cell>
          <cell r="AB171">
            <v>0</v>
          </cell>
        </row>
        <row r="172">
          <cell r="X172">
            <v>5.99</v>
          </cell>
          <cell r="Z172" t="str">
            <v>RA</v>
          </cell>
          <cell r="AA172">
            <v>1.4999034220687713</v>
          </cell>
          <cell r="AB172">
            <v>0</v>
          </cell>
        </row>
        <row r="173">
          <cell r="X173">
            <v>8508.4599999999991</v>
          </cell>
          <cell r="Z173" t="str">
            <v>RA</v>
          </cell>
          <cell r="AA173">
            <v>2130.5289266335985</v>
          </cell>
          <cell r="AB173">
            <v>0</v>
          </cell>
        </row>
        <row r="174">
          <cell r="X174">
            <v>11306.18</v>
          </cell>
          <cell r="Z174" t="str">
            <v>RA</v>
          </cell>
          <cell r="AA174">
            <v>2831.0814812229551</v>
          </cell>
          <cell r="AB174">
            <v>0</v>
          </cell>
        </row>
        <row r="175">
          <cell r="X175">
            <v>15412.4</v>
          </cell>
          <cell r="Z175" t="str">
            <v>RA</v>
          </cell>
          <cell r="AA175">
            <v>3859.2840571440279</v>
          </cell>
          <cell r="AB175">
            <v>0</v>
          </cell>
        </row>
        <row r="176">
          <cell r="X176">
            <v>12.87</v>
          </cell>
          <cell r="Z176" t="str">
            <v>RA</v>
          </cell>
          <cell r="AA176">
            <v>3.222663946915707</v>
          </cell>
          <cell r="AB176">
            <v>0</v>
          </cell>
        </row>
        <row r="177">
          <cell r="X177">
            <v>64.08</v>
          </cell>
          <cell r="Z177" t="str">
            <v>RA</v>
          </cell>
          <cell r="AA177">
            <v>16.045711400027855</v>
          </cell>
          <cell r="AB177">
            <v>0</v>
          </cell>
        </row>
        <row r="178">
          <cell r="X178">
            <v>6246.24</v>
          </cell>
          <cell r="Z178" t="str">
            <v>RA</v>
          </cell>
          <cell r="AA178">
            <v>1564.0662355697564</v>
          </cell>
          <cell r="AB178">
            <v>0</v>
          </cell>
        </row>
        <row r="179">
          <cell r="X179">
            <v>718.4</v>
          </cell>
          <cell r="Z179" t="str">
            <v>RA</v>
          </cell>
          <cell r="AA179">
            <v>179.88825015262191</v>
          </cell>
          <cell r="AB179">
            <v>0</v>
          </cell>
        </row>
        <row r="180">
          <cell r="X180">
            <v>2936.04</v>
          </cell>
          <cell r="Z180" t="str">
            <v>RA</v>
          </cell>
          <cell r="AA180">
            <v>735.18805397842982</v>
          </cell>
          <cell r="AB180">
            <v>0</v>
          </cell>
        </row>
        <row r="181">
          <cell r="X181">
            <v>1407.18</v>
          </cell>
          <cell r="Z181" t="str">
            <v>RA</v>
          </cell>
          <cell r="AA181">
            <v>352.35961560379525</v>
          </cell>
          <cell r="AB181">
            <v>0</v>
          </cell>
        </row>
        <row r="182">
          <cell r="X182">
            <v>24953.74</v>
          </cell>
          <cell r="Z182" t="str">
            <v>RA</v>
          </cell>
          <cell r="AA182">
            <v>6248.4474155950547</v>
          </cell>
          <cell r="AB182">
            <v>0</v>
          </cell>
        </row>
        <row r="183">
          <cell r="X183">
            <v>14545.68</v>
          </cell>
          <cell r="Z183" t="str">
            <v>RA</v>
          </cell>
          <cell r="AA183">
            <v>3642.2562952115668</v>
          </cell>
          <cell r="AB183">
            <v>0</v>
          </cell>
        </row>
        <row r="184">
          <cell r="X184">
            <v>702.55</v>
          </cell>
          <cell r="Z184" t="str">
            <v>RA</v>
          </cell>
          <cell r="AA184">
            <v>175.91939051325795</v>
          </cell>
          <cell r="AB184">
            <v>0</v>
          </cell>
        </row>
        <row r="185">
          <cell r="X185">
            <v>1176.76</v>
          </cell>
          <cell r="Z185" t="str">
            <v>RA</v>
          </cell>
          <cell r="AA185">
            <v>294.66216209576748</v>
          </cell>
          <cell r="AB185">
            <v>0</v>
          </cell>
        </row>
        <row r="186">
          <cell r="X186">
            <v>3107.71</v>
          </cell>
          <cell r="Z186" t="str">
            <v>RA</v>
          </cell>
          <cell r="AA186">
            <v>778.17443469070804</v>
          </cell>
          <cell r="AB186">
            <v>0</v>
          </cell>
        </row>
        <row r="187">
          <cell r="X187">
            <v>6793.94</v>
          </cell>
          <cell r="Z187" t="str">
            <v>RA</v>
          </cell>
          <cell r="AA187">
            <v>1701.2109942120044</v>
          </cell>
          <cell r="AB187">
            <v>0</v>
          </cell>
        </row>
        <row r="188">
          <cell r="X188">
            <v>4198.5</v>
          </cell>
          <cell r="Z188" t="str">
            <v>RA</v>
          </cell>
          <cell r="AA188">
            <v>1051.3096022630612</v>
          </cell>
          <cell r="AB188">
            <v>0</v>
          </cell>
        </row>
        <row r="189">
          <cell r="X189">
            <v>3783.52</v>
          </cell>
          <cell r="Z189" t="str">
            <v>RA</v>
          </cell>
          <cell r="AA189">
            <v>947.39809607105792</v>
          </cell>
          <cell r="AB189">
            <v>0</v>
          </cell>
        </row>
        <row r="190">
          <cell r="X190">
            <v>16272.47</v>
          </cell>
          <cell r="Z190" t="str">
            <v>RA</v>
          </cell>
          <cell r="AA190">
            <v>4074.6466508366302</v>
          </cell>
          <cell r="AB190">
            <v>0</v>
          </cell>
        </row>
        <row r="191">
          <cell r="X191">
            <v>4602.09</v>
          </cell>
          <cell r="Z191" t="str">
            <v>RA</v>
          </cell>
          <cell r="AA191">
            <v>1152.3690383419819</v>
          </cell>
          <cell r="AB191">
            <v>0</v>
          </cell>
        </row>
        <row r="192">
          <cell r="X192">
            <v>5807.5</v>
          </cell>
          <cell r="Z192" t="str">
            <v>RA</v>
          </cell>
          <cell r="AA192">
            <v>1454.2051959372936</v>
          </cell>
          <cell r="AB192">
            <v>0</v>
          </cell>
        </row>
        <row r="193">
          <cell r="X193">
            <v>12729.54</v>
          </cell>
          <cell r="Z193" t="str">
            <v>RA</v>
          </cell>
          <cell r="AA193">
            <v>3187.4925888750095</v>
          </cell>
          <cell r="AB193">
            <v>0</v>
          </cell>
        </row>
        <row r="194">
          <cell r="X194">
            <v>11062.5</v>
          </cell>
          <cell r="Z194" t="str">
            <v>RA</v>
          </cell>
          <cell r="AA194">
            <v>2770.0637072847717</v>
          </cell>
          <cell r="AB194">
            <v>0</v>
          </cell>
        </row>
        <row r="195">
          <cell r="X195">
            <v>12729.54</v>
          </cell>
          <cell r="Z195" t="str">
            <v>RA</v>
          </cell>
          <cell r="AA195">
            <v>3187.4925888750095</v>
          </cell>
          <cell r="AB195">
            <v>0</v>
          </cell>
        </row>
        <row r="196">
          <cell r="X196">
            <v>4173.88</v>
          </cell>
          <cell r="Z196" t="str">
            <v>RA</v>
          </cell>
          <cell r="AA196">
            <v>1045.1447237569955</v>
          </cell>
          <cell r="AB196">
            <v>0</v>
          </cell>
        </row>
        <row r="197">
          <cell r="X197">
            <v>4761.21</v>
          </cell>
          <cell r="Z197" t="str">
            <v>RA</v>
          </cell>
          <cell r="AA197">
            <v>1192.2128835038488</v>
          </cell>
          <cell r="AB197">
            <v>0</v>
          </cell>
        </row>
        <row r="198">
          <cell r="X198">
            <v>9123.02</v>
          </cell>
          <cell r="Z198" t="str">
            <v>RA</v>
          </cell>
          <cell r="AA198">
            <v>2284.4155121205076</v>
          </cell>
          <cell r="AB198">
            <v>0</v>
          </cell>
        </row>
        <row r="199">
          <cell r="X199">
            <v>1057.1500000000001</v>
          </cell>
          <cell r="Z199" t="str">
            <v>RA</v>
          </cell>
          <cell r="AA199">
            <v>264.71166988981662</v>
          </cell>
          <cell r="AB199">
            <v>0</v>
          </cell>
        </row>
        <row r="200">
          <cell r="X200">
            <v>1717.87</v>
          </cell>
          <cell r="Z200" t="str">
            <v>RA</v>
          </cell>
          <cell r="AA200">
            <v>430.1567765725008</v>
          </cell>
          <cell r="AB200">
            <v>0</v>
          </cell>
        </row>
        <row r="201">
          <cell r="X201">
            <v>125.95</v>
          </cell>
          <cell r="Z201" t="str">
            <v>RA</v>
          </cell>
          <cell r="AA201">
            <v>31.538036061696449</v>
          </cell>
          <cell r="AB201">
            <v>0</v>
          </cell>
        </row>
        <row r="202">
          <cell r="X202">
            <v>8232.2800000000007</v>
          </cell>
          <cell r="Z202" t="str">
            <v>RA</v>
          </cell>
          <cell r="AA202">
            <v>2061.3731124254264</v>
          </cell>
          <cell r="AB202">
            <v>0</v>
          </cell>
        </row>
        <row r="203">
          <cell r="X203">
            <v>2718.04</v>
          </cell>
          <cell r="Z203" t="str">
            <v>RA</v>
          </cell>
          <cell r="AA203">
            <v>680.60058385973332</v>
          </cell>
          <cell r="AB203">
            <v>0</v>
          </cell>
        </row>
        <row r="204">
          <cell r="X204">
            <v>1714.45</v>
          </cell>
          <cell r="Z204" t="str">
            <v>RA</v>
          </cell>
          <cell r="AA204">
            <v>429.30040433485891</v>
          </cell>
          <cell r="AB204">
            <v>0</v>
          </cell>
        </row>
        <row r="205">
          <cell r="X205">
            <v>477.27</v>
          </cell>
          <cell r="Z205" t="str">
            <v>RA</v>
          </cell>
          <cell r="AA205">
            <v>119.50899937408387</v>
          </cell>
          <cell r="AB205">
            <v>0</v>
          </cell>
        </row>
        <row r="206">
          <cell r="X206">
            <v>237.9</v>
          </cell>
          <cell r="Z206" t="str">
            <v>RA</v>
          </cell>
          <cell r="AA206">
            <v>59.570454776320645</v>
          </cell>
          <cell r="AB206">
            <v>0</v>
          </cell>
        </row>
        <row r="207">
          <cell r="X207">
            <v>323.19</v>
          </cell>
          <cell r="Z207" t="str">
            <v>RA</v>
          </cell>
          <cell r="AA207">
            <v>80.927176457162957</v>
          </cell>
          <cell r="AB207">
            <v>0</v>
          </cell>
        </row>
        <row r="208">
          <cell r="X208">
            <v>318280.18</v>
          </cell>
          <cell r="Z208" t="str">
            <v/>
          </cell>
          <cell r="AA208">
            <v>79697.751445519942</v>
          </cell>
          <cell r="AB208">
            <v>0</v>
          </cell>
        </row>
        <row r="209">
          <cell r="X209">
            <v>318280.18</v>
          </cell>
          <cell r="Z209" t="str">
            <v>RA</v>
          </cell>
          <cell r="AA209">
            <v>79697.751445519942</v>
          </cell>
          <cell r="AB209">
            <v>0</v>
          </cell>
        </row>
        <row r="210">
          <cell r="X210">
            <v>80765.38</v>
          </cell>
          <cell r="Z210" t="str">
            <v/>
          </cell>
          <cell r="AA210">
            <v>20223.7512264916</v>
          </cell>
          <cell r="AB210">
            <v>0</v>
          </cell>
        </row>
        <row r="211">
          <cell r="X211">
            <v>80765.38</v>
          </cell>
          <cell r="Z211" t="str">
            <v/>
          </cell>
          <cell r="AA211">
            <v>20223.7512264916</v>
          </cell>
          <cell r="AB211">
            <v>0</v>
          </cell>
        </row>
        <row r="212">
          <cell r="X212">
            <v>185.9</v>
          </cell>
          <cell r="Z212" t="str">
            <v>RA</v>
          </cell>
          <cell r="AA212">
            <v>46.549590344337993</v>
          </cell>
          <cell r="AB212">
            <v>0</v>
          </cell>
        </row>
        <row r="213">
          <cell r="X213">
            <v>10810.57</v>
          </cell>
          <cell r="Z213" t="str">
            <v>RA</v>
          </cell>
          <cell r="AA213">
            <v>2706.9801231242063</v>
          </cell>
          <cell r="AB213">
            <v>0</v>
          </cell>
        </row>
        <row r="214">
          <cell r="X214">
            <v>2595.12</v>
          </cell>
          <cell r="Z214" t="str">
            <v>RA</v>
          </cell>
          <cell r="AA214">
            <v>649.82126355243895</v>
          </cell>
          <cell r="AB214">
            <v>0</v>
          </cell>
        </row>
        <row r="215">
          <cell r="X215">
            <v>1145.5999999999999</v>
          </cell>
          <cell r="Z215" t="str">
            <v>RA</v>
          </cell>
          <cell r="AA215">
            <v>286.85965948614091</v>
          </cell>
          <cell r="AB215">
            <v>0</v>
          </cell>
        </row>
        <row r="216">
          <cell r="X216">
            <v>2688.58</v>
          </cell>
          <cell r="Z216" t="str">
            <v>RA</v>
          </cell>
          <cell r="AA216">
            <v>673.22376335653701</v>
          </cell>
          <cell r="AB216">
            <v>0</v>
          </cell>
        </row>
        <row r="217">
          <cell r="X217">
            <v>2165.9</v>
          </cell>
          <cell r="Z217" t="str">
            <v>RA</v>
          </cell>
          <cell r="AA217">
            <v>542.34404371598521</v>
          </cell>
          <cell r="AB217">
            <v>0</v>
          </cell>
        </row>
        <row r="218">
          <cell r="X218">
            <v>1365.92</v>
          </cell>
          <cell r="Z218" t="str">
            <v>RA</v>
          </cell>
          <cell r="AA218">
            <v>342.02806047949514</v>
          </cell>
          <cell r="AB218">
            <v>0</v>
          </cell>
        </row>
        <row r="219">
          <cell r="X219">
            <v>762.84</v>
          </cell>
          <cell r="Z219" t="str">
            <v>RA</v>
          </cell>
          <cell r="AA219">
            <v>191.01608121718556</v>
          </cell>
          <cell r="AB219">
            <v>0</v>
          </cell>
        </row>
        <row r="220">
          <cell r="X220">
            <v>4426.1400000000003</v>
          </cell>
          <cell r="Z220" t="str">
            <v>RA</v>
          </cell>
          <cell r="AA220">
            <v>1108.3109403264559</v>
          </cell>
          <cell r="AB220">
            <v>0</v>
          </cell>
        </row>
        <row r="221">
          <cell r="X221">
            <v>4806.8999999999996</v>
          </cell>
          <cell r="Z221" t="str">
            <v>RA</v>
          </cell>
          <cell r="AA221">
            <v>1203.653716117258</v>
          </cell>
          <cell r="AB221">
            <v>0</v>
          </cell>
        </row>
        <row r="222">
          <cell r="X222">
            <v>4526.25</v>
          </cell>
          <cell r="Z222" t="str">
            <v>RA</v>
          </cell>
          <cell r="AA222">
            <v>1133.3786083704133</v>
          </cell>
          <cell r="AB222">
            <v>0</v>
          </cell>
        </row>
        <row r="223">
          <cell r="X223">
            <v>895.31</v>
          </cell>
          <cell r="Z223" t="str">
            <v>RA</v>
          </cell>
          <cell r="AA223">
            <v>224.18673335766135</v>
          </cell>
          <cell r="AB223">
            <v>0</v>
          </cell>
        </row>
        <row r="224">
          <cell r="X224">
            <v>1924.37</v>
          </cell>
          <cell r="Z224" t="str">
            <v>RA</v>
          </cell>
          <cell r="AA224">
            <v>481.86463244181652</v>
          </cell>
          <cell r="AB224">
            <v>0</v>
          </cell>
        </row>
        <row r="225">
          <cell r="X225">
            <v>619.22</v>
          </cell>
          <cell r="Z225" t="str">
            <v>RA</v>
          </cell>
          <cell r="AA225">
            <v>155.05345526100575</v>
          </cell>
          <cell r="AB225">
            <v>0</v>
          </cell>
        </row>
        <row r="226">
          <cell r="X226">
            <v>65.16</v>
          </cell>
          <cell r="Z226" t="str">
            <v>RA</v>
          </cell>
          <cell r="AA226">
            <v>16.316144738230573</v>
          </cell>
          <cell r="AB226">
            <v>0</v>
          </cell>
        </row>
        <row r="227">
          <cell r="X227">
            <v>99.84</v>
          </cell>
          <cell r="Z227" t="str">
            <v>RA</v>
          </cell>
          <cell r="AA227">
            <v>25.000059709406699</v>
          </cell>
          <cell r="AB227">
            <v>0</v>
          </cell>
        </row>
        <row r="228">
          <cell r="X228">
            <v>10.92</v>
          </cell>
          <cell r="Z228" t="str">
            <v>RA</v>
          </cell>
          <cell r="AA228">
            <v>2.7343815307163575</v>
          </cell>
          <cell r="AB228">
            <v>0</v>
          </cell>
        </row>
        <row r="229">
          <cell r="X229">
            <v>3227.1</v>
          </cell>
          <cell r="Z229" t="str">
            <v>RA</v>
          </cell>
          <cell r="AA229">
            <v>808.06983862406196</v>
          </cell>
          <cell r="AB229">
            <v>0</v>
          </cell>
        </row>
        <row r="230">
          <cell r="X230">
            <v>1873.91</v>
          </cell>
          <cell r="Z230" t="str">
            <v>RA</v>
          </cell>
          <cell r="AA230">
            <v>469.22938591801187</v>
          </cell>
          <cell r="AB230">
            <v>0</v>
          </cell>
        </row>
        <row r="231">
          <cell r="X231">
            <v>2661.28</v>
          </cell>
          <cell r="Z231" t="str">
            <v>RA</v>
          </cell>
          <cell r="AA231">
            <v>666.38780952974616</v>
          </cell>
          <cell r="AB231">
            <v>0</v>
          </cell>
        </row>
        <row r="232">
          <cell r="X232">
            <v>6506.4</v>
          </cell>
          <cell r="Z232" t="str">
            <v>RA</v>
          </cell>
          <cell r="AA232">
            <v>1629.2106219279219</v>
          </cell>
          <cell r="AB232">
            <v>0</v>
          </cell>
        </row>
        <row r="233">
          <cell r="X233">
            <v>10664.04</v>
          </cell>
          <cell r="Z233" t="str">
            <v>RA</v>
          </cell>
          <cell r="AA233">
            <v>2670.2888295623138</v>
          </cell>
          <cell r="AB233">
            <v>0</v>
          </cell>
        </row>
        <row r="234">
          <cell r="X234">
            <v>14804.03</v>
          </cell>
          <cell r="Z234" t="str">
            <v>RA</v>
          </cell>
          <cell r="AA234">
            <v>3706.9474553270034</v>
          </cell>
          <cell r="AB234">
            <v>0</v>
          </cell>
        </row>
        <row r="235">
          <cell r="X235">
            <v>646.75</v>
          </cell>
          <cell r="Z235" t="str">
            <v>RA</v>
          </cell>
          <cell r="AA235">
            <v>161.94700137278426</v>
          </cell>
          <cell r="AB235">
            <v>0</v>
          </cell>
        </row>
        <row r="236">
          <cell r="X236">
            <v>1287.33</v>
          </cell>
          <cell r="Z236" t="str">
            <v>RA</v>
          </cell>
          <cell r="AA236">
            <v>322.34902710046595</v>
          </cell>
          <cell r="AB236">
            <v>0</v>
          </cell>
        </row>
        <row r="237">
          <cell r="X237">
            <v>1138100.3899999999</v>
          </cell>
          <cell r="Z237" t="str">
            <v/>
          </cell>
          <cell r="AA237">
            <v>284981.74784954975</v>
          </cell>
          <cell r="AB237">
            <v>0</v>
          </cell>
        </row>
        <row r="238">
          <cell r="X238">
            <v>259.17</v>
          </cell>
          <cell r="Z238" t="str">
            <v>RA</v>
          </cell>
          <cell r="AA238">
            <v>64.896489131479711</v>
          </cell>
          <cell r="AB238">
            <v>0</v>
          </cell>
        </row>
        <row r="239">
          <cell r="X239">
            <v>1034.08</v>
          </cell>
          <cell r="Z239" t="str">
            <v>RA</v>
          </cell>
          <cell r="AA239">
            <v>258.93491330431965</v>
          </cell>
          <cell r="AB239">
            <v>0</v>
          </cell>
        </row>
        <row r="240">
          <cell r="X240">
            <v>340.82</v>
          </cell>
          <cell r="Z240" t="str">
            <v>RA</v>
          </cell>
          <cell r="AA240">
            <v>85.341750302083241</v>
          </cell>
          <cell r="AB240">
            <v>0</v>
          </cell>
        </row>
        <row r="241">
          <cell r="X241">
            <v>741.99</v>
          </cell>
          <cell r="Z241" t="str">
            <v>RA</v>
          </cell>
          <cell r="AA241">
            <v>185.79521538243864</v>
          </cell>
          <cell r="AB241">
            <v>0</v>
          </cell>
        </row>
        <row r="242">
          <cell r="X242">
            <v>4123.6000000000004</v>
          </cell>
          <cell r="Z242" t="str">
            <v>RA</v>
          </cell>
          <cell r="AA242">
            <v>1032.5545494562245</v>
          </cell>
          <cell r="AB242">
            <v>0</v>
          </cell>
        </row>
        <row r="243">
          <cell r="X243">
            <v>2887.65</v>
          </cell>
          <cell r="Z243" t="str">
            <v>RA</v>
          </cell>
          <cell r="AA243">
            <v>723.07113801951368</v>
          </cell>
          <cell r="AB243">
            <v>0</v>
          </cell>
        </row>
        <row r="244">
          <cell r="X244">
            <v>786.75</v>
          </cell>
          <cell r="Z244" t="str">
            <v>RA</v>
          </cell>
          <cell r="AA244">
            <v>197.0031748435068</v>
          </cell>
          <cell r="AB244">
            <v>0</v>
          </cell>
        </row>
        <row r="245">
          <cell r="X245">
            <v>2110.86</v>
          </cell>
          <cell r="Z245" t="str">
            <v>RA</v>
          </cell>
          <cell r="AA245">
            <v>528.56195951720974</v>
          </cell>
          <cell r="AB245">
            <v>0</v>
          </cell>
        </row>
        <row r="246">
          <cell r="X246">
            <v>514.32000000000005</v>
          </cell>
          <cell r="Z246" t="str">
            <v>RA</v>
          </cell>
          <cell r="AA246">
            <v>128.78636528187153</v>
          </cell>
          <cell r="AB246">
            <v>0</v>
          </cell>
        </row>
        <row r="247">
          <cell r="X247">
            <v>1366.92</v>
          </cell>
          <cell r="Z247" t="str">
            <v>RA</v>
          </cell>
          <cell r="AA247">
            <v>342.27846171857175</v>
          </cell>
          <cell r="AB247">
            <v>0</v>
          </cell>
        </row>
        <row r="248">
          <cell r="X248">
            <v>10110.959999999999</v>
          </cell>
          <cell r="Z248" t="str">
            <v>RA</v>
          </cell>
          <cell r="AA248">
            <v>2531.7969122538334</v>
          </cell>
          <cell r="AB248">
            <v>0</v>
          </cell>
        </row>
        <row r="249">
          <cell r="X249">
            <v>3378.9</v>
          </cell>
          <cell r="Z249" t="str">
            <v>RA</v>
          </cell>
          <cell r="AA249">
            <v>846.08074671588827</v>
          </cell>
          <cell r="AB249">
            <v>0</v>
          </cell>
        </row>
        <row r="250">
          <cell r="X250">
            <v>2692.44</v>
          </cell>
          <cell r="Z250" t="str">
            <v>RA</v>
          </cell>
          <cell r="AA250">
            <v>674.19031213937262</v>
          </cell>
          <cell r="AB250">
            <v>0</v>
          </cell>
        </row>
        <row r="251">
          <cell r="X251">
            <v>3112.92</v>
          </cell>
          <cell r="Z251" t="str">
            <v>RA</v>
          </cell>
          <cell r="AA251">
            <v>779.47902514629709</v>
          </cell>
          <cell r="AB251">
            <v>0</v>
          </cell>
        </row>
        <row r="252">
          <cell r="X252">
            <v>2608.5</v>
          </cell>
          <cell r="Z252" t="str">
            <v>RA</v>
          </cell>
          <cell r="AA252">
            <v>653.17163213128379</v>
          </cell>
          <cell r="AB252">
            <v>0</v>
          </cell>
        </row>
        <row r="253">
          <cell r="X253">
            <v>302.60000000000002</v>
          </cell>
          <cell r="Z253" t="str">
            <v>RA</v>
          </cell>
          <cell r="AA253">
            <v>75.771414944575994</v>
          </cell>
          <cell r="AB253">
            <v>0</v>
          </cell>
        </row>
        <row r="254">
          <cell r="X254">
            <v>121.56</v>
          </cell>
          <cell r="Z254" t="str">
            <v>RA</v>
          </cell>
          <cell r="AA254">
            <v>30.43877462215022</v>
          </cell>
          <cell r="AB254">
            <v>0</v>
          </cell>
        </row>
        <row r="255">
          <cell r="X255">
            <v>397.02</v>
          </cell>
          <cell r="Z255" t="str">
            <v>RA</v>
          </cell>
          <cell r="AA255">
            <v>99.414299938187568</v>
          </cell>
          <cell r="AB255">
            <v>0</v>
          </cell>
        </row>
        <row r="256">
          <cell r="X256">
            <v>971.36</v>
          </cell>
          <cell r="Z256" t="str">
            <v>RA</v>
          </cell>
          <cell r="AA256">
            <v>243.22974758943599</v>
          </cell>
          <cell r="AB256">
            <v>0</v>
          </cell>
        </row>
        <row r="257">
          <cell r="X257">
            <v>45.04</v>
          </cell>
          <cell r="Z257" t="str">
            <v>RA</v>
          </cell>
          <cell r="AA257">
            <v>11.278071808009591</v>
          </cell>
          <cell r="AB257">
            <v>0</v>
          </cell>
        </row>
        <row r="258">
          <cell r="X258">
            <v>129.63999999999999</v>
          </cell>
          <cell r="Z258" t="str">
            <v>RA</v>
          </cell>
          <cell r="AA258">
            <v>32.462016633889064</v>
          </cell>
          <cell r="AB258">
            <v>0</v>
          </cell>
        </row>
        <row r="259">
          <cell r="X259">
            <v>183.38</v>
          </cell>
          <cell r="Z259" t="str">
            <v>RA</v>
          </cell>
          <cell r="AA259">
            <v>45.918579221864981</v>
          </cell>
          <cell r="AB259">
            <v>0</v>
          </cell>
        </row>
        <row r="260">
          <cell r="X260">
            <v>1200.0999999999999</v>
          </cell>
          <cell r="Z260" t="str">
            <v>RA</v>
          </cell>
          <cell r="AA260">
            <v>300.50652701581504</v>
          </cell>
          <cell r="AB260">
            <v>0</v>
          </cell>
        </row>
        <row r="261">
          <cell r="X261">
            <v>1739</v>
          </cell>
          <cell r="Z261" t="str">
            <v>RA</v>
          </cell>
          <cell r="AA261">
            <v>435.44775475418913</v>
          </cell>
          <cell r="AB261">
            <v>0</v>
          </cell>
        </row>
        <row r="262">
          <cell r="X262">
            <v>381.5</v>
          </cell>
          <cell r="Z262" t="str">
            <v>RA</v>
          </cell>
          <cell r="AA262">
            <v>95.528072707718891</v>
          </cell>
          <cell r="AB262">
            <v>0</v>
          </cell>
        </row>
        <row r="263">
          <cell r="X263">
            <v>644.4</v>
          </cell>
          <cell r="Z263" t="str">
            <v>RA</v>
          </cell>
          <cell r="AA263">
            <v>161.35855846095427</v>
          </cell>
          <cell r="AB263">
            <v>0</v>
          </cell>
        </row>
        <row r="264">
          <cell r="X264">
            <v>154.16999999999999</v>
          </cell>
          <cell r="Z264" t="str">
            <v>RA</v>
          </cell>
          <cell r="AA264">
            <v>38.604359028437798</v>
          </cell>
          <cell r="AB264">
            <v>0</v>
          </cell>
        </row>
        <row r="265">
          <cell r="X265">
            <v>135.84</v>
          </cell>
          <cell r="Z265" t="str">
            <v>RA</v>
          </cell>
          <cell r="AA265">
            <v>34.014504316163922</v>
          </cell>
          <cell r="AB265">
            <v>0</v>
          </cell>
        </row>
        <row r="266">
          <cell r="X266">
            <v>124.88</v>
          </cell>
          <cell r="Z266" t="str">
            <v>RA</v>
          </cell>
          <cell r="AA266">
            <v>31.270106735884497</v>
          </cell>
          <cell r="AB266">
            <v>0</v>
          </cell>
        </row>
        <row r="267">
          <cell r="X267">
            <v>173.25</v>
          </cell>
          <cell r="Z267" t="str">
            <v>RA</v>
          </cell>
          <cell r="AA267">
            <v>43.382014670019132</v>
          </cell>
          <cell r="AB267">
            <v>0</v>
          </cell>
        </row>
        <row r="268">
          <cell r="X268">
            <v>4305</v>
          </cell>
          <cell r="Z268" t="str">
            <v>RA</v>
          </cell>
          <cell r="AA268">
            <v>1077.9773342247179</v>
          </cell>
          <cell r="AB268">
            <v>0</v>
          </cell>
        </row>
        <row r="269">
          <cell r="X269">
            <v>1439.55</v>
          </cell>
          <cell r="Z269" t="str">
            <v>RA</v>
          </cell>
          <cell r="AA269">
            <v>360.46510371270443</v>
          </cell>
          <cell r="AB269">
            <v>0</v>
          </cell>
        </row>
        <row r="270">
          <cell r="X270">
            <v>1310.75</v>
          </cell>
          <cell r="Z270" t="str">
            <v>RA</v>
          </cell>
          <cell r="AA270">
            <v>328.21342411963968</v>
          </cell>
          <cell r="AB270">
            <v>0</v>
          </cell>
        </row>
        <row r="271">
          <cell r="X271">
            <v>5120.5</v>
          </cell>
          <cell r="Z271" t="str">
            <v>RA</v>
          </cell>
          <cell r="AA271">
            <v>1282.1795446916765</v>
          </cell>
          <cell r="AB271">
            <v>0</v>
          </cell>
        </row>
        <row r="272">
          <cell r="X272">
            <v>540</v>
          </cell>
          <cell r="Z272" t="str">
            <v>RA</v>
          </cell>
          <cell r="AA272">
            <v>135.21666910135835</v>
          </cell>
          <cell r="AB272">
            <v>0</v>
          </cell>
        </row>
        <row r="273">
          <cell r="X273">
            <v>1952.8</v>
          </cell>
          <cell r="Z273" t="str">
            <v>RA</v>
          </cell>
          <cell r="AA273">
            <v>488.98353966876397</v>
          </cell>
          <cell r="AB273">
            <v>0</v>
          </cell>
        </row>
        <row r="274">
          <cell r="X274">
            <v>9989</v>
          </cell>
          <cell r="Z274" t="str">
            <v>RA</v>
          </cell>
          <cell r="AA274">
            <v>2501.2579771360524</v>
          </cell>
          <cell r="AB274">
            <v>0</v>
          </cell>
        </row>
        <row r="275">
          <cell r="X275">
            <v>12384</v>
          </cell>
          <cell r="Z275" t="str">
            <v>RA</v>
          </cell>
          <cell r="AA275">
            <v>3100.9689447244846</v>
          </cell>
          <cell r="AB275">
            <v>0</v>
          </cell>
        </row>
        <row r="276">
          <cell r="X276">
            <v>66013.2</v>
          </cell>
          <cell r="Z276" t="str">
            <v>RA</v>
          </cell>
          <cell r="AA276">
            <v>16529.787075410717</v>
          </cell>
          <cell r="AB276">
            <v>0</v>
          </cell>
        </row>
        <row r="277">
          <cell r="X277">
            <v>68403</v>
          </cell>
          <cell r="Z277" t="str">
            <v>RA</v>
          </cell>
          <cell r="AA277">
            <v>17128.195956555952</v>
          </cell>
          <cell r="AB277">
            <v>0</v>
          </cell>
        </row>
        <row r="278">
          <cell r="X278">
            <v>684.6</v>
          </cell>
          <cell r="Z278" t="str">
            <v>RA</v>
          </cell>
          <cell r="AA278">
            <v>171.42468827183319</v>
          </cell>
          <cell r="AB278">
            <v>0</v>
          </cell>
        </row>
        <row r="279">
          <cell r="X279">
            <v>14490</v>
          </cell>
          <cell r="Z279" t="str">
            <v>RA</v>
          </cell>
          <cell r="AA279">
            <v>3628.3139542197819</v>
          </cell>
          <cell r="AB279">
            <v>0</v>
          </cell>
        </row>
        <row r="280">
          <cell r="X280">
            <v>4320.32</v>
          </cell>
          <cell r="Z280" t="str">
            <v>RA</v>
          </cell>
          <cell r="AA280">
            <v>1081.8134812073711</v>
          </cell>
          <cell r="AB280">
            <v>0</v>
          </cell>
        </row>
        <row r="281">
          <cell r="X281">
            <v>1304.54</v>
          </cell>
          <cell r="Z281" t="str">
            <v>RA</v>
          </cell>
          <cell r="AA281">
            <v>326.65843242497408</v>
          </cell>
          <cell r="AB281">
            <v>0</v>
          </cell>
        </row>
        <row r="282">
          <cell r="X282">
            <v>8368</v>
          </cell>
          <cell r="Z282" t="str">
            <v>RA</v>
          </cell>
          <cell r="AA282">
            <v>2095.3575685929009</v>
          </cell>
          <cell r="AB282">
            <v>0</v>
          </cell>
        </row>
        <row r="283">
          <cell r="X283">
            <v>311.2</v>
          </cell>
          <cell r="Z283" t="str">
            <v>RA</v>
          </cell>
          <cell r="AA283">
            <v>77.924865600634647</v>
          </cell>
          <cell r="AB283">
            <v>0</v>
          </cell>
        </row>
        <row r="284">
          <cell r="X284">
            <v>7846.68</v>
          </cell>
          <cell r="Z284" t="str">
            <v>RA</v>
          </cell>
          <cell r="AA284">
            <v>1964.8183946374934</v>
          </cell>
          <cell r="AB284">
            <v>0</v>
          </cell>
        </row>
        <row r="285">
          <cell r="X285">
            <v>6415.62</v>
          </cell>
          <cell r="Z285" t="str">
            <v>RA</v>
          </cell>
          <cell r="AA285">
            <v>1606.4791974445491</v>
          </cell>
          <cell r="AB285">
            <v>0</v>
          </cell>
        </row>
        <row r="286">
          <cell r="X286">
            <v>1286.28</v>
          </cell>
          <cell r="Z286" t="str">
            <v>RA</v>
          </cell>
          <cell r="AA286">
            <v>322.08610579943553</v>
          </cell>
          <cell r="AB286">
            <v>0</v>
          </cell>
        </row>
        <row r="287">
          <cell r="X287">
            <v>2097.36</v>
          </cell>
          <cell r="Z287" t="str">
            <v>RA</v>
          </cell>
          <cell r="AA287">
            <v>525.18154278967586</v>
          </cell>
          <cell r="AB287">
            <v>0</v>
          </cell>
        </row>
        <row r="288">
          <cell r="X288">
            <v>1284.48</v>
          </cell>
          <cell r="Z288" t="str">
            <v>RA</v>
          </cell>
          <cell r="AA288">
            <v>321.63538356909771</v>
          </cell>
          <cell r="AB288">
            <v>0</v>
          </cell>
        </row>
        <row r="289">
          <cell r="X289">
            <v>1596.8</v>
          </cell>
          <cell r="Z289" t="str">
            <v>RA</v>
          </cell>
          <cell r="AA289">
            <v>399.84069855749811</v>
          </cell>
          <cell r="AB289">
            <v>0</v>
          </cell>
        </row>
        <row r="290">
          <cell r="X290">
            <v>3954.6</v>
          </cell>
          <cell r="Z290" t="str">
            <v>RA</v>
          </cell>
          <cell r="AA290">
            <v>990.23674005228088</v>
          </cell>
          <cell r="AB290">
            <v>0</v>
          </cell>
        </row>
        <row r="291">
          <cell r="X291">
            <v>5272.8</v>
          </cell>
          <cell r="Z291" t="str">
            <v>RA</v>
          </cell>
          <cell r="AA291">
            <v>1320.3156534030413</v>
          </cell>
          <cell r="AB291">
            <v>0</v>
          </cell>
        </row>
        <row r="292">
          <cell r="X292">
            <v>13097.25</v>
          </cell>
          <cell r="Z292" t="str">
            <v>RA</v>
          </cell>
          <cell r="AA292">
            <v>3279.5676284958618</v>
          </cell>
          <cell r="AB292">
            <v>0</v>
          </cell>
        </row>
        <row r="293">
          <cell r="X293">
            <v>556.30999999999995</v>
          </cell>
          <cell r="Z293" t="str">
            <v>RA</v>
          </cell>
          <cell r="AA293">
            <v>139.30071331069749</v>
          </cell>
          <cell r="AB293">
            <v>0</v>
          </cell>
        </row>
        <row r="294">
          <cell r="X294">
            <v>1286.95</v>
          </cell>
          <cell r="Z294" t="str">
            <v>RA</v>
          </cell>
          <cell r="AA294">
            <v>322.25387462961686</v>
          </cell>
          <cell r="AB294">
            <v>0</v>
          </cell>
        </row>
        <row r="295">
          <cell r="X295">
            <v>127.2</v>
          </cell>
          <cell r="Z295" t="str">
            <v>RA</v>
          </cell>
          <cell r="AA295">
            <v>31.851037610542186</v>
          </cell>
          <cell r="AB295">
            <v>0</v>
          </cell>
        </row>
        <row r="296">
          <cell r="X296">
            <v>573.6</v>
          </cell>
          <cell r="Z296" t="str">
            <v>RA</v>
          </cell>
          <cell r="AA296">
            <v>143.63015073433175</v>
          </cell>
          <cell r="AB296">
            <v>0</v>
          </cell>
        </row>
        <row r="297">
          <cell r="X297">
            <v>929.6</v>
          </cell>
          <cell r="Z297" t="str">
            <v>RA</v>
          </cell>
          <cell r="AA297">
            <v>232.7729918455976</v>
          </cell>
          <cell r="AB297">
            <v>0</v>
          </cell>
        </row>
        <row r="298">
          <cell r="X298">
            <v>1079.54</v>
          </cell>
          <cell r="Z298" t="str">
            <v>RA</v>
          </cell>
          <cell r="AA298">
            <v>270.31815363274143</v>
          </cell>
          <cell r="AB298">
            <v>0</v>
          </cell>
        </row>
        <row r="299">
          <cell r="X299">
            <v>59525</v>
          </cell>
          <cell r="Z299" t="str">
            <v>RA</v>
          </cell>
          <cell r="AA299">
            <v>14905.133756033991</v>
          </cell>
          <cell r="AB299">
            <v>0</v>
          </cell>
        </row>
        <row r="300">
          <cell r="X300">
            <v>13659.8</v>
          </cell>
          <cell r="Z300" t="str">
            <v>RA</v>
          </cell>
          <cell r="AA300">
            <v>3420.4308455383971</v>
          </cell>
          <cell r="AB300">
            <v>0</v>
          </cell>
        </row>
        <row r="301">
          <cell r="X301">
            <v>154.80000000000001</v>
          </cell>
          <cell r="Z301" t="str">
            <v>RA</v>
          </cell>
          <cell r="AA301">
            <v>38.762111809056059</v>
          </cell>
          <cell r="AB301">
            <v>0</v>
          </cell>
        </row>
        <row r="302">
          <cell r="X302">
            <v>392865</v>
          </cell>
          <cell r="Z302" t="str">
            <v>RA</v>
          </cell>
          <cell r="AA302">
            <v>98373.882789824333</v>
          </cell>
          <cell r="AB302">
            <v>0</v>
          </cell>
        </row>
        <row r="303">
          <cell r="X303">
            <v>70715.7</v>
          </cell>
          <cell r="Z303" t="str">
            <v>RA</v>
          </cell>
          <cell r="AA303">
            <v>17707.298902168379</v>
          </cell>
          <cell r="AB303">
            <v>0</v>
          </cell>
        </row>
        <row r="304">
          <cell r="X304">
            <v>94763.8</v>
          </cell>
          <cell r="Z304" t="str">
            <v>RA</v>
          </cell>
          <cell r="AA304">
            <v>23728.972939606112</v>
          </cell>
          <cell r="AB304">
            <v>0</v>
          </cell>
        </row>
        <row r="305">
          <cell r="X305">
            <v>206194.6</v>
          </cell>
          <cell r="Z305" t="str">
            <v>RA</v>
          </cell>
          <cell r="AA305">
            <v>51631.383330901743</v>
          </cell>
          <cell r="AB305">
            <v>0</v>
          </cell>
        </row>
        <row r="306">
          <cell r="X306">
            <v>6964.43</v>
          </cell>
          <cell r="Z306" t="str">
            <v>RA</v>
          </cell>
          <cell r="AA306">
            <v>1743.9019014621724</v>
          </cell>
          <cell r="AB306">
            <v>0</v>
          </cell>
        </row>
        <row r="307">
          <cell r="X307">
            <v>2142.11</v>
          </cell>
          <cell r="Z307" t="str">
            <v>RA</v>
          </cell>
          <cell r="AA307">
            <v>536.38699823835316</v>
          </cell>
          <cell r="AB307">
            <v>0</v>
          </cell>
        </row>
        <row r="308">
          <cell r="X308">
            <v>565826.46</v>
          </cell>
          <cell r="Z308" t="str">
            <v/>
          </cell>
          <cell r="AA308">
            <v>141683.64668632031</v>
          </cell>
          <cell r="AB308">
            <v>0</v>
          </cell>
        </row>
        <row r="309">
          <cell r="X309">
            <v>304783.40999999997</v>
          </cell>
          <cell r="Z309" t="str">
            <v/>
          </cell>
          <cell r="AA309">
            <v>76318.143513988209</v>
          </cell>
          <cell r="AB309">
            <v>0</v>
          </cell>
        </row>
        <row r="310">
          <cell r="X310">
            <v>6059.34</v>
          </cell>
          <cell r="Z310" t="str">
            <v>RA</v>
          </cell>
          <cell r="AA310">
            <v>1517.2662439863418</v>
          </cell>
          <cell r="AB310">
            <v>0</v>
          </cell>
        </row>
        <row r="311">
          <cell r="X311">
            <v>45.63</v>
          </cell>
          <cell r="Z311" t="str">
            <v>RA</v>
          </cell>
          <cell r="AA311">
            <v>11.42580853906478</v>
          </cell>
          <cell r="AB311">
            <v>0</v>
          </cell>
        </row>
        <row r="312">
          <cell r="X312">
            <v>105.6</v>
          </cell>
          <cell r="Z312" t="str">
            <v>RA</v>
          </cell>
          <cell r="AA312">
            <v>26.442370846487851</v>
          </cell>
          <cell r="AB312">
            <v>0</v>
          </cell>
        </row>
        <row r="313">
          <cell r="X313">
            <v>1829.52</v>
          </cell>
          <cell r="Z313" t="str">
            <v>RA</v>
          </cell>
          <cell r="AA313">
            <v>458.11407491540206</v>
          </cell>
          <cell r="AB313">
            <v>0</v>
          </cell>
        </row>
        <row r="314">
          <cell r="X314">
            <v>82.04</v>
          </cell>
          <cell r="Z314" t="str">
            <v>RA</v>
          </cell>
          <cell r="AA314">
            <v>20.542917653843404</v>
          </cell>
          <cell r="AB314">
            <v>0</v>
          </cell>
        </row>
        <row r="315">
          <cell r="X315">
            <v>1364.55</v>
          </cell>
          <cell r="Z315" t="str">
            <v>RA</v>
          </cell>
          <cell r="AA315">
            <v>341.68501078196022</v>
          </cell>
          <cell r="AB315">
            <v>0</v>
          </cell>
        </row>
        <row r="316">
          <cell r="X316">
            <v>760</v>
          </cell>
          <cell r="Z316" t="str">
            <v>RA</v>
          </cell>
          <cell r="AA316">
            <v>190.30494169820804</v>
          </cell>
          <cell r="AB316">
            <v>0</v>
          </cell>
        </row>
        <row r="317">
          <cell r="X317">
            <v>1159</v>
          </cell>
          <cell r="Z317" t="str">
            <v>RA</v>
          </cell>
          <cell r="AA317">
            <v>290.21503608976724</v>
          </cell>
          <cell r="AB317">
            <v>0</v>
          </cell>
        </row>
        <row r="318">
          <cell r="X318">
            <v>1423.62</v>
          </cell>
          <cell r="Z318" t="str">
            <v>RA</v>
          </cell>
          <cell r="AA318">
            <v>356.47621197421432</v>
          </cell>
          <cell r="AB318">
            <v>0</v>
          </cell>
        </row>
        <row r="319">
          <cell r="X319">
            <v>12413.91</v>
          </cell>
          <cell r="Z319" t="str">
            <v>RA</v>
          </cell>
          <cell r="AA319">
            <v>3108.4584457852652</v>
          </cell>
          <cell r="AB319">
            <v>0</v>
          </cell>
        </row>
        <row r="320">
          <cell r="X320">
            <v>124.4</v>
          </cell>
          <cell r="Z320" t="str">
            <v>RA</v>
          </cell>
          <cell r="AA320">
            <v>31.149914141127738</v>
          </cell>
          <cell r="AB320">
            <v>0</v>
          </cell>
        </row>
        <row r="321">
          <cell r="X321">
            <v>4090.2</v>
          </cell>
          <cell r="Z321" t="str">
            <v>RA</v>
          </cell>
          <cell r="AA321">
            <v>1024.1911480710664</v>
          </cell>
          <cell r="AB321">
            <v>0</v>
          </cell>
        </row>
        <row r="322">
          <cell r="X322">
            <v>30916.77</v>
          </cell>
          <cell r="Z322" t="str">
            <v>RA</v>
          </cell>
          <cell r="AA322">
            <v>7741.5975162459308</v>
          </cell>
          <cell r="AB322">
            <v>0</v>
          </cell>
        </row>
        <row r="323">
          <cell r="X323">
            <v>619.02</v>
          </cell>
          <cell r="Z323" t="str">
            <v>RA</v>
          </cell>
          <cell r="AA323">
            <v>155.00337501319044</v>
          </cell>
          <cell r="AB323">
            <v>0</v>
          </cell>
        </row>
        <row r="324">
          <cell r="X324">
            <v>940.16</v>
          </cell>
          <cell r="Z324" t="str">
            <v>RA</v>
          </cell>
          <cell r="AA324">
            <v>235.41722893024638</v>
          </cell>
          <cell r="AB324">
            <v>0</v>
          </cell>
        </row>
        <row r="325">
          <cell r="X325">
            <v>74.62</v>
          </cell>
          <cell r="Z325" t="str">
            <v>RA</v>
          </cell>
          <cell r="AA325">
            <v>18.68494045989511</v>
          </cell>
          <cell r="AB325">
            <v>0</v>
          </cell>
        </row>
        <row r="326">
          <cell r="X326">
            <v>86.24</v>
          </cell>
          <cell r="Z326" t="str">
            <v>RA</v>
          </cell>
          <cell r="AA326">
            <v>21.594602857965079</v>
          </cell>
          <cell r="AB326">
            <v>0</v>
          </cell>
        </row>
        <row r="327">
          <cell r="X327">
            <v>44490.68</v>
          </cell>
          <cell r="Z327" t="str">
            <v>RA</v>
          </cell>
          <cell r="AA327">
            <v>11140.521399360039</v>
          </cell>
          <cell r="AB327">
            <v>0</v>
          </cell>
        </row>
        <row r="328">
          <cell r="X328">
            <v>1827.18</v>
          </cell>
          <cell r="Z328" t="str">
            <v>RA</v>
          </cell>
          <cell r="AA328">
            <v>457.52813601596284</v>
          </cell>
          <cell r="AB328">
            <v>0</v>
          </cell>
        </row>
        <row r="329">
          <cell r="X329">
            <v>4405.59</v>
          </cell>
          <cell r="Z329" t="str">
            <v>RA</v>
          </cell>
          <cell r="AA329">
            <v>1103.1651948634319</v>
          </cell>
          <cell r="AB329">
            <v>0</v>
          </cell>
        </row>
        <row r="330">
          <cell r="X330">
            <v>12126.2</v>
          </cell>
          <cell r="Z330" t="str">
            <v>RA</v>
          </cell>
          <cell r="AA330">
            <v>3036.4155052905398</v>
          </cell>
          <cell r="AB330">
            <v>0</v>
          </cell>
        </row>
        <row r="331">
          <cell r="X331">
            <v>188.22</v>
          </cell>
          <cell r="Z331" t="str">
            <v>RA</v>
          </cell>
          <cell r="AA331">
            <v>47.130521218995675</v>
          </cell>
          <cell r="AB331">
            <v>0</v>
          </cell>
        </row>
        <row r="332">
          <cell r="X332">
            <v>16624.32</v>
          </cell>
          <cell r="Z332" t="str">
            <v>RA</v>
          </cell>
          <cell r="AA332">
            <v>4162.750326805728</v>
          </cell>
          <cell r="AB332">
            <v>0</v>
          </cell>
        </row>
        <row r="333">
          <cell r="X333">
            <v>36446.160000000003</v>
          </cell>
          <cell r="Z333" t="str">
            <v>RA</v>
          </cell>
          <cell r="AA333">
            <v>9126.163623583634</v>
          </cell>
          <cell r="AB333">
            <v>0</v>
          </cell>
        </row>
        <row r="334">
          <cell r="X334">
            <v>3642.04</v>
          </cell>
          <cell r="Z334" t="str">
            <v>RA</v>
          </cell>
          <cell r="AA334">
            <v>911.9713287665021</v>
          </cell>
          <cell r="AB334">
            <v>0</v>
          </cell>
        </row>
        <row r="335">
          <cell r="X335">
            <v>35593.019999999997</v>
          </cell>
          <cell r="Z335" t="str">
            <v>RA</v>
          </cell>
          <cell r="AA335">
            <v>8912.5363104778316</v>
          </cell>
          <cell r="AB335">
            <v>0</v>
          </cell>
        </row>
        <row r="336">
          <cell r="X336">
            <v>87345.38</v>
          </cell>
          <cell r="Z336" t="str">
            <v>RA</v>
          </cell>
          <cell r="AA336">
            <v>21871.391379615561</v>
          </cell>
          <cell r="AB336">
            <v>0</v>
          </cell>
        </row>
        <row r="337">
          <cell r="X337">
            <v>261043.05</v>
          </cell>
          <cell r="Z337" t="str">
            <v/>
          </cell>
          <cell r="AA337">
            <v>65365.503172332108</v>
          </cell>
          <cell r="AB337">
            <v>0</v>
          </cell>
        </row>
        <row r="338">
          <cell r="X338">
            <v>812.97</v>
          </cell>
          <cell r="Z338" t="str">
            <v>RA</v>
          </cell>
          <cell r="AA338">
            <v>203.56869533209499</v>
          </cell>
          <cell r="AB338">
            <v>0</v>
          </cell>
        </row>
        <row r="339">
          <cell r="X339">
            <v>1793.36</v>
          </cell>
          <cell r="Z339" t="str">
            <v>RA</v>
          </cell>
          <cell r="AA339">
            <v>449.05956611039255</v>
          </cell>
          <cell r="AB339">
            <v>0</v>
          </cell>
        </row>
        <row r="340">
          <cell r="X340">
            <v>6684.3</v>
          </cell>
          <cell r="Z340" t="str">
            <v>RA</v>
          </cell>
          <cell r="AA340">
            <v>1673.7570023596472</v>
          </cell>
          <cell r="AB340">
            <v>0</v>
          </cell>
        </row>
        <row r="341">
          <cell r="X341">
            <v>121623.12</v>
          </cell>
          <cell r="Z341" t="str">
            <v>RA</v>
          </cell>
          <cell r="AA341">
            <v>30454.579948360733</v>
          </cell>
          <cell r="AB341">
            <v>0</v>
          </cell>
        </row>
        <row r="342">
          <cell r="X342">
            <v>2699.31</v>
          </cell>
          <cell r="Z342" t="str">
            <v>RA</v>
          </cell>
          <cell r="AA342">
            <v>675.91056865182884</v>
          </cell>
          <cell r="AB342">
            <v>0</v>
          </cell>
        </row>
        <row r="343">
          <cell r="X343">
            <v>3791.74</v>
          </cell>
          <cell r="Z343" t="str">
            <v>RA</v>
          </cell>
          <cell r="AA343">
            <v>949.45639425626746</v>
          </cell>
          <cell r="AB343">
            <v>0</v>
          </cell>
        </row>
        <row r="344">
          <cell r="X344">
            <v>7129.64</v>
          </cell>
          <cell r="Z344" t="str">
            <v>RA</v>
          </cell>
          <cell r="AA344">
            <v>1785.2706901700158</v>
          </cell>
          <cell r="AB344">
            <v>0</v>
          </cell>
        </row>
        <row r="345">
          <cell r="X345">
            <v>5653.09</v>
          </cell>
          <cell r="Z345" t="str">
            <v>RA</v>
          </cell>
          <cell r="AA345">
            <v>1415.5407406114775</v>
          </cell>
          <cell r="AB345">
            <v>0</v>
          </cell>
        </row>
        <row r="346">
          <cell r="X346">
            <v>1885.68</v>
          </cell>
          <cell r="Z346" t="str">
            <v>RA</v>
          </cell>
          <cell r="AA346">
            <v>472.17660850194335</v>
          </cell>
          <cell r="AB346">
            <v>0</v>
          </cell>
        </row>
        <row r="347">
          <cell r="X347">
            <v>284.83</v>
          </cell>
          <cell r="Z347" t="str">
            <v>RA</v>
          </cell>
          <cell r="AA347">
            <v>71.321784926184989</v>
          </cell>
          <cell r="AB347">
            <v>0</v>
          </cell>
        </row>
        <row r="348">
          <cell r="X348">
            <v>905.41</v>
          </cell>
          <cell r="Z348" t="str">
            <v>RA</v>
          </cell>
          <cell r="AA348">
            <v>226.71578587233489</v>
          </cell>
          <cell r="AB348">
            <v>0</v>
          </cell>
        </row>
        <row r="349">
          <cell r="X349">
            <v>675.82</v>
          </cell>
          <cell r="Z349" t="str">
            <v>RA</v>
          </cell>
          <cell r="AA349">
            <v>169.22616539274074</v>
          </cell>
          <cell r="AB349">
            <v>0</v>
          </cell>
        </row>
        <row r="350">
          <cell r="X350">
            <v>78.16</v>
          </cell>
          <cell r="Z350" t="str">
            <v>RA</v>
          </cell>
          <cell r="AA350">
            <v>19.571360846226234</v>
          </cell>
          <cell r="AB350">
            <v>0</v>
          </cell>
        </row>
        <row r="351">
          <cell r="X351">
            <v>7.96</v>
          </cell>
          <cell r="Z351" t="str">
            <v>RA</v>
          </cell>
          <cell r="AA351">
            <v>1.9931938630496524</v>
          </cell>
          <cell r="AB351">
            <v>0</v>
          </cell>
        </row>
        <row r="352">
          <cell r="X352">
            <v>71.84</v>
          </cell>
          <cell r="Z352" t="str">
            <v>RA</v>
          </cell>
          <cell r="AA352">
            <v>17.98882501526219</v>
          </cell>
          <cell r="AB352">
            <v>0</v>
          </cell>
        </row>
        <row r="353">
          <cell r="X353">
            <v>1048.32</v>
          </cell>
          <cell r="Z353" t="str">
            <v>RA</v>
          </cell>
          <cell r="AA353">
            <v>262.50062694877028</v>
          </cell>
          <cell r="AB353">
            <v>0</v>
          </cell>
        </row>
        <row r="354">
          <cell r="X354">
            <v>6422.88</v>
          </cell>
          <cell r="Z354" t="str">
            <v>RA</v>
          </cell>
          <cell r="AA354">
            <v>1608.2971104402452</v>
          </cell>
          <cell r="AB354">
            <v>0</v>
          </cell>
        </row>
        <row r="355">
          <cell r="X355">
            <v>7578.4</v>
          </cell>
          <cell r="Z355" t="str">
            <v>RA</v>
          </cell>
          <cell r="AA355">
            <v>1897.6407502180259</v>
          </cell>
          <cell r="AB355">
            <v>0</v>
          </cell>
        </row>
        <row r="356">
          <cell r="X356">
            <v>27258.240000000002</v>
          </cell>
          <cell r="Z356" t="str">
            <v>RA</v>
          </cell>
          <cell r="AA356">
            <v>6825.4970710470552</v>
          </cell>
          <cell r="AB356">
            <v>0</v>
          </cell>
        </row>
        <row r="357">
          <cell r="X357">
            <v>9450.48</v>
          </cell>
          <cell r="Z357" t="str">
            <v>RA</v>
          </cell>
          <cell r="AA357">
            <v>2366.4119018685274</v>
          </cell>
          <cell r="AB357">
            <v>0</v>
          </cell>
        </row>
        <row r="358">
          <cell r="X358">
            <v>29158.48</v>
          </cell>
          <cell r="Z358" t="str">
            <v>RA</v>
          </cell>
          <cell r="AA358">
            <v>7301.3195215899532</v>
          </cell>
          <cell r="AB358">
            <v>0</v>
          </cell>
        </row>
        <row r="359">
          <cell r="X359">
            <v>5436.08</v>
          </cell>
          <cell r="Z359" t="str">
            <v>RA</v>
          </cell>
          <cell r="AA359">
            <v>1361.2011677194666</v>
          </cell>
          <cell r="AB359">
            <v>0</v>
          </cell>
        </row>
        <row r="360">
          <cell r="X360">
            <v>8684</v>
          </cell>
          <cell r="Z360" t="str">
            <v>RA</v>
          </cell>
          <cell r="AA360">
            <v>2174.4843601411035</v>
          </cell>
          <cell r="AB360">
            <v>0</v>
          </cell>
        </row>
        <row r="361">
          <cell r="X361">
            <v>2751.84</v>
          </cell>
          <cell r="Z361" t="str">
            <v>RA</v>
          </cell>
          <cell r="AA361">
            <v>689.06414574052212</v>
          </cell>
          <cell r="AB361">
            <v>0</v>
          </cell>
        </row>
        <row r="362">
          <cell r="X362">
            <v>4717.4399999999996</v>
          </cell>
          <cell r="Z362" t="str">
            <v>RA</v>
          </cell>
          <cell r="AA362">
            <v>1181.2528212694663</v>
          </cell>
          <cell r="AB362">
            <v>0</v>
          </cell>
        </row>
        <row r="363">
          <cell r="X363">
            <v>1351.64</v>
          </cell>
          <cell r="Z363" t="str">
            <v>RA</v>
          </cell>
          <cell r="AA363">
            <v>338.45233078548148</v>
          </cell>
          <cell r="AB363">
            <v>0</v>
          </cell>
        </row>
        <row r="364">
          <cell r="X364">
            <v>3034.34</v>
          </cell>
          <cell r="Z364" t="str">
            <v>RA</v>
          </cell>
          <cell r="AA364">
            <v>759.80249577965867</v>
          </cell>
          <cell r="AB364">
            <v>0</v>
          </cell>
        </row>
        <row r="365">
          <cell r="X365">
            <v>53.68</v>
          </cell>
          <cell r="Z365" t="str">
            <v>RA</v>
          </cell>
          <cell r="AA365">
            <v>13.441538513631325</v>
          </cell>
          <cell r="AB365">
            <v>0</v>
          </cell>
        </row>
        <row r="366">
          <cell r="X366">
            <v>196408.32000000001</v>
          </cell>
          <cell r="Z366" t="str">
            <v/>
          </cell>
          <cell r="AA366">
            <v>49180.886692951302</v>
          </cell>
          <cell r="AB366">
            <v>0</v>
          </cell>
        </row>
        <row r="367">
          <cell r="X367">
            <v>149463.48000000001</v>
          </cell>
          <cell r="Z367" t="str">
            <v/>
          </cell>
          <cell r="AA367">
            <v>37425.840588699051</v>
          </cell>
          <cell r="AB367">
            <v>0</v>
          </cell>
        </row>
        <row r="368">
          <cell r="X368">
            <v>17564.63</v>
          </cell>
          <cell r="Z368" t="str">
            <v>RA</v>
          </cell>
          <cell r="AA368">
            <v>4398.2051159218363</v>
          </cell>
          <cell r="AB368">
            <v>0</v>
          </cell>
        </row>
        <row r="369">
          <cell r="X369">
            <v>38650.71</v>
          </cell>
          <cell r="Z369" t="str">
            <v>RA</v>
          </cell>
          <cell r="AA369">
            <v>9678.1856751899286</v>
          </cell>
          <cell r="AB369">
            <v>0</v>
          </cell>
        </row>
        <row r="370">
          <cell r="X370">
            <v>3391.74</v>
          </cell>
          <cell r="Z370" t="str">
            <v>RA</v>
          </cell>
          <cell r="AA370">
            <v>849.29589862563159</v>
          </cell>
          <cell r="AB370">
            <v>0</v>
          </cell>
        </row>
        <row r="371">
          <cell r="X371">
            <v>89856.4</v>
          </cell>
          <cell r="Z371" t="str">
            <v>RA</v>
          </cell>
          <cell r="AA371">
            <v>22500.153898961657</v>
          </cell>
          <cell r="AB371">
            <v>0</v>
          </cell>
        </row>
        <row r="372">
          <cell r="X372">
            <v>46944.84</v>
          </cell>
          <cell r="Z372" t="str">
            <v/>
          </cell>
          <cell r="AA372">
            <v>11755.046104252242</v>
          </cell>
          <cell r="AB372">
            <v>0</v>
          </cell>
        </row>
        <row r="373">
          <cell r="X373">
            <v>78.16</v>
          </cell>
          <cell r="Z373" t="str">
            <v>RA</v>
          </cell>
          <cell r="AA373">
            <v>19.571360846226234</v>
          </cell>
          <cell r="AB373">
            <v>0</v>
          </cell>
        </row>
        <row r="374">
          <cell r="X374">
            <v>579.04</v>
          </cell>
          <cell r="Z374" t="str">
            <v>RA</v>
          </cell>
          <cell r="AA374">
            <v>144.99233347490838</v>
          </cell>
          <cell r="AB374">
            <v>0</v>
          </cell>
        </row>
        <row r="375">
          <cell r="X375">
            <v>2925.39</v>
          </cell>
          <cell r="Z375" t="str">
            <v>RA</v>
          </cell>
          <cell r="AA375">
            <v>732.52128078226417</v>
          </cell>
          <cell r="AB375">
            <v>0</v>
          </cell>
        </row>
        <row r="376">
          <cell r="X376">
            <v>1799.54</v>
          </cell>
          <cell r="Z376" t="str">
            <v>RA</v>
          </cell>
          <cell r="AA376">
            <v>450.60704576788589</v>
          </cell>
          <cell r="AB376">
            <v>0</v>
          </cell>
        </row>
        <row r="377">
          <cell r="X377">
            <v>4254.2299999999996</v>
          </cell>
          <cell r="Z377" t="str">
            <v>RA</v>
          </cell>
          <cell r="AA377">
            <v>1065.2644633167993</v>
          </cell>
          <cell r="AB377">
            <v>0</v>
          </cell>
        </row>
        <row r="378">
          <cell r="X378">
            <v>11306.18</v>
          </cell>
          <cell r="Z378" t="str">
            <v>RA</v>
          </cell>
          <cell r="AA378">
            <v>2831.0814812229551</v>
          </cell>
          <cell r="AB378">
            <v>0</v>
          </cell>
        </row>
        <row r="379">
          <cell r="X379">
            <v>1048.32</v>
          </cell>
          <cell r="Z379" t="str">
            <v>RA</v>
          </cell>
          <cell r="AA379">
            <v>262.50062694877028</v>
          </cell>
          <cell r="AB379">
            <v>0</v>
          </cell>
        </row>
        <row r="380">
          <cell r="X380">
            <v>7129.64</v>
          </cell>
          <cell r="Z380" t="str">
            <v>RA</v>
          </cell>
          <cell r="AA380">
            <v>1785.2706901700158</v>
          </cell>
          <cell r="AB380">
            <v>0</v>
          </cell>
        </row>
        <row r="381">
          <cell r="X381">
            <v>675.82</v>
          </cell>
          <cell r="Z381" t="str">
            <v>RA</v>
          </cell>
          <cell r="AA381">
            <v>169.22616539274074</v>
          </cell>
          <cell r="AB381">
            <v>0</v>
          </cell>
        </row>
        <row r="382">
          <cell r="X382">
            <v>3034.34</v>
          </cell>
          <cell r="Z382" t="str">
            <v>RA</v>
          </cell>
          <cell r="AA382">
            <v>759.80249577965867</v>
          </cell>
          <cell r="AB382">
            <v>0</v>
          </cell>
        </row>
        <row r="383">
          <cell r="X383">
            <v>14114.18</v>
          </cell>
          <cell r="Z383" t="str">
            <v>RA</v>
          </cell>
          <cell r="AA383">
            <v>3534.2081605500184</v>
          </cell>
          <cell r="AB383">
            <v>0</v>
          </cell>
        </row>
        <row r="384">
          <cell r="X384">
            <v>931026</v>
          </cell>
          <cell r="Z384" t="str">
            <v/>
          </cell>
          <cell r="AA384">
            <v>233130.06401252095</v>
          </cell>
          <cell r="AB384">
            <v>0</v>
          </cell>
        </row>
        <row r="385">
          <cell r="X385">
            <v>844931.65</v>
          </cell>
          <cell r="Z385" t="str">
            <v/>
          </cell>
          <cell r="AA385">
            <v>211571.9320950273</v>
          </cell>
          <cell r="AB385">
            <v>0</v>
          </cell>
        </row>
        <row r="386">
          <cell r="X386">
            <v>307.26</v>
          </cell>
          <cell r="Z386" t="str">
            <v>RA</v>
          </cell>
          <cell r="AA386">
            <v>76.93828471867289</v>
          </cell>
          <cell r="AB386">
            <v>0</v>
          </cell>
        </row>
        <row r="387">
          <cell r="X387">
            <v>810</v>
          </cell>
          <cell r="Z387" t="str">
            <v>RA</v>
          </cell>
          <cell r="AA387">
            <v>202.82500365203751</v>
          </cell>
          <cell r="AB387">
            <v>0</v>
          </cell>
        </row>
        <row r="388">
          <cell r="X388">
            <v>77.38</v>
          </cell>
          <cell r="Z388" t="str">
            <v>RA</v>
          </cell>
          <cell r="AA388">
            <v>19.376047879746494</v>
          </cell>
          <cell r="AB388">
            <v>0</v>
          </cell>
        </row>
        <row r="389">
          <cell r="X389">
            <v>1224.72</v>
          </cell>
          <cell r="Z389" t="str">
            <v>RA</v>
          </cell>
          <cell r="AA389">
            <v>306.67140552188073</v>
          </cell>
          <cell r="AB389">
            <v>0</v>
          </cell>
        </row>
        <row r="390">
          <cell r="X390">
            <v>157.30000000000001</v>
          </cell>
          <cell r="Z390" t="str">
            <v>RA</v>
          </cell>
          <cell r="AA390">
            <v>39.388114906747532</v>
          </cell>
          <cell r="AB390">
            <v>0</v>
          </cell>
        </row>
        <row r="391">
          <cell r="X391">
            <v>4820.68</v>
          </cell>
          <cell r="Z391" t="str">
            <v>RA</v>
          </cell>
          <cell r="AA391">
            <v>1207.1042451917335</v>
          </cell>
          <cell r="AB391">
            <v>0</v>
          </cell>
        </row>
        <row r="392">
          <cell r="X392">
            <v>2411.9</v>
          </cell>
          <cell r="Z392" t="str">
            <v>RA</v>
          </cell>
          <cell r="AA392">
            <v>603.94274852882631</v>
          </cell>
          <cell r="AB392">
            <v>0</v>
          </cell>
        </row>
        <row r="393">
          <cell r="X393">
            <v>195.26</v>
          </cell>
          <cell r="Z393" t="str">
            <v>RA</v>
          </cell>
          <cell r="AA393">
            <v>48.893345942094868</v>
          </cell>
          <cell r="AB393">
            <v>0</v>
          </cell>
        </row>
        <row r="394">
          <cell r="X394">
            <v>83.2</v>
          </cell>
          <cell r="Z394" t="str">
            <v>RA</v>
          </cell>
          <cell r="AA394">
            <v>20.833383091172248</v>
          </cell>
          <cell r="AB394">
            <v>0</v>
          </cell>
        </row>
        <row r="395">
          <cell r="X395">
            <v>5851.04</v>
          </cell>
          <cell r="Z395" t="str">
            <v>RA</v>
          </cell>
          <cell r="AA395">
            <v>1465.1076658866882</v>
          </cell>
          <cell r="AB395">
            <v>0</v>
          </cell>
        </row>
        <row r="396">
          <cell r="X396">
            <v>1474.5</v>
          </cell>
          <cell r="Z396" t="str">
            <v>RA</v>
          </cell>
          <cell r="AA396">
            <v>369.21662701843121</v>
          </cell>
          <cell r="AB396">
            <v>0</v>
          </cell>
        </row>
        <row r="397">
          <cell r="X397">
            <v>8466.7999999999993</v>
          </cell>
          <cell r="Z397" t="str">
            <v>RA</v>
          </cell>
          <cell r="AA397">
            <v>2120.0972110136677</v>
          </cell>
          <cell r="AB397">
            <v>0</v>
          </cell>
        </row>
        <row r="398">
          <cell r="X398">
            <v>2342.13</v>
          </cell>
          <cell r="Z398" t="str">
            <v>RA</v>
          </cell>
          <cell r="AA398">
            <v>586.47225407845258</v>
          </cell>
          <cell r="AB398">
            <v>0</v>
          </cell>
        </row>
        <row r="399">
          <cell r="X399">
            <v>6179.34</v>
          </cell>
          <cell r="Z399" t="str">
            <v>RA</v>
          </cell>
          <cell r="AA399">
            <v>1547.3143926755326</v>
          </cell>
          <cell r="AB399">
            <v>0</v>
          </cell>
        </row>
        <row r="400">
          <cell r="X400">
            <v>1064.7</v>
          </cell>
          <cell r="Z400" t="str">
            <v>RA</v>
          </cell>
          <cell r="AA400">
            <v>266.60219924484488</v>
          </cell>
          <cell r="AB400">
            <v>0</v>
          </cell>
        </row>
        <row r="401">
          <cell r="X401">
            <v>9734.4</v>
          </cell>
          <cell r="Z401" t="str">
            <v>RA</v>
          </cell>
          <cell r="AA401">
            <v>2437.5058216671528</v>
          </cell>
          <cell r="AB401">
            <v>0</v>
          </cell>
        </row>
        <row r="402">
          <cell r="X402">
            <v>14967.48</v>
          </cell>
          <cell r="Z402" t="str">
            <v>RA</v>
          </cell>
          <cell r="AA402">
            <v>3747.8755378540718</v>
          </cell>
          <cell r="AB402">
            <v>0</v>
          </cell>
        </row>
        <row r="403">
          <cell r="X403">
            <v>12610.08</v>
          </cell>
          <cell r="Z403" t="str">
            <v>RA</v>
          </cell>
          <cell r="AA403">
            <v>3157.5796568549199</v>
          </cell>
          <cell r="AB403">
            <v>0</v>
          </cell>
        </row>
        <row r="404">
          <cell r="X404">
            <v>6268.67</v>
          </cell>
          <cell r="Z404" t="str">
            <v>RA</v>
          </cell>
          <cell r="AA404">
            <v>1569.6827353622443</v>
          </cell>
          <cell r="AB404">
            <v>0</v>
          </cell>
        </row>
        <row r="405">
          <cell r="X405">
            <v>954</v>
          </cell>
          <cell r="Z405" t="str">
            <v>RA</v>
          </cell>
          <cell r="AA405">
            <v>238.8827820790664</v>
          </cell>
          <cell r="AB405">
            <v>0</v>
          </cell>
        </row>
        <row r="406">
          <cell r="X406">
            <v>32.46</v>
          </cell>
          <cell r="Z406" t="str">
            <v>RA</v>
          </cell>
          <cell r="AA406">
            <v>8.1280242204260951</v>
          </cell>
          <cell r="AB406">
            <v>0</v>
          </cell>
        </row>
        <row r="407">
          <cell r="X407">
            <v>64961.55</v>
          </cell>
          <cell r="Z407" t="str">
            <v>RA</v>
          </cell>
          <cell r="AA407">
            <v>16266.452612335825</v>
          </cell>
          <cell r="AB407">
            <v>0</v>
          </cell>
        </row>
        <row r="408">
          <cell r="X408">
            <v>215535.25</v>
          </cell>
          <cell r="Z408" t="str">
            <v>RA</v>
          </cell>
          <cell r="AA408">
            <v>53970.293664682489</v>
          </cell>
          <cell r="AB408">
            <v>0</v>
          </cell>
        </row>
        <row r="409">
          <cell r="X409">
            <v>5497.38</v>
          </cell>
          <cell r="Z409" t="str">
            <v>RA</v>
          </cell>
          <cell r="AA409">
            <v>1376.5507636748616</v>
          </cell>
          <cell r="AB409">
            <v>0</v>
          </cell>
        </row>
        <row r="410">
          <cell r="X410">
            <v>438.6</v>
          </cell>
          <cell r="Z410" t="str">
            <v>RA</v>
          </cell>
          <cell r="AA410">
            <v>109.82598345899217</v>
          </cell>
          <cell r="AB410">
            <v>0</v>
          </cell>
        </row>
        <row r="411">
          <cell r="X411">
            <v>452299</v>
          </cell>
          <cell r="Z411" t="str">
            <v>RA</v>
          </cell>
          <cell r="AA411">
            <v>113256.23003310236</v>
          </cell>
          <cell r="AB411">
            <v>0</v>
          </cell>
        </row>
        <row r="412">
          <cell r="X412">
            <v>5122.05</v>
          </cell>
          <cell r="Z412" t="str">
            <v>RA</v>
          </cell>
          <cell r="AA412">
            <v>1282.5676666122454</v>
          </cell>
          <cell r="AB412">
            <v>0</v>
          </cell>
        </row>
        <row r="413">
          <cell r="X413">
            <v>4602.0600000000004</v>
          </cell>
          <cell r="Z413" t="str">
            <v>RA</v>
          </cell>
          <cell r="AA413">
            <v>1152.3615263048096</v>
          </cell>
          <cell r="AB413">
            <v>0</v>
          </cell>
        </row>
        <row r="414">
          <cell r="X414">
            <v>41.1</v>
          </cell>
          <cell r="Z414" t="str">
            <v>RA</v>
          </cell>
          <cell r="AA414">
            <v>10.29149092604783</v>
          </cell>
          <cell r="AB414">
            <v>0</v>
          </cell>
        </row>
        <row r="415">
          <cell r="X415">
            <v>71.5</v>
          </cell>
          <cell r="Z415" t="str">
            <v>RA</v>
          </cell>
          <cell r="AA415">
            <v>17.903688593976149</v>
          </cell>
          <cell r="AB415">
            <v>0</v>
          </cell>
        </row>
        <row r="416">
          <cell r="X416">
            <v>12402.12</v>
          </cell>
          <cell r="Z416" t="str">
            <v>RA</v>
          </cell>
          <cell r="AA416">
            <v>3105.5062151765524</v>
          </cell>
          <cell r="AB416">
            <v>0</v>
          </cell>
        </row>
        <row r="417">
          <cell r="X417">
            <v>243.73</v>
          </cell>
          <cell r="Z417" t="str">
            <v>RA</v>
          </cell>
          <cell r="AA417">
            <v>61.030294000137161</v>
          </cell>
          <cell r="AB417">
            <v>0</v>
          </cell>
        </row>
        <row r="418">
          <cell r="X418">
            <v>425.04</v>
          </cell>
          <cell r="Z418" t="str">
            <v>RA</v>
          </cell>
          <cell r="AA418">
            <v>106.43054265711361</v>
          </cell>
          <cell r="AB418">
            <v>0</v>
          </cell>
        </row>
        <row r="419">
          <cell r="X419">
            <v>185.54</v>
          </cell>
          <cell r="Z419" t="str">
            <v>RA</v>
          </cell>
          <cell r="AA419">
            <v>46.459445898270417</v>
          </cell>
          <cell r="AB419">
            <v>0</v>
          </cell>
        </row>
        <row r="420">
          <cell r="X420">
            <v>3016.56</v>
          </cell>
          <cell r="Z420" t="str">
            <v>RA</v>
          </cell>
          <cell r="AA420">
            <v>755.35036174887682</v>
          </cell>
          <cell r="AB420">
            <v>0</v>
          </cell>
        </row>
        <row r="421">
          <cell r="X421">
            <v>56.87</v>
          </cell>
          <cell r="Z421" t="str">
            <v>RA</v>
          </cell>
          <cell r="AA421">
            <v>14.240318466285645</v>
          </cell>
          <cell r="AB421">
            <v>0</v>
          </cell>
        </row>
        <row r="422">
          <cell r="X422">
            <v>86094.35</v>
          </cell>
          <cell r="Z422" t="str">
            <v/>
          </cell>
          <cell r="AA422">
            <v>21558.131917493574</v>
          </cell>
          <cell r="AB422">
            <v>0</v>
          </cell>
        </row>
        <row r="423">
          <cell r="X423">
            <v>47.76</v>
          </cell>
          <cell r="Z423" t="str">
            <v>RA</v>
          </cell>
          <cell r="AA423">
            <v>11.959163178297915</v>
          </cell>
          <cell r="AB423">
            <v>0</v>
          </cell>
        </row>
        <row r="424">
          <cell r="X424">
            <v>97.7</v>
          </cell>
          <cell r="Z424" t="str">
            <v>RA</v>
          </cell>
          <cell r="AA424">
            <v>24.464201057782795</v>
          </cell>
          <cell r="AB424">
            <v>0</v>
          </cell>
        </row>
        <row r="425">
          <cell r="X425">
            <v>89.1</v>
          </cell>
          <cell r="Z425" t="str">
            <v>RA</v>
          </cell>
          <cell r="AA425">
            <v>22.310750401724125</v>
          </cell>
          <cell r="AB425">
            <v>0</v>
          </cell>
        </row>
        <row r="426">
          <cell r="X426">
            <v>2925.39</v>
          </cell>
          <cell r="Z426" t="str">
            <v>RA</v>
          </cell>
          <cell r="AA426">
            <v>732.52128078226417</v>
          </cell>
          <cell r="AB426">
            <v>0</v>
          </cell>
        </row>
        <row r="427">
          <cell r="X427">
            <v>1315.84</v>
          </cell>
          <cell r="Z427" t="str">
            <v>RA</v>
          </cell>
          <cell r="AA427">
            <v>329.48796642653951</v>
          </cell>
          <cell r="AB427">
            <v>0</v>
          </cell>
        </row>
        <row r="428">
          <cell r="X428">
            <v>3174.6</v>
          </cell>
          <cell r="Z428" t="str">
            <v>RA</v>
          </cell>
          <cell r="AA428">
            <v>794.92377357254099</v>
          </cell>
          <cell r="AB428">
            <v>0</v>
          </cell>
        </row>
        <row r="429">
          <cell r="X429">
            <v>1819.88</v>
          </cell>
          <cell r="Z429" t="str">
            <v>RA</v>
          </cell>
          <cell r="AA429">
            <v>455.70020697070373</v>
          </cell>
          <cell r="AB429">
            <v>0</v>
          </cell>
        </row>
        <row r="430">
          <cell r="X430">
            <v>2321.46</v>
          </cell>
          <cell r="Z430" t="str">
            <v>RA</v>
          </cell>
          <cell r="AA430">
            <v>581.29646046673952</v>
          </cell>
          <cell r="AB430">
            <v>0</v>
          </cell>
        </row>
        <row r="431">
          <cell r="X431">
            <v>14962.15</v>
          </cell>
          <cell r="Z431" t="str">
            <v>RA</v>
          </cell>
          <cell r="AA431">
            <v>3746.5408992497937</v>
          </cell>
          <cell r="AB431">
            <v>0</v>
          </cell>
        </row>
        <row r="432">
          <cell r="X432">
            <v>2296.7600000000002</v>
          </cell>
          <cell r="Z432" t="str">
            <v>RA</v>
          </cell>
          <cell r="AA432">
            <v>575.11154986154781</v>
          </cell>
          <cell r="AB432">
            <v>0</v>
          </cell>
        </row>
        <row r="433">
          <cell r="X433">
            <v>810.72</v>
          </cell>
          <cell r="Z433" t="str">
            <v>RA</v>
          </cell>
          <cell r="AA433">
            <v>203.00529254417265</v>
          </cell>
          <cell r="AB433">
            <v>0</v>
          </cell>
        </row>
        <row r="434">
          <cell r="X434">
            <v>2232.54</v>
          </cell>
          <cell r="Z434" t="str">
            <v>RA</v>
          </cell>
          <cell r="AA434">
            <v>559.03078228804918</v>
          </cell>
          <cell r="AB434">
            <v>0</v>
          </cell>
        </row>
        <row r="435">
          <cell r="X435">
            <v>1873.94</v>
          </cell>
          <cell r="Z435" t="str">
            <v>RA</v>
          </cell>
          <cell r="AA435">
            <v>469.23689795518413</v>
          </cell>
          <cell r="AB435">
            <v>0</v>
          </cell>
        </row>
        <row r="436">
          <cell r="X436">
            <v>2096.64</v>
          </cell>
          <cell r="Z436" t="str">
            <v>RA</v>
          </cell>
          <cell r="AA436">
            <v>525.00125389754055</v>
          </cell>
          <cell r="AB436">
            <v>0</v>
          </cell>
        </row>
        <row r="437">
          <cell r="X437">
            <v>431.04</v>
          </cell>
          <cell r="Z437" t="str">
            <v>RA</v>
          </cell>
          <cell r="AA437">
            <v>107.93295009157315</v>
          </cell>
          <cell r="AB437">
            <v>0</v>
          </cell>
        </row>
        <row r="438">
          <cell r="X438">
            <v>7129.64</v>
          </cell>
          <cell r="Z438" t="str">
            <v>RA</v>
          </cell>
          <cell r="AA438">
            <v>1785.2706901700158</v>
          </cell>
          <cell r="AB438">
            <v>0</v>
          </cell>
        </row>
        <row r="439">
          <cell r="X439">
            <v>3906.96</v>
          </cell>
          <cell r="Z439" t="str">
            <v>RA</v>
          </cell>
          <cell r="AA439">
            <v>978.30762502267214</v>
          </cell>
          <cell r="AB439">
            <v>0</v>
          </cell>
        </row>
        <row r="440">
          <cell r="X440">
            <v>4748.4799999999996</v>
          </cell>
          <cell r="Z440" t="str">
            <v>RA</v>
          </cell>
          <cell r="AA440">
            <v>1189.0252757304036</v>
          </cell>
          <cell r="AB440">
            <v>0</v>
          </cell>
        </row>
        <row r="441">
          <cell r="X441">
            <v>2396.3000000000002</v>
          </cell>
          <cell r="Z441" t="str">
            <v>RA</v>
          </cell>
          <cell r="AA441">
            <v>600.03648919923148</v>
          </cell>
          <cell r="AB441">
            <v>0</v>
          </cell>
        </row>
        <row r="442">
          <cell r="X442">
            <v>2991.46</v>
          </cell>
          <cell r="Z442" t="str">
            <v>RA</v>
          </cell>
          <cell r="AA442">
            <v>749.06529064805443</v>
          </cell>
          <cell r="AB442">
            <v>0</v>
          </cell>
        </row>
        <row r="443">
          <cell r="X443">
            <v>3072.32</v>
          </cell>
          <cell r="Z443" t="str">
            <v>RA</v>
          </cell>
          <cell r="AA443">
            <v>769.31273483978748</v>
          </cell>
          <cell r="AB443">
            <v>0</v>
          </cell>
        </row>
        <row r="444">
          <cell r="X444">
            <v>3592.75</v>
          </cell>
          <cell r="Z444" t="str">
            <v>RA</v>
          </cell>
          <cell r="AA444">
            <v>899.62905169241697</v>
          </cell>
          <cell r="AB444">
            <v>0</v>
          </cell>
        </row>
        <row r="445">
          <cell r="X445">
            <v>2328.3000000000002</v>
          </cell>
          <cell r="Z445" t="str">
            <v>RA</v>
          </cell>
          <cell r="AA445">
            <v>583.00920494202342</v>
          </cell>
          <cell r="AB445">
            <v>0</v>
          </cell>
        </row>
        <row r="446">
          <cell r="X446">
            <v>533.79999999999995</v>
          </cell>
          <cell r="Z446" t="str">
            <v>RA</v>
          </cell>
          <cell r="AA446">
            <v>133.66418141908346</v>
          </cell>
          <cell r="AB446">
            <v>0</v>
          </cell>
        </row>
        <row r="447">
          <cell r="X447">
            <v>4286.3999999999996</v>
          </cell>
          <cell r="Z447" t="str">
            <v>RA</v>
          </cell>
          <cell r="AA447">
            <v>1073.3198711778932</v>
          </cell>
          <cell r="AB447">
            <v>0</v>
          </cell>
        </row>
        <row r="448">
          <cell r="X448">
            <v>3803.88</v>
          </cell>
          <cell r="Z448" t="str">
            <v>RA</v>
          </cell>
          <cell r="AA448">
            <v>952.49626529865736</v>
          </cell>
          <cell r="AB448">
            <v>0</v>
          </cell>
        </row>
        <row r="449">
          <cell r="X449">
            <v>10808.54</v>
          </cell>
          <cell r="Z449" t="str">
            <v>RA</v>
          </cell>
          <cell r="AA449">
            <v>2706.471808608881</v>
          </cell>
          <cell r="AB449">
            <v>0</v>
          </cell>
        </row>
        <row r="450">
          <cell r="X450">
            <v>357407.71</v>
          </cell>
          <cell r="Z450" t="str">
            <v/>
          </cell>
          <cell r="AA450">
            <v>89495.333439526352</v>
          </cell>
          <cell r="AB450">
            <v>0</v>
          </cell>
        </row>
        <row r="451">
          <cell r="X451">
            <v>64413.24</v>
          </cell>
          <cell r="Z451" t="str">
            <v/>
          </cell>
          <cell r="AA451">
            <v>16129.155108937737</v>
          </cell>
          <cell r="AB451">
            <v>0</v>
          </cell>
        </row>
        <row r="452">
          <cell r="X452">
            <v>153.09</v>
          </cell>
          <cell r="Z452" t="str">
            <v>RA</v>
          </cell>
          <cell r="AA452">
            <v>38.333925690235091</v>
          </cell>
          <cell r="AB452">
            <v>0</v>
          </cell>
        </row>
        <row r="453">
          <cell r="X453">
            <v>141.55000000000001</v>
          </cell>
          <cell r="Z453" t="str">
            <v>RA</v>
          </cell>
          <cell r="AA453">
            <v>35.444295391291249</v>
          </cell>
          <cell r="AB453">
            <v>0</v>
          </cell>
        </row>
        <row r="454">
          <cell r="X454">
            <v>9.6</v>
          </cell>
          <cell r="Z454" t="str">
            <v>RA</v>
          </cell>
          <cell r="AA454">
            <v>2.4038518951352592</v>
          </cell>
          <cell r="AB454">
            <v>0</v>
          </cell>
        </row>
        <row r="455">
          <cell r="X455">
            <v>22.53</v>
          </cell>
          <cell r="Z455" t="str">
            <v>RA</v>
          </cell>
          <cell r="AA455">
            <v>5.641539916395562</v>
          </cell>
          <cell r="AB455">
            <v>0</v>
          </cell>
        </row>
        <row r="456">
          <cell r="X456">
            <v>18.149999999999999</v>
          </cell>
          <cell r="Z456" t="str">
            <v>RA</v>
          </cell>
          <cell r="AA456">
            <v>4.5447824892400996</v>
          </cell>
          <cell r="AB456">
            <v>0</v>
          </cell>
        </row>
        <row r="457">
          <cell r="X457">
            <v>510.09</v>
          </cell>
          <cell r="Z457" t="str">
            <v>RA</v>
          </cell>
          <cell r="AA457">
            <v>127.72716804057754</v>
          </cell>
          <cell r="AB457">
            <v>0</v>
          </cell>
        </row>
        <row r="458">
          <cell r="X458">
            <v>291.17</v>
          </cell>
          <cell r="Z458" t="str">
            <v>RA</v>
          </cell>
          <cell r="AA458">
            <v>72.909328781930569</v>
          </cell>
          <cell r="AB458">
            <v>0</v>
          </cell>
        </row>
        <row r="459">
          <cell r="X459">
            <v>263.89999999999998</v>
          </cell>
          <cell r="Z459" t="str">
            <v>RA</v>
          </cell>
          <cell r="AA459">
            <v>66.08088699231196</v>
          </cell>
          <cell r="AB459">
            <v>0</v>
          </cell>
        </row>
        <row r="460">
          <cell r="X460">
            <v>404.35</v>
          </cell>
          <cell r="Z460" t="str">
            <v>RA</v>
          </cell>
          <cell r="AA460">
            <v>101.24974102061897</v>
          </cell>
          <cell r="AB460">
            <v>0</v>
          </cell>
        </row>
        <row r="461">
          <cell r="X461">
            <v>44.23</v>
          </cell>
          <cell r="Z461" t="str">
            <v>RA</v>
          </cell>
          <cell r="AA461">
            <v>11.075246804357553</v>
          </cell>
          <cell r="AB461">
            <v>0</v>
          </cell>
        </row>
        <row r="462">
          <cell r="X462">
            <v>1738.44</v>
          </cell>
          <cell r="Z462" t="str">
            <v>RA</v>
          </cell>
          <cell r="AA462">
            <v>435.30753006030631</v>
          </cell>
          <cell r="AB462">
            <v>0</v>
          </cell>
        </row>
        <row r="463">
          <cell r="X463">
            <v>102.43</v>
          </cell>
          <cell r="Z463" t="str">
            <v>RA</v>
          </cell>
          <cell r="AA463">
            <v>25.648598918615065</v>
          </cell>
          <cell r="AB463">
            <v>0</v>
          </cell>
        </row>
        <row r="464">
          <cell r="X464">
            <v>22264.46</v>
          </cell>
          <cell r="Z464" t="str">
            <v>RA</v>
          </cell>
          <cell r="AA464">
            <v>5575.0483713711637</v>
          </cell>
          <cell r="AB464">
            <v>0</v>
          </cell>
        </row>
        <row r="465">
          <cell r="X465">
            <v>14747.25</v>
          </cell>
          <cell r="Z465" t="str">
            <v>RA</v>
          </cell>
          <cell r="AA465">
            <v>3692.7296729722348</v>
          </cell>
          <cell r="AB465">
            <v>0</v>
          </cell>
        </row>
        <row r="466">
          <cell r="X466">
            <v>776.1</v>
          </cell>
          <cell r="Z466" t="str">
            <v>RA</v>
          </cell>
          <cell r="AA466">
            <v>194.33640164734112</v>
          </cell>
          <cell r="AB466">
            <v>0</v>
          </cell>
        </row>
        <row r="467">
          <cell r="X467">
            <v>1145.52</v>
          </cell>
          <cell r="Z467" t="str">
            <v>RA</v>
          </cell>
          <cell r="AA467">
            <v>286.83962738701479</v>
          </cell>
          <cell r="AB467">
            <v>0</v>
          </cell>
        </row>
        <row r="468">
          <cell r="X468">
            <v>10563.5</v>
          </cell>
          <cell r="Z468" t="str">
            <v>RA</v>
          </cell>
          <cell r="AA468">
            <v>2645.1134889855534</v>
          </cell>
          <cell r="AB468">
            <v>0</v>
          </cell>
        </row>
        <row r="469">
          <cell r="X469">
            <v>794.64</v>
          </cell>
          <cell r="Z469" t="str">
            <v>RA</v>
          </cell>
          <cell r="AA469">
            <v>198.97884061982109</v>
          </cell>
          <cell r="AB469">
            <v>0</v>
          </cell>
        </row>
        <row r="470">
          <cell r="X470">
            <v>162.38</v>
          </cell>
          <cell r="Z470" t="str">
            <v>RA</v>
          </cell>
          <cell r="AA470">
            <v>40.660153201256605</v>
          </cell>
          <cell r="AB470">
            <v>0</v>
          </cell>
        </row>
        <row r="471">
          <cell r="X471">
            <v>10259.86</v>
          </cell>
          <cell r="Z471" t="str">
            <v>RA</v>
          </cell>
          <cell r="AA471">
            <v>2569.0816567523379</v>
          </cell>
          <cell r="AB471">
            <v>0</v>
          </cell>
        </row>
        <row r="472">
          <cell r="X472">
            <v>292994.46999999997</v>
          </cell>
          <cell r="Z472" t="str">
            <v/>
          </cell>
          <cell r="AA472">
            <v>73366.178330588606</v>
          </cell>
          <cell r="AB472">
            <v>0</v>
          </cell>
        </row>
        <row r="473">
          <cell r="X473">
            <v>90.82</v>
          </cell>
          <cell r="Z473" t="str">
            <v>RA</v>
          </cell>
          <cell r="AA473">
            <v>22.741440532935858</v>
          </cell>
          <cell r="AB473">
            <v>0</v>
          </cell>
        </row>
        <row r="474">
          <cell r="X474">
            <v>111.44</v>
          </cell>
          <cell r="Z474" t="str">
            <v>RA</v>
          </cell>
          <cell r="AA474">
            <v>27.904714082695133</v>
          </cell>
          <cell r="AB474">
            <v>0</v>
          </cell>
        </row>
        <row r="475">
          <cell r="X475">
            <v>69.849999999999994</v>
          </cell>
          <cell r="Z475" t="str">
            <v>RA</v>
          </cell>
          <cell r="AA475">
            <v>17.490526549499776</v>
          </cell>
          <cell r="AB475">
            <v>0</v>
          </cell>
        </row>
        <row r="476">
          <cell r="X476">
            <v>687.14</v>
          </cell>
          <cell r="Z476" t="str">
            <v>RA</v>
          </cell>
          <cell r="AA476">
            <v>172.06070741908772</v>
          </cell>
          <cell r="AB476">
            <v>0</v>
          </cell>
        </row>
        <row r="477">
          <cell r="X477">
            <v>1315.64</v>
          </cell>
          <cell r="Z477" t="str">
            <v>RA</v>
          </cell>
          <cell r="AA477">
            <v>329.43788617872423</v>
          </cell>
          <cell r="AB477">
            <v>0</v>
          </cell>
        </row>
        <row r="478">
          <cell r="X478">
            <v>766.59</v>
          </cell>
          <cell r="Z478" t="str">
            <v>RA</v>
          </cell>
          <cell r="AA478">
            <v>191.95508586372276</v>
          </cell>
          <cell r="AB478">
            <v>0</v>
          </cell>
        </row>
        <row r="479">
          <cell r="X479">
            <v>455.63</v>
          </cell>
          <cell r="Z479" t="str">
            <v>RA</v>
          </cell>
          <cell r="AA479">
            <v>114.09031656046648</v>
          </cell>
          <cell r="AB479">
            <v>0</v>
          </cell>
        </row>
        <row r="480">
          <cell r="X480">
            <v>1322.75</v>
          </cell>
          <cell r="Z480" t="str">
            <v>RA</v>
          </cell>
          <cell r="AA480">
            <v>331.21823898855877</v>
          </cell>
          <cell r="AB480">
            <v>0</v>
          </cell>
        </row>
        <row r="481">
          <cell r="X481">
            <v>840.74</v>
          </cell>
          <cell r="Z481" t="str">
            <v>RA</v>
          </cell>
          <cell r="AA481">
            <v>210.52233774125187</v>
          </cell>
          <cell r="AB481">
            <v>0</v>
          </cell>
        </row>
        <row r="482">
          <cell r="X482">
            <v>1162.8900000000001</v>
          </cell>
          <cell r="Z482" t="str">
            <v>RA</v>
          </cell>
          <cell r="AA482">
            <v>291.18909690977517</v>
          </cell>
          <cell r="AB482">
            <v>0</v>
          </cell>
        </row>
        <row r="483">
          <cell r="X483">
            <v>613.24</v>
          </cell>
          <cell r="Z483" t="str">
            <v>RA</v>
          </cell>
          <cell r="AA483">
            <v>153.55605585132776</v>
          </cell>
          <cell r="AB483">
            <v>0</v>
          </cell>
        </row>
        <row r="484">
          <cell r="X484">
            <v>405.37</v>
          </cell>
          <cell r="Z484" t="str">
            <v>RA</v>
          </cell>
          <cell r="AA484">
            <v>101.5051502844771</v>
          </cell>
          <cell r="AB484">
            <v>0</v>
          </cell>
        </row>
        <row r="485">
          <cell r="X485">
            <v>438.76</v>
          </cell>
          <cell r="Z485" t="str">
            <v>RA</v>
          </cell>
          <cell r="AA485">
            <v>109.86604765724441</v>
          </cell>
          <cell r="AB485">
            <v>0</v>
          </cell>
        </row>
        <row r="486">
          <cell r="X486">
            <v>960.96</v>
          </cell>
          <cell r="Z486" t="str">
            <v>RA</v>
          </cell>
          <cell r="AA486">
            <v>240.62557470303946</v>
          </cell>
          <cell r="AB486">
            <v>0</v>
          </cell>
        </row>
        <row r="487">
          <cell r="X487">
            <v>1005.76</v>
          </cell>
          <cell r="Z487" t="str">
            <v>RA</v>
          </cell>
          <cell r="AA487">
            <v>251.84355021367065</v>
          </cell>
          <cell r="AB487">
            <v>0</v>
          </cell>
        </row>
        <row r="488">
          <cell r="X488">
            <v>1885.68</v>
          </cell>
          <cell r="Z488" t="str">
            <v>RA</v>
          </cell>
          <cell r="AA488">
            <v>472.17660850194335</v>
          </cell>
          <cell r="AB488">
            <v>0</v>
          </cell>
        </row>
        <row r="489">
          <cell r="X489">
            <v>217272.2</v>
          </cell>
          <cell r="Z489" t="str">
            <v>RA</v>
          </cell>
          <cell r="AA489">
            <v>54405.228096896572</v>
          </cell>
          <cell r="AB489">
            <v>0</v>
          </cell>
        </row>
        <row r="490">
          <cell r="X490">
            <v>3853.68</v>
          </cell>
          <cell r="Z490" t="str">
            <v>RA</v>
          </cell>
          <cell r="AA490">
            <v>964.96624700467146</v>
          </cell>
          <cell r="AB490">
            <v>0</v>
          </cell>
        </row>
        <row r="491">
          <cell r="X491">
            <v>10318.17</v>
          </cell>
          <cell r="Z491" t="str">
            <v>RA</v>
          </cell>
          <cell r="AA491">
            <v>2583.6825530028937</v>
          </cell>
          <cell r="AB491">
            <v>0</v>
          </cell>
        </row>
        <row r="492">
          <cell r="X492">
            <v>3177.93</v>
          </cell>
          <cell r="Z492" t="str">
            <v>RA</v>
          </cell>
          <cell r="AA492">
            <v>795.7576096986661</v>
          </cell>
          <cell r="AB492">
            <v>0</v>
          </cell>
        </row>
        <row r="493">
          <cell r="X493">
            <v>4284.2299999999996</v>
          </cell>
          <cell r="Z493" t="str">
            <v>RA</v>
          </cell>
          <cell r="AA493">
            <v>1072.7765004890969</v>
          </cell>
          <cell r="AB493">
            <v>0</v>
          </cell>
        </row>
        <row r="494">
          <cell r="X494">
            <v>6412.48</v>
          </cell>
          <cell r="Z494" t="str">
            <v>RA</v>
          </cell>
          <cell r="AA494">
            <v>1605.6929375538487</v>
          </cell>
          <cell r="AB494">
            <v>0</v>
          </cell>
        </row>
        <row r="495">
          <cell r="X495">
            <v>3206.24</v>
          </cell>
          <cell r="Z495" t="str">
            <v>RA</v>
          </cell>
          <cell r="AA495">
            <v>802.84646877692433</v>
          </cell>
          <cell r="AB495">
            <v>0</v>
          </cell>
        </row>
        <row r="496">
          <cell r="X496">
            <v>3206.24</v>
          </cell>
          <cell r="Z496" t="str">
            <v>RA</v>
          </cell>
          <cell r="AA496">
            <v>802.84646877692433</v>
          </cell>
          <cell r="AB496">
            <v>0</v>
          </cell>
        </row>
        <row r="497">
          <cell r="X497">
            <v>12191.52</v>
          </cell>
          <cell r="Z497" t="str">
            <v>RA</v>
          </cell>
          <cell r="AA497">
            <v>3052.7717142270226</v>
          </cell>
          <cell r="AB497">
            <v>0</v>
          </cell>
        </row>
        <row r="498">
          <cell r="X498">
            <v>3515.09</v>
          </cell>
          <cell r="Z498" t="str">
            <v>RA</v>
          </cell>
          <cell r="AA498">
            <v>880.18289146572909</v>
          </cell>
          <cell r="AB498">
            <v>0</v>
          </cell>
        </row>
        <row r="499">
          <cell r="X499">
            <v>4964.08</v>
          </cell>
          <cell r="Z499" t="str">
            <v>RA</v>
          </cell>
          <cell r="AA499">
            <v>1243.0117828753164</v>
          </cell>
          <cell r="AB499">
            <v>0</v>
          </cell>
        </row>
        <row r="500">
          <cell r="X500">
            <v>4284.2299999999996</v>
          </cell>
          <cell r="Z500" t="str">
            <v>RA</v>
          </cell>
          <cell r="AA500">
            <v>1072.7765004890969</v>
          </cell>
          <cell r="AB500">
            <v>0</v>
          </cell>
        </row>
        <row r="501">
          <cell r="X501">
            <v>1355.6</v>
          </cell>
          <cell r="Z501" t="str">
            <v>RA</v>
          </cell>
          <cell r="AA501">
            <v>339.44391969222471</v>
          </cell>
          <cell r="AB501">
            <v>0</v>
          </cell>
        </row>
        <row r="502">
          <cell r="X502">
            <v>1963.18</v>
          </cell>
          <cell r="Z502" t="str">
            <v>RA</v>
          </cell>
          <cell r="AA502">
            <v>491.58270453037903</v>
          </cell>
          <cell r="AB502">
            <v>0</v>
          </cell>
        </row>
        <row r="503">
          <cell r="X503">
            <v>348.24</v>
          </cell>
          <cell r="Z503" t="str">
            <v>RA</v>
          </cell>
          <cell r="AA503">
            <v>87.199727496031528</v>
          </cell>
          <cell r="AB503">
            <v>0</v>
          </cell>
        </row>
        <row r="504">
          <cell r="X504">
            <v>508.1</v>
          </cell>
          <cell r="Z504" t="str">
            <v>RA</v>
          </cell>
          <cell r="AA504">
            <v>127.22886957481514</v>
          </cell>
          <cell r="AB504">
            <v>0</v>
          </cell>
        </row>
        <row r="505">
          <cell r="X505">
            <v>71291.87</v>
          </cell>
          <cell r="Z505" t="str">
            <v/>
          </cell>
          <cell r="AA505">
            <v>17851.572584087142</v>
          </cell>
          <cell r="AB505">
            <v>0</v>
          </cell>
        </row>
        <row r="506">
          <cell r="X506">
            <v>5964.56</v>
          </cell>
          <cell r="Z506" t="str">
            <v/>
          </cell>
          <cell r="AA506">
            <v>1493.5332145466627</v>
          </cell>
          <cell r="AB506">
            <v>0</v>
          </cell>
        </row>
        <row r="507">
          <cell r="X507">
            <v>312.06</v>
          </cell>
          <cell r="Z507" t="str">
            <v>RA</v>
          </cell>
          <cell r="AA507">
            <v>78.14021066624052</v>
          </cell>
          <cell r="AB507">
            <v>0</v>
          </cell>
        </row>
        <row r="508">
          <cell r="X508">
            <v>875.67</v>
          </cell>
          <cell r="Z508" t="str">
            <v>RA</v>
          </cell>
          <cell r="AA508">
            <v>219.26885302219713</v>
          </cell>
          <cell r="AB508">
            <v>0</v>
          </cell>
        </row>
        <row r="509">
          <cell r="X509">
            <v>2255.73</v>
          </cell>
          <cell r="Z509" t="str">
            <v>RA</v>
          </cell>
          <cell r="AA509">
            <v>564.83758702223531</v>
          </cell>
          <cell r="AB509">
            <v>0</v>
          </cell>
        </row>
        <row r="510">
          <cell r="X510">
            <v>433.08</v>
          </cell>
          <cell r="Z510" t="str">
            <v>RA</v>
          </cell>
          <cell r="AA510">
            <v>108.44376861928939</v>
          </cell>
          <cell r="AB510">
            <v>0</v>
          </cell>
        </row>
        <row r="511">
          <cell r="X511">
            <v>43.44</v>
          </cell>
          <cell r="Z511" t="str">
            <v>RA</v>
          </cell>
          <cell r="AA511">
            <v>10.877429825487047</v>
          </cell>
          <cell r="AB511">
            <v>0</v>
          </cell>
        </row>
        <row r="512">
          <cell r="X512">
            <v>66.56</v>
          </cell>
          <cell r="Z512" t="str">
            <v>RA</v>
          </cell>
          <cell r="AA512">
            <v>16.666706472937797</v>
          </cell>
          <cell r="AB512">
            <v>0</v>
          </cell>
        </row>
        <row r="513">
          <cell r="X513">
            <v>7.28</v>
          </cell>
          <cell r="Z513" t="str">
            <v>RA</v>
          </cell>
          <cell r="AA513">
            <v>1.8229210204775717</v>
          </cell>
          <cell r="AB513">
            <v>0</v>
          </cell>
        </row>
        <row r="514">
          <cell r="X514">
            <v>51.03</v>
          </cell>
          <cell r="Z514" t="str">
            <v>RA</v>
          </cell>
          <cell r="AA514">
            <v>12.777975230078363</v>
          </cell>
          <cell r="AB514">
            <v>0</v>
          </cell>
        </row>
        <row r="515">
          <cell r="X515">
            <v>143.19999999999999</v>
          </cell>
          <cell r="Z515" t="str">
            <v>RA</v>
          </cell>
          <cell r="AA515">
            <v>35.857457435767614</v>
          </cell>
          <cell r="AB515">
            <v>0</v>
          </cell>
        </row>
        <row r="516">
          <cell r="X516">
            <v>193.37</v>
          </cell>
          <cell r="Z516" t="str">
            <v>RA</v>
          </cell>
          <cell r="AA516">
            <v>48.420087600240116</v>
          </cell>
          <cell r="AB516">
            <v>0</v>
          </cell>
        </row>
        <row r="517">
          <cell r="X517">
            <v>93</v>
          </cell>
          <cell r="Z517" t="str">
            <v>RA</v>
          </cell>
          <cell r="AA517">
            <v>23.287315234122826</v>
          </cell>
          <cell r="AB517">
            <v>0</v>
          </cell>
        </row>
        <row r="518">
          <cell r="X518">
            <v>559.41</v>
          </cell>
          <cell r="Z518" t="str">
            <v>RA</v>
          </cell>
          <cell r="AA518">
            <v>140.07695715183493</v>
          </cell>
          <cell r="AB518">
            <v>0</v>
          </cell>
        </row>
        <row r="519">
          <cell r="X519">
            <v>930.73</v>
          </cell>
          <cell r="Z519" t="str">
            <v>RA</v>
          </cell>
          <cell r="AA519">
            <v>233.05594524575415</v>
          </cell>
          <cell r="AB519">
            <v>0</v>
          </cell>
        </row>
        <row r="520">
          <cell r="X520">
            <v>65327.31</v>
          </cell>
          <cell r="Z520" t="str">
            <v/>
          </cell>
          <cell r="AA520">
            <v>16358.039369540476</v>
          </cell>
          <cell r="AB520">
            <v>0</v>
          </cell>
        </row>
        <row r="521">
          <cell r="X521">
            <v>59.4</v>
          </cell>
          <cell r="Z521" t="str">
            <v>RA</v>
          </cell>
          <cell r="AA521">
            <v>14.873833601149416</v>
          </cell>
          <cell r="AB521">
            <v>0</v>
          </cell>
        </row>
        <row r="522">
          <cell r="X522">
            <v>255.53</v>
          </cell>
          <cell r="Z522" t="str">
            <v>RA</v>
          </cell>
          <cell r="AA522">
            <v>63.985028621240915</v>
          </cell>
          <cell r="AB522">
            <v>0</v>
          </cell>
        </row>
        <row r="523">
          <cell r="X523">
            <v>597.95000000000005</v>
          </cell>
          <cell r="Z523" t="str">
            <v>RA</v>
          </cell>
          <cell r="AA523">
            <v>149.72742090584671</v>
          </cell>
          <cell r="AB523">
            <v>0</v>
          </cell>
        </row>
        <row r="524">
          <cell r="X524">
            <v>2631.68</v>
          </cell>
          <cell r="Z524" t="str">
            <v>RA</v>
          </cell>
          <cell r="AA524">
            <v>658.97593285307903</v>
          </cell>
          <cell r="AB524">
            <v>0</v>
          </cell>
        </row>
        <row r="525">
          <cell r="X525">
            <v>196.56</v>
          </cell>
          <cell r="Z525" t="str">
            <v>RA</v>
          </cell>
          <cell r="AA525">
            <v>49.218867552894437</v>
          </cell>
          <cell r="AB525">
            <v>0</v>
          </cell>
        </row>
        <row r="526">
          <cell r="X526">
            <v>7272.84</v>
          </cell>
          <cell r="Z526" t="str">
            <v>RA</v>
          </cell>
          <cell r="AA526">
            <v>1821.1281476057834</v>
          </cell>
          <cell r="AB526">
            <v>0</v>
          </cell>
        </row>
        <row r="527">
          <cell r="X527">
            <v>9536.01</v>
          </cell>
          <cell r="Z527" t="str">
            <v>RA</v>
          </cell>
          <cell r="AA527">
            <v>2387.8287198467483</v>
          </cell>
          <cell r="AB527">
            <v>0</v>
          </cell>
        </row>
        <row r="528">
          <cell r="X528">
            <v>3850.2</v>
          </cell>
          <cell r="Z528" t="str">
            <v>RA</v>
          </cell>
          <cell r="AA528">
            <v>964.09485069268487</v>
          </cell>
          <cell r="AB528">
            <v>0</v>
          </cell>
        </row>
        <row r="529">
          <cell r="X529">
            <v>6862.32</v>
          </cell>
          <cell r="Z529" t="str">
            <v>RA</v>
          </cell>
          <cell r="AA529">
            <v>1718.3334309400616</v>
          </cell>
          <cell r="AB529">
            <v>0</v>
          </cell>
        </row>
        <row r="530">
          <cell r="X530">
            <v>19072.02</v>
          </cell>
          <cell r="Z530" t="str">
            <v>RA</v>
          </cell>
          <cell r="AA530">
            <v>4775.6574396934966</v>
          </cell>
          <cell r="AB530">
            <v>0</v>
          </cell>
        </row>
        <row r="531">
          <cell r="X531">
            <v>2133.6</v>
          </cell>
          <cell r="Z531" t="str">
            <v>RA</v>
          </cell>
          <cell r="AA531">
            <v>534.25608369381132</v>
          </cell>
          <cell r="AB531">
            <v>0</v>
          </cell>
        </row>
        <row r="532">
          <cell r="X532">
            <v>12859.2</v>
          </cell>
          <cell r="Z532" t="str">
            <v>RA</v>
          </cell>
          <cell r="AA532">
            <v>3219.9596135336801</v>
          </cell>
          <cell r="AB532">
            <v>0</v>
          </cell>
        </row>
        <row r="533">
          <cell r="X533">
            <v>75593.149999999994</v>
          </cell>
          <cell r="Z533" t="str">
            <v/>
          </cell>
          <cell r="AA533">
            <v>18928.618425702491</v>
          </cell>
          <cell r="AB533">
            <v>0</v>
          </cell>
        </row>
        <row r="534">
          <cell r="X534">
            <v>286.8</v>
          </cell>
          <cell r="Z534" t="str">
            <v>RA</v>
          </cell>
          <cell r="AA534">
            <v>71.815075367165875</v>
          </cell>
          <cell r="AB534">
            <v>0</v>
          </cell>
        </row>
        <row r="535">
          <cell r="X535">
            <v>127.2</v>
          </cell>
          <cell r="Z535" t="str">
            <v>RA</v>
          </cell>
          <cell r="AA535">
            <v>31.851037610542186</v>
          </cell>
          <cell r="AB535">
            <v>0</v>
          </cell>
        </row>
        <row r="536">
          <cell r="X536">
            <v>232.4</v>
          </cell>
          <cell r="Z536" t="str">
            <v>RA</v>
          </cell>
          <cell r="AA536">
            <v>58.1932479613994</v>
          </cell>
          <cell r="AB536">
            <v>0</v>
          </cell>
        </row>
        <row r="537">
          <cell r="X537">
            <v>7245</v>
          </cell>
          <cell r="Z537" t="str">
            <v>RA</v>
          </cell>
          <cell r="AA537">
            <v>1814.1569771098909</v>
          </cell>
          <cell r="AB537">
            <v>0</v>
          </cell>
        </row>
        <row r="538">
          <cell r="X538">
            <v>1141</v>
          </cell>
          <cell r="Z538" t="str">
            <v>RA</v>
          </cell>
          <cell r="AA538">
            <v>285.70781378638861</v>
          </cell>
          <cell r="AB538">
            <v>0</v>
          </cell>
        </row>
        <row r="539">
          <cell r="X539">
            <v>2160.16</v>
          </cell>
          <cell r="Z539" t="str">
            <v>RA</v>
          </cell>
          <cell r="AA539">
            <v>540.90674060368553</v>
          </cell>
          <cell r="AB539">
            <v>0</v>
          </cell>
        </row>
        <row r="540">
          <cell r="X540">
            <v>4487.3999999999996</v>
          </cell>
          <cell r="Z540" t="str">
            <v>RA</v>
          </cell>
          <cell r="AA540">
            <v>1123.6505202322876</v>
          </cell>
          <cell r="AB540">
            <v>0</v>
          </cell>
        </row>
        <row r="541">
          <cell r="X541">
            <v>472.05</v>
          </cell>
          <cell r="Z541" t="str">
            <v>RA</v>
          </cell>
          <cell r="AA541">
            <v>118.20190490610408</v>
          </cell>
          <cell r="AB541">
            <v>0</v>
          </cell>
        </row>
        <row r="542">
          <cell r="X542">
            <v>40.520000000000003</v>
          </cell>
          <cell r="Z542" t="str">
            <v>RA</v>
          </cell>
          <cell r="AA542">
            <v>10.146258207383408</v>
          </cell>
          <cell r="AB542">
            <v>0</v>
          </cell>
        </row>
        <row r="543">
          <cell r="X543">
            <v>22.52</v>
          </cell>
          <cell r="Z543" t="str">
            <v>RA</v>
          </cell>
          <cell r="AA543">
            <v>5.6390359040047953</v>
          </cell>
          <cell r="AB543">
            <v>0</v>
          </cell>
        </row>
        <row r="544">
          <cell r="X544">
            <v>3347.2</v>
          </cell>
          <cell r="Z544" t="str">
            <v>RA</v>
          </cell>
          <cell r="AA544">
            <v>838.14302743716041</v>
          </cell>
          <cell r="AB544">
            <v>0</v>
          </cell>
        </row>
        <row r="545">
          <cell r="X545">
            <v>77.400000000000006</v>
          </cell>
          <cell r="Z545" t="str">
            <v>RA</v>
          </cell>
          <cell r="AA545">
            <v>19.381055904528029</v>
          </cell>
          <cell r="AB545">
            <v>0</v>
          </cell>
        </row>
        <row r="546">
          <cell r="X546">
            <v>55953.5</v>
          </cell>
          <cell r="Z546" t="str">
            <v>RA</v>
          </cell>
          <cell r="AA546">
            <v>14010.825730671952</v>
          </cell>
          <cell r="AB546">
            <v>0</v>
          </cell>
        </row>
        <row r="547">
          <cell r="X547">
            <v>865283.83</v>
          </cell>
          <cell r="Z547" t="str">
            <v/>
          </cell>
          <cell r="AA547">
            <v>216668.14318493704</v>
          </cell>
          <cell r="AB547">
            <v>0</v>
          </cell>
        </row>
        <row r="548">
          <cell r="X548">
            <v>635729.06000000006</v>
          </cell>
          <cell r="Z548" t="str">
            <v/>
          </cell>
          <cell r="AA548">
            <v>159187.34434099551</v>
          </cell>
          <cell r="AB548">
            <v>0</v>
          </cell>
        </row>
        <row r="549">
          <cell r="X549">
            <v>17284.919999999998</v>
          </cell>
          <cell r="Z549" t="str">
            <v>RA</v>
          </cell>
          <cell r="AA549">
            <v>4328.1653853397229</v>
          </cell>
          <cell r="AB549">
            <v>0</v>
          </cell>
        </row>
        <row r="550">
          <cell r="X550">
            <v>133.38</v>
          </cell>
          <cell r="Z550" t="str">
            <v>RA</v>
          </cell>
          <cell r="AA550">
            <v>33.398517268035505</v>
          </cell>
          <cell r="AB550">
            <v>0</v>
          </cell>
        </row>
        <row r="551">
          <cell r="X551">
            <v>302.39999999999998</v>
          </cell>
          <cell r="Z551" t="str">
            <v>RA</v>
          </cell>
          <cell r="AA551">
            <v>75.721334696760664</v>
          </cell>
          <cell r="AB551">
            <v>0</v>
          </cell>
        </row>
        <row r="552">
          <cell r="X552">
            <v>5285.28</v>
          </cell>
          <cell r="Z552" t="str">
            <v>RA</v>
          </cell>
          <cell r="AA552">
            <v>1323.4406608667171</v>
          </cell>
          <cell r="AB552">
            <v>0</v>
          </cell>
        </row>
        <row r="553">
          <cell r="X553">
            <v>222.68</v>
          </cell>
          <cell r="Z553" t="str">
            <v>RA</v>
          </cell>
          <cell r="AA553">
            <v>55.759347917574956</v>
          </cell>
          <cell r="AB553">
            <v>0</v>
          </cell>
        </row>
        <row r="554">
          <cell r="X554">
            <v>3903.44</v>
          </cell>
          <cell r="Z554" t="str">
            <v>RA</v>
          </cell>
          <cell r="AA554">
            <v>977.42621266112258</v>
          </cell>
          <cell r="AB554">
            <v>0</v>
          </cell>
        </row>
        <row r="555">
          <cell r="X555">
            <v>5435.2</v>
          </cell>
          <cell r="Z555" t="str">
            <v>RA</v>
          </cell>
          <cell r="AA555">
            <v>1360.9808146290793</v>
          </cell>
          <cell r="AB555">
            <v>0</v>
          </cell>
        </row>
        <row r="556">
          <cell r="X556">
            <v>8288.68</v>
          </cell>
          <cell r="Z556" t="str">
            <v>RA</v>
          </cell>
          <cell r="AA556">
            <v>2075.495742309346</v>
          </cell>
          <cell r="AB556">
            <v>0</v>
          </cell>
        </row>
        <row r="557">
          <cell r="X557">
            <v>2847.24</v>
          </cell>
          <cell r="Z557" t="str">
            <v>RA</v>
          </cell>
          <cell r="AA557">
            <v>712.95242394842865</v>
          </cell>
          <cell r="AB557">
            <v>0</v>
          </cell>
        </row>
        <row r="558">
          <cell r="X558">
            <v>35936.81</v>
          </cell>
          <cell r="Z558" t="str">
            <v>RA</v>
          </cell>
          <cell r="AA558">
            <v>8998.6217524599724</v>
          </cell>
          <cell r="AB558">
            <v>0</v>
          </cell>
        </row>
        <row r="559">
          <cell r="X559">
            <v>559.79999999999995</v>
          </cell>
          <cell r="Z559" t="str">
            <v>RA</v>
          </cell>
          <cell r="AA559">
            <v>140.17461363507479</v>
          </cell>
          <cell r="AB559">
            <v>0</v>
          </cell>
        </row>
        <row r="560">
          <cell r="X560">
            <v>12110.2</v>
          </cell>
          <cell r="Z560" t="str">
            <v>RA</v>
          </cell>
          <cell r="AA560">
            <v>3032.4090854653145</v>
          </cell>
          <cell r="AB560">
            <v>0</v>
          </cell>
        </row>
        <row r="561">
          <cell r="X561">
            <v>94165.67</v>
          </cell>
          <cell r="Z561" t="str">
            <v>RA</v>
          </cell>
          <cell r="AA561">
            <v>23579.200446477233</v>
          </cell>
          <cell r="AB561">
            <v>0</v>
          </cell>
        </row>
        <row r="562">
          <cell r="X562">
            <v>1194.5999999999999</v>
          </cell>
          <cell r="Z562" t="str">
            <v>RA</v>
          </cell>
          <cell r="AA562">
            <v>299.1293202008938</v>
          </cell>
          <cell r="AB562">
            <v>0</v>
          </cell>
        </row>
        <row r="563">
          <cell r="X563">
            <v>1830.4</v>
          </cell>
          <cell r="Z563" t="str">
            <v>RA</v>
          </cell>
          <cell r="AA563">
            <v>458.33442800578945</v>
          </cell>
          <cell r="AB563">
            <v>0</v>
          </cell>
        </row>
        <row r="564">
          <cell r="X564">
            <v>592.9</v>
          </cell>
          <cell r="Z564" t="str">
            <v>RA</v>
          </cell>
          <cell r="AA564">
            <v>148.46289464850992</v>
          </cell>
          <cell r="AB564">
            <v>0</v>
          </cell>
        </row>
        <row r="565">
          <cell r="X565">
            <v>39306.06</v>
          </cell>
          <cell r="Z565" t="str">
            <v>RA</v>
          </cell>
          <cell r="AA565">
            <v>9842.2861272187711</v>
          </cell>
          <cell r="AB565">
            <v>0</v>
          </cell>
        </row>
        <row r="566">
          <cell r="X566">
            <v>1116.1600000000001</v>
          </cell>
          <cell r="Z566" t="str">
            <v>RA</v>
          </cell>
          <cell r="AA566">
            <v>279.48784700772615</v>
          </cell>
          <cell r="AB566">
            <v>0</v>
          </cell>
        </row>
        <row r="567">
          <cell r="X567">
            <v>11748.24</v>
          </cell>
          <cell r="Z567" t="str">
            <v>RA</v>
          </cell>
          <cell r="AA567">
            <v>2941.7738529691519</v>
          </cell>
          <cell r="AB567">
            <v>0</v>
          </cell>
        </row>
        <row r="568">
          <cell r="X568">
            <v>17549.099999999999</v>
          </cell>
          <cell r="Z568" t="str">
            <v>RA</v>
          </cell>
          <cell r="AA568">
            <v>4394.3163846789766</v>
          </cell>
          <cell r="AB568">
            <v>0</v>
          </cell>
        </row>
        <row r="569">
          <cell r="X569">
            <v>117755.6</v>
          </cell>
          <cell r="Z569" t="str">
            <v>RA</v>
          </cell>
          <cell r="AA569">
            <v>29486.148148207245</v>
          </cell>
          <cell r="AB569">
            <v>0</v>
          </cell>
        </row>
        <row r="570">
          <cell r="X570">
            <v>258160.3</v>
          </cell>
          <cell r="Z570" t="str">
            <v>RA</v>
          </cell>
          <cell r="AA570">
            <v>64643.659000384068</v>
          </cell>
          <cell r="AB570">
            <v>0</v>
          </cell>
        </row>
        <row r="571">
          <cell r="X571">
            <v>229554.77</v>
          </cell>
          <cell r="Z571" t="str">
            <v/>
          </cell>
          <cell r="AA571">
            <v>57480.79884394152</v>
          </cell>
          <cell r="AB571">
            <v>0</v>
          </cell>
        </row>
        <row r="572">
          <cell r="X572">
            <v>316.91000000000003</v>
          </cell>
          <cell r="Z572" t="str">
            <v>RA</v>
          </cell>
          <cell r="AA572">
            <v>79.354656675761987</v>
          </cell>
          <cell r="AB572">
            <v>0</v>
          </cell>
        </row>
        <row r="573">
          <cell r="X573">
            <v>3587.7</v>
          </cell>
          <cell r="Z573" t="str">
            <v>RA</v>
          </cell>
          <cell r="AA573">
            <v>898.36452543508017</v>
          </cell>
          <cell r="AB573">
            <v>0</v>
          </cell>
        </row>
        <row r="574">
          <cell r="X574">
            <v>225650.16</v>
          </cell>
          <cell r="Z574" t="str">
            <v>RA</v>
          </cell>
          <cell r="AA574">
            <v>56503.079661830678</v>
          </cell>
          <cell r="AB574">
            <v>0</v>
          </cell>
        </row>
        <row r="575">
          <cell r="X575">
            <v>606298.38</v>
          </cell>
          <cell r="Z575" t="str">
            <v/>
          </cell>
          <cell r="AA575">
            <v>151817.86560212891</v>
          </cell>
          <cell r="AB575">
            <v>0</v>
          </cell>
        </row>
        <row r="576">
          <cell r="X576">
            <v>415098.35</v>
          </cell>
          <cell r="Z576" t="str">
            <v/>
          </cell>
          <cell r="AA576">
            <v>103941.14117864783</v>
          </cell>
          <cell r="AB576">
            <v>0</v>
          </cell>
        </row>
        <row r="577">
          <cell r="X577">
            <v>9361.52</v>
          </cell>
          <cell r="Z577" t="str">
            <v>RA</v>
          </cell>
          <cell r="AA577">
            <v>2344.1362076402743</v>
          </cell>
          <cell r="AB577">
            <v>0</v>
          </cell>
        </row>
        <row r="578">
          <cell r="X578">
            <v>70.2</v>
          </cell>
          <cell r="Z578" t="str">
            <v>RA</v>
          </cell>
          <cell r="AA578">
            <v>17.578166983176583</v>
          </cell>
          <cell r="AB578">
            <v>0</v>
          </cell>
        </row>
        <row r="579">
          <cell r="X579">
            <v>163.19999999999999</v>
          </cell>
          <cell r="Z579" t="str">
            <v>RA</v>
          </cell>
          <cell r="AA579">
            <v>40.865482217299402</v>
          </cell>
          <cell r="AB579">
            <v>0</v>
          </cell>
        </row>
        <row r="580">
          <cell r="X580">
            <v>2845.92</v>
          </cell>
          <cell r="Z580" t="str">
            <v>RA</v>
          </cell>
          <cell r="AA580">
            <v>712.62189431284764</v>
          </cell>
          <cell r="AB580">
            <v>0</v>
          </cell>
        </row>
        <row r="581">
          <cell r="X581">
            <v>123.06</v>
          </cell>
          <cell r="Z581" t="str">
            <v>RA</v>
          </cell>
          <cell r="AA581">
            <v>30.814376480765105</v>
          </cell>
          <cell r="AB581">
            <v>0</v>
          </cell>
        </row>
        <row r="582">
          <cell r="X582">
            <v>2117.12</v>
          </cell>
          <cell r="Z582" t="str">
            <v>RA</v>
          </cell>
          <cell r="AA582">
            <v>530.12947127382915</v>
          </cell>
          <cell r="AB582">
            <v>0</v>
          </cell>
        </row>
        <row r="583">
          <cell r="X583">
            <v>2944</v>
          </cell>
          <cell r="Z583" t="str">
            <v>RA</v>
          </cell>
          <cell r="AA583">
            <v>737.18124784147949</v>
          </cell>
          <cell r="AB583">
            <v>0</v>
          </cell>
        </row>
        <row r="584">
          <cell r="X584">
            <v>4489.6000000000004</v>
          </cell>
          <cell r="Z584" t="str">
            <v>RA</v>
          </cell>
          <cell r="AA584">
            <v>1124.2014029582563</v>
          </cell>
          <cell r="AB584">
            <v>0</v>
          </cell>
        </row>
        <row r="585">
          <cell r="X585">
            <v>2135.4299999999998</v>
          </cell>
          <cell r="Z585" t="str">
            <v>RA</v>
          </cell>
          <cell r="AA585">
            <v>534.71431796132151</v>
          </cell>
          <cell r="AB585">
            <v>0</v>
          </cell>
        </row>
        <row r="586">
          <cell r="X586">
            <v>22492.7</v>
          </cell>
          <cell r="Z586" t="str">
            <v>RA</v>
          </cell>
          <cell r="AA586">
            <v>5632.1999501780047</v>
          </cell>
          <cell r="AB586">
            <v>0</v>
          </cell>
        </row>
        <row r="587">
          <cell r="X587">
            <v>1197.3499999999999</v>
          </cell>
          <cell r="Z587" t="str">
            <v>RA</v>
          </cell>
          <cell r="AA587">
            <v>299.81792360835442</v>
          </cell>
          <cell r="AB587">
            <v>0</v>
          </cell>
        </row>
        <row r="588">
          <cell r="X588">
            <v>6560.36</v>
          </cell>
          <cell r="Z588" t="str">
            <v>RA</v>
          </cell>
          <cell r="AA588">
            <v>1642.7222727884946</v>
          </cell>
          <cell r="AB588">
            <v>0</v>
          </cell>
        </row>
        <row r="589">
          <cell r="X589">
            <v>61347.01</v>
          </cell>
          <cell r="Z589" t="str">
            <v>RA</v>
          </cell>
          <cell r="AA589">
            <v>15361.367317643928</v>
          </cell>
          <cell r="AB589">
            <v>0</v>
          </cell>
        </row>
        <row r="590">
          <cell r="X590">
            <v>651.6</v>
          </cell>
          <cell r="Z590" t="str">
            <v>RA</v>
          </cell>
          <cell r="AA590">
            <v>163.16144738230574</v>
          </cell>
          <cell r="AB590">
            <v>0</v>
          </cell>
        </row>
        <row r="591">
          <cell r="X591">
            <v>998.4</v>
          </cell>
          <cell r="Z591" t="str">
            <v>RA</v>
          </cell>
          <cell r="AA591">
            <v>250.00059709406696</v>
          </cell>
          <cell r="AB591">
            <v>0</v>
          </cell>
        </row>
        <row r="592">
          <cell r="X592">
            <v>323.39999999999998</v>
          </cell>
          <cell r="Z592" t="str">
            <v>RA</v>
          </cell>
          <cell r="AA592">
            <v>80.979760717369047</v>
          </cell>
          <cell r="AB592">
            <v>0</v>
          </cell>
        </row>
        <row r="593">
          <cell r="X593">
            <v>73631.820000000007</v>
          </cell>
          <cell r="Z593" t="str">
            <v>RA</v>
          </cell>
          <cell r="AA593">
            <v>18437.498963464408</v>
          </cell>
          <cell r="AB593">
            <v>0</v>
          </cell>
        </row>
        <row r="594">
          <cell r="X594">
            <v>888.39</v>
          </cell>
          <cell r="Z594" t="str">
            <v>RA</v>
          </cell>
          <cell r="AA594">
            <v>222.45395678325136</v>
          </cell>
          <cell r="AB594">
            <v>0</v>
          </cell>
        </row>
        <row r="595">
          <cell r="X595">
            <v>4131.54</v>
          </cell>
          <cell r="Z595" t="str">
            <v>RA</v>
          </cell>
          <cell r="AA595">
            <v>1034.5427352944926</v>
          </cell>
          <cell r="AB595">
            <v>0</v>
          </cell>
        </row>
        <row r="596">
          <cell r="X596">
            <v>115.44</v>
          </cell>
          <cell r="Z596" t="str">
            <v>RA</v>
          </cell>
          <cell r="AA596">
            <v>28.906319039001492</v>
          </cell>
          <cell r="AB596">
            <v>0</v>
          </cell>
        </row>
        <row r="597">
          <cell r="X597">
            <v>9049.6</v>
          </cell>
          <cell r="Z597" t="str">
            <v>RA</v>
          </cell>
          <cell r="AA597">
            <v>2266.0310531475047</v>
          </cell>
          <cell r="AB597">
            <v>0</v>
          </cell>
        </row>
        <row r="598">
          <cell r="X598">
            <v>1468.53</v>
          </cell>
          <cell r="Z598" t="str">
            <v>RA</v>
          </cell>
          <cell r="AA598">
            <v>367.72173162114399</v>
          </cell>
          <cell r="AB598">
            <v>0</v>
          </cell>
        </row>
        <row r="599">
          <cell r="X599">
            <v>63726.559999999998</v>
          </cell>
          <cell r="Z599" t="str">
            <v>RA</v>
          </cell>
          <cell r="AA599">
            <v>15957.209586088626</v>
          </cell>
          <cell r="AB599">
            <v>0</v>
          </cell>
        </row>
        <row r="600">
          <cell r="X600">
            <v>139710.28</v>
          </cell>
          <cell r="Z600" t="str">
            <v>RA</v>
          </cell>
          <cell r="AA600">
            <v>34983.627223737261</v>
          </cell>
          <cell r="AB600">
            <v>0</v>
          </cell>
        </row>
        <row r="601">
          <cell r="X601">
            <v>4555.32</v>
          </cell>
          <cell r="Z601" t="str">
            <v>RA</v>
          </cell>
          <cell r="AA601">
            <v>1140.6577723903697</v>
          </cell>
          <cell r="AB601">
            <v>0</v>
          </cell>
        </row>
        <row r="602">
          <cell r="X602">
            <v>191200.03</v>
          </cell>
          <cell r="Z602" t="str">
            <v/>
          </cell>
          <cell r="AA602">
            <v>47876.724423481086</v>
          </cell>
          <cell r="AB602">
            <v>0</v>
          </cell>
        </row>
        <row r="603">
          <cell r="X603">
            <v>2278.15</v>
          </cell>
          <cell r="Z603" t="str">
            <v>RA</v>
          </cell>
          <cell r="AA603">
            <v>570.45158280233238</v>
          </cell>
          <cell r="AB603">
            <v>0</v>
          </cell>
        </row>
        <row r="604">
          <cell r="X604">
            <v>4647.96</v>
          </cell>
          <cell r="Z604" t="str">
            <v>RA</v>
          </cell>
          <cell r="AA604">
            <v>1163.8549431784249</v>
          </cell>
          <cell r="AB604">
            <v>0</v>
          </cell>
        </row>
        <row r="605">
          <cell r="X605">
            <v>184273.92000000001</v>
          </cell>
          <cell r="Z605" t="str">
            <v>RA</v>
          </cell>
          <cell r="AA605">
            <v>46142.417897500331</v>
          </cell>
          <cell r="AB605">
            <v>0</v>
          </cell>
        </row>
        <row r="606">
          <cell r="X606">
            <v>304229.42</v>
          </cell>
          <cell r="Z606" t="str">
            <v/>
          </cell>
          <cell r="AA606">
            <v>76179.42373155216</v>
          </cell>
          <cell r="AB606">
            <v>0</v>
          </cell>
        </row>
        <row r="607">
          <cell r="X607">
            <v>188941.87</v>
          </cell>
          <cell r="Z607" t="str">
            <v/>
          </cell>
          <cell r="AA607">
            <v>47311.27836144789</v>
          </cell>
          <cell r="AB607">
            <v>0</v>
          </cell>
        </row>
        <row r="608">
          <cell r="X608">
            <v>5679.2</v>
          </cell>
          <cell r="Z608" t="str">
            <v>RA</v>
          </cell>
          <cell r="AA608">
            <v>1422.0787169637672</v>
          </cell>
          <cell r="AB608">
            <v>0</v>
          </cell>
        </row>
        <row r="609">
          <cell r="X609">
            <v>42.12</v>
          </cell>
          <cell r="Z609" t="str">
            <v>RA</v>
          </cell>
          <cell r="AA609">
            <v>10.54690018990595</v>
          </cell>
          <cell r="AB609">
            <v>0</v>
          </cell>
        </row>
        <row r="610">
          <cell r="X610">
            <v>99.2</v>
          </cell>
          <cell r="Z610" t="str">
            <v>RA</v>
          </cell>
          <cell r="AA610">
            <v>24.83980291639768</v>
          </cell>
          <cell r="AB610">
            <v>0</v>
          </cell>
        </row>
        <row r="611">
          <cell r="X611">
            <v>1694</v>
          </cell>
          <cell r="Z611" t="str">
            <v>RA</v>
          </cell>
          <cell r="AA611">
            <v>424.17969899574263</v>
          </cell>
          <cell r="AB611">
            <v>0</v>
          </cell>
        </row>
        <row r="612">
          <cell r="X612">
            <v>76.180000000000007</v>
          </cell>
          <cell r="Z612" t="str">
            <v>RA</v>
          </cell>
          <cell r="AA612">
            <v>19.07556639285459</v>
          </cell>
          <cell r="AB612">
            <v>0</v>
          </cell>
        </row>
        <row r="613">
          <cell r="X613">
            <v>1281.8499999999999</v>
          </cell>
          <cell r="Z613" t="str">
            <v>RA</v>
          </cell>
          <cell r="AA613">
            <v>320.97682831032625</v>
          </cell>
          <cell r="AB613">
            <v>0</v>
          </cell>
        </row>
        <row r="614">
          <cell r="X614">
            <v>1785.6</v>
          </cell>
          <cell r="Z614" t="str">
            <v>RA</v>
          </cell>
          <cell r="AA614">
            <v>447.11645249515823</v>
          </cell>
          <cell r="AB614">
            <v>0</v>
          </cell>
        </row>
        <row r="615">
          <cell r="X615">
            <v>2723.04</v>
          </cell>
          <cell r="Z615" t="str">
            <v>RA</v>
          </cell>
          <cell r="AA615">
            <v>681.85259005511625</v>
          </cell>
          <cell r="AB615">
            <v>0</v>
          </cell>
        </row>
        <row r="616">
          <cell r="X616">
            <v>1423.62</v>
          </cell>
          <cell r="Z616" t="str">
            <v>RA</v>
          </cell>
          <cell r="AA616">
            <v>356.47621197421432</v>
          </cell>
          <cell r="AB616">
            <v>0</v>
          </cell>
        </row>
        <row r="617">
          <cell r="X617">
            <v>9872.75</v>
          </cell>
          <cell r="Z617" t="str">
            <v>RA</v>
          </cell>
          <cell r="AA617">
            <v>2472.1488330933989</v>
          </cell>
          <cell r="AB617">
            <v>0</v>
          </cell>
        </row>
        <row r="618">
          <cell r="X618">
            <v>3977.92</v>
          </cell>
          <cell r="Z618" t="str">
            <v>RA</v>
          </cell>
          <cell r="AA618">
            <v>996.07609694754694</v>
          </cell>
          <cell r="AB618">
            <v>0</v>
          </cell>
        </row>
        <row r="619">
          <cell r="X619">
            <v>25432.25</v>
          </cell>
          <cell r="Z619" t="str">
            <v>RA</v>
          </cell>
          <cell r="AA619">
            <v>6368.2669125055936</v>
          </cell>
          <cell r="AB619">
            <v>0</v>
          </cell>
        </row>
        <row r="620">
          <cell r="X620">
            <v>390.96</v>
          </cell>
          <cell r="Z620" t="str">
            <v>RA</v>
          </cell>
          <cell r="AA620">
            <v>97.896868429383431</v>
          </cell>
          <cell r="AB620">
            <v>0</v>
          </cell>
        </row>
        <row r="621">
          <cell r="X621">
            <v>599.04</v>
          </cell>
          <cell r="Z621" t="str">
            <v>RA</v>
          </cell>
          <cell r="AA621">
            <v>150.00035825644017</v>
          </cell>
          <cell r="AB621">
            <v>0</v>
          </cell>
        </row>
        <row r="622">
          <cell r="X622">
            <v>194.04</v>
          </cell>
          <cell r="Z622" t="str">
            <v>RA</v>
          </cell>
          <cell r="AA622">
            <v>48.587856430421425</v>
          </cell>
          <cell r="AB622">
            <v>0</v>
          </cell>
        </row>
        <row r="623">
          <cell r="X623">
            <v>465.6</v>
          </cell>
          <cell r="Z623" t="str">
            <v>RA</v>
          </cell>
          <cell r="AA623">
            <v>116.58681691406008</v>
          </cell>
          <cell r="AB623">
            <v>0</v>
          </cell>
        </row>
        <row r="624">
          <cell r="X624">
            <v>3818.18</v>
          </cell>
          <cell r="Z624" t="str">
            <v>RA</v>
          </cell>
          <cell r="AA624">
            <v>956.07700301745251</v>
          </cell>
          <cell r="AB624">
            <v>0</v>
          </cell>
        </row>
        <row r="625">
          <cell r="X625">
            <v>5555.2</v>
          </cell>
          <cell r="Z625" t="str">
            <v>RA</v>
          </cell>
          <cell r="AA625">
            <v>1391.0289633182699</v>
          </cell>
          <cell r="AB625">
            <v>0</v>
          </cell>
        </row>
        <row r="626">
          <cell r="X626">
            <v>38790.080000000002</v>
          </cell>
          <cell r="Z626" t="str">
            <v>RA</v>
          </cell>
          <cell r="AA626">
            <v>9713.0840958800345</v>
          </cell>
          <cell r="AB626">
            <v>0</v>
          </cell>
        </row>
        <row r="627">
          <cell r="X627">
            <v>85041.04</v>
          </cell>
          <cell r="Z627" t="str">
            <v>RA</v>
          </cell>
          <cell r="AA627">
            <v>21294.38178836181</v>
          </cell>
          <cell r="AB627">
            <v>0</v>
          </cell>
        </row>
        <row r="628">
          <cell r="X628">
            <v>115287.55</v>
          </cell>
          <cell r="Z628" t="str">
            <v/>
          </cell>
          <cell r="AA628">
            <v>28868.14537010427</v>
          </cell>
          <cell r="AB628">
            <v>0</v>
          </cell>
        </row>
        <row r="629">
          <cell r="X629">
            <v>1271.44</v>
          </cell>
          <cell r="Z629" t="str">
            <v>RA</v>
          </cell>
          <cell r="AA629">
            <v>318.37015141153898</v>
          </cell>
          <cell r="AB629">
            <v>0</v>
          </cell>
        </row>
        <row r="630">
          <cell r="X630">
            <v>495</v>
          </cell>
          <cell r="Z630" t="str">
            <v>RA</v>
          </cell>
          <cell r="AA630">
            <v>123.94861334291181</v>
          </cell>
          <cell r="AB630">
            <v>0</v>
          </cell>
        </row>
        <row r="631">
          <cell r="X631">
            <v>572.67999999999995</v>
          </cell>
          <cell r="Z631" t="str">
            <v>RA</v>
          </cell>
          <cell r="AA631">
            <v>143.39978159438127</v>
          </cell>
          <cell r="AB631">
            <v>0</v>
          </cell>
        </row>
        <row r="632">
          <cell r="X632">
            <v>455.63</v>
          </cell>
          <cell r="Z632" t="str">
            <v>RA</v>
          </cell>
          <cell r="AA632">
            <v>114.09031656046648</v>
          </cell>
          <cell r="AB632">
            <v>0</v>
          </cell>
        </row>
        <row r="633">
          <cell r="X633">
            <v>112492.8</v>
          </cell>
          <cell r="Z633" t="str">
            <v>RA</v>
          </cell>
          <cell r="AA633">
            <v>28168.33650719497</v>
          </cell>
          <cell r="AB633">
            <v>0</v>
          </cell>
        </row>
        <row r="634">
          <cell r="X634">
            <v>150630.20000000001</v>
          </cell>
          <cell r="Z634" t="str">
            <v/>
          </cell>
          <cell r="AA634">
            <v>37717.988722354487</v>
          </cell>
          <cell r="AB634">
            <v>0</v>
          </cell>
        </row>
        <row r="635">
          <cell r="X635">
            <v>111138.65</v>
          </cell>
          <cell r="Z635" t="str">
            <v/>
          </cell>
          <cell r="AA635">
            <v>27829.255669299404</v>
          </cell>
          <cell r="AB635">
            <v>0</v>
          </cell>
        </row>
        <row r="636">
          <cell r="X636">
            <v>705.19</v>
          </cell>
          <cell r="Z636" t="str">
            <v>RA</v>
          </cell>
          <cell r="AA636">
            <v>176.58044978442018</v>
          </cell>
          <cell r="AB636">
            <v>0</v>
          </cell>
        </row>
        <row r="637">
          <cell r="X637">
            <v>24.66</v>
          </cell>
          <cell r="Z637" t="str">
            <v>RA</v>
          </cell>
          <cell r="AA637">
            <v>6.1748945556286969</v>
          </cell>
          <cell r="AB637">
            <v>0</v>
          </cell>
        </row>
        <row r="638">
          <cell r="X638">
            <v>59397.7</v>
          </cell>
          <cell r="Z638" t="str">
            <v>RA</v>
          </cell>
          <cell r="AA638">
            <v>14873.25767829954</v>
          </cell>
          <cell r="AB638">
            <v>0</v>
          </cell>
        </row>
        <row r="639">
          <cell r="X639">
            <v>31277.67</v>
          </cell>
          <cell r="Z639" t="str">
            <v>RA</v>
          </cell>
          <cell r="AA639">
            <v>7831.9673234286711</v>
          </cell>
          <cell r="AB639">
            <v>0</v>
          </cell>
        </row>
        <row r="640">
          <cell r="X640">
            <v>19733.43</v>
          </cell>
          <cell r="Z640" t="str">
            <v>RA</v>
          </cell>
          <cell r="AA640">
            <v>4941.2753232311434</v>
          </cell>
          <cell r="AB640">
            <v>0</v>
          </cell>
        </row>
        <row r="641">
          <cell r="X641">
            <v>39491.550000000003</v>
          </cell>
          <cell r="Z641" t="str">
            <v/>
          </cell>
          <cell r="AA641">
            <v>9888.733053055088</v>
          </cell>
          <cell r="AB641">
            <v>0</v>
          </cell>
        </row>
        <row r="642">
          <cell r="X642">
            <v>6.16</v>
          </cell>
          <cell r="Z642" t="str">
            <v>RA</v>
          </cell>
          <cell r="AA642">
            <v>1.5424716327117913</v>
          </cell>
          <cell r="AB642">
            <v>0</v>
          </cell>
        </row>
        <row r="643">
          <cell r="X643">
            <v>47.76</v>
          </cell>
          <cell r="Z643" t="str">
            <v>RA</v>
          </cell>
          <cell r="AA643">
            <v>11.959163178297915</v>
          </cell>
          <cell r="AB643">
            <v>0</v>
          </cell>
        </row>
        <row r="644">
          <cell r="X644">
            <v>12.7</v>
          </cell>
          <cell r="Z644" t="str">
            <v>RA</v>
          </cell>
          <cell r="AA644">
            <v>3.1800957362726865</v>
          </cell>
          <cell r="AB644">
            <v>0</v>
          </cell>
        </row>
        <row r="645">
          <cell r="X645">
            <v>44.76</v>
          </cell>
          <cell r="Z645" t="str">
            <v>RA</v>
          </cell>
          <cell r="AA645">
            <v>11.207959461068146</v>
          </cell>
          <cell r="AB645">
            <v>0</v>
          </cell>
        </row>
        <row r="646">
          <cell r="X646">
            <v>793.65</v>
          </cell>
          <cell r="Z646" t="str">
            <v>RA</v>
          </cell>
          <cell r="AA646">
            <v>198.73094339313525</v>
          </cell>
          <cell r="AB646">
            <v>0</v>
          </cell>
        </row>
        <row r="647">
          <cell r="X647">
            <v>1424.15</v>
          </cell>
          <cell r="Z647" t="str">
            <v>RA</v>
          </cell>
          <cell r="AA647">
            <v>356.60892463092495</v>
          </cell>
          <cell r="AB647">
            <v>0</v>
          </cell>
        </row>
        <row r="648">
          <cell r="X648">
            <v>586.72</v>
          </cell>
          <cell r="Z648" t="str">
            <v>RA</v>
          </cell>
          <cell r="AA648">
            <v>146.9154149910166</v>
          </cell>
          <cell r="AB648">
            <v>0</v>
          </cell>
        </row>
        <row r="649">
          <cell r="X649">
            <v>3108.72</v>
          </cell>
          <cell r="Z649" t="str">
            <v>RA</v>
          </cell>
          <cell r="AA649">
            <v>778.42733994217531</v>
          </cell>
          <cell r="AB649">
            <v>0</v>
          </cell>
        </row>
        <row r="650">
          <cell r="X650">
            <v>7123.2</v>
          </cell>
          <cell r="Z650" t="str">
            <v>RA</v>
          </cell>
          <cell r="AA650">
            <v>1783.6581061903623</v>
          </cell>
          <cell r="AB650">
            <v>0</v>
          </cell>
        </row>
        <row r="651">
          <cell r="X651">
            <v>698.88</v>
          </cell>
          <cell r="Z651" t="str">
            <v>RA</v>
          </cell>
          <cell r="AA651">
            <v>175.00041796584688</v>
          </cell>
          <cell r="AB651">
            <v>0</v>
          </cell>
        </row>
        <row r="652">
          <cell r="X652">
            <v>502.88</v>
          </cell>
          <cell r="Z652" t="str">
            <v>RA</v>
          </cell>
          <cell r="AA652">
            <v>125.92177510683533</v>
          </cell>
          <cell r="AB652">
            <v>0</v>
          </cell>
        </row>
        <row r="653">
          <cell r="X653">
            <v>2828.52</v>
          </cell>
          <cell r="Z653" t="str">
            <v>RA</v>
          </cell>
          <cell r="AA653">
            <v>708.26491275291494</v>
          </cell>
          <cell r="AB653">
            <v>0</v>
          </cell>
        </row>
        <row r="654">
          <cell r="X654">
            <v>798.72</v>
          </cell>
          <cell r="Z654" t="str">
            <v>RA</v>
          </cell>
          <cell r="AA654">
            <v>200.00047767525359</v>
          </cell>
          <cell r="AB654">
            <v>0</v>
          </cell>
        </row>
        <row r="655">
          <cell r="X655">
            <v>2027.46</v>
          </cell>
          <cell r="Z655" t="str">
            <v>RA</v>
          </cell>
          <cell r="AA655">
            <v>507.67849617822219</v>
          </cell>
          <cell r="AB655">
            <v>0</v>
          </cell>
        </row>
        <row r="656">
          <cell r="X656">
            <v>6068.68</v>
          </cell>
          <cell r="Z656" t="str">
            <v>RA</v>
          </cell>
          <cell r="AA656">
            <v>1519.6049915593173</v>
          </cell>
          <cell r="AB656">
            <v>0</v>
          </cell>
        </row>
        <row r="657">
          <cell r="X657">
            <v>693.38</v>
          </cell>
          <cell r="Z657" t="str">
            <v>RA</v>
          </cell>
          <cell r="AA657">
            <v>173.62321115092564</v>
          </cell>
          <cell r="AB657">
            <v>0</v>
          </cell>
        </row>
        <row r="658">
          <cell r="X658">
            <v>2472.9</v>
          </cell>
          <cell r="Z658" t="str">
            <v>RA</v>
          </cell>
          <cell r="AA658">
            <v>619.21722411249823</v>
          </cell>
          <cell r="AB658">
            <v>0</v>
          </cell>
        </row>
        <row r="659">
          <cell r="X659">
            <v>1693.66</v>
          </cell>
          <cell r="Z659" t="str">
            <v>RA</v>
          </cell>
          <cell r="AA659">
            <v>424.09456257445663</v>
          </cell>
          <cell r="AB659">
            <v>0</v>
          </cell>
        </row>
        <row r="660">
          <cell r="X660">
            <v>6446.04</v>
          </cell>
          <cell r="Z660" t="str">
            <v>RA</v>
          </cell>
          <cell r="AA660">
            <v>1614.0964031372591</v>
          </cell>
          <cell r="AB660">
            <v>0</v>
          </cell>
        </row>
        <row r="661">
          <cell r="X661">
            <v>398.16</v>
          </cell>
          <cell r="Z661" t="str">
            <v>RA</v>
          </cell>
          <cell r="AA661">
            <v>99.699757350734885</v>
          </cell>
          <cell r="AB661">
            <v>0</v>
          </cell>
        </row>
        <row r="662">
          <cell r="X662">
            <v>1714.45</v>
          </cell>
          <cell r="Z662" t="str">
            <v>RA</v>
          </cell>
          <cell r="AA662">
            <v>429.30040433485891</v>
          </cell>
          <cell r="AB662">
            <v>0</v>
          </cell>
        </row>
        <row r="663">
          <cell r="X663">
            <v>125621.7</v>
          </cell>
          <cell r="Z663" t="str">
            <v/>
          </cell>
          <cell r="AA663">
            <v>31455.829334907601</v>
          </cell>
          <cell r="AB663">
            <v>0</v>
          </cell>
        </row>
        <row r="664">
          <cell r="X664">
            <v>52790.97</v>
          </cell>
          <cell r="Z664" t="str">
            <v/>
          </cell>
          <cell r="AA664">
            <v>13218.924300055063</v>
          </cell>
          <cell r="AB664">
            <v>0</v>
          </cell>
        </row>
        <row r="665">
          <cell r="X665">
            <v>105.71</v>
          </cell>
          <cell r="Z665" t="str">
            <v>RA</v>
          </cell>
          <cell r="AA665">
            <v>26.469914982786275</v>
          </cell>
          <cell r="AB665">
            <v>0</v>
          </cell>
        </row>
        <row r="666">
          <cell r="X666">
            <v>2328.63</v>
          </cell>
          <cell r="Z666" t="str">
            <v>RA</v>
          </cell>
          <cell r="AA666">
            <v>583.09183735091869</v>
          </cell>
          <cell r="AB666">
            <v>0</v>
          </cell>
        </row>
        <row r="667">
          <cell r="X667">
            <v>1113.4000000000001</v>
          </cell>
          <cell r="Z667" t="str">
            <v>RA</v>
          </cell>
          <cell r="AA667">
            <v>278.79673958787481</v>
          </cell>
          <cell r="AB667">
            <v>0</v>
          </cell>
        </row>
        <row r="668">
          <cell r="X668">
            <v>3212.35</v>
          </cell>
          <cell r="Z668" t="str">
            <v>RA</v>
          </cell>
          <cell r="AA668">
            <v>804.37642034768226</v>
          </cell>
          <cell r="AB668">
            <v>0</v>
          </cell>
        </row>
        <row r="669">
          <cell r="X669">
            <v>672</v>
          </cell>
          <cell r="Z669" t="str">
            <v>RA</v>
          </cell>
          <cell r="AA669">
            <v>168.26963265946816</v>
          </cell>
          <cell r="AB669">
            <v>0</v>
          </cell>
        </row>
        <row r="670">
          <cell r="X670">
            <v>1577.1</v>
          </cell>
          <cell r="Z670" t="str">
            <v>RA</v>
          </cell>
          <cell r="AA670">
            <v>394.90779414768929</v>
          </cell>
          <cell r="AB670">
            <v>0</v>
          </cell>
        </row>
        <row r="671">
          <cell r="X671">
            <v>2529.33</v>
          </cell>
          <cell r="Z671" t="str">
            <v>RA</v>
          </cell>
          <cell r="AA671">
            <v>633.34736603359011</v>
          </cell>
          <cell r="AB671">
            <v>0</v>
          </cell>
        </row>
        <row r="672">
          <cell r="X672">
            <v>1270.5</v>
          </cell>
          <cell r="Z672" t="str">
            <v>RA</v>
          </cell>
          <cell r="AA672">
            <v>318.13477424680696</v>
          </cell>
          <cell r="AB672">
            <v>0</v>
          </cell>
        </row>
        <row r="673">
          <cell r="X673">
            <v>200.37</v>
          </cell>
          <cell r="Z673" t="str">
            <v>RA</v>
          </cell>
          <cell r="AA673">
            <v>50.172896273776239</v>
          </cell>
          <cell r="AB673">
            <v>0</v>
          </cell>
        </row>
        <row r="674">
          <cell r="X674">
            <v>599.66999999999996</v>
          </cell>
          <cell r="Z674" t="str">
            <v>RA</v>
          </cell>
          <cell r="AA674">
            <v>150.15811103705843</v>
          </cell>
          <cell r="AB674">
            <v>0</v>
          </cell>
        </row>
        <row r="675">
          <cell r="X675">
            <v>3564.68</v>
          </cell>
          <cell r="Z675" t="str">
            <v>RA</v>
          </cell>
          <cell r="AA675">
            <v>892.60028891153706</v>
          </cell>
          <cell r="AB675">
            <v>0</v>
          </cell>
        </row>
        <row r="676">
          <cell r="X676">
            <v>4671.1000000000004</v>
          </cell>
          <cell r="Z676" t="str">
            <v>RA</v>
          </cell>
          <cell r="AA676">
            <v>1169.6492278506573</v>
          </cell>
          <cell r="AB676">
            <v>0</v>
          </cell>
        </row>
        <row r="677">
          <cell r="X677">
            <v>72.489999999999995</v>
          </cell>
          <cell r="Z677" t="str">
            <v>RA</v>
          </cell>
          <cell r="AA677">
            <v>18.151585820661971</v>
          </cell>
          <cell r="AB677">
            <v>0</v>
          </cell>
        </row>
        <row r="678">
          <cell r="X678">
            <v>57.54</v>
          </cell>
          <cell r="Z678" t="str">
            <v>RA</v>
          </cell>
          <cell r="AA678">
            <v>14.40808729646696</v>
          </cell>
          <cell r="AB678">
            <v>0</v>
          </cell>
        </row>
        <row r="679">
          <cell r="X679">
            <v>1092.21</v>
          </cell>
          <cell r="Z679" t="str">
            <v>RA</v>
          </cell>
          <cell r="AA679">
            <v>273.49073733184184</v>
          </cell>
          <cell r="AB679">
            <v>0</v>
          </cell>
        </row>
        <row r="680">
          <cell r="X680">
            <v>375.96</v>
          </cell>
          <cell r="Z680" t="str">
            <v>RA</v>
          </cell>
          <cell r="AA680">
            <v>94.140849843234591</v>
          </cell>
          <cell r="AB680">
            <v>0</v>
          </cell>
        </row>
        <row r="681">
          <cell r="X681">
            <v>32.58</v>
          </cell>
          <cell r="Z681" t="str">
            <v>RA</v>
          </cell>
          <cell r="AA681">
            <v>8.1580723691152865</v>
          </cell>
          <cell r="AB681">
            <v>0</v>
          </cell>
        </row>
        <row r="682">
          <cell r="X682">
            <v>5.46</v>
          </cell>
          <cell r="Z682" t="str">
            <v>RA</v>
          </cell>
          <cell r="AA682">
            <v>1.3671907653581787</v>
          </cell>
          <cell r="AB682">
            <v>0</v>
          </cell>
        </row>
        <row r="683">
          <cell r="X683">
            <v>49.92</v>
          </cell>
          <cell r="Z683" t="str">
            <v>RA</v>
          </cell>
          <cell r="AA683">
            <v>12.500029854703349</v>
          </cell>
          <cell r="AB683">
            <v>0</v>
          </cell>
        </row>
        <row r="684">
          <cell r="X684">
            <v>5091.79</v>
          </cell>
          <cell r="Z684" t="str">
            <v>RA</v>
          </cell>
          <cell r="AA684">
            <v>1274.9905251177877</v>
          </cell>
          <cell r="AB684">
            <v>0</v>
          </cell>
        </row>
        <row r="685">
          <cell r="X685">
            <v>1394</v>
          </cell>
          <cell r="Z685" t="str">
            <v>RA</v>
          </cell>
          <cell r="AA685">
            <v>349.05932727276576</v>
          </cell>
          <cell r="AB685">
            <v>0</v>
          </cell>
        </row>
        <row r="686">
          <cell r="X686">
            <v>6220.69</v>
          </cell>
          <cell r="Z686" t="str">
            <v>RA</v>
          </cell>
          <cell r="AA686">
            <v>1557.6684839113495</v>
          </cell>
          <cell r="AB686">
            <v>0</v>
          </cell>
        </row>
        <row r="687">
          <cell r="X687">
            <v>9529.99</v>
          </cell>
          <cell r="Z687" t="str">
            <v>RA</v>
          </cell>
          <cell r="AA687">
            <v>2386.3213043875071</v>
          </cell>
          <cell r="AB687">
            <v>0</v>
          </cell>
        </row>
        <row r="688">
          <cell r="X688">
            <v>646.75</v>
          </cell>
          <cell r="Z688" t="str">
            <v>RA</v>
          </cell>
          <cell r="AA688">
            <v>161.94700137278426</v>
          </cell>
          <cell r="AB688">
            <v>0</v>
          </cell>
        </row>
        <row r="689">
          <cell r="X689">
            <v>17.32</v>
          </cell>
          <cell r="Z689" t="str">
            <v>RA</v>
          </cell>
          <cell r="AA689">
            <v>4.3369494608065304</v>
          </cell>
          <cell r="AB689">
            <v>0</v>
          </cell>
        </row>
        <row r="690">
          <cell r="X690">
            <v>3153.16</v>
          </cell>
          <cell r="Z690" t="str">
            <v>RA</v>
          </cell>
          <cell r="AA690">
            <v>789.55517100673899</v>
          </cell>
          <cell r="AB690">
            <v>0</v>
          </cell>
        </row>
        <row r="691">
          <cell r="X691">
            <v>27.16</v>
          </cell>
          <cell r="Z691" t="str">
            <v>RA</v>
          </cell>
          <cell r="AA691">
            <v>6.8008976533201713</v>
          </cell>
          <cell r="AB691">
            <v>0</v>
          </cell>
        </row>
        <row r="692">
          <cell r="X692">
            <v>64</v>
          </cell>
          <cell r="Z692" t="str">
            <v>RA</v>
          </cell>
          <cell r="AA692">
            <v>16.025679300901729</v>
          </cell>
          <cell r="AB692">
            <v>0</v>
          </cell>
        </row>
        <row r="693">
          <cell r="X693">
            <v>1390.64</v>
          </cell>
          <cell r="Z693" t="str">
            <v>RA</v>
          </cell>
          <cell r="AA693">
            <v>348.21797910946844</v>
          </cell>
          <cell r="AB693">
            <v>0</v>
          </cell>
        </row>
        <row r="694">
          <cell r="X694">
            <v>910.51</v>
          </cell>
          <cell r="Z694" t="str">
            <v>RA</v>
          </cell>
          <cell r="AA694">
            <v>227.99283219162552</v>
          </cell>
          <cell r="AB694">
            <v>0</v>
          </cell>
        </row>
        <row r="695">
          <cell r="X695">
            <v>110.88</v>
          </cell>
          <cell r="Z695" t="str">
            <v>RA</v>
          </cell>
          <cell r="AA695">
            <v>27.764489388812244</v>
          </cell>
          <cell r="AB695">
            <v>0</v>
          </cell>
        </row>
        <row r="696">
          <cell r="X696">
            <v>703.08</v>
          </cell>
          <cell r="Z696" t="str">
            <v>RA</v>
          </cell>
          <cell r="AA696">
            <v>176.05210316996858</v>
          </cell>
          <cell r="AB696">
            <v>0</v>
          </cell>
        </row>
        <row r="697">
          <cell r="X697">
            <v>34548.03</v>
          </cell>
          <cell r="Z697" t="str">
            <v/>
          </cell>
          <cell r="AA697">
            <v>8650.8695196551871</v>
          </cell>
          <cell r="AB697">
            <v>0</v>
          </cell>
        </row>
        <row r="698">
          <cell r="X698">
            <v>39.799999999999997</v>
          </cell>
          <cell r="Z698" t="str">
            <v>RA</v>
          </cell>
          <cell r="AA698">
            <v>9.9659693152482625</v>
          </cell>
          <cell r="AB698">
            <v>0</v>
          </cell>
        </row>
        <row r="699">
          <cell r="X699">
            <v>9.84</v>
          </cell>
          <cell r="Z699" t="str">
            <v>RA</v>
          </cell>
          <cell r="AA699">
            <v>2.4639481925136408</v>
          </cell>
          <cell r="AB699">
            <v>0</v>
          </cell>
        </row>
        <row r="700">
          <cell r="X700">
            <v>61.6</v>
          </cell>
          <cell r="Z700" t="str">
            <v>RA</v>
          </cell>
          <cell r="AA700">
            <v>15.424716327117915</v>
          </cell>
          <cell r="AB700">
            <v>0</v>
          </cell>
        </row>
        <row r="701">
          <cell r="X701">
            <v>127</v>
          </cell>
          <cell r="Z701" t="str">
            <v>RA</v>
          </cell>
          <cell r="AA701">
            <v>31.800957362726869</v>
          </cell>
          <cell r="AB701">
            <v>0</v>
          </cell>
        </row>
        <row r="702">
          <cell r="X702">
            <v>87.39</v>
          </cell>
          <cell r="Z702" t="str">
            <v>RA</v>
          </cell>
          <cell r="AA702">
            <v>21.882564282903157</v>
          </cell>
          <cell r="AB702">
            <v>0</v>
          </cell>
        </row>
        <row r="703">
          <cell r="X703">
            <v>219.66</v>
          </cell>
          <cell r="Z703" t="str">
            <v>RA</v>
          </cell>
          <cell r="AA703">
            <v>55.003136175563654</v>
          </cell>
          <cell r="AB703">
            <v>0</v>
          </cell>
        </row>
        <row r="704">
          <cell r="X704">
            <v>766.59</v>
          </cell>
          <cell r="Z704" t="str">
            <v>RA</v>
          </cell>
          <cell r="AA704">
            <v>191.95508586372276</v>
          </cell>
          <cell r="AB704">
            <v>0</v>
          </cell>
        </row>
        <row r="705">
          <cell r="X705">
            <v>1072.6199999999999</v>
          </cell>
          <cell r="Z705" t="str">
            <v>RA</v>
          </cell>
          <cell r="AA705">
            <v>268.5853770583314</v>
          </cell>
          <cell r="AB705">
            <v>0</v>
          </cell>
        </row>
        <row r="706">
          <cell r="X706">
            <v>529.1</v>
          </cell>
          <cell r="Z706" t="str">
            <v>RA</v>
          </cell>
          <cell r="AA706">
            <v>132.48729559542352</v>
          </cell>
          <cell r="AB706">
            <v>0</v>
          </cell>
        </row>
        <row r="707">
          <cell r="X707">
            <v>149.56</v>
          </cell>
          <cell r="Z707" t="str">
            <v>RA</v>
          </cell>
          <cell r="AA707">
            <v>37.450009316294725</v>
          </cell>
          <cell r="AB707">
            <v>0</v>
          </cell>
        </row>
        <row r="708">
          <cell r="X708">
            <v>1350.48</v>
          </cell>
          <cell r="Z708" t="str">
            <v>RA</v>
          </cell>
          <cell r="AA708">
            <v>338.16186534815262</v>
          </cell>
          <cell r="AB708">
            <v>0</v>
          </cell>
        </row>
        <row r="709">
          <cell r="X709">
            <v>4748.8</v>
          </cell>
          <cell r="Z709" t="str">
            <v>RA</v>
          </cell>
          <cell r="AA709">
            <v>1189.1054041269083</v>
          </cell>
          <cell r="AB709">
            <v>0</v>
          </cell>
        </row>
        <row r="710">
          <cell r="X710">
            <v>28.16</v>
          </cell>
          <cell r="Z710" t="str">
            <v>RA</v>
          </cell>
          <cell r="AA710">
            <v>7.051298892396761</v>
          </cell>
          <cell r="AB710">
            <v>0</v>
          </cell>
        </row>
        <row r="711">
          <cell r="X711">
            <v>8.58</v>
          </cell>
          <cell r="Z711" t="str">
            <v>RA</v>
          </cell>
          <cell r="AA711">
            <v>2.1484426312771379</v>
          </cell>
          <cell r="AB711">
            <v>0</v>
          </cell>
        </row>
        <row r="712">
          <cell r="X712">
            <v>1140.46</v>
          </cell>
          <cell r="Z712" t="str">
            <v>RA</v>
          </cell>
          <cell r="AA712">
            <v>285.57259711728727</v>
          </cell>
          <cell r="AB712">
            <v>0</v>
          </cell>
        </row>
        <row r="713">
          <cell r="X713">
            <v>488.5</v>
          </cell>
          <cell r="Z713" t="str">
            <v>RA</v>
          </cell>
          <cell r="AA713">
            <v>122.32100528891398</v>
          </cell>
          <cell r="AB713">
            <v>0</v>
          </cell>
        </row>
        <row r="714">
          <cell r="X714">
            <v>1597.44</v>
          </cell>
          <cell r="Z714" t="str">
            <v>RA</v>
          </cell>
          <cell r="AA714">
            <v>400.00095535050718</v>
          </cell>
          <cell r="AB714">
            <v>0</v>
          </cell>
        </row>
        <row r="715">
          <cell r="X715">
            <v>1734.72</v>
          </cell>
          <cell r="Z715" t="str">
            <v>RA</v>
          </cell>
          <cell r="AA715">
            <v>434.37603745094134</v>
          </cell>
          <cell r="AB715">
            <v>0</v>
          </cell>
        </row>
        <row r="716">
          <cell r="X716">
            <v>125.46</v>
          </cell>
          <cell r="Z716" t="str">
            <v>RA</v>
          </cell>
          <cell r="AA716">
            <v>31.415339454548917</v>
          </cell>
          <cell r="AB716">
            <v>0</v>
          </cell>
        </row>
        <row r="717">
          <cell r="X717">
            <v>349.29</v>
          </cell>
          <cell r="Z717" t="str">
            <v>RA</v>
          </cell>
          <cell r="AA717">
            <v>87.462648797061959</v>
          </cell>
          <cell r="AB717">
            <v>0</v>
          </cell>
        </row>
        <row r="718">
          <cell r="X718">
            <v>532.99</v>
          </cell>
          <cell r="Z718" t="str">
            <v>RA</v>
          </cell>
          <cell r="AA718">
            <v>133.46135641543145</v>
          </cell>
          <cell r="AB718">
            <v>0</v>
          </cell>
        </row>
        <row r="719">
          <cell r="X719">
            <v>1333.02</v>
          </cell>
          <cell r="Z719" t="str">
            <v>RA</v>
          </cell>
          <cell r="AA719">
            <v>333.78985971387533</v>
          </cell>
          <cell r="AB719">
            <v>0</v>
          </cell>
        </row>
        <row r="720">
          <cell r="X720">
            <v>665.18</v>
          </cell>
          <cell r="Z720" t="str">
            <v>RA</v>
          </cell>
          <cell r="AA720">
            <v>166.56189620896581</v>
          </cell>
          <cell r="AB720">
            <v>0</v>
          </cell>
        </row>
        <row r="721">
          <cell r="X721">
            <v>632.02</v>
          </cell>
          <cell r="Z721" t="str">
            <v>RA</v>
          </cell>
          <cell r="AA721">
            <v>158.2585911211861</v>
          </cell>
          <cell r="AB721">
            <v>0</v>
          </cell>
        </row>
        <row r="722">
          <cell r="X722">
            <v>2500.3000000000002</v>
          </cell>
          <cell r="Z722" t="str">
            <v>RA</v>
          </cell>
          <cell r="AA722">
            <v>626.0782180631968</v>
          </cell>
          <cell r="AB722">
            <v>0</v>
          </cell>
        </row>
        <row r="723">
          <cell r="X723">
            <v>2920.12</v>
          </cell>
          <cell r="Z723" t="str">
            <v>RA</v>
          </cell>
          <cell r="AA723">
            <v>731.20166625233048</v>
          </cell>
          <cell r="AB723">
            <v>0</v>
          </cell>
        </row>
        <row r="724">
          <cell r="X724">
            <v>577.53</v>
          </cell>
          <cell r="Z724" t="str">
            <v>RA</v>
          </cell>
          <cell r="AA724">
            <v>144.61422760390272</v>
          </cell>
          <cell r="AB724">
            <v>0</v>
          </cell>
        </row>
        <row r="725">
          <cell r="X725">
            <v>2047.22</v>
          </cell>
          <cell r="Z725" t="str">
            <v>RA</v>
          </cell>
          <cell r="AA725">
            <v>512.6264246623756</v>
          </cell>
          <cell r="AB725">
            <v>0</v>
          </cell>
        </row>
        <row r="726">
          <cell r="X726">
            <v>1963.18</v>
          </cell>
          <cell r="Z726" t="str">
            <v>RA</v>
          </cell>
          <cell r="AA726">
            <v>491.58270453037903</v>
          </cell>
          <cell r="AB726">
            <v>0</v>
          </cell>
        </row>
        <row r="727">
          <cell r="X727">
            <v>3754.82</v>
          </cell>
          <cell r="Z727" t="str">
            <v>RA</v>
          </cell>
          <cell r="AA727">
            <v>940.21158050955989</v>
          </cell>
          <cell r="AB727">
            <v>0</v>
          </cell>
        </row>
        <row r="728">
          <cell r="X728">
            <v>1799.08</v>
          </cell>
          <cell r="Z728" t="str">
            <v>RA</v>
          </cell>
          <cell r="AA728">
            <v>450.49186119791062</v>
          </cell>
          <cell r="AB728">
            <v>0</v>
          </cell>
        </row>
        <row r="729">
          <cell r="X729">
            <v>1187.52</v>
          </cell>
          <cell r="Z729" t="str">
            <v>RA</v>
          </cell>
          <cell r="AA729">
            <v>297.35647942823158</v>
          </cell>
          <cell r="AB729">
            <v>0</v>
          </cell>
        </row>
        <row r="730">
          <cell r="X730">
            <v>38282.699999999997</v>
          </cell>
          <cell r="Z730" t="str">
            <v/>
          </cell>
          <cell r="AA730">
            <v>9586.0355151973527</v>
          </cell>
          <cell r="AB730">
            <v>0</v>
          </cell>
        </row>
        <row r="731">
          <cell r="X731">
            <v>38282.699999999997</v>
          </cell>
          <cell r="Z731" t="str">
            <v>RA</v>
          </cell>
          <cell r="AA731">
            <v>9586.0355151973527</v>
          </cell>
          <cell r="AB731">
            <v>0</v>
          </cell>
        </row>
        <row r="732">
          <cell r="X732">
            <v>317101.53000000003</v>
          </cell>
          <cell r="Z732" t="str">
            <v/>
          </cell>
          <cell r="AA732">
            <v>79402.616025082316</v>
          </cell>
          <cell r="AB732">
            <v>0</v>
          </cell>
        </row>
        <row r="733">
          <cell r="X733">
            <v>259.17</v>
          </cell>
          <cell r="Z733" t="str">
            <v>RA</v>
          </cell>
          <cell r="AA733">
            <v>64.896489131479711</v>
          </cell>
          <cell r="AB733">
            <v>0</v>
          </cell>
        </row>
        <row r="734">
          <cell r="X734">
            <v>581.66999999999996</v>
          </cell>
          <cell r="Z734" t="str">
            <v>RA</v>
          </cell>
          <cell r="AA734">
            <v>145.65088873367981</v>
          </cell>
          <cell r="AB734">
            <v>0</v>
          </cell>
        </row>
        <row r="735">
          <cell r="X735">
            <v>170.41</v>
          </cell>
          <cell r="Z735" t="str">
            <v>RA</v>
          </cell>
          <cell r="AA735">
            <v>42.670875151041621</v>
          </cell>
          <cell r="AB735">
            <v>0</v>
          </cell>
        </row>
        <row r="736">
          <cell r="X736">
            <v>741.99</v>
          </cell>
          <cell r="Z736" t="str">
            <v>RA</v>
          </cell>
          <cell r="AA736">
            <v>185.79521538243864</v>
          </cell>
          <cell r="AB736">
            <v>0</v>
          </cell>
        </row>
        <row r="737">
          <cell r="X737">
            <v>824.72</v>
          </cell>
          <cell r="Z737" t="str">
            <v>RA</v>
          </cell>
          <cell r="AA737">
            <v>206.51090989124492</v>
          </cell>
          <cell r="AB737">
            <v>0</v>
          </cell>
        </row>
        <row r="738">
          <cell r="X738">
            <v>320.85000000000002</v>
          </cell>
          <cell r="Z738" t="str">
            <v>RA</v>
          </cell>
          <cell r="AA738">
            <v>80.341237557723744</v>
          </cell>
          <cell r="AB738">
            <v>0</v>
          </cell>
        </row>
        <row r="739">
          <cell r="X739">
            <v>975.64</v>
          </cell>
          <cell r="Z739" t="str">
            <v>RA</v>
          </cell>
          <cell r="AA739">
            <v>244.30146489268378</v>
          </cell>
          <cell r="AB739">
            <v>0</v>
          </cell>
        </row>
        <row r="740">
          <cell r="X740">
            <v>472.05</v>
          </cell>
          <cell r="Z740" t="str">
            <v>RA</v>
          </cell>
          <cell r="AA740">
            <v>118.20190490610408</v>
          </cell>
          <cell r="AB740">
            <v>0</v>
          </cell>
        </row>
        <row r="741">
          <cell r="X741">
            <v>1055.43</v>
          </cell>
          <cell r="Z741" t="str">
            <v>RA</v>
          </cell>
          <cell r="AA741">
            <v>264.28097975860487</v>
          </cell>
          <cell r="AB741">
            <v>0</v>
          </cell>
        </row>
        <row r="742">
          <cell r="X742">
            <v>3378.9</v>
          </cell>
          <cell r="Z742" t="str">
            <v>RA</v>
          </cell>
          <cell r="AA742">
            <v>846.08074671588827</v>
          </cell>
          <cell r="AB742">
            <v>0</v>
          </cell>
        </row>
        <row r="743">
          <cell r="X743">
            <v>4487.3999999999996</v>
          </cell>
          <cell r="Z743" t="str">
            <v>RA</v>
          </cell>
          <cell r="AA743">
            <v>1123.6505202322876</v>
          </cell>
          <cell r="AB743">
            <v>0</v>
          </cell>
        </row>
        <row r="744">
          <cell r="X744">
            <v>1556.46</v>
          </cell>
          <cell r="Z744" t="str">
            <v>RA</v>
          </cell>
          <cell r="AA744">
            <v>389.73951257314855</v>
          </cell>
          <cell r="AB744">
            <v>0</v>
          </cell>
        </row>
        <row r="745">
          <cell r="X745">
            <v>226.95</v>
          </cell>
          <cell r="Z745" t="str">
            <v>RA</v>
          </cell>
          <cell r="AA745">
            <v>56.828561208431985</v>
          </cell>
          <cell r="AB745">
            <v>0</v>
          </cell>
        </row>
        <row r="746">
          <cell r="X746">
            <v>81.040000000000006</v>
          </cell>
          <cell r="Z746" t="str">
            <v>RA</v>
          </cell>
          <cell r="AA746">
            <v>20.292516414766816</v>
          </cell>
          <cell r="AB746">
            <v>0</v>
          </cell>
        </row>
        <row r="747">
          <cell r="X747">
            <v>132.34</v>
          </cell>
          <cell r="Z747" t="str">
            <v>RA</v>
          </cell>
          <cell r="AA747">
            <v>33.138099979395854</v>
          </cell>
          <cell r="AB747">
            <v>0</v>
          </cell>
        </row>
        <row r="748">
          <cell r="X748">
            <v>45.04</v>
          </cell>
          <cell r="Z748" t="str">
            <v>RA</v>
          </cell>
          <cell r="AA748">
            <v>11.278071808009591</v>
          </cell>
          <cell r="AB748">
            <v>0</v>
          </cell>
        </row>
        <row r="749">
          <cell r="X749">
            <v>64.819999999999993</v>
          </cell>
          <cell r="Z749" t="str">
            <v>RA</v>
          </cell>
          <cell r="AA749">
            <v>16.231008316944532</v>
          </cell>
          <cell r="AB749">
            <v>0</v>
          </cell>
        </row>
        <row r="750">
          <cell r="X750">
            <v>153.12</v>
          </cell>
          <cell r="Z750" t="str">
            <v>RA</v>
          </cell>
          <cell r="AA750">
            <v>38.341437727407389</v>
          </cell>
          <cell r="AB750">
            <v>0</v>
          </cell>
        </row>
        <row r="751">
          <cell r="X751">
            <v>228.9</v>
          </cell>
          <cell r="Z751" t="str">
            <v>RA</v>
          </cell>
          <cell r="AA751">
            <v>57.316843624631339</v>
          </cell>
          <cell r="AB751">
            <v>0</v>
          </cell>
        </row>
        <row r="752">
          <cell r="X752">
            <v>386.64</v>
          </cell>
          <cell r="Z752" t="str">
            <v>RA</v>
          </cell>
          <cell r="AA752">
            <v>96.81513507657256</v>
          </cell>
          <cell r="AB752">
            <v>0</v>
          </cell>
        </row>
        <row r="753">
          <cell r="X753">
            <v>102.78</v>
          </cell>
          <cell r="Z753" t="str">
            <v>RA</v>
          </cell>
          <cell r="AA753">
            <v>25.736239352291872</v>
          </cell>
          <cell r="AB753">
            <v>0</v>
          </cell>
        </row>
        <row r="754">
          <cell r="X754">
            <v>45.28</v>
          </cell>
          <cell r="Z754" t="str">
            <v>RA</v>
          </cell>
          <cell r="AA754">
            <v>11.338168105387973</v>
          </cell>
          <cell r="AB754">
            <v>0</v>
          </cell>
        </row>
        <row r="755">
          <cell r="X755">
            <v>124.88</v>
          </cell>
          <cell r="Z755" t="str">
            <v>RA</v>
          </cell>
          <cell r="AA755">
            <v>31.270106735884497</v>
          </cell>
          <cell r="AB755">
            <v>0</v>
          </cell>
        </row>
        <row r="756">
          <cell r="X756">
            <v>57.75</v>
          </cell>
          <cell r="Z756" t="str">
            <v>RA</v>
          </cell>
          <cell r="AA756">
            <v>14.460671556673045</v>
          </cell>
          <cell r="AB756">
            <v>0</v>
          </cell>
        </row>
        <row r="757">
          <cell r="X757">
            <v>3690</v>
          </cell>
          <cell r="Z757" t="str">
            <v>RA</v>
          </cell>
          <cell r="AA757">
            <v>923.98057219261534</v>
          </cell>
          <cell r="AB757">
            <v>0</v>
          </cell>
        </row>
        <row r="758">
          <cell r="X758">
            <v>639.79999999999995</v>
          </cell>
          <cell r="Z758" t="str">
            <v>RA</v>
          </cell>
          <cell r="AA758">
            <v>160.20671276120197</v>
          </cell>
          <cell r="AB758">
            <v>0</v>
          </cell>
        </row>
        <row r="759">
          <cell r="X759">
            <v>6517</v>
          </cell>
          <cell r="Z759" t="str">
            <v>RA</v>
          </cell>
          <cell r="AA759">
            <v>1631.8648750621339</v>
          </cell>
          <cell r="AB759">
            <v>0</v>
          </cell>
        </row>
        <row r="760">
          <cell r="X760">
            <v>3661.5</v>
          </cell>
          <cell r="Z760" t="str">
            <v>RA</v>
          </cell>
          <cell r="AA760">
            <v>916.84413687893255</v>
          </cell>
          <cell r="AB760">
            <v>0</v>
          </cell>
        </row>
        <row r="761">
          <cell r="X761">
            <v>912.8</v>
          </cell>
          <cell r="Z761" t="str">
            <v>RA</v>
          </cell>
          <cell r="AA761">
            <v>228.5662510291109</v>
          </cell>
          <cell r="AB761">
            <v>0</v>
          </cell>
        </row>
        <row r="762">
          <cell r="X762">
            <v>14490</v>
          </cell>
          <cell r="Z762" t="str">
            <v>RA</v>
          </cell>
          <cell r="AA762">
            <v>3628.3139542197819</v>
          </cell>
          <cell r="AB762">
            <v>0</v>
          </cell>
        </row>
        <row r="763">
          <cell r="X763">
            <v>4320.32</v>
          </cell>
          <cell r="Z763" t="str">
            <v>RA</v>
          </cell>
          <cell r="AA763">
            <v>1081.8134812073711</v>
          </cell>
          <cell r="AB763">
            <v>0</v>
          </cell>
        </row>
        <row r="764">
          <cell r="X764">
            <v>549.28</v>
          </cell>
          <cell r="Z764" t="str">
            <v>RA</v>
          </cell>
          <cell r="AA764">
            <v>137.54039259998908</v>
          </cell>
          <cell r="AB764">
            <v>0</v>
          </cell>
        </row>
        <row r="765">
          <cell r="X765">
            <v>5020.8</v>
          </cell>
          <cell r="Z765" t="str">
            <v>RA</v>
          </cell>
          <cell r="AA765">
            <v>1257.2145411557406</v>
          </cell>
          <cell r="AB765">
            <v>0</v>
          </cell>
        </row>
        <row r="766">
          <cell r="X766">
            <v>155.6</v>
          </cell>
          <cell r="Z766" t="str">
            <v>RA</v>
          </cell>
          <cell r="AA766">
            <v>38.962432800317323</v>
          </cell>
          <cell r="AB766">
            <v>0</v>
          </cell>
        </row>
        <row r="767">
          <cell r="X767">
            <v>10462.24</v>
          </cell>
          <cell r="Z767" t="str">
            <v>RA</v>
          </cell>
          <cell r="AA767">
            <v>2619.7578595166578</v>
          </cell>
          <cell r="AB767">
            <v>0</v>
          </cell>
        </row>
        <row r="768">
          <cell r="X768">
            <v>8554.16</v>
          </cell>
          <cell r="Z768" t="str">
            <v>RA</v>
          </cell>
          <cell r="AA768">
            <v>2141.9722632593989</v>
          </cell>
          <cell r="AB768">
            <v>0</v>
          </cell>
        </row>
        <row r="769">
          <cell r="X769">
            <v>5870.3</v>
          </cell>
          <cell r="Z769" t="str">
            <v>RA</v>
          </cell>
          <cell r="AA769">
            <v>1469.9303937513034</v>
          </cell>
          <cell r="AB769">
            <v>0</v>
          </cell>
        </row>
        <row r="770">
          <cell r="X770">
            <v>1715.04</v>
          </cell>
          <cell r="Z770" t="str">
            <v>RA</v>
          </cell>
          <cell r="AA770">
            <v>429.44814106591406</v>
          </cell>
          <cell r="AB770">
            <v>0</v>
          </cell>
        </row>
        <row r="771">
          <cell r="X771">
            <v>1790.3</v>
          </cell>
          <cell r="Z771" t="str">
            <v>RA</v>
          </cell>
          <cell r="AA771">
            <v>448.2933383188182</v>
          </cell>
          <cell r="AB771">
            <v>0</v>
          </cell>
        </row>
        <row r="772">
          <cell r="X772">
            <v>309.04000000000002</v>
          </cell>
          <cell r="Z772" t="str">
            <v>RA</v>
          </cell>
          <cell r="AA772">
            <v>77.383998924229232</v>
          </cell>
          <cell r="AB772">
            <v>0</v>
          </cell>
        </row>
        <row r="773">
          <cell r="X773">
            <v>1596.8</v>
          </cell>
          <cell r="Z773" t="str">
            <v>RA</v>
          </cell>
          <cell r="AA773">
            <v>399.84069855749811</v>
          </cell>
          <cell r="AB773">
            <v>0</v>
          </cell>
        </row>
        <row r="774">
          <cell r="X774">
            <v>2040</v>
          </cell>
          <cell r="Z774" t="str">
            <v>RA</v>
          </cell>
          <cell r="AA774">
            <v>510.81852771624261</v>
          </cell>
          <cell r="AB774">
            <v>0</v>
          </cell>
        </row>
        <row r="775">
          <cell r="X775">
            <v>3954.6</v>
          </cell>
          <cell r="Z775" t="str">
            <v>RA</v>
          </cell>
          <cell r="AA775">
            <v>990.23674005228088</v>
          </cell>
          <cell r="AB775">
            <v>0</v>
          </cell>
        </row>
        <row r="776">
          <cell r="X776">
            <v>2789.85</v>
          </cell>
          <cell r="Z776" t="str">
            <v>RA</v>
          </cell>
          <cell r="AA776">
            <v>698.58189683782325</v>
          </cell>
          <cell r="AB776">
            <v>0</v>
          </cell>
        </row>
        <row r="777">
          <cell r="X777">
            <v>478.01</v>
          </cell>
          <cell r="Z777" t="str">
            <v>RA</v>
          </cell>
          <cell r="AA777">
            <v>119.69429629100055</v>
          </cell>
          <cell r="AB777">
            <v>0</v>
          </cell>
        </row>
        <row r="778">
          <cell r="X778">
            <v>63.6</v>
          </cell>
          <cell r="Z778" t="str">
            <v>RA</v>
          </cell>
          <cell r="AA778">
            <v>15.925518805271093</v>
          </cell>
          <cell r="AB778">
            <v>0</v>
          </cell>
        </row>
        <row r="779">
          <cell r="X779">
            <v>573.6</v>
          </cell>
          <cell r="Z779" t="str">
            <v>RA</v>
          </cell>
          <cell r="AA779">
            <v>143.63015073433175</v>
          </cell>
          <cell r="AB779">
            <v>0</v>
          </cell>
        </row>
        <row r="780">
          <cell r="X780">
            <v>697.2</v>
          </cell>
          <cell r="Z780" t="str">
            <v>RA</v>
          </cell>
          <cell r="AA780">
            <v>174.57974388419822</v>
          </cell>
          <cell r="AB780">
            <v>0</v>
          </cell>
        </row>
        <row r="781">
          <cell r="X781">
            <v>129</v>
          </cell>
          <cell r="Z781" t="str">
            <v>RA</v>
          </cell>
          <cell r="AA781">
            <v>32.301759840880045</v>
          </cell>
          <cell r="AB781">
            <v>0</v>
          </cell>
        </row>
        <row r="782">
          <cell r="X782">
            <v>119050</v>
          </cell>
          <cell r="Z782" t="str">
            <v>RA</v>
          </cell>
          <cell r="AA782">
            <v>29810.267512067981</v>
          </cell>
          <cell r="AB782">
            <v>0</v>
          </cell>
        </row>
        <row r="783">
          <cell r="X783">
            <v>70834.75</v>
          </cell>
          <cell r="Z783" t="str">
            <v>RA</v>
          </cell>
          <cell r="AA783">
            <v>17737.109169680451</v>
          </cell>
          <cell r="AB783">
            <v>0</v>
          </cell>
        </row>
        <row r="784">
          <cell r="X784">
            <v>27619.599999999999</v>
          </cell>
          <cell r="Z784" t="str">
            <v>RA</v>
          </cell>
          <cell r="AA784">
            <v>6915.9820627997715</v>
          </cell>
          <cell r="AB784">
            <v>0</v>
          </cell>
        </row>
        <row r="785">
          <cell r="X785">
            <v>2142.11</v>
          </cell>
          <cell r="Z785" t="str">
            <v>RA</v>
          </cell>
          <cell r="AA785">
            <v>536.38699823835316</v>
          </cell>
          <cell r="AB785">
            <v>0</v>
          </cell>
        </row>
        <row r="786">
          <cell r="X786">
            <v>127334.7</v>
          </cell>
          <cell r="Z786" t="str">
            <v/>
          </cell>
          <cell r="AA786">
            <v>31884.766657445798</v>
          </cell>
          <cell r="AB786">
            <v>0</v>
          </cell>
        </row>
        <row r="787">
          <cell r="X787">
            <v>54503.97</v>
          </cell>
          <cell r="Z787" t="str">
            <v/>
          </cell>
          <cell r="AA787">
            <v>13647.861622593262</v>
          </cell>
          <cell r="AB787">
            <v>0</v>
          </cell>
        </row>
        <row r="788">
          <cell r="X788">
            <v>105.71</v>
          </cell>
          <cell r="Z788" t="str">
            <v>RA</v>
          </cell>
          <cell r="AA788">
            <v>26.469914982786275</v>
          </cell>
          <cell r="AB788">
            <v>0</v>
          </cell>
        </row>
        <row r="789">
          <cell r="X789">
            <v>2328.63</v>
          </cell>
          <cell r="Z789" t="str">
            <v>RA</v>
          </cell>
          <cell r="AA789">
            <v>583.09183735091869</v>
          </cell>
          <cell r="AB789">
            <v>0</v>
          </cell>
        </row>
        <row r="790">
          <cell r="X790">
            <v>1113.4000000000001</v>
          </cell>
          <cell r="Z790" t="str">
            <v>RA</v>
          </cell>
          <cell r="AA790">
            <v>278.79673958787481</v>
          </cell>
          <cell r="AB790">
            <v>0</v>
          </cell>
        </row>
        <row r="791">
          <cell r="X791">
            <v>3212.35</v>
          </cell>
          <cell r="Z791" t="str">
            <v>RA</v>
          </cell>
          <cell r="AA791">
            <v>804.37642034768226</v>
          </cell>
          <cell r="AB791">
            <v>0</v>
          </cell>
        </row>
        <row r="792">
          <cell r="X792">
            <v>672</v>
          </cell>
          <cell r="Z792" t="str">
            <v>RA</v>
          </cell>
          <cell r="AA792">
            <v>168.26963265946816</v>
          </cell>
          <cell r="AB792">
            <v>0</v>
          </cell>
        </row>
        <row r="793">
          <cell r="X793">
            <v>1577.1</v>
          </cell>
          <cell r="Z793" t="str">
            <v>RA</v>
          </cell>
          <cell r="AA793">
            <v>394.90779414768929</v>
          </cell>
          <cell r="AB793">
            <v>0</v>
          </cell>
        </row>
        <row r="794">
          <cell r="X794">
            <v>2529.33</v>
          </cell>
          <cell r="Z794" t="str">
            <v>RA</v>
          </cell>
          <cell r="AA794">
            <v>633.34736603359011</v>
          </cell>
          <cell r="AB794">
            <v>0</v>
          </cell>
        </row>
        <row r="795">
          <cell r="X795">
            <v>1270.5</v>
          </cell>
          <cell r="Z795" t="str">
            <v>RA</v>
          </cell>
          <cell r="AA795">
            <v>318.13477424680696</v>
          </cell>
          <cell r="AB795">
            <v>0</v>
          </cell>
        </row>
        <row r="796">
          <cell r="X796">
            <v>200.37</v>
          </cell>
          <cell r="Z796" t="str">
            <v>RA</v>
          </cell>
          <cell r="AA796">
            <v>50.172896273776239</v>
          </cell>
          <cell r="AB796">
            <v>0</v>
          </cell>
        </row>
        <row r="797">
          <cell r="X797">
            <v>599.66999999999996</v>
          </cell>
          <cell r="Z797" t="str">
            <v>RA</v>
          </cell>
          <cell r="AA797">
            <v>150.15811103705843</v>
          </cell>
          <cell r="AB797">
            <v>0</v>
          </cell>
        </row>
        <row r="798">
          <cell r="X798">
            <v>3564.68</v>
          </cell>
          <cell r="Z798" t="str">
            <v>RA</v>
          </cell>
          <cell r="AA798">
            <v>892.60028891153706</v>
          </cell>
          <cell r="AB798">
            <v>0</v>
          </cell>
        </row>
        <row r="799">
          <cell r="X799">
            <v>4671.1000000000004</v>
          </cell>
          <cell r="Z799" t="str">
            <v>RA</v>
          </cell>
          <cell r="AA799">
            <v>1169.6492278506573</v>
          </cell>
          <cell r="AB799">
            <v>0</v>
          </cell>
        </row>
        <row r="800">
          <cell r="X800">
            <v>72.489999999999995</v>
          </cell>
          <cell r="Z800" t="str">
            <v>RA</v>
          </cell>
          <cell r="AA800">
            <v>18.151585820661971</v>
          </cell>
          <cell r="AB800">
            <v>0</v>
          </cell>
        </row>
        <row r="801">
          <cell r="X801">
            <v>57.54</v>
          </cell>
          <cell r="Z801" t="str">
            <v>RA</v>
          </cell>
          <cell r="AA801">
            <v>14.40808729646696</v>
          </cell>
          <cell r="AB801">
            <v>0</v>
          </cell>
        </row>
        <row r="802">
          <cell r="X802">
            <v>1092.21</v>
          </cell>
          <cell r="Z802" t="str">
            <v>RA</v>
          </cell>
          <cell r="AA802">
            <v>273.49073733184184</v>
          </cell>
          <cell r="AB802">
            <v>0</v>
          </cell>
        </row>
        <row r="803">
          <cell r="X803">
            <v>375.96</v>
          </cell>
          <cell r="Z803" t="str">
            <v>RA</v>
          </cell>
          <cell r="AA803">
            <v>94.140849843234591</v>
          </cell>
          <cell r="AB803">
            <v>0</v>
          </cell>
        </row>
        <row r="804">
          <cell r="X804">
            <v>32.58</v>
          </cell>
          <cell r="Z804" t="str">
            <v>RA</v>
          </cell>
          <cell r="AA804">
            <v>8.1580723691152865</v>
          </cell>
          <cell r="AB804">
            <v>0</v>
          </cell>
        </row>
        <row r="805">
          <cell r="X805">
            <v>5.46</v>
          </cell>
          <cell r="Z805" t="str">
            <v>RA</v>
          </cell>
          <cell r="AA805">
            <v>1.3671907653581787</v>
          </cell>
          <cell r="AB805">
            <v>0</v>
          </cell>
        </row>
        <row r="806">
          <cell r="X806">
            <v>49.92</v>
          </cell>
          <cell r="Z806" t="str">
            <v>RA</v>
          </cell>
          <cell r="AA806">
            <v>12.500029854703349</v>
          </cell>
          <cell r="AB806">
            <v>0</v>
          </cell>
        </row>
        <row r="807">
          <cell r="X807">
            <v>5091.79</v>
          </cell>
          <cell r="Z807" t="str">
            <v>RA</v>
          </cell>
          <cell r="AA807">
            <v>1274.9905251177877</v>
          </cell>
          <cell r="AB807">
            <v>0</v>
          </cell>
        </row>
        <row r="808">
          <cell r="X808">
            <v>1394</v>
          </cell>
          <cell r="Z808" t="str">
            <v>RA</v>
          </cell>
          <cell r="AA808">
            <v>349.05932727276576</v>
          </cell>
          <cell r="AB808">
            <v>0</v>
          </cell>
        </row>
        <row r="809">
          <cell r="X809">
            <v>6220.69</v>
          </cell>
          <cell r="Z809" t="str">
            <v>RA</v>
          </cell>
          <cell r="AA809">
            <v>1557.6684839113495</v>
          </cell>
          <cell r="AB809">
            <v>0</v>
          </cell>
        </row>
        <row r="810">
          <cell r="X810">
            <v>9529.99</v>
          </cell>
          <cell r="Z810" t="str">
            <v>RA</v>
          </cell>
          <cell r="AA810">
            <v>2386.3213043875071</v>
          </cell>
          <cell r="AB810">
            <v>0</v>
          </cell>
        </row>
        <row r="811">
          <cell r="X811">
            <v>646.75</v>
          </cell>
          <cell r="Z811" t="str">
            <v>RA</v>
          </cell>
          <cell r="AA811">
            <v>161.94700137278426</v>
          </cell>
          <cell r="AB811">
            <v>0</v>
          </cell>
        </row>
        <row r="812">
          <cell r="X812">
            <v>17.32</v>
          </cell>
          <cell r="Z812" t="str">
            <v>RA</v>
          </cell>
          <cell r="AA812">
            <v>4.3369494608065304</v>
          </cell>
          <cell r="AB812">
            <v>0</v>
          </cell>
        </row>
        <row r="813">
          <cell r="X813">
            <v>3153.16</v>
          </cell>
          <cell r="Z813" t="str">
            <v>RA</v>
          </cell>
          <cell r="AA813">
            <v>789.55517100673899</v>
          </cell>
          <cell r="AB813">
            <v>0</v>
          </cell>
        </row>
        <row r="814">
          <cell r="X814">
            <v>27.16</v>
          </cell>
          <cell r="Z814" t="str">
            <v>RA</v>
          </cell>
          <cell r="AA814">
            <v>6.8008976533201713</v>
          </cell>
          <cell r="AB814">
            <v>0</v>
          </cell>
        </row>
        <row r="815">
          <cell r="X815">
            <v>1713</v>
          </cell>
          <cell r="Z815" t="str">
            <v>RA</v>
          </cell>
          <cell r="AA815">
            <v>428.9373225381978</v>
          </cell>
          <cell r="AB815">
            <v>0</v>
          </cell>
        </row>
        <row r="816">
          <cell r="X816">
            <v>64</v>
          </cell>
          <cell r="Z816" t="str">
            <v>RA</v>
          </cell>
          <cell r="AA816">
            <v>16.025679300901729</v>
          </cell>
          <cell r="AB816">
            <v>0</v>
          </cell>
        </row>
        <row r="817">
          <cell r="X817">
            <v>1390.64</v>
          </cell>
          <cell r="Z817" t="str">
            <v>RA</v>
          </cell>
          <cell r="AA817">
            <v>348.21797910946844</v>
          </cell>
          <cell r="AB817">
            <v>0</v>
          </cell>
        </row>
        <row r="818">
          <cell r="X818">
            <v>910.51</v>
          </cell>
          <cell r="Z818" t="str">
            <v>RA</v>
          </cell>
          <cell r="AA818">
            <v>227.99283219162552</v>
          </cell>
          <cell r="AB818">
            <v>0</v>
          </cell>
        </row>
        <row r="819">
          <cell r="X819">
            <v>110.88</v>
          </cell>
          <cell r="Z819" t="str">
            <v>RA</v>
          </cell>
          <cell r="AA819">
            <v>27.764489388812244</v>
          </cell>
          <cell r="AB819">
            <v>0</v>
          </cell>
        </row>
        <row r="820">
          <cell r="X820">
            <v>703.08</v>
          </cell>
          <cell r="Z820" t="str">
            <v>RA</v>
          </cell>
          <cell r="AA820">
            <v>176.05210316996858</v>
          </cell>
          <cell r="AB820">
            <v>0</v>
          </cell>
        </row>
        <row r="821">
          <cell r="X821">
            <v>34548.03</v>
          </cell>
          <cell r="Z821" t="str">
            <v/>
          </cell>
          <cell r="AA821">
            <v>8650.8695196551871</v>
          </cell>
          <cell r="AB821">
            <v>0</v>
          </cell>
        </row>
        <row r="822">
          <cell r="X822">
            <v>39.799999999999997</v>
          </cell>
          <cell r="Z822" t="str">
            <v>RA</v>
          </cell>
          <cell r="AA822">
            <v>9.9659693152482625</v>
          </cell>
          <cell r="AB822">
            <v>0</v>
          </cell>
        </row>
        <row r="823">
          <cell r="X823">
            <v>9.84</v>
          </cell>
          <cell r="Z823" t="str">
            <v>RA</v>
          </cell>
          <cell r="AA823">
            <v>2.4639481925136408</v>
          </cell>
          <cell r="AB823">
            <v>0</v>
          </cell>
        </row>
        <row r="824">
          <cell r="X824">
            <v>61.6</v>
          </cell>
          <cell r="Z824" t="str">
            <v>RA</v>
          </cell>
          <cell r="AA824">
            <v>15.424716327117915</v>
          </cell>
          <cell r="AB824">
            <v>0</v>
          </cell>
        </row>
        <row r="825">
          <cell r="X825">
            <v>127</v>
          </cell>
          <cell r="Z825" t="str">
            <v>RA</v>
          </cell>
          <cell r="AA825">
            <v>31.800957362726869</v>
          </cell>
          <cell r="AB825">
            <v>0</v>
          </cell>
        </row>
        <row r="826">
          <cell r="X826">
            <v>87.39</v>
          </cell>
          <cell r="Z826" t="str">
            <v>RA</v>
          </cell>
          <cell r="AA826">
            <v>21.882564282903157</v>
          </cell>
          <cell r="AB826">
            <v>0</v>
          </cell>
        </row>
        <row r="827">
          <cell r="X827">
            <v>219.66</v>
          </cell>
          <cell r="Z827" t="str">
            <v>RA</v>
          </cell>
          <cell r="AA827">
            <v>55.003136175563654</v>
          </cell>
          <cell r="AB827">
            <v>0</v>
          </cell>
        </row>
        <row r="828">
          <cell r="X828">
            <v>766.59</v>
          </cell>
          <cell r="Z828" t="str">
            <v>RA</v>
          </cell>
          <cell r="AA828">
            <v>191.95508586372276</v>
          </cell>
          <cell r="AB828">
            <v>0</v>
          </cell>
        </row>
        <row r="829">
          <cell r="X829">
            <v>1072.6199999999999</v>
          </cell>
          <cell r="Z829" t="str">
            <v>RA</v>
          </cell>
          <cell r="AA829">
            <v>268.5853770583314</v>
          </cell>
          <cell r="AB829">
            <v>0</v>
          </cell>
        </row>
        <row r="830">
          <cell r="X830">
            <v>529.1</v>
          </cell>
          <cell r="Z830" t="str">
            <v>RA</v>
          </cell>
          <cell r="AA830">
            <v>132.48729559542352</v>
          </cell>
          <cell r="AB830">
            <v>0</v>
          </cell>
        </row>
        <row r="831">
          <cell r="X831">
            <v>149.56</v>
          </cell>
          <cell r="Z831" t="str">
            <v>RA</v>
          </cell>
          <cell r="AA831">
            <v>37.450009316294725</v>
          </cell>
          <cell r="AB831">
            <v>0</v>
          </cell>
        </row>
        <row r="832">
          <cell r="X832">
            <v>1350.48</v>
          </cell>
          <cell r="Z832" t="str">
            <v>RA</v>
          </cell>
          <cell r="AA832">
            <v>338.16186534815262</v>
          </cell>
          <cell r="AB832">
            <v>0</v>
          </cell>
        </row>
        <row r="833">
          <cell r="X833">
            <v>4748.8</v>
          </cell>
          <cell r="Z833" t="str">
            <v>RA</v>
          </cell>
          <cell r="AA833">
            <v>1189.1054041269083</v>
          </cell>
          <cell r="AB833">
            <v>0</v>
          </cell>
        </row>
        <row r="834">
          <cell r="X834">
            <v>28.16</v>
          </cell>
          <cell r="Z834" t="str">
            <v>RA</v>
          </cell>
          <cell r="AA834">
            <v>7.051298892396761</v>
          </cell>
          <cell r="AB834">
            <v>0</v>
          </cell>
        </row>
        <row r="835">
          <cell r="X835">
            <v>8.58</v>
          </cell>
          <cell r="Z835" t="str">
            <v>RA</v>
          </cell>
          <cell r="AA835">
            <v>2.1484426312771379</v>
          </cell>
          <cell r="AB835">
            <v>0</v>
          </cell>
        </row>
        <row r="836">
          <cell r="X836">
            <v>1140.46</v>
          </cell>
          <cell r="Z836" t="str">
            <v>RA</v>
          </cell>
          <cell r="AA836">
            <v>285.57259711728727</v>
          </cell>
          <cell r="AB836">
            <v>0</v>
          </cell>
        </row>
        <row r="837">
          <cell r="X837">
            <v>488.5</v>
          </cell>
          <cell r="Z837" t="str">
            <v>RA</v>
          </cell>
          <cell r="AA837">
            <v>122.32100528891398</v>
          </cell>
          <cell r="AB837">
            <v>0</v>
          </cell>
        </row>
        <row r="838">
          <cell r="X838">
            <v>1597.44</v>
          </cell>
          <cell r="Z838" t="str">
            <v>RA</v>
          </cell>
          <cell r="AA838">
            <v>400.00095535050718</v>
          </cell>
          <cell r="AB838">
            <v>0</v>
          </cell>
        </row>
        <row r="839">
          <cell r="X839">
            <v>1734.72</v>
          </cell>
          <cell r="Z839" t="str">
            <v>RA</v>
          </cell>
          <cell r="AA839">
            <v>434.37603745094134</v>
          </cell>
          <cell r="AB839">
            <v>0</v>
          </cell>
        </row>
        <row r="840">
          <cell r="X840">
            <v>125.46</v>
          </cell>
          <cell r="Z840" t="str">
            <v>RA</v>
          </cell>
          <cell r="AA840">
            <v>31.415339454548917</v>
          </cell>
          <cell r="AB840">
            <v>0</v>
          </cell>
        </row>
        <row r="841">
          <cell r="X841">
            <v>349.29</v>
          </cell>
          <cell r="Z841" t="str">
            <v>RA</v>
          </cell>
          <cell r="AA841">
            <v>87.462648797061959</v>
          </cell>
          <cell r="AB841">
            <v>0</v>
          </cell>
        </row>
        <row r="842">
          <cell r="X842">
            <v>532.99</v>
          </cell>
          <cell r="Z842" t="str">
            <v>RA</v>
          </cell>
          <cell r="AA842">
            <v>133.46135641543145</v>
          </cell>
          <cell r="AB842">
            <v>0</v>
          </cell>
        </row>
        <row r="843">
          <cell r="X843">
            <v>1333.02</v>
          </cell>
          <cell r="Z843" t="str">
            <v>RA</v>
          </cell>
          <cell r="AA843">
            <v>333.78985971387533</v>
          </cell>
          <cell r="AB843">
            <v>0</v>
          </cell>
        </row>
        <row r="844">
          <cell r="X844">
            <v>665.18</v>
          </cell>
          <cell r="Z844" t="str">
            <v>RA</v>
          </cell>
          <cell r="AA844">
            <v>166.56189620896581</v>
          </cell>
          <cell r="AB844">
            <v>0</v>
          </cell>
        </row>
        <row r="845">
          <cell r="X845">
            <v>632.02</v>
          </cell>
          <cell r="Z845" t="str">
            <v>RA</v>
          </cell>
          <cell r="AA845">
            <v>158.2585911211861</v>
          </cell>
          <cell r="AB845">
            <v>0</v>
          </cell>
        </row>
        <row r="846">
          <cell r="X846">
            <v>2500.3000000000002</v>
          </cell>
          <cell r="Z846" t="str">
            <v>RA</v>
          </cell>
          <cell r="AA846">
            <v>626.0782180631968</v>
          </cell>
          <cell r="AB846">
            <v>0</v>
          </cell>
        </row>
        <row r="847">
          <cell r="X847">
            <v>2920.12</v>
          </cell>
          <cell r="Z847" t="str">
            <v>RA</v>
          </cell>
          <cell r="AA847">
            <v>731.20166625233048</v>
          </cell>
          <cell r="AB847">
            <v>0</v>
          </cell>
        </row>
        <row r="848">
          <cell r="X848">
            <v>577.53</v>
          </cell>
          <cell r="Z848" t="str">
            <v>RA</v>
          </cell>
          <cell r="AA848">
            <v>144.61422760390272</v>
          </cell>
          <cell r="AB848">
            <v>0</v>
          </cell>
        </row>
        <row r="849">
          <cell r="X849">
            <v>2047.22</v>
          </cell>
          <cell r="Z849" t="str">
            <v>RA</v>
          </cell>
          <cell r="AA849">
            <v>512.6264246623756</v>
          </cell>
          <cell r="AB849">
            <v>0</v>
          </cell>
        </row>
        <row r="850">
          <cell r="X850">
            <v>1963.18</v>
          </cell>
          <cell r="Z850" t="str">
            <v>RA</v>
          </cell>
          <cell r="AA850">
            <v>491.58270453037903</v>
          </cell>
          <cell r="AB850">
            <v>0</v>
          </cell>
        </row>
        <row r="851">
          <cell r="X851">
            <v>3754.82</v>
          </cell>
          <cell r="Z851" t="str">
            <v>RA</v>
          </cell>
          <cell r="AA851">
            <v>940.21158050955989</v>
          </cell>
          <cell r="AB851">
            <v>0</v>
          </cell>
        </row>
        <row r="852">
          <cell r="X852">
            <v>1799.08</v>
          </cell>
          <cell r="Z852" t="str">
            <v>RA</v>
          </cell>
          <cell r="AA852">
            <v>450.49186119791062</v>
          </cell>
          <cell r="AB852">
            <v>0</v>
          </cell>
        </row>
        <row r="853">
          <cell r="X853">
            <v>1187.52</v>
          </cell>
          <cell r="Z853" t="str">
            <v>RA</v>
          </cell>
          <cell r="AA853">
            <v>297.35647942823158</v>
          </cell>
          <cell r="AB853">
            <v>0</v>
          </cell>
        </row>
        <row r="854">
          <cell r="X854">
            <v>38282.699999999997</v>
          </cell>
          <cell r="Z854" t="str">
            <v/>
          </cell>
          <cell r="AA854">
            <v>9586.0355151973527</v>
          </cell>
          <cell r="AB854">
            <v>0</v>
          </cell>
        </row>
        <row r="855">
          <cell r="X855">
            <v>38282.699999999997</v>
          </cell>
          <cell r="Z855" t="str">
            <v>RA</v>
          </cell>
          <cell r="AA855">
            <v>9586.0355151973527</v>
          </cell>
          <cell r="AB855">
            <v>0</v>
          </cell>
        </row>
        <row r="856">
          <cell r="X856">
            <v>307655.82</v>
          </cell>
          <cell r="Z856" t="str">
            <v/>
          </cell>
          <cell r="AA856">
            <v>77037.398537124172</v>
          </cell>
          <cell r="AB856">
            <v>0</v>
          </cell>
        </row>
        <row r="857">
          <cell r="X857">
            <v>259.17</v>
          </cell>
          <cell r="Z857" t="str">
            <v>RA</v>
          </cell>
          <cell r="AA857">
            <v>64.896489131479711</v>
          </cell>
          <cell r="AB857">
            <v>0</v>
          </cell>
        </row>
        <row r="858">
          <cell r="X858">
            <v>581.66999999999996</v>
          </cell>
          <cell r="Z858" t="str">
            <v>RA</v>
          </cell>
          <cell r="AA858">
            <v>145.65088873367981</v>
          </cell>
          <cell r="AB858">
            <v>0</v>
          </cell>
        </row>
        <row r="859">
          <cell r="X859">
            <v>170.41</v>
          </cell>
          <cell r="Z859" t="str">
            <v>RA</v>
          </cell>
          <cell r="AA859">
            <v>42.670875151041621</v>
          </cell>
          <cell r="AB859">
            <v>0</v>
          </cell>
        </row>
        <row r="860">
          <cell r="X860">
            <v>741.99</v>
          </cell>
          <cell r="Z860" t="str">
            <v>RA</v>
          </cell>
          <cell r="AA860">
            <v>185.79521538243864</v>
          </cell>
          <cell r="AB860">
            <v>0</v>
          </cell>
        </row>
        <row r="861">
          <cell r="X861">
            <v>824.72</v>
          </cell>
          <cell r="Z861" t="str">
            <v>RA</v>
          </cell>
          <cell r="AA861">
            <v>206.51090989124492</v>
          </cell>
          <cell r="AB861">
            <v>0</v>
          </cell>
        </row>
        <row r="862">
          <cell r="X862">
            <v>320.85000000000002</v>
          </cell>
          <cell r="Z862" t="str">
            <v>RA</v>
          </cell>
          <cell r="AA862">
            <v>80.341237557723744</v>
          </cell>
          <cell r="AB862">
            <v>0</v>
          </cell>
        </row>
        <row r="863">
          <cell r="X863">
            <v>975.64</v>
          </cell>
          <cell r="Z863" t="str">
            <v>RA</v>
          </cell>
          <cell r="AA863">
            <v>244.30146489268378</v>
          </cell>
          <cell r="AB863">
            <v>0</v>
          </cell>
        </row>
        <row r="864">
          <cell r="X864">
            <v>472.05</v>
          </cell>
          <cell r="Z864" t="str">
            <v>RA</v>
          </cell>
          <cell r="AA864">
            <v>118.20190490610408</v>
          </cell>
          <cell r="AB864">
            <v>0</v>
          </cell>
        </row>
        <row r="865">
          <cell r="X865">
            <v>1055.43</v>
          </cell>
          <cell r="Z865" t="str">
            <v>RA</v>
          </cell>
          <cell r="AA865">
            <v>264.28097975860487</v>
          </cell>
          <cell r="AB865">
            <v>0</v>
          </cell>
        </row>
        <row r="866">
          <cell r="X866">
            <v>3378.9</v>
          </cell>
          <cell r="Z866" t="str">
            <v>RA</v>
          </cell>
          <cell r="AA866">
            <v>846.08074671588827</v>
          </cell>
          <cell r="AB866">
            <v>0</v>
          </cell>
        </row>
        <row r="867">
          <cell r="X867">
            <v>4487.3999999999996</v>
          </cell>
          <cell r="Z867" t="str">
            <v>RA</v>
          </cell>
          <cell r="AA867">
            <v>1123.6505202322876</v>
          </cell>
          <cell r="AB867">
            <v>0</v>
          </cell>
        </row>
        <row r="868">
          <cell r="X868">
            <v>1556.46</v>
          </cell>
          <cell r="Z868" t="str">
            <v>RA</v>
          </cell>
          <cell r="AA868">
            <v>389.73951257314855</v>
          </cell>
          <cell r="AB868">
            <v>0</v>
          </cell>
        </row>
        <row r="869">
          <cell r="X869">
            <v>226.95</v>
          </cell>
          <cell r="Z869" t="str">
            <v>RA</v>
          </cell>
          <cell r="AA869">
            <v>56.828561208431985</v>
          </cell>
          <cell r="AB869">
            <v>0</v>
          </cell>
        </row>
        <row r="870">
          <cell r="X870">
            <v>81.040000000000006</v>
          </cell>
          <cell r="Z870" t="str">
            <v>RA</v>
          </cell>
          <cell r="AA870">
            <v>20.292516414766816</v>
          </cell>
          <cell r="AB870">
            <v>0</v>
          </cell>
        </row>
        <row r="871">
          <cell r="X871">
            <v>132.34</v>
          </cell>
          <cell r="Z871" t="str">
            <v>RA</v>
          </cell>
          <cell r="AA871">
            <v>33.138099979395854</v>
          </cell>
          <cell r="AB871">
            <v>0</v>
          </cell>
        </row>
        <row r="872">
          <cell r="X872">
            <v>45.04</v>
          </cell>
          <cell r="Z872" t="str">
            <v>RA</v>
          </cell>
          <cell r="AA872">
            <v>11.278071808009591</v>
          </cell>
          <cell r="AB872">
            <v>0</v>
          </cell>
        </row>
        <row r="873">
          <cell r="X873">
            <v>64.819999999999993</v>
          </cell>
          <cell r="Z873" t="str">
            <v>RA</v>
          </cell>
          <cell r="AA873">
            <v>16.231008316944532</v>
          </cell>
          <cell r="AB873">
            <v>0</v>
          </cell>
        </row>
        <row r="874">
          <cell r="X874">
            <v>153.12</v>
          </cell>
          <cell r="Z874" t="str">
            <v>RA</v>
          </cell>
          <cell r="AA874">
            <v>38.341437727407389</v>
          </cell>
          <cell r="AB874">
            <v>0</v>
          </cell>
        </row>
        <row r="875">
          <cell r="X875">
            <v>228.9</v>
          </cell>
          <cell r="Z875" t="str">
            <v>RA</v>
          </cell>
          <cell r="AA875">
            <v>57.316843624631339</v>
          </cell>
          <cell r="AB875">
            <v>0</v>
          </cell>
        </row>
        <row r="876">
          <cell r="X876">
            <v>386.64</v>
          </cell>
          <cell r="Z876" t="str">
            <v>RA</v>
          </cell>
          <cell r="AA876">
            <v>96.81513507657256</v>
          </cell>
          <cell r="AB876">
            <v>0</v>
          </cell>
        </row>
        <row r="877">
          <cell r="X877">
            <v>102.78</v>
          </cell>
          <cell r="Z877" t="str">
            <v>RA</v>
          </cell>
          <cell r="AA877">
            <v>25.736239352291872</v>
          </cell>
          <cell r="AB877">
            <v>0</v>
          </cell>
        </row>
        <row r="878">
          <cell r="X878">
            <v>45.28</v>
          </cell>
          <cell r="Z878" t="str">
            <v>RA</v>
          </cell>
          <cell r="AA878">
            <v>11.338168105387973</v>
          </cell>
          <cell r="AB878">
            <v>0</v>
          </cell>
        </row>
        <row r="879">
          <cell r="X879">
            <v>124.88</v>
          </cell>
          <cell r="Z879" t="str">
            <v>RA</v>
          </cell>
          <cell r="AA879">
            <v>31.270106735884497</v>
          </cell>
          <cell r="AB879">
            <v>0</v>
          </cell>
        </row>
        <row r="880">
          <cell r="X880">
            <v>57.75</v>
          </cell>
          <cell r="Z880" t="str">
            <v>RA</v>
          </cell>
          <cell r="AA880">
            <v>14.460671556673045</v>
          </cell>
          <cell r="AB880">
            <v>0</v>
          </cell>
        </row>
        <row r="881">
          <cell r="X881">
            <v>3690</v>
          </cell>
          <cell r="Z881" t="str">
            <v>RA</v>
          </cell>
          <cell r="AA881">
            <v>923.98057219261534</v>
          </cell>
          <cell r="AB881">
            <v>0</v>
          </cell>
        </row>
        <row r="882">
          <cell r="X882">
            <v>639.79999999999995</v>
          </cell>
          <cell r="Z882" t="str">
            <v>RA</v>
          </cell>
          <cell r="AA882">
            <v>160.20671276120197</v>
          </cell>
          <cell r="AB882">
            <v>0</v>
          </cell>
        </row>
        <row r="883">
          <cell r="X883">
            <v>6517</v>
          </cell>
          <cell r="Z883" t="str">
            <v>RA</v>
          </cell>
          <cell r="AA883">
            <v>1631.8648750621339</v>
          </cell>
          <cell r="AB883">
            <v>0</v>
          </cell>
        </row>
        <row r="884">
          <cell r="X884">
            <v>3661.5</v>
          </cell>
          <cell r="Z884" t="str">
            <v>RA</v>
          </cell>
          <cell r="AA884">
            <v>916.84413687893255</v>
          </cell>
          <cell r="AB884">
            <v>0</v>
          </cell>
        </row>
        <row r="885">
          <cell r="X885">
            <v>1711.5</v>
          </cell>
          <cell r="Z885" t="str">
            <v>RA</v>
          </cell>
          <cell r="AA885">
            <v>428.56172067958295</v>
          </cell>
          <cell r="AB885">
            <v>0</v>
          </cell>
        </row>
        <row r="886">
          <cell r="X886">
            <v>14490</v>
          </cell>
          <cell r="Z886" t="str">
            <v>RA</v>
          </cell>
          <cell r="AA886">
            <v>3628.3139542197819</v>
          </cell>
          <cell r="AB886">
            <v>0</v>
          </cell>
        </row>
        <row r="887">
          <cell r="X887">
            <v>5400.4</v>
          </cell>
          <cell r="Z887" t="str">
            <v>RA</v>
          </cell>
          <cell r="AA887">
            <v>1352.2668515092139</v>
          </cell>
          <cell r="AB887">
            <v>0</v>
          </cell>
        </row>
        <row r="888">
          <cell r="X888">
            <v>549.28</v>
          </cell>
          <cell r="Z888" t="str">
            <v>RA</v>
          </cell>
          <cell r="AA888">
            <v>137.54039259998908</v>
          </cell>
          <cell r="AB888">
            <v>0</v>
          </cell>
        </row>
        <row r="889">
          <cell r="X889">
            <v>5020.8</v>
          </cell>
          <cell r="Z889" t="str">
            <v>RA</v>
          </cell>
          <cell r="AA889">
            <v>1257.2145411557406</v>
          </cell>
          <cell r="AB889">
            <v>0</v>
          </cell>
        </row>
        <row r="890">
          <cell r="X890">
            <v>155.6</v>
          </cell>
          <cell r="Z890" t="str">
            <v>RA</v>
          </cell>
          <cell r="AA890">
            <v>38.962432800317323</v>
          </cell>
          <cell r="AB890">
            <v>0</v>
          </cell>
        </row>
        <row r="891">
          <cell r="X891">
            <v>5231.12</v>
          </cell>
          <cell r="Z891" t="str">
            <v>RA</v>
          </cell>
          <cell r="AA891">
            <v>1309.8789297583289</v>
          </cell>
          <cell r="AB891">
            <v>0</v>
          </cell>
        </row>
        <row r="892">
          <cell r="X892">
            <v>4277.08</v>
          </cell>
          <cell r="Z892" t="str">
            <v>RA</v>
          </cell>
          <cell r="AA892">
            <v>1070.9861316296995</v>
          </cell>
          <cell r="AB892">
            <v>0</v>
          </cell>
        </row>
        <row r="893">
          <cell r="X893">
            <v>5870.3</v>
          </cell>
          <cell r="Z893" t="str">
            <v>RA</v>
          </cell>
          <cell r="AA893">
            <v>1469.9303937513034</v>
          </cell>
          <cell r="AB893">
            <v>0</v>
          </cell>
        </row>
        <row r="894">
          <cell r="X894">
            <v>857.52</v>
          </cell>
          <cell r="Z894" t="str">
            <v>RA</v>
          </cell>
          <cell r="AA894">
            <v>214.72407053295703</v>
          </cell>
          <cell r="AB894">
            <v>0</v>
          </cell>
        </row>
        <row r="895">
          <cell r="X895">
            <v>1074.18</v>
          </cell>
          <cell r="Z895" t="str">
            <v>RA</v>
          </cell>
          <cell r="AA895">
            <v>268.97600299129095</v>
          </cell>
          <cell r="AB895">
            <v>0</v>
          </cell>
        </row>
        <row r="896">
          <cell r="X896">
            <v>309.04000000000002</v>
          </cell>
          <cell r="Z896" t="str">
            <v>RA</v>
          </cell>
          <cell r="AA896">
            <v>77.383998924229232</v>
          </cell>
          <cell r="AB896">
            <v>0</v>
          </cell>
        </row>
        <row r="897">
          <cell r="X897">
            <v>3193.6</v>
          </cell>
          <cell r="Z897" t="str">
            <v>RA</v>
          </cell>
          <cell r="AA897">
            <v>799.68139711499623</v>
          </cell>
          <cell r="AB897">
            <v>0</v>
          </cell>
        </row>
        <row r="898">
          <cell r="X898">
            <v>1530</v>
          </cell>
          <cell r="Z898" t="str">
            <v>RA</v>
          </cell>
          <cell r="AA898">
            <v>383.11389578718195</v>
          </cell>
          <cell r="AB898">
            <v>0</v>
          </cell>
        </row>
        <row r="899">
          <cell r="X899">
            <v>3295.5</v>
          </cell>
          <cell r="Z899" t="str">
            <v>RA</v>
          </cell>
          <cell r="AA899">
            <v>825.19728337690071</v>
          </cell>
          <cell r="AB899">
            <v>0</v>
          </cell>
        </row>
        <row r="900">
          <cell r="X900">
            <v>1859.9</v>
          </cell>
          <cell r="Z900" t="str">
            <v>RA</v>
          </cell>
          <cell r="AA900">
            <v>465.72126455854885</v>
          </cell>
          <cell r="AB900">
            <v>0</v>
          </cell>
        </row>
        <row r="901">
          <cell r="X901">
            <v>478.01</v>
          </cell>
          <cell r="Z901" t="str">
            <v>RA</v>
          </cell>
          <cell r="AA901">
            <v>119.69429629100055</v>
          </cell>
          <cell r="AB901">
            <v>0</v>
          </cell>
        </row>
        <row r="902">
          <cell r="X902">
            <v>63.6</v>
          </cell>
          <cell r="Z902" t="str">
            <v>RA</v>
          </cell>
          <cell r="AA902">
            <v>15.925518805271093</v>
          </cell>
          <cell r="AB902">
            <v>0</v>
          </cell>
        </row>
        <row r="903">
          <cell r="X903">
            <v>717</v>
          </cell>
          <cell r="Z903" t="str">
            <v>RA</v>
          </cell>
          <cell r="AA903">
            <v>179.53768841791467</v>
          </cell>
          <cell r="AB903">
            <v>0</v>
          </cell>
        </row>
        <row r="904">
          <cell r="X904">
            <v>813.4</v>
          </cell>
          <cell r="Z904" t="str">
            <v>RA</v>
          </cell>
          <cell r="AA904">
            <v>203.67636786489791</v>
          </cell>
          <cell r="AB904">
            <v>0</v>
          </cell>
        </row>
        <row r="905">
          <cell r="X905">
            <v>129</v>
          </cell>
          <cell r="Z905" t="str">
            <v>RA</v>
          </cell>
          <cell r="AA905">
            <v>32.301759840880045</v>
          </cell>
          <cell r="AB905">
            <v>0</v>
          </cell>
        </row>
        <row r="906">
          <cell r="X906">
            <v>119050</v>
          </cell>
          <cell r="Z906" t="str">
            <v>RA</v>
          </cell>
          <cell r="AA906">
            <v>29810.267512067981</v>
          </cell>
          <cell r="AB906">
            <v>0</v>
          </cell>
        </row>
        <row r="907">
          <cell r="X907">
            <v>70834.75</v>
          </cell>
          <cell r="Z907" t="str">
            <v>RA</v>
          </cell>
          <cell r="AA907">
            <v>17737.109169680451</v>
          </cell>
          <cell r="AB907">
            <v>0</v>
          </cell>
        </row>
        <row r="908">
          <cell r="X908">
            <v>27619.599999999999</v>
          </cell>
          <cell r="Z908" t="str">
            <v>RA</v>
          </cell>
          <cell r="AA908">
            <v>6915.9820627997715</v>
          </cell>
          <cell r="AB908">
            <v>0</v>
          </cell>
        </row>
        <row r="909">
          <cell r="X909">
            <v>2142.11</v>
          </cell>
          <cell r="Z909" t="str">
            <v>RA</v>
          </cell>
          <cell r="AA909">
            <v>536.38699823835316</v>
          </cell>
          <cell r="AB909">
            <v>0</v>
          </cell>
        </row>
        <row r="910">
          <cell r="X910">
            <v>127334.7</v>
          </cell>
          <cell r="Z910" t="str">
            <v/>
          </cell>
          <cell r="AA910">
            <v>31884.766657445798</v>
          </cell>
          <cell r="AB910">
            <v>0</v>
          </cell>
        </row>
        <row r="911">
          <cell r="X911">
            <v>54503.97</v>
          </cell>
          <cell r="Z911" t="str">
            <v/>
          </cell>
          <cell r="AA911">
            <v>13647.861622593262</v>
          </cell>
          <cell r="AB911">
            <v>0</v>
          </cell>
        </row>
        <row r="912">
          <cell r="X912">
            <v>105.71</v>
          </cell>
          <cell r="Z912" t="str">
            <v>RA</v>
          </cell>
          <cell r="AA912">
            <v>26.469914982786275</v>
          </cell>
          <cell r="AB912">
            <v>0</v>
          </cell>
        </row>
        <row r="913">
          <cell r="X913">
            <v>2328.63</v>
          </cell>
          <cell r="Z913" t="str">
            <v>RA</v>
          </cell>
          <cell r="AA913">
            <v>583.09183735091869</v>
          </cell>
          <cell r="AB913">
            <v>0</v>
          </cell>
        </row>
        <row r="914">
          <cell r="X914">
            <v>1113.4000000000001</v>
          </cell>
          <cell r="Z914" t="str">
            <v>RA</v>
          </cell>
          <cell r="AA914">
            <v>278.79673958787481</v>
          </cell>
          <cell r="AB914">
            <v>0</v>
          </cell>
        </row>
        <row r="915">
          <cell r="X915">
            <v>3212.35</v>
          </cell>
          <cell r="Z915" t="str">
            <v>RA</v>
          </cell>
          <cell r="AA915">
            <v>804.37642034768226</v>
          </cell>
          <cell r="AB915">
            <v>0</v>
          </cell>
        </row>
        <row r="916">
          <cell r="X916">
            <v>672</v>
          </cell>
          <cell r="Z916" t="str">
            <v>RA</v>
          </cell>
          <cell r="AA916">
            <v>168.26963265946816</v>
          </cell>
          <cell r="AB916">
            <v>0</v>
          </cell>
        </row>
        <row r="917">
          <cell r="X917">
            <v>1577.1</v>
          </cell>
          <cell r="Z917" t="str">
            <v>RA</v>
          </cell>
          <cell r="AA917">
            <v>394.90779414768929</v>
          </cell>
          <cell r="AB917">
            <v>0</v>
          </cell>
        </row>
        <row r="918">
          <cell r="X918">
            <v>2529.33</v>
          </cell>
          <cell r="Z918" t="str">
            <v>RA</v>
          </cell>
          <cell r="AA918">
            <v>633.34736603359011</v>
          </cell>
          <cell r="AB918">
            <v>0</v>
          </cell>
        </row>
        <row r="919">
          <cell r="X919">
            <v>1270.5</v>
          </cell>
          <cell r="Z919" t="str">
            <v>RA</v>
          </cell>
          <cell r="AA919">
            <v>318.13477424680696</v>
          </cell>
          <cell r="AB919">
            <v>0</v>
          </cell>
        </row>
        <row r="920">
          <cell r="X920">
            <v>200.37</v>
          </cell>
          <cell r="Z920" t="str">
            <v>RA</v>
          </cell>
          <cell r="AA920">
            <v>50.172896273776239</v>
          </cell>
          <cell r="AB920">
            <v>0</v>
          </cell>
        </row>
        <row r="921">
          <cell r="X921">
            <v>599.66999999999996</v>
          </cell>
          <cell r="Z921" t="str">
            <v>RA</v>
          </cell>
          <cell r="AA921">
            <v>150.15811103705843</v>
          </cell>
          <cell r="AB921">
            <v>0</v>
          </cell>
        </row>
        <row r="922">
          <cell r="X922">
            <v>3564.68</v>
          </cell>
          <cell r="Z922" t="str">
            <v>RA</v>
          </cell>
          <cell r="AA922">
            <v>892.60028891153706</v>
          </cell>
          <cell r="AB922">
            <v>0</v>
          </cell>
        </row>
        <row r="923">
          <cell r="X923">
            <v>4671.1000000000004</v>
          </cell>
          <cell r="Z923" t="str">
            <v>RA</v>
          </cell>
          <cell r="AA923">
            <v>1169.6492278506573</v>
          </cell>
          <cell r="AB923">
            <v>0</v>
          </cell>
        </row>
        <row r="924">
          <cell r="X924">
            <v>72.489999999999995</v>
          </cell>
          <cell r="Z924" t="str">
            <v>RA</v>
          </cell>
          <cell r="AA924">
            <v>18.151585820661971</v>
          </cell>
          <cell r="AB924">
            <v>0</v>
          </cell>
        </row>
        <row r="925">
          <cell r="X925">
            <v>57.54</v>
          </cell>
          <cell r="Z925" t="str">
            <v>RA</v>
          </cell>
          <cell r="AA925">
            <v>14.40808729646696</v>
          </cell>
          <cell r="AB925">
            <v>0</v>
          </cell>
        </row>
        <row r="926">
          <cell r="X926">
            <v>1092.21</v>
          </cell>
          <cell r="Z926" t="str">
            <v>RA</v>
          </cell>
          <cell r="AA926">
            <v>273.49073733184184</v>
          </cell>
          <cell r="AB926">
            <v>0</v>
          </cell>
        </row>
        <row r="927">
          <cell r="X927">
            <v>375.96</v>
          </cell>
          <cell r="Z927" t="str">
            <v>RA</v>
          </cell>
          <cell r="AA927">
            <v>94.140849843234591</v>
          </cell>
          <cell r="AB927">
            <v>0</v>
          </cell>
        </row>
        <row r="928">
          <cell r="X928">
            <v>32.58</v>
          </cell>
          <cell r="Z928" t="str">
            <v>RA</v>
          </cell>
          <cell r="AA928">
            <v>8.1580723691152865</v>
          </cell>
          <cell r="AB928">
            <v>0</v>
          </cell>
        </row>
        <row r="929">
          <cell r="X929">
            <v>5.46</v>
          </cell>
          <cell r="Z929" t="str">
            <v>RA</v>
          </cell>
          <cell r="AA929">
            <v>1.3671907653581787</v>
          </cell>
          <cell r="AB929">
            <v>0</v>
          </cell>
        </row>
        <row r="930">
          <cell r="X930">
            <v>49.92</v>
          </cell>
          <cell r="Z930" t="str">
            <v>RA</v>
          </cell>
          <cell r="AA930">
            <v>12.500029854703349</v>
          </cell>
          <cell r="AB930">
            <v>0</v>
          </cell>
        </row>
        <row r="931">
          <cell r="X931">
            <v>5091.79</v>
          </cell>
          <cell r="Z931" t="str">
            <v>RA</v>
          </cell>
          <cell r="AA931">
            <v>1274.9905251177877</v>
          </cell>
          <cell r="AB931">
            <v>0</v>
          </cell>
        </row>
        <row r="932">
          <cell r="X932">
            <v>1394</v>
          </cell>
          <cell r="Z932" t="str">
            <v>RA</v>
          </cell>
          <cell r="AA932">
            <v>349.05932727276576</v>
          </cell>
          <cell r="AB932">
            <v>0</v>
          </cell>
        </row>
        <row r="933">
          <cell r="X933">
            <v>6220.69</v>
          </cell>
          <cell r="Z933" t="str">
            <v>RA</v>
          </cell>
          <cell r="AA933">
            <v>1557.6684839113495</v>
          </cell>
          <cell r="AB933">
            <v>0</v>
          </cell>
        </row>
        <row r="934">
          <cell r="X934">
            <v>9529.99</v>
          </cell>
          <cell r="Z934" t="str">
            <v>RA</v>
          </cell>
          <cell r="AA934">
            <v>2386.3213043875071</v>
          </cell>
          <cell r="AB934">
            <v>0</v>
          </cell>
        </row>
        <row r="935">
          <cell r="X935">
            <v>646.75</v>
          </cell>
          <cell r="Z935" t="str">
            <v>RA</v>
          </cell>
          <cell r="AA935">
            <v>161.94700137278426</v>
          </cell>
          <cell r="AB935">
            <v>0</v>
          </cell>
        </row>
        <row r="936">
          <cell r="X936">
            <v>17.32</v>
          </cell>
          <cell r="Z936" t="str">
            <v>RA</v>
          </cell>
          <cell r="AA936">
            <v>4.3369494608065304</v>
          </cell>
          <cell r="AB936">
            <v>0</v>
          </cell>
        </row>
        <row r="937">
          <cell r="X937">
            <v>3153.16</v>
          </cell>
          <cell r="Z937" t="str">
            <v>RA</v>
          </cell>
          <cell r="AA937">
            <v>789.55517100673899</v>
          </cell>
          <cell r="AB937">
            <v>0</v>
          </cell>
        </row>
        <row r="938">
          <cell r="X938">
            <v>27.16</v>
          </cell>
          <cell r="Z938" t="str">
            <v>RA</v>
          </cell>
          <cell r="AA938">
            <v>6.8008976533201713</v>
          </cell>
          <cell r="AB938">
            <v>0</v>
          </cell>
        </row>
        <row r="939">
          <cell r="X939">
            <v>1713</v>
          </cell>
          <cell r="Z939" t="str">
            <v>RA</v>
          </cell>
          <cell r="AA939">
            <v>428.9373225381978</v>
          </cell>
          <cell r="AB939">
            <v>0</v>
          </cell>
        </row>
        <row r="940">
          <cell r="X940">
            <v>64</v>
          </cell>
          <cell r="Z940" t="str">
            <v>RA</v>
          </cell>
          <cell r="AA940">
            <v>16.025679300901729</v>
          </cell>
          <cell r="AB940">
            <v>0</v>
          </cell>
        </row>
        <row r="941">
          <cell r="X941">
            <v>1390.64</v>
          </cell>
          <cell r="Z941" t="str">
            <v>RA</v>
          </cell>
          <cell r="AA941">
            <v>348.21797910946844</v>
          </cell>
          <cell r="AB941">
            <v>0</v>
          </cell>
        </row>
        <row r="942">
          <cell r="X942">
            <v>910.51</v>
          </cell>
          <cell r="Z942" t="str">
            <v>RA</v>
          </cell>
          <cell r="AA942">
            <v>227.99283219162552</v>
          </cell>
          <cell r="AB942">
            <v>0</v>
          </cell>
        </row>
        <row r="943">
          <cell r="X943">
            <v>110.88</v>
          </cell>
          <cell r="Z943" t="str">
            <v>RA</v>
          </cell>
          <cell r="AA943">
            <v>27.764489388812244</v>
          </cell>
          <cell r="AB943">
            <v>0</v>
          </cell>
        </row>
        <row r="944">
          <cell r="X944">
            <v>703.08</v>
          </cell>
          <cell r="Z944" t="str">
            <v>RA</v>
          </cell>
          <cell r="AA944">
            <v>176.05210316996858</v>
          </cell>
          <cell r="AB944">
            <v>0</v>
          </cell>
        </row>
        <row r="945">
          <cell r="X945">
            <v>34548.03</v>
          </cell>
          <cell r="Z945" t="str">
            <v/>
          </cell>
          <cell r="AA945">
            <v>8650.8695196551871</v>
          </cell>
          <cell r="AB945">
            <v>0</v>
          </cell>
        </row>
        <row r="946">
          <cell r="X946">
            <v>39.799999999999997</v>
          </cell>
          <cell r="Z946" t="str">
            <v>RA</v>
          </cell>
          <cell r="AA946">
            <v>9.9659693152482625</v>
          </cell>
          <cell r="AB946">
            <v>0</v>
          </cell>
        </row>
        <row r="947">
          <cell r="X947">
            <v>9.84</v>
          </cell>
          <cell r="Z947" t="str">
            <v>RA</v>
          </cell>
          <cell r="AA947">
            <v>2.4639481925136408</v>
          </cell>
          <cell r="AB947">
            <v>0</v>
          </cell>
        </row>
        <row r="948">
          <cell r="X948">
            <v>61.6</v>
          </cell>
          <cell r="Z948" t="str">
            <v>RA</v>
          </cell>
          <cell r="AA948">
            <v>15.424716327117915</v>
          </cell>
          <cell r="AB948">
            <v>0</v>
          </cell>
        </row>
        <row r="949">
          <cell r="X949">
            <v>127</v>
          </cell>
          <cell r="Z949" t="str">
            <v>RA</v>
          </cell>
          <cell r="AA949">
            <v>31.800957362726869</v>
          </cell>
          <cell r="AB949">
            <v>0</v>
          </cell>
        </row>
        <row r="950">
          <cell r="X950">
            <v>87.39</v>
          </cell>
          <cell r="Z950" t="str">
            <v>RA</v>
          </cell>
          <cell r="AA950">
            <v>21.882564282903157</v>
          </cell>
          <cell r="AB950">
            <v>0</v>
          </cell>
        </row>
        <row r="951">
          <cell r="X951">
            <v>219.66</v>
          </cell>
          <cell r="Z951" t="str">
            <v>RA</v>
          </cell>
          <cell r="AA951">
            <v>55.003136175563654</v>
          </cell>
          <cell r="AB951">
            <v>0</v>
          </cell>
        </row>
        <row r="952">
          <cell r="X952">
            <v>766.59</v>
          </cell>
          <cell r="Z952" t="str">
            <v>RA</v>
          </cell>
          <cell r="AA952">
            <v>191.95508586372276</v>
          </cell>
          <cell r="AB952">
            <v>0</v>
          </cell>
        </row>
        <row r="953">
          <cell r="X953">
            <v>1072.6199999999999</v>
          </cell>
          <cell r="Z953" t="str">
            <v>RA</v>
          </cell>
          <cell r="AA953">
            <v>268.5853770583314</v>
          </cell>
          <cell r="AB953">
            <v>0</v>
          </cell>
        </row>
        <row r="954">
          <cell r="X954">
            <v>529.1</v>
          </cell>
          <cell r="Z954" t="str">
            <v>RA</v>
          </cell>
          <cell r="AA954">
            <v>132.48729559542352</v>
          </cell>
          <cell r="AB954">
            <v>0</v>
          </cell>
        </row>
        <row r="955">
          <cell r="X955">
            <v>149.56</v>
          </cell>
          <cell r="Z955" t="str">
            <v>RA</v>
          </cell>
          <cell r="AA955">
            <v>37.450009316294725</v>
          </cell>
          <cell r="AB955">
            <v>0</v>
          </cell>
        </row>
        <row r="956">
          <cell r="X956">
            <v>1350.48</v>
          </cell>
          <cell r="Z956" t="str">
            <v>RA</v>
          </cell>
          <cell r="AA956">
            <v>338.16186534815262</v>
          </cell>
          <cell r="AB956">
            <v>0</v>
          </cell>
        </row>
        <row r="957">
          <cell r="X957">
            <v>4748.8</v>
          </cell>
          <cell r="Z957" t="str">
            <v>RA</v>
          </cell>
          <cell r="AA957">
            <v>1189.1054041269083</v>
          </cell>
          <cell r="AB957">
            <v>0</v>
          </cell>
        </row>
        <row r="958">
          <cell r="X958">
            <v>28.16</v>
          </cell>
          <cell r="Z958" t="str">
            <v>RA</v>
          </cell>
          <cell r="AA958">
            <v>7.051298892396761</v>
          </cell>
          <cell r="AB958">
            <v>0</v>
          </cell>
        </row>
        <row r="959">
          <cell r="X959">
            <v>8.58</v>
          </cell>
          <cell r="Z959" t="str">
            <v>RA</v>
          </cell>
          <cell r="AA959">
            <v>2.1484426312771379</v>
          </cell>
          <cell r="AB959">
            <v>0</v>
          </cell>
        </row>
        <row r="960">
          <cell r="X960">
            <v>1140.46</v>
          </cell>
          <cell r="Z960" t="str">
            <v>RA</v>
          </cell>
          <cell r="AA960">
            <v>285.57259711728727</v>
          </cell>
          <cell r="AB960">
            <v>0</v>
          </cell>
        </row>
        <row r="961">
          <cell r="X961">
            <v>488.5</v>
          </cell>
          <cell r="Z961" t="str">
            <v>RA</v>
          </cell>
          <cell r="AA961">
            <v>122.32100528891398</v>
          </cell>
          <cell r="AB961">
            <v>0</v>
          </cell>
        </row>
        <row r="962">
          <cell r="X962">
            <v>1597.44</v>
          </cell>
          <cell r="Z962" t="str">
            <v>RA</v>
          </cell>
          <cell r="AA962">
            <v>400.00095535050718</v>
          </cell>
          <cell r="AB962">
            <v>0</v>
          </cell>
        </row>
        <row r="963">
          <cell r="X963">
            <v>1734.72</v>
          </cell>
          <cell r="Z963" t="str">
            <v>RA</v>
          </cell>
          <cell r="AA963">
            <v>434.37603745094134</v>
          </cell>
          <cell r="AB963">
            <v>0</v>
          </cell>
        </row>
        <row r="964">
          <cell r="X964">
            <v>125.46</v>
          </cell>
          <cell r="Z964" t="str">
            <v>RA</v>
          </cell>
          <cell r="AA964">
            <v>31.415339454548917</v>
          </cell>
          <cell r="AB964">
            <v>0</v>
          </cell>
        </row>
        <row r="965">
          <cell r="X965">
            <v>349.29</v>
          </cell>
          <cell r="Z965" t="str">
            <v>RA</v>
          </cell>
          <cell r="AA965">
            <v>87.462648797061959</v>
          </cell>
          <cell r="AB965">
            <v>0</v>
          </cell>
        </row>
        <row r="966">
          <cell r="X966">
            <v>532.99</v>
          </cell>
          <cell r="Z966" t="str">
            <v>RA</v>
          </cell>
          <cell r="AA966">
            <v>133.46135641543145</v>
          </cell>
          <cell r="AB966">
            <v>0</v>
          </cell>
        </row>
        <row r="967">
          <cell r="X967">
            <v>1333.02</v>
          </cell>
          <cell r="Z967" t="str">
            <v>RA</v>
          </cell>
          <cell r="AA967">
            <v>333.78985971387533</v>
          </cell>
          <cell r="AB967">
            <v>0</v>
          </cell>
        </row>
        <row r="968">
          <cell r="X968">
            <v>665.18</v>
          </cell>
          <cell r="Z968" t="str">
            <v>RA</v>
          </cell>
          <cell r="AA968">
            <v>166.56189620896581</v>
          </cell>
          <cell r="AB968">
            <v>0</v>
          </cell>
        </row>
        <row r="969">
          <cell r="X969">
            <v>632.02</v>
          </cell>
          <cell r="Z969" t="str">
            <v>RA</v>
          </cell>
          <cell r="AA969">
            <v>158.2585911211861</v>
          </cell>
          <cell r="AB969">
            <v>0</v>
          </cell>
        </row>
        <row r="970">
          <cell r="X970">
            <v>2500.3000000000002</v>
          </cell>
          <cell r="Z970" t="str">
            <v>RA</v>
          </cell>
          <cell r="AA970">
            <v>626.0782180631968</v>
          </cell>
          <cell r="AB970">
            <v>0</v>
          </cell>
        </row>
        <row r="971">
          <cell r="X971">
            <v>2920.12</v>
          </cell>
          <cell r="Z971" t="str">
            <v>RA</v>
          </cell>
          <cell r="AA971">
            <v>731.20166625233048</v>
          </cell>
          <cell r="AB971">
            <v>0</v>
          </cell>
        </row>
        <row r="972">
          <cell r="X972">
            <v>577.53</v>
          </cell>
          <cell r="Z972" t="str">
            <v>RA</v>
          </cell>
          <cell r="AA972">
            <v>144.61422760390272</v>
          </cell>
          <cell r="AB972">
            <v>0</v>
          </cell>
        </row>
        <row r="973">
          <cell r="X973">
            <v>2047.22</v>
          </cell>
          <cell r="Z973" t="str">
            <v>RA</v>
          </cell>
          <cell r="AA973">
            <v>512.6264246623756</v>
          </cell>
          <cell r="AB973">
            <v>0</v>
          </cell>
        </row>
        <row r="974">
          <cell r="X974">
            <v>1963.18</v>
          </cell>
          <cell r="Z974" t="str">
            <v>RA</v>
          </cell>
          <cell r="AA974">
            <v>491.58270453037903</v>
          </cell>
          <cell r="AB974">
            <v>0</v>
          </cell>
        </row>
        <row r="975">
          <cell r="X975">
            <v>3754.82</v>
          </cell>
          <cell r="Z975" t="str">
            <v>RA</v>
          </cell>
          <cell r="AA975">
            <v>940.21158050955989</v>
          </cell>
          <cell r="AB975">
            <v>0</v>
          </cell>
        </row>
        <row r="976">
          <cell r="X976">
            <v>1799.08</v>
          </cell>
          <cell r="Z976" t="str">
            <v>RA</v>
          </cell>
          <cell r="AA976">
            <v>450.49186119791062</v>
          </cell>
          <cell r="AB976">
            <v>0</v>
          </cell>
        </row>
        <row r="977">
          <cell r="X977">
            <v>1187.52</v>
          </cell>
          <cell r="Z977" t="str">
            <v>RA</v>
          </cell>
          <cell r="AA977">
            <v>297.35647942823158</v>
          </cell>
          <cell r="AB977">
            <v>0</v>
          </cell>
        </row>
        <row r="978">
          <cell r="X978">
            <v>38282.699999999997</v>
          </cell>
          <cell r="Z978" t="str">
            <v/>
          </cell>
          <cell r="AA978">
            <v>9586.0355151973527</v>
          </cell>
          <cell r="AB978">
            <v>0</v>
          </cell>
        </row>
        <row r="979">
          <cell r="X979">
            <v>38282.699999999997</v>
          </cell>
          <cell r="Z979" t="str">
            <v>RA</v>
          </cell>
          <cell r="AA979">
            <v>9586.0355151973527</v>
          </cell>
          <cell r="AB979">
            <v>0</v>
          </cell>
        </row>
        <row r="980">
          <cell r="X980">
            <v>303416.14</v>
          </cell>
          <cell r="Z980" t="str">
            <v/>
          </cell>
          <cell r="AA980">
            <v>75975.777411835952</v>
          </cell>
          <cell r="AB980">
            <v>0</v>
          </cell>
        </row>
        <row r="981">
          <cell r="X981">
            <v>259.17</v>
          </cell>
          <cell r="Z981" t="str">
            <v>RA</v>
          </cell>
          <cell r="AA981">
            <v>64.896489131479711</v>
          </cell>
          <cell r="AB981">
            <v>0</v>
          </cell>
        </row>
        <row r="982">
          <cell r="X982">
            <v>581.66999999999996</v>
          </cell>
          <cell r="Z982" t="str">
            <v>RA</v>
          </cell>
          <cell r="AA982">
            <v>145.65088873367981</v>
          </cell>
          <cell r="AB982">
            <v>0</v>
          </cell>
        </row>
        <row r="983">
          <cell r="X983">
            <v>170.41</v>
          </cell>
          <cell r="Z983" t="str">
            <v>RA</v>
          </cell>
          <cell r="AA983">
            <v>42.670875151041621</v>
          </cell>
          <cell r="AB983">
            <v>0</v>
          </cell>
        </row>
        <row r="984">
          <cell r="X984">
            <v>741.99</v>
          </cell>
          <cell r="Z984" t="str">
            <v>RA</v>
          </cell>
          <cell r="AA984">
            <v>185.79521538243864</v>
          </cell>
          <cell r="AB984">
            <v>0</v>
          </cell>
        </row>
        <row r="985">
          <cell r="X985">
            <v>824.72</v>
          </cell>
          <cell r="Z985" t="str">
            <v>RA</v>
          </cell>
          <cell r="AA985">
            <v>206.51090989124492</v>
          </cell>
          <cell r="AB985">
            <v>0</v>
          </cell>
        </row>
        <row r="986">
          <cell r="X986">
            <v>320.85000000000002</v>
          </cell>
          <cell r="Z986" t="str">
            <v>RA</v>
          </cell>
          <cell r="AA986">
            <v>80.341237557723744</v>
          </cell>
          <cell r="AB986">
            <v>0</v>
          </cell>
        </row>
        <row r="987">
          <cell r="X987">
            <v>975.64</v>
          </cell>
          <cell r="Z987" t="str">
            <v>RA</v>
          </cell>
          <cell r="AA987">
            <v>244.30146489268378</v>
          </cell>
          <cell r="AB987">
            <v>0</v>
          </cell>
        </row>
        <row r="988">
          <cell r="X988">
            <v>472.05</v>
          </cell>
          <cell r="Z988" t="str">
            <v>RA</v>
          </cell>
          <cell r="AA988">
            <v>118.20190490610408</v>
          </cell>
          <cell r="AB988">
            <v>0</v>
          </cell>
        </row>
        <row r="989">
          <cell r="X989">
            <v>1055.43</v>
          </cell>
          <cell r="Z989" t="str">
            <v>RA</v>
          </cell>
          <cell r="AA989">
            <v>264.28097975860487</v>
          </cell>
          <cell r="AB989">
            <v>0</v>
          </cell>
        </row>
        <row r="990">
          <cell r="X990">
            <v>3378.9</v>
          </cell>
          <cell r="Z990" t="str">
            <v>RA</v>
          </cell>
          <cell r="AA990">
            <v>846.08074671588827</v>
          </cell>
          <cell r="AB990">
            <v>0</v>
          </cell>
        </row>
        <row r="991">
          <cell r="X991">
            <v>4487.3999999999996</v>
          </cell>
          <cell r="Z991" t="str">
            <v>RA</v>
          </cell>
          <cell r="AA991">
            <v>1123.6505202322876</v>
          </cell>
          <cell r="AB991">
            <v>0</v>
          </cell>
        </row>
        <row r="992">
          <cell r="X992">
            <v>1556.46</v>
          </cell>
          <cell r="Z992" t="str">
            <v>RA</v>
          </cell>
          <cell r="AA992">
            <v>389.73951257314855</v>
          </cell>
          <cell r="AB992">
            <v>0</v>
          </cell>
        </row>
        <row r="993">
          <cell r="X993">
            <v>226.95</v>
          </cell>
          <cell r="Z993" t="str">
            <v>RA</v>
          </cell>
          <cell r="AA993">
            <v>56.828561208431985</v>
          </cell>
          <cell r="AB993">
            <v>0</v>
          </cell>
        </row>
        <row r="994">
          <cell r="X994">
            <v>81.040000000000006</v>
          </cell>
          <cell r="Z994" t="str">
            <v>RA</v>
          </cell>
          <cell r="AA994">
            <v>20.292516414766816</v>
          </cell>
          <cell r="AB994">
            <v>0</v>
          </cell>
        </row>
        <row r="995">
          <cell r="X995">
            <v>132.34</v>
          </cell>
          <cell r="Z995" t="str">
            <v>RA</v>
          </cell>
          <cell r="AA995">
            <v>33.138099979395854</v>
          </cell>
          <cell r="AB995">
            <v>0</v>
          </cell>
        </row>
        <row r="996">
          <cell r="X996">
            <v>45.04</v>
          </cell>
          <cell r="Z996" t="str">
            <v>RA</v>
          </cell>
          <cell r="AA996">
            <v>11.278071808009591</v>
          </cell>
          <cell r="AB996">
            <v>0</v>
          </cell>
        </row>
        <row r="997">
          <cell r="X997">
            <v>64.819999999999993</v>
          </cell>
          <cell r="Z997" t="str">
            <v>RA</v>
          </cell>
          <cell r="AA997">
            <v>16.231008316944532</v>
          </cell>
          <cell r="AB997">
            <v>0</v>
          </cell>
        </row>
        <row r="998">
          <cell r="X998">
            <v>153.12</v>
          </cell>
          <cell r="Z998" t="str">
            <v>RA</v>
          </cell>
          <cell r="AA998">
            <v>38.341437727407389</v>
          </cell>
          <cell r="AB998">
            <v>0</v>
          </cell>
        </row>
        <row r="999">
          <cell r="X999">
            <v>228.9</v>
          </cell>
          <cell r="Z999" t="str">
            <v>RA</v>
          </cell>
          <cell r="AA999">
            <v>57.316843624631339</v>
          </cell>
          <cell r="AB999">
            <v>0</v>
          </cell>
        </row>
        <row r="1000">
          <cell r="X1000">
            <v>386.64</v>
          </cell>
          <cell r="Z1000" t="str">
            <v>RA</v>
          </cell>
          <cell r="AA1000">
            <v>96.81513507657256</v>
          </cell>
          <cell r="AB1000">
            <v>0</v>
          </cell>
        </row>
        <row r="1001">
          <cell r="X1001">
            <v>102.78</v>
          </cell>
          <cell r="Z1001" t="str">
            <v>RA</v>
          </cell>
          <cell r="AA1001">
            <v>25.736239352291872</v>
          </cell>
          <cell r="AB1001">
            <v>0</v>
          </cell>
        </row>
        <row r="1002">
          <cell r="X1002">
            <v>45.28</v>
          </cell>
          <cell r="Z1002" t="str">
            <v>RA</v>
          </cell>
          <cell r="AA1002">
            <v>11.338168105387973</v>
          </cell>
          <cell r="AB1002">
            <v>0</v>
          </cell>
        </row>
        <row r="1003">
          <cell r="X1003">
            <v>124.88</v>
          </cell>
          <cell r="Z1003" t="str">
            <v>RA</v>
          </cell>
          <cell r="AA1003">
            <v>31.270106735884497</v>
          </cell>
          <cell r="AB1003">
            <v>0</v>
          </cell>
        </row>
        <row r="1004">
          <cell r="X1004">
            <v>57.75</v>
          </cell>
          <cell r="Z1004" t="str">
            <v>RA</v>
          </cell>
          <cell r="AA1004">
            <v>14.460671556673045</v>
          </cell>
          <cell r="AB1004">
            <v>0</v>
          </cell>
        </row>
        <row r="1005">
          <cell r="X1005">
            <v>3690</v>
          </cell>
          <cell r="Z1005" t="str">
            <v>RA</v>
          </cell>
          <cell r="AA1005">
            <v>923.98057219261534</v>
          </cell>
          <cell r="AB1005">
            <v>0</v>
          </cell>
        </row>
        <row r="1006">
          <cell r="X1006">
            <v>639.79999999999995</v>
          </cell>
          <cell r="Z1006" t="str">
            <v>RA</v>
          </cell>
          <cell r="AA1006">
            <v>160.20671276120197</v>
          </cell>
          <cell r="AB1006">
            <v>0</v>
          </cell>
        </row>
        <row r="1007">
          <cell r="X1007">
            <v>5586</v>
          </cell>
          <cell r="Z1007" t="str">
            <v>RA</v>
          </cell>
          <cell r="AA1007">
            <v>1398.7413214818289</v>
          </cell>
          <cell r="AB1007">
            <v>0</v>
          </cell>
        </row>
        <row r="1008">
          <cell r="X1008">
            <v>2929.2</v>
          </cell>
          <cell r="Z1008" t="str">
            <v>RA</v>
          </cell>
          <cell r="AA1008">
            <v>733.47530950314592</v>
          </cell>
          <cell r="AB1008">
            <v>0</v>
          </cell>
        </row>
        <row r="1009">
          <cell r="X1009">
            <v>912.8</v>
          </cell>
          <cell r="Z1009" t="str">
            <v>RA</v>
          </cell>
          <cell r="AA1009">
            <v>228.5662510291109</v>
          </cell>
          <cell r="AB1009">
            <v>0</v>
          </cell>
        </row>
        <row r="1010">
          <cell r="X1010">
            <v>14490</v>
          </cell>
          <cell r="Z1010" t="str">
            <v>RA</v>
          </cell>
          <cell r="AA1010">
            <v>3628.3139542197819</v>
          </cell>
          <cell r="AB1010">
            <v>0</v>
          </cell>
        </row>
        <row r="1011">
          <cell r="X1011">
            <v>4320.32</v>
          </cell>
          <cell r="Z1011" t="str">
            <v>RA</v>
          </cell>
          <cell r="AA1011">
            <v>1081.8134812073711</v>
          </cell>
          <cell r="AB1011">
            <v>0</v>
          </cell>
        </row>
        <row r="1012">
          <cell r="X1012">
            <v>549.28</v>
          </cell>
          <cell r="Z1012" t="str">
            <v>RA</v>
          </cell>
          <cell r="AA1012">
            <v>137.54039259998908</v>
          </cell>
          <cell r="AB1012">
            <v>0</v>
          </cell>
        </row>
        <row r="1013">
          <cell r="X1013">
            <v>5020.8</v>
          </cell>
          <cell r="Z1013" t="str">
            <v>RA</v>
          </cell>
          <cell r="AA1013">
            <v>1257.2145411557406</v>
          </cell>
          <cell r="AB1013">
            <v>0</v>
          </cell>
        </row>
        <row r="1014">
          <cell r="X1014">
            <v>155.6</v>
          </cell>
          <cell r="Z1014" t="str">
            <v>RA</v>
          </cell>
          <cell r="AA1014">
            <v>38.962432800317323</v>
          </cell>
          <cell r="AB1014">
            <v>0</v>
          </cell>
        </row>
        <row r="1015">
          <cell r="X1015">
            <v>5231.12</v>
          </cell>
          <cell r="Z1015" t="str">
            <v>RA</v>
          </cell>
          <cell r="AA1015">
            <v>1309.8789297583289</v>
          </cell>
          <cell r="AB1015">
            <v>0</v>
          </cell>
        </row>
        <row r="1016">
          <cell r="X1016">
            <v>4277.08</v>
          </cell>
          <cell r="Z1016" t="str">
            <v>RA</v>
          </cell>
          <cell r="AA1016">
            <v>1070.9861316296995</v>
          </cell>
          <cell r="AB1016">
            <v>0</v>
          </cell>
        </row>
        <row r="1017">
          <cell r="X1017">
            <v>5870.3</v>
          </cell>
          <cell r="Z1017" t="str">
            <v>RA</v>
          </cell>
          <cell r="AA1017">
            <v>1469.9303937513034</v>
          </cell>
          <cell r="AB1017">
            <v>0</v>
          </cell>
        </row>
        <row r="1018">
          <cell r="X1018">
            <v>1286.28</v>
          </cell>
          <cell r="Z1018" t="str">
            <v>RA</v>
          </cell>
          <cell r="AA1018">
            <v>322.08610579943553</v>
          </cell>
          <cell r="AB1018">
            <v>0</v>
          </cell>
        </row>
        <row r="1019">
          <cell r="X1019">
            <v>1432.24</v>
          </cell>
          <cell r="Z1019" t="str">
            <v>RA</v>
          </cell>
          <cell r="AA1019">
            <v>358.63467065505455</v>
          </cell>
          <cell r="AB1019">
            <v>0</v>
          </cell>
        </row>
        <row r="1020">
          <cell r="X1020">
            <v>309.04000000000002</v>
          </cell>
          <cell r="Z1020" t="str">
            <v>RA</v>
          </cell>
          <cell r="AA1020">
            <v>77.383998924229232</v>
          </cell>
          <cell r="AB1020">
            <v>0</v>
          </cell>
        </row>
        <row r="1021">
          <cell r="X1021">
            <v>1596.8</v>
          </cell>
          <cell r="Z1021" t="str">
            <v>RA</v>
          </cell>
          <cell r="AA1021">
            <v>399.84069855749811</v>
          </cell>
          <cell r="AB1021">
            <v>0</v>
          </cell>
        </row>
        <row r="1022">
          <cell r="X1022">
            <v>1530</v>
          </cell>
          <cell r="Z1022" t="str">
            <v>RA</v>
          </cell>
          <cell r="AA1022">
            <v>383.11389578718195</v>
          </cell>
          <cell r="AB1022">
            <v>0</v>
          </cell>
        </row>
        <row r="1023">
          <cell r="X1023">
            <v>3295.5</v>
          </cell>
          <cell r="Z1023" t="str">
            <v>RA</v>
          </cell>
          <cell r="AA1023">
            <v>825.19728337690071</v>
          </cell>
          <cell r="AB1023">
            <v>0</v>
          </cell>
        </row>
        <row r="1024">
          <cell r="X1024">
            <v>2231.88</v>
          </cell>
          <cell r="Z1024" t="str">
            <v>RA</v>
          </cell>
          <cell r="AA1024">
            <v>558.86551747025862</v>
          </cell>
          <cell r="AB1024">
            <v>0</v>
          </cell>
        </row>
        <row r="1025">
          <cell r="X1025">
            <v>478.01</v>
          </cell>
          <cell r="Z1025" t="str">
            <v>RA</v>
          </cell>
          <cell r="AA1025">
            <v>119.69429629100055</v>
          </cell>
          <cell r="AB1025">
            <v>0</v>
          </cell>
        </row>
        <row r="1026">
          <cell r="X1026">
            <v>63.6</v>
          </cell>
          <cell r="Z1026" t="str">
            <v>RA</v>
          </cell>
          <cell r="AA1026">
            <v>15.925518805271093</v>
          </cell>
          <cell r="AB1026">
            <v>0</v>
          </cell>
        </row>
        <row r="1027">
          <cell r="X1027">
            <v>573.6</v>
          </cell>
          <cell r="Z1027" t="str">
            <v>RA</v>
          </cell>
          <cell r="AA1027">
            <v>143.63015073433175</v>
          </cell>
          <cell r="AB1027">
            <v>0</v>
          </cell>
        </row>
        <row r="1028">
          <cell r="X1028">
            <v>697.2</v>
          </cell>
          <cell r="Z1028" t="str">
            <v>RA</v>
          </cell>
          <cell r="AA1028">
            <v>174.57974388419822</v>
          </cell>
          <cell r="AB1028">
            <v>0</v>
          </cell>
        </row>
        <row r="1029">
          <cell r="X1029">
            <v>129</v>
          </cell>
          <cell r="Z1029" t="str">
            <v>RA</v>
          </cell>
          <cell r="AA1029">
            <v>32.301759840880045</v>
          </cell>
          <cell r="AB1029">
            <v>0</v>
          </cell>
        </row>
        <row r="1030">
          <cell r="X1030">
            <v>119050</v>
          </cell>
          <cell r="Z1030" t="str">
            <v>RA</v>
          </cell>
          <cell r="AA1030">
            <v>29810.267512067981</v>
          </cell>
          <cell r="AB1030">
            <v>0</v>
          </cell>
        </row>
        <row r="1031">
          <cell r="X1031">
            <v>70834.75</v>
          </cell>
          <cell r="Z1031" t="str">
            <v>RA</v>
          </cell>
          <cell r="AA1031">
            <v>17737.109169680451</v>
          </cell>
          <cell r="AB1031">
            <v>0</v>
          </cell>
        </row>
        <row r="1032">
          <cell r="X1032">
            <v>27619.599999999999</v>
          </cell>
          <cell r="Z1032" t="str">
            <v>RA</v>
          </cell>
          <cell r="AA1032">
            <v>6915.9820627997715</v>
          </cell>
          <cell r="AB1032">
            <v>0</v>
          </cell>
        </row>
        <row r="1033">
          <cell r="X1033">
            <v>2142.11</v>
          </cell>
          <cell r="Z1033" t="str">
            <v>RA</v>
          </cell>
          <cell r="AA1033">
            <v>536.38699823835316</v>
          </cell>
          <cell r="AB1033">
            <v>0</v>
          </cell>
        </row>
        <row r="1034">
          <cell r="X1034">
            <v>412859.56</v>
          </cell>
          <cell r="Z1034" t="str">
            <v/>
          </cell>
          <cell r="AA1034">
            <v>103380.54538861554</v>
          </cell>
          <cell r="AB1034">
            <v>0</v>
          </cell>
        </row>
        <row r="1035">
          <cell r="X1035">
            <v>72746.460000000006</v>
          </cell>
          <cell r="Z1035" t="str">
            <v/>
          </cell>
          <cell r="AA1035">
            <v>18215.80372243555</v>
          </cell>
          <cell r="AB1035">
            <v>0</v>
          </cell>
        </row>
        <row r="1036">
          <cell r="X1036">
            <v>153.09</v>
          </cell>
          <cell r="Z1036" t="str">
            <v>RA</v>
          </cell>
          <cell r="AA1036">
            <v>38.333925690235091</v>
          </cell>
          <cell r="AB1036">
            <v>0</v>
          </cell>
        </row>
        <row r="1037">
          <cell r="X1037">
            <v>141.55000000000001</v>
          </cell>
          <cell r="Z1037" t="str">
            <v>RA</v>
          </cell>
          <cell r="AA1037">
            <v>35.444295391291249</v>
          </cell>
          <cell r="AB1037">
            <v>0</v>
          </cell>
        </row>
        <row r="1038">
          <cell r="X1038">
            <v>9.6</v>
          </cell>
          <cell r="Z1038" t="str">
            <v>RA</v>
          </cell>
          <cell r="AA1038">
            <v>2.4038518951352592</v>
          </cell>
          <cell r="AB1038">
            <v>0</v>
          </cell>
        </row>
        <row r="1039">
          <cell r="X1039">
            <v>22.53</v>
          </cell>
          <cell r="Z1039" t="str">
            <v>RA</v>
          </cell>
          <cell r="AA1039">
            <v>5.641539916395562</v>
          </cell>
          <cell r="AB1039">
            <v>0</v>
          </cell>
        </row>
        <row r="1040">
          <cell r="X1040">
            <v>18.149999999999999</v>
          </cell>
          <cell r="Z1040" t="str">
            <v>RA</v>
          </cell>
          <cell r="AA1040">
            <v>4.5447824892400996</v>
          </cell>
          <cell r="AB1040">
            <v>0</v>
          </cell>
        </row>
        <row r="1041">
          <cell r="X1041">
            <v>510.09</v>
          </cell>
          <cell r="Z1041" t="str">
            <v>RA</v>
          </cell>
          <cell r="AA1041">
            <v>127.72716804057754</v>
          </cell>
          <cell r="AB1041">
            <v>0</v>
          </cell>
        </row>
        <row r="1042">
          <cell r="X1042">
            <v>291.17</v>
          </cell>
          <cell r="Z1042" t="str">
            <v>RA</v>
          </cell>
          <cell r="AA1042">
            <v>72.909328781930569</v>
          </cell>
          <cell r="AB1042">
            <v>0</v>
          </cell>
        </row>
        <row r="1043">
          <cell r="X1043">
            <v>263.89999999999998</v>
          </cell>
          <cell r="Z1043" t="str">
            <v>RA</v>
          </cell>
          <cell r="AA1043">
            <v>66.08088699231196</v>
          </cell>
          <cell r="AB1043">
            <v>0</v>
          </cell>
        </row>
        <row r="1044">
          <cell r="X1044">
            <v>404.35</v>
          </cell>
          <cell r="Z1044" t="str">
            <v>RA</v>
          </cell>
          <cell r="AA1044">
            <v>101.24974102061897</v>
          </cell>
          <cell r="AB1044">
            <v>0</v>
          </cell>
        </row>
        <row r="1045">
          <cell r="X1045">
            <v>44.23</v>
          </cell>
          <cell r="Z1045" t="str">
            <v>RA</v>
          </cell>
          <cell r="AA1045">
            <v>11.075246804357553</v>
          </cell>
          <cell r="AB1045">
            <v>0</v>
          </cell>
        </row>
        <row r="1046">
          <cell r="X1046">
            <v>1738.44</v>
          </cell>
          <cell r="Z1046" t="str">
            <v>RA</v>
          </cell>
          <cell r="AA1046">
            <v>435.30753006030631</v>
          </cell>
          <cell r="AB1046">
            <v>0</v>
          </cell>
        </row>
        <row r="1047">
          <cell r="X1047">
            <v>102.43</v>
          </cell>
          <cell r="Z1047" t="str">
            <v>RA</v>
          </cell>
          <cell r="AA1047">
            <v>25.648598918615065</v>
          </cell>
          <cell r="AB1047">
            <v>0</v>
          </cell>
        </row>
        <row r="1048">
          <cell r="X1048">
            <v>22264.46</v>
          </cell>
          <cell r="Z1048" t="str">
            <v>RA</v>
          </cell>
          <cell r="AA1048">
            <v>5575.0483713711637</v>
          </cell>
          <cell r="AB1048">
            <v>0</v>
          </cell>
        </row>
        <row r="1049">
          <cell r="X1049">
            <v>14747.25</v>
          </cell>
          <cell r="Z1049" t="str">
            <v>RA</v>
          </cell>
          <cell r="AA1049">
            <v>3692.7296729722348</v>
          </cell>
          <cell r="AB1049">
            <v>0</v>
          </cell>
        </row>
        <row r="1050">
          <cell r="X1050">
            <v>776.1</v>
          </cell>
          <cell r="Z1050" t="str">
            <v>RA</v>
          </cell>
          <cell r="AA1050">
            <v>194.33640164734112</v>
          </cell>
          <cell r="AB1050">
            <v>0</v>
          </cell>
        </row>
        <row r="1051">
          <cell r="X1051">
            <v>1145.52</v>
          </cell>
          <cell r="Z1051" t="str">
            <v>RA</v>
          </cell>
          <cell r="AA1051">
            <v>286.83962738701479</v>
          </cell>
          <cell r="AB1051">
            <v>0</v>
          </cell>
        </row>
        <row r="1052">
          <cell r="X1052">
            <v>12733.3</v>
          </cell>
          <cell r="Z1052" t="str">
            <v>RA</v>
          </cell>
          <cell r="AA1052">
            <v>3188.4340975339369</v>
          </cell>
          <cell r="AB1052">
            <v>0</v>
          </cell>
        </row>
        <row r="1053">
          <cell r="X1053">
            <v>850.08</v>
          </cell>
          <cell r="Z1053" t="str">
            <v>RA</v>
          </cell>
          <cell r="AA1053">
            <v>212.86108531422721</v>
          </cell>
          <cell r="AB1053">
            <v>0</v>
          </cell>
        </row>
        <row r="1054">
          <cell r="X1054">
            <v>162.38</v>
          </cell>
          <cell r="Z1054" t="str">
            <v>RA</v>
          </cell>
          <cell r="AA1054">
            <v>40.660153201256605</v>
          </cell>
          <cell r="AB1054">
            <v>0</v>
          </cell>
        </row>
        <row r="1055">
          <cell r="X1055">
            <v>10259.86</v>
          </cell>
          <cell r="Z1055" t="str">
            <v>RA</v>
          </cell>
          <cell r="AA1055">
            <v>2569.0816567523379</v>
          </cell>
          <cell r="AB1055">
            <v>0</v>
          </cell>
        </row>
        <row r="1056">
          <cell r="X1056">
            <v>416.08</v>
          </cell>
          <cell r="Z1056" t="str">
            <v>RA</v>
          </cell>
          <cell r="AA1056">
            <v>104.18694755498736</v>
          </cell>
          <cell r="AB1056">
            <v>0</v>
          </cell>
        </row>
        <row r="1057">
          <cell r="X1057">
            <v>1167.56</v>
          </cell>
          <cell r="Z1057" t="str">
            <v>RA</v>
          </cell>
          <cell r="AA1057">
            <v>292.35847069626283</v>
          </cell>
          <cell r="AB1057">
            <v>0</v>
          </cell>
        </row>
        <row r="1058">
          <cell r="X1058">
            <v>3184.56</v>
          </cell>
          <cell r="Z1058" t="str">
            <v>RA</v>
          </cell>
          <cell r="AA1058">
            <v>797.41776991374388</v>
          </cell>
          <cell r="AB1058">
            <v>0</v>
          </cell>
        </row>
        <row r="1059">
          <cell r="X1059">
            <v>585.46</v>
          </cell>
          <cell r="Z1059" t="str">
            <v>RA</v>
          </cell>
          <cell r="AA1059">
            <v>146.5999094297801</v>
          </cell>
          <cell r="AB1059">
            <v>0</v>
          </cell>
        </row>
        <row r="1060">
          <cell r="X1060">
            <v>85.5</v>
          </cell>
          <cell r="Z1060" t="str">
            <v>RA</v>
          </cell>
          <cell r="AA1060">
            <v>21.409305941048402</v>
          </cell>
          <cell r="AB1060">
            <v>0</v>
          </cell>
        </row>
        <row r="1061">
          <cell r="X1061">
            <v>66.48</v>
          </cell>
          <cell r="Z1061" t="str">
            <v>RA</v>
          </cell>
          <cell r="AA1061">
            <v>16.64667437381167</v>
          </cell>
          <cell r="AB1061">
            <v>0</v>
          </cell>
        </row>
        <row r="1062">
          <cell r="X1062">
            <v>208.32</v>
          </cell>
          <cell r="Z1062" t="str">
            <v>RA</v>
          </cell>
          <cell r="AA1062">
            <v>52.163586124435128</v>
          </cell>
          <cell r="AB1062">
            <v>0</v>
          </cell>
        </row>
        <row r="1063">
          <cell r="X1063">
            <v>394.02</v>
          </cell>
          <cell r="Z1063" t="str">
            <v>RA</v>
          </cell>
          <cell r="AA1063">
            <v>98.663096220957797</v>
          </cell>
          <cell r="AB1063">
            <v>0</v>
          </cell>
        </row>
        <row r="1064">
          <cell r="X1064">
            <v>340113.1</v>
          </cell>
          <cell r="Z1064" t="str">
            <v/>
          </cell>
          <cell r="AA1064">
            <v>85164.741666179994</v>
          </cell>
          <cell r="AB1064">
            <v>0</v>
          </cell>
        </row>
        <row r="1065">
          <cell r="X1065">
            <v>111.44</v>
          </cell>
          <cell r="Z1065" t="str">
            <v>RA</v>
          </cell>
          <cell r="AA1065">
            <v>27.904714082695133</v>
          </cell>
          <cell r="AB1065">
            <v>0</v>
          </cell>
        </row>
        <row r="1066">
          <cell r="X1066">
            <v>69.849999999999994</v>
          </cell>
          <cell r="Z1066" t="str">
            <v>RA</v>
          </cell>
          <cell r="AA1066">
            <v>17.490526549499776</v>
          </cell>
          <cell r="AB1066">
            <v>0</v>
          </cell>
        </row>
        <row r="1067">
          <cell r="X1067">
            <v>960.96</v>
          </cell>
          <cell r="Z1067" t="str">
            <v>RA</v>
          </cell>
          <cell r="AA1067">
            <v>240.62557470303946</v>
          </cell>
          <cell r="AB1067">
            <v>0</v>
          </cell>
        </row>
        <row r="1068">
          <cell r="X1068">
            <v>1005.76</v>
          </cell>
          <cell r="Z1068" t="str">
            <v>RA</v>
          </cell>
          <cell r="AA1068">
            <v>251.84355021367065</v>
          </cell>
          <cell r="AB1068">
            <v>0</v>
          </cell>
        </row>
        <row r="1069">
          <cell r="X1069">
            <v>90.82</v>
          </cell>
          <cell r="Z1069" t="str">
            <v>RA</v>
          </cell>
          <cell r="AA1069">
            <v>22.741440532935858</v>
          </cell>
          <cell r="AB1069">
            <v>0</v>
          </cell>
        </row>
        <row r="1070">
          <cell r="X1070">
            <v>766.59</v>
          </cell>
          <cell r="Z1070" t="str">
            <v>RA</v>
          </cell>
          <cell r="AA1070">
            <v>191.95508586372276</v>
          </cell>
          <cell r="AB1070">
            <v>0</v>
          </cell>
        </row>
        <row r="1071">
          <cell r="X1071">
            <v>1963.18</v>
          </cell>
          <cell r="Z1071" t="str">
            <v>RA</v>
          </cell>
          <cell r="AA1071">
            <v>491.58270453037903</v>
          </cell>
          <cell r="AB1071">
            <v>0</v>
          </cell>
        </row>
        <row r="1072">
          <cell r="X1072">
            <v>1322.75</v>
          </cell>
          <cell r="Z1072" t="str">
            <v>RA</v>
          </cell>
          <cell r="AA1072">
            <v>331.21823898855877</v>
          </cell>
          <cell r="AB1072">
            <v>0</v>
          </cell>
        </row>
        <row r="1073">
          <cell r="X1073">
            <v>3853.68</v>
          </cell>
          <cell r="Z1073" t="str">
            <v>RA</v>
          </cell>
          <cell r="AA1073">
            <v>964.96624700467146</v>
          </cell>
          <cell r="AB1073">
            <v>0</v>
          </cell>
        </row>
        <row r="1074">
          <cell r="X1074">
            <v>1162.8900000000001</v>
          </cell>
          <cell r="Z1074" t="str">
            <v>RA</v>
          </cell>
          <cell r="AA1074">
            <v>291.18909690977517</v>
          </cell>
          <cell r="AB1074">
            <v>0</v>
          </cell>
        </row>
        <row r="1075">
          <cell r="X1075">
            <v>12191.52</v>
          </cell>
          <cell r="Z1075" t="str">
            <v>RA</v>
          </cell>
          <cell r="AA1075">
            <v>3052.7717142270226</v>
          </cell>
          <cell r="AB1075">
            <v>0</v>
          </cell>
        </row>
        <row r="1076">
          <cell r="X1076">
            <v>10318.17</v>
          </cell>
          <cell r="Z1076" t="str">
            <v>RA</v>
          </cell>
          <cell r="AA1076">
            <v>2583.6825530028937</v>
          </cell>
          <cell r="AB1076">
            <v>0</v>
          </cell>
        </row>
        <row r="1077">
          <cell r="X1077">
            <v>687.14</v>
          </cell>
          <cell r="Z1077" t="str">
            <v>RA</v>
          </cell>
          <cell r="AA1077">
            <v>172.06070741908772</v>
          </cell>
          <cell r="AB1077">
            <v>0</v>
          </cell>
        </row>
        <row r="1078">
          <cell r="X1078">
            <v>6412.48</v>
          </cell>
          <cell r="Z1078" t="str">
            <v>RA</v>
          </cell>
          <cell r="AA1078">
            <v>1605.6929375538487</v>
          </cell>
          <cell r="AB1078">
            <v>0</v>
          </cell>
        </row>
        <row r="1079">
          <cell r="X1079">
            <v>3206.24</v>
          </cell>
          <cell r="Z1079" t="str">
            <v>RA</v>
          </cell>
          <cell r="AA1079">
            <v>802.84646877692433</v>
          </cell>
          <cell r="AB1079">
            <v>0</v>
          </cell>
        </row>
        <row r="1080">
          <cell r="X1080">
            <v>1885.68</v>
          </cell>
          <cell r="Z1080" t="str">
            <v>RA</v>
          </cell>
          <cell r="AA1080">
            <v>472.17660850194335</v>
          </cell>
          <cell r="AB1080">
            <v>0</v>
          </cell>
        </row>
        <row r="1081">
          <cell r="X1081">
            <v>3206.24</v>
          </cell>
          <cell r="Z1081" t="str">
            <v>RA</v>
          </cell>
          <cell r="AA1081">
            <v>802.84646877692433</v>
          </cell>
          <cell r="AB1081">
            <v>0</v>
          </cell>
        </row>
        <row r="1082">
          <cell r="X1082">
            <v>1355.6</v>
          </cell>
          <cell r="Z1082" t="str">
            <v>RA</v>
          </cell>
          <cell r="AA1082">
            <v>339.44391969222471</v>
          </cell>
          <cell r="AB1082">
            <v>0</v>
          </cell>
        </row>
        <row r="1083">
          <cell r="X1083">
            <v>405.37</v>
          </cell>
          <cell r="Z1083" t="str">
            <v>RA</v>
          </cell>
          <cell r="AA1083">
            <v>101.5051502844771</v>
          </cell>
          <cell r="AB1083">
            <v>0</v>
          </cell>
        </row>
        <row r="1084">
          <cell r="X1084">
            <v>348.24</v>
          </cell>
          <cell r="Z1084" t="str">
            <v>RA</v>
          </cell>
          <cell r="AA1084">
            <v>87.199727496031528</v>
          </cell>
          <cell r="AB1084">
            <v>0</v>
          </cell>
        </row>
        <row r="1085">
          <cell r="X1085">
            <v>840.74</v>
          </cell>
          <cell r="Z1085" t="str">
            <v>RA</v>
          </cell>
          <cell r="AA1085">
            <v>210.52233774125187</v>
          </cell>
          <cell r="AB1085">
            <v>0</v>
          </cell>
        </row>
        <row r="1086">
          <cell r="X1086">
            <v>4284.2299999999996</v>
          </cell>
          <cell r="Z1086" t="str">
            <v>RA</v>
          </cell>
          <cell r="AA1086">
            <v>1072.7765004890969</v>
          </cell>
          <cell r="AB1086">
            <v>0</v>
          </cell>
        </row>
        <row r="1087">
          <cell r="X1087">
            <v>1315.64</v>
          </cell>
          <cell r="Z1087" t="str">
            <v>RA</v>
          </cell>
          <cell r="AA1087">
            <v>329.43788617872423</v>
          </cell>
          <cell r="AB1087">
            <v>0</v>
          </cell>
        </row>
        <row r="1088">
          <cell r="X1088">
            <v>3515.09</v>
          </cell>
          <cell r="Z1088" t="str">
            <v>RA</v>
          </cell>
          <cell r="AA1088">
            <v>880.18289146572909</v>
          </cell>
          <cell r="AB1088">
            <v>0</v>
          </cell>
        </row>
        <row r="1089">
          <cell r="X1089">
            <v>4284.2299999999996</v>
          </cell>
          <cell r="Z1089" t="str">
            <v>RA</v>
          </cell>
          <cell r="AA1089">
            <v>1072.7765004890969</v>
          </cell>
          <cell r="AB1089">
            <v>0</v>
          </cell>
        </row>
        <row r="1090">
          <cell r="X1090">
            <v>4964.08</v>
          </cell>
          <cell r="Z1090" t="str">
            <v>RA</v>
          </cell>
          <cell r="AA1090">
            <v>1243.0117828753164</v>
          </cell>
          <cell r="AB1090">
            <v>0</v>
          </cell>
        </row>
        <row r="1091">
          <cell r="X1091">
            <v>613.24</v>
          </cell>
          <cell r="Z1091" t="str">
            <v>RA</v>
          </cell>
          <cell r="AA1091">
            <v>153.55605585132776</v>
          </cell>
          <cell r="AB1091">
            <v>0</v>
          </cell>
        </row>
        <row r="1092">
          <cell r="X1092">
            <v>3177.93</v>
          </cell>
          <cell r="Z1092" t="str">
            <v>RA</v>
          </cell>
          <cell r="AA1092">
            <v>795.7576096986661</v>
          </cell>
          <cell r="AB1092">
            <v>0</v>
          </cell>
        </row>
        <row r="1093">
          <cell r="X1093">
            <v>438.76</v>
          </cell>
          <cell r="Z1093" t="str">
            <v>RA</v>
          </cell>
          <cell r="AA1093">
            <v>109.86604765724441</v>
          </cell>
          <cell r="AB1093">
            <v>0</v>
          </cell>
        </row>
        <row r="1094">
          <cell r="X1094">
            <v>455.63</v>
          </cell>
          <cell r="Z1094" t="str">
            <v>RA</v>
          </cell>
          <cell r="AA1094">
            <v>114.09031656046648</v>
          </cell>
          <cell r="AB1094">
            <v>0</v>
          </cell>
        </row>
        <row r="1095">
          <cell r="X1095">
            <v>508.1</v>
          </cell>
          <cell r="Z1095" t="str">
            <v>RA</v>
          </cell>
          <cell r="AA1095">
            <v>127.22886957481514</v>
          </cell>
          <cell r="AB1095">
            <v>0</v>
          </cell>
        </row>
        <row r="1096">
          <cell r="X1096">
            <v>217272.2</v>
          </cell>
          <cell r="Z1096" t="str">
            <v>RA</v>
          </cell>
          <cell r="AA1096">
            <v>54405.228096896572</v>
          </cell>
          <cell r="AB1096">
            <v>0</v>
          </cell>
        </row>
        <row r="1097">
          <cell r="X1097">
            <v>16965</v>
          </cell>
          <cell r="Z1097" t="str">
            <v>RA</v>
          </cell>
          <cell r="AA1097">
            <v>4248.0570209343414</v>
          </cell>
          <cell r="AB1097">
            <v>0</v>
          </cell>
        </row>
        <row r="1098">
          <cell r="X1098">
            <v>696.13</v>
          </cell>
          <cell r="Z1098" t="str">
            <v>RA</v>
          </cell>
          <cell r="AA1098">
            <v>174.31181455838626</v>
          </cell>
          <cell r="AB1098">
            <v>0</v>
          </cell>
        </row>
        <row r="1099">
          <cell r="X1099">
            <v>597.95000000000005</v>
          </cell>
          <cell r="Z1099" t="str">
            <v>RA</v>
          </cell>
          <cell r="AA1099">
            <v>149.72742090584671</v>
          </cell>
          <cell r="AB1099">
            <v>0</v>
          </cell>
        </row>
        <row r="1100">
          <cell r="X1100">
            <v>11619.9</v>
          </cell>
          <cell r="Z1100" t="str">
            <v>RA</v>
          </cell>
          <cell r="AA1100">
            <v>2909.6373579460624</v>
          </cell>
          <cell r="AB1100">
            <v>0</v>
          </cell>
        </row>
        <row r="1101">
          <cell r="X1101">
            <v>915.5</v>
          </cell>
          <cell r="Z1101" t="str">
            <v>RA</v>
          </cell>
          <cell r="AA1101">
            <v>229.24233437461768</v>
          </cell>
          <cell r="AB1101">
            <v>0</v>
          </cell>
        </row>
        <row r="1102">
          <cell r="X1102">
            <v>451.28</v>
          </cell>
          <cell r="Z1102" t="str">
            <v>RA</v>
          </cell>
          <cell r="AA1102">
            <v>113.00107117048331</v>
          </cell>
          <cell r="AB1102">
            <v>0</v>
          </cell>
        </row>
        <row r="1103">
          <cell r="X1103">
            <v>381.07</v>
          </cell>
          <cell r="Z1103" t="str">
            <v>RA</v>
          </cell>
          <cell r="AA1103">
            <v>95.420400174915969</v>
          </cell>
          <cell r="AB1103">
            <v>0</v>
          </cell>
        </row>
        <row r="1104">
          <cell r="X1104">
            <v>1397.27</v>
          </cell>
          <cell r="Z1104" t="str">
            <v>RA</v>
          </cell>
          <cell r="AA1104">
            <v>349.87813932454623</v>
          </cell>
          <cell r="AB1104">
            <v>0</v>
          </cell>
        </row>
        <row r="1105">
          <cell r="X1105">
            <v>572.67999999999995</v>
          </cell>
          <cell r="Z1105" t="str">
            <v>RA</v>
          </cell>
          <cell r="AA1105">
            <v>143.39978159438127</v>
          </cell>
          <cell r="AB1105">
            <v>0</v>
          </cell>
        </row>
        <row r="1106">
          <cell r="X1106">
            <v>264.55</v>
          </cell>
          <cell r="Z1106" t="str">
            <v>RA</v>
          </cell>
          <cell r="AA1106">
            <v>66.243647797711759</v>
          </cell>
          <cell r="AB1106">
            <v>0</v>
          </cell>
        </row>
        <row r="1107">
          <cell r="X1107">
            <v>1770.61</v>
          </cell>
          <cell r="Z1107" t="str">
            <v>RA</v>
          </cell>
          <cell r="AA1107">
            <v>443.36293792140015</v>
          </cell>
          <cell r="AB1107">
            <v>0</v>
          </cell>
        </row>
        <row r="1108">
          <cell r="X1108">
            <v>251.06</v>
          </cell>
          <cell r="Z1108" t="str">
            <v>RA</v>
          </cell>
          <cell r="AA1108">
            <v>62.865735082568563</v>
          </cell>
          <cell r="AB1108">
            <v>0</v>
          </cell>
        </row>
        <row r="1109">
          <cell r="X1109">
            <v>511.06</v>
          </cell>
          <cell r="Z1109" t="str">
            <v>RA</v>
          </cell>
          <cell r="AA1109">
            <v>127.97005724248183</v>
          </cell>
          <cell r="AB1109">
            <v>0</v>
          </cell>
        </row>
        <row r="1110">
          <cell r="X1110">
            <v>3850.2</v>
          </cell>
          <cell r="Z1110" t="str">
            <v>RA</v>
          </cell>
          <cell r="AA1110">
            <v>964.09485069268487</v>
          </cell>
          <cell r="AB1110">
            <v>0</v>
          </cell>
        </row>
        <row r="1111">
          <cell r="X1111">
            <v>5141.16</v>
          </cell>
          <cell r="Z1111" t="str">
            <v>RA</v>
          </cell>
          <cell r="AA1111">
            <v>1287.352834290999</v>
          </cell>
          <cell r="AB1111">
            <v>0</v>
          </cell>
        </row>
        <row r="1112">
          <cell r="X1112">
            <v>878.64</v>
          </cell>
          <cell r="Z1112" t="str">
            <v>RA</v>
          </cell>
          <cell r="AA1112">
            <v>220.01254470225462</v>
          </cell>
          <cell r="AB1112">
            <v>0</v>
          </cell>
        </row>
        <row r="1113">
          <cell r="X1113">
            <v>484.43</v>
          </cell>
          <cell r="Z1113" t="str">
            <v>RA</v>
          </cell>
          <cell r="AA1113">
            <v>121.30187224587226</v>
          </cell>
          <cell r="AB1113">
            <v>0</v>
          </cell>
        </row>
        <row r="1114">
          <cell r="X1114">
            <v>290.33999999999997</v>
          </cell>
          <cell r="Z1114" t="str">
            <v>RA</v>
          </cell>
          <cell r="AA1114">
            <v>72.701495753496985</v>
          </cell>
          <cell r="AB1114">
            <v>0</v>
          </cell>
        </row>
        <row r="1115">
          <cell r="X1115">
            <v>7.96</v>
          </cell>
          <cell r="Z1115" t="str">
            <v>RA</v>
          </cell>
          <cell r="AA1115">
            <v>1.9931938630496524</v>
          </cell>
          <cell r="AB1115">
            <v>0</v>
          </cell>
        </row>
        <row r="1116">
          <cell r="X1116">
            <v>71.84</v>
          </cell>
          <cell r="Z1116" t="str">
            <v>RA</v>
          </cell>
          <cell r="AA1116">
            <v>17.98882501526219</v>
          </cell>
          <cell r="AB1116">
            <v>0</v>
          </cell>
        </row>
        <row r="1117">
          <cell r="X1117">
            <v>444723.14</v>
          </cell>
          <cell r="Z1117" t="str">
            <v/>
          </cell>
          <cell r="AA1117">
            <v>111359.22530203158</v>
          </cell>
          <cell r="AB1117">
            <v>0</v>
          </cell>
        </row>
        <row r="1118">
          <cell r="X1118">
            <v>89582.35</v>
          </cell>
          <cell r="Z1118" t="str">
            <v/>
          </cell>
          <cell r="AA1118">
            <v>22431.531439392711</v>
          </cell>
          <cell r="AB1118">
            <v>0</v>
          </cell>
        </row>
        <row r="1119">
          <cell r="X1119">
            <v>364.5</v>
          </cell>
          <cell r="Z1119" t="str">
            <v>RA</v>
          </cell>
          <cell r="AA1119">
            <v>91.271251643416875</v>
          </cell>
          <cell r="AB1119">
            <v>0</v>
          </cell>
        </row>
        <row r="1120">
          <cell r="X1120">
            <v>391.75</v>
          </cell>
          <cell r="Z1120" t="str">
            <v>RA</v>
          </cell>
          <cell r="AA1120">
            <v>98.094685408253937</v>
          </cell>
          <cell r="AB1120">
            <v>0</v>
          </cell>
        </row>
        <row r="1121">
          <cell r="X1121">
            <v>943.68</v>
          </cell>
          <cell r="Z1121" t="str">
            <v>RA</v>
          </cell>
          <cell r="AA1121">
            <v>236.29864129179597</v>
          </cell>
          <cell r="AB1121">
            <v>0</v>
          </cell>
        </row>
        <row r="1122">
          <cell r="X1122">
            <v>48</v>
          </cell>
          <cell r="Z1122" t="str">
            <v>RA</v>
          </cell>
          <cell r="AA1122">
            <v>12.019259475676296</v>
          </cell>
          <cell r="AB1122">
            <v>0</v>
          </cell>
        </row>
        <row r="1123">
          <cell r="X1123">
            <v>112.65</v>
          </cell>
          <cell r="Z1123" t="str">
            <v>RA</v>
          </cell>
          <cell r="AA1123">
            <v>28.20769958197781</v>
          </cell>
          <cell r="AB1123">
            <v>0</v>
          </cell>
        </row>
        <row r="1124">
          <cell r="X1124">
            <v>5253.01</v>
          </cell>
          <cell r="Z1124" t="str">
            <v>RA</v>
          </cell>
          <cell r="AA1124">
            <v>1315.3602128817156</v>
          </cell>
          <cell r="AB1124">
            <v>0</v>
          </cell>
        </row>
        <row r="1125">
          <cell r="X1125">
            <v>119.21</v>
          </cell>
          <cell r="Z1125" t="str">
            <v>RA</v>
          </cell>
          <cell r="AA1125">
            <v>29.850331710320233</v>
          </cell>
          <cell r="AB1125">
            <v>0</v>
          </cell>
        </row>
        <row r="1126">
          <cell r="X1126">
            <v>711.33</v>
          </cell>
          <cell r="Z1126" t="str">
            <v>RA</v>
          </cell>
          <cell r="AA1126">
            <v>178.11791339235043</v>
          </cell>
          <cell r="AB1126">
            <v>0</v>
          </cell>
        </row>
        <row r="1127">
          <cell r="X1127">
            <v>1089.92</v>
          </cell>
          <cell r="Z1127" t="str">
            <v>RA</v>
          </cell>
          <cell r="AA1127">
            <v>272.91731849435644</v>
          </cell>
          <cell r="AB1127">
            <v>0</v>
          </cell>
        </row>
        <row r="1128">
          <cell r="X1128">
            <v>10632.4</v>
          </cell>
          <cell r="Z1128" t="str">
            <v>RA</v>
          </cell>
          <cell r="AA1128">
            <v>2662.3661343579302</v>
          </cell>
          <cell r="AB1128">
            <v>0</v>
          </cell>
        </row>
        <row r="1129">
          <cell r="X1129">
            <v>95.93</v>
          </cell>
          <cell r="Z1129" t="str">
            <v>RA</v>
          </cell>
          <cell r="AA1129">
            <v>24.020990864617232</v>
          </cell>
          <cell r="AB1129">
            <v>0</v>
          </cell>
        </row>
        <row r="1130">
          <cell r="X1130">
            <v>124.19</v>
          </cell>
          <cell r="Z1130" t="str">
            <v>RA</v>
          </cell>
          <cell r="AA1130">
            <v>31.097329880921652</v>
          </cell>
          <cell r="AB1130">
            <v>0</v>
          </cell>
        </row>
        <row r="1131">
          <cell r="X1131">
            <v>1428</v>
          </cell>
          <cell r="Z1131" t="str">
            <v>RA</v>
          </cell>
          <cell r="AA1131">
            <v>357.57296940136985</v>
          </cell>
          <cell r="AB1131">
            <v>0</v>
          </cell>
        </row>
        <row r="1132">
          <cell r="X1132">
            <v>1940.25</v>
          </cell>
          <cell r="Z1132" t="str">
            <v>RA</v>
          </cell>
          <cell r="AA1132">
            <v>485.84100411835277</v>
          </cell>
          <cell r="AB1132">
            <v>0</v>
          </cell>
        </row>
        <row r="1133">
          <cell r="X1133">
            <v>18662.07</v>
          </cell>
          <cell r="Z1133" t="str">
            <v>RA</v>
          </cell>
          <cell r="AA1133">
            <v>4673.0054517340486</v>
          </cell>
          <cell r="AB1133">
            <v>0</v>
          </cell>
        </row>
        <row r="1134">
          <cell r="X1134">
            <v>40606.769999999997</v>
          </cell>
          <cell r="Z1134" t="str">
            <v>RA</v>
          </cell>
          <cell r="AA1134">
            <v>10167.985522898081</v>
          </cell>
          <cell r="AB1134">
            <v>0</v>
          </cell>
        </row>
        <row r="1135">
          <cell r="X1135">
            <v>4661.3599999999997</v>
          </cell>
          <cell r="Z1135" t="str">
            <v>RA</v>
          </cell>
          <cell r="AA1135">
            <v>1167.2103197820511</v>
          </cell>
          <cell r="AB1135">
            <v>0</v>
          </cell>
        </row>
        <row r="1136">
          <cell r="X1136">
            <v>147.84</v>
          </cell>
          <cell r="Z1136" t="str">
            <v>RA</v>
          </cell>
          <cell r="AA1136">
            <v>37.019319185082992</v>
          </cell>
          <cell r="AB1136">
            <v>0</v>
          </cell>
        </row>
        <row r="1137">
          <cell r="X1137">
            <v>471.98</v>
          </cell>
          <cell r="Z1137" t="str">
            <v>RA</v>
          </cell>
          <cell r="AA1137">
            <v>118.18437681936872</v>
          </cell>
          <cell r="AB1137">
            <v>0</v>
          </cell>
        </row>
        <row r="1138">
          <cell r="X1138">
            <v>661.14</v>
          </cell>
          <cell r="Z1138" t="str">
            <v>RA</v>
          </cell>
          <cell r="AA1138">
            <v>165.55027520309639</v>
          </cell>
          <cell r="AB1138">
            <v>0</v>
          </cell>
        </row>
        <row r="1139">
          <cell r="X1139">
            <v>1116.3699999999999</v>
          </cell>
          <cell r="Z1139" t="str">
            <v>RA</v>
          </cell>
          <cell r="AA1139">
            <v>279.54043126793221</v>
          </cell>
          <cell r="AB1139">
            <v>0</v>
          </cell>
        </row>
        <row r="1140">
          <cell r="X1140">
            <v>329769.45</v>
          </cell>
          <cell r="Z1140" t="str">
            <v/>
          </cell>
          <cell r="AA1140">
            <v>82574.678889605435</v>
          </cell>
          <cell r="AB1140">
            <v>0</v>
          </cell>
        </row>
        <row r="1141">
          <cell r="X1141">
            <v>25.4</v>
          </cell>
          <cell r="Z1141" t="str">
            <v>RA</v>
          </cell>
          <cell r="AA1141">
            <v>6.360191472545373</v>
          </cell>
          <cell r="AB1141">
            <v>0</v>
          </cell>
        </row>
        <row r="1142">
          <cell r="X1142">
            <v>52.22</v>
          </cell>
          <cell r="Z1142" t="str">
            <v>RA</v>
          </cell>
          <cell r="AA1142">
            <v>13.075952704579503</v>
          </cell>
          <cell r="AB1142">
            <v>0</v>
          </cell>
        </row>
        <row r="1143">
          <cell r="X1143">
            <v>455.63</v>
          </cell>
          <cell r="Z1143" t="str">
            <v>RA</v>
          </cell>
          <cell r="AA1143">
            <v>114.09031656046648</v>
          </cell>
          <cell r="AB1143">
            <v>0</v>
          </cell>
        </row>
        <row r="1144">
          <cell r="X1144">
            <v>420.37</v>
          </cell>
          <cell r="Z1144" t="str">
            <v>RA</v>
          </cell>
          <cell r="AA1144">
            <v>105.26116887062594</v>
          </cell>
          <cell r="AB1144">
            <v>0</v>
          </cell>
        </row>
        <row r="1145">
          <cell r="X1145">
            <v>1815.34</v>
          </cell>
          <cell r="Z1145" t="str">
            <v>RA</v>
          </cell>
          <cell r="AA1145">
            <v>454.56338534529596</v>
          </cell>
          <cell r="AB1145">
            <v>0</v>
          </cell>
        </row>
        <row r="1146">
          <cell r="X1146">
            <v>907.67</v>
          </cell>
          <cell r="Z1146" t="str">
            <v>RA</v>
          </cell>
          <cell r="AA1146">
            <v>227.28169267264798</v>
          </cell>
          <cell r="AB1146">
            <v>0</v>
          </cell>
        </row>
        <row r="1147">
          <cell r="X1147">
            <v>541.38</v>
          </cell>
          <cell r="Z1147" t="str">
            <v>RA</v>
          </cell>
          <cell r="AA1147">
            <v>135.56222281128402</v>
          </cell>
          <cell r="AB1147">
            <v>0</v>
          </cell>
        </row>
        <row r="1148">
          <cell r="X1148">
            <v>960.96</v>
          </cell>
          <cell r="Z1148" t="str">
            <v>RA</v>
          </cell>
          <cell r="AA1148">
            <v>240.62557470303946</v>
          </cell>
          <cell r="AB1148">
            <v>0</v>
          </cell>
        </row>
        <row r="1149">
          <cell r="X1149">
            <v>2744.34</v>
          </cell>
          <cell r="Z1149" t="str">
            <v>RA</v>
          </cell>
          <cell r="AA1149">
            <v>687.18613644744767</v>
          </cell>
          <cell r="AB1149">
            <v>0</v>
          </cell>
        </row>
        <row r="1150">
          <cell r="X1150">
            <v>1303.6199999999999</v>
          </cell>
          <cell r="Z1150" t="str">
            <v>RA</v>
          </cell>
          <cell r="AA1150">
            <v>326.4280632850236</v>
          </cell>
          <cell r="AB1150">
            <v>0</v>
          </cell>
        </row>
        <row r="1151">
          <cell r="X1151">
            <v>304768</v>
          </cell>
          <cell r="Z1151" t="str">
            <v>RA</v>
          </cell>
          <cell r="AA1151">
            <v>76314.28483089403</v>
          </cell>
          <cell r="AB1151">
            <v>0</v>
          </cell>
        </row>
        <row r="1152">
          <cell r="X1152">
            <v>924.66</v>
          </cell>
          <cell r="Z1152" t="str">
            <v>RA</v>
          </cell>
          <cell r="AA1152">
            <v>231.53600972455925</v>
          </cell>
          <cell r="AB1152">
            <v>0</v>
          </cell>
        </row>
        <row r="1153">
          <cell r="X1153">
            <v>4284.2299999999996</v>
          </cell>
          <cell r="Z1153" t="str">
            <v>RA</v>
          </cell>
          <cell r="AA1153">
            <v>1072.7765004890969</v>
          </cell>
          <cell r="AB1153">
            <v>0</v>
          </cell>
        </row>
        <row r="1154">
          <cell r="X1154">
            <v>1930.36</v>
          </cell>
          <cell r="Z1154" t="str">
            <v>RA</v>
          </cell>
          <cell r="AA1154">
            <v>483.36453586388529</v>
          </cell>
          <cell r="AB1154">
            <v>0</v>
          </cell>
        </row>
        <row r="1155">
          <cell r="X1155">
            <v>2088.2199999999998</v>
          </cell>
          <cell r="Z1155" t="str">
            <v>RA</v>
          </cell>
          <cell r="AA1155">
            <v>522.89287546451567</v>
          </cell>
          <cell r="AB1155">
            <v>0</v>
          </cell>
        </row>
        <row r="1156">
          <cell r="X1156">
            <v>6547.05</v>
          </cell>
          <cell r="Z1156" t="str">
            <v>RA</v>
          </cell>
          <cell r="AA1156">
            <v>1639.3894322963854</v>
          </cell>
          <cell r="AB1156">
            <v>0</v>
          </cell>
        </row>
        <row r="1157">
          <cell r="X1157">
            <v>25371.34</v>
          </cell>
          <cell r="Z1157" t="str">
            <v/>
          </cell>
          <cell r="AA1157">
            <v>6353.0149730334379</v>
          </cell>
          <cell r="AB1157">
            <v>0</v>
          </cell>
        </row>
        <row r="1158">
          <cell r="X1158">
            <v>170.52</v>
          </cell>
          <cell r="Z1158" t="str">
            <v>RA</v>
          </cell>
          <cell r="AA1158">
            <v>42.698419287340045</v>
          </cell>
          <cell r="AB1158">
            <v>0</v>
          </cell>
        </row>
        <row r="1159">
          <cell r="X1159">
            <v>2489.86</v>
          </cell>
          <cell r="Z1159" t="str">
            <v>RA</v>
          </cell>
          <cell r="AA1159">
            <v>623.46402912723715</v>
          </cell>
          <cell r="AB1159">
            <v>0</v>
          </cell>
        </row>
        <row r="1160">
          <cell r="X1160">
            <v>21.72</v>
          </cell>
          <cell r="Z1160" t="str">
            <v>RA</v>
          </cell>
          <cell r="AA1160">
            <v>5.4387149127435235</v>
          </cell>
          <cell r="AB1160">
            <v>0</v>
          </cell>
        </row>
        <row r="1161">
          <cell r="X1161">
            <v>24.64</v>
          </cell>
          <cell r="Z1161" t="str">
            <v>RA</v>
          </cell>
          <cell r="AA1161">
            <v>6.1698865308471653</v>
          </cell>
          <cell r="AB1161">
            <v>0</v>
          </cell>
        </row>
        <row r="1162">
          <cell r="X1162">
            <v>2.2200000000000002</v>
          </cell>
          <cell r="Z1162" t="str">
            <v>RA</v>
          </cell>
          <cell r="AA1162">
            <v>0.55589075075002881</v>
          </cell>
          <cell r="AB1162">
            <v>0</v>
          </cell>
        </row>
        <row r="1163">
          <cell r="X1163">
            <v>104.02</v>
          </cell>
          <cell r="Z1163" t="str">
            <v>RA</v>
          </cell>
          <cell r="AA1163">
            <v>26.046736888746839</v>
          </cell>
          <cell r="AB1163">
            <v>0</v>
          </cell>
        </row>
        <row r="1164">
          <cell r="X1164">
            <v>412.08</v>
          </cell>
          <cell r="Z1164" t="str">
            <v>RA</v>
          </cell>
          <cell r="AA1164">
            <v>103.185342598681</v>
          </cell>
          <cell r="AB1164">
            <v>0</v>
          </cell>
        </row>
        <row r="1165">
          <cell r="X1165">
            <v>49.92</v>
          </cell>
          <cell r="Z1165" t="str">
            <v>RA</v>
          </cell>
          <cell r="AA1165">
            <v>12.500029854703349</v>
          </cell>
          <cell r="AB1165">
            <v>0</v>
          </cell>
        </row>
        <row r="1166">
          <cell r="X1166">
            <v>5.39</v>
          </cell>
          <cell r="Z1166" t="str">
            <v>RA</v>
          </cell>
          <cell r="AA1166">
            <v>1.3496626786228174</v>
          </cell>
          <cell r="AB1166">
            <v>0</v>
          </cell>
        </row>
        <row r="1167">
          <cell r="X1167">
            <v>3.64</v>
          </cell>
          <cell r="Z1167" t="str">
            <v>RA</v>
          </cell>
          <cell r="AA1167">
            <v>0.91146051023878583</v>
          </cell>
          <cell r="AB1167">
            <v>0</v>
          </cell>
        </row>
        <row r="1168">
          <cell r="X1168">
            <v>1061.52</v>
          </cell>
          <cell r="Z1168" t="str">
            <v>RA</v>
          </cell>
          <cell r="AA1168">
            <v>265.80592330458131</v>
          </cell>
          <cell r="AB1168">
            <v>0</v>
          </cell>
        </row>
        <row r="1169">
          <cell r="X1169">
            <v>192.48</v>
          </cell>
          <cell r="Z1169" t="str">
            <v>RA</v>
          </cell>
          <cell r="AA1169">
            <v>48.197230497461945</v>
          </cell>
          <cell r="AB1169">
            <v>0</v>
          </cell>
        </row>
        <row r="1170">
          <cell r="X1170">
            <v>60.87</v>
          </cell>
          <cell r="Z1170" t="str">
            <v>RA</v>
          </cell>
          <cell r="AA1170">
            <v>15.241923422592002</v>
          </cell>
          <cell r="AB1170">
            <v>0</v>
          </cell>
        </row>
        <row r="1171">
          <cell r="X1171">
            <v>115.44</v>
          </cell>
          <cell r="Z1171" t="str">
            <v>RA</v>
          </cell>
          <cell r="AA1171">
            <v>28.906319039001492</v>
          </cell>
          <cell r="AB1171">
            <v>0</v>
          </cell>
        </row>
        <row r="1172">
          <cell r="X1172">
            <v>165.03</v>
          </cell>
          <cell r="Z1172" t="str">
            <v>RA</v>
          </cell>
          <cell r="AA1172">
            <v>41.323716484809566</v>
          </cell>
          <cell r="AB1172">
            <v>0</v>
          </cell>
        </row>
        <row r="1173">
          <cell r="X1173">
            <v>19.190000000000001</v>
          </cell>
          <cell r="Z1173" t="str">
            <v>RA</v>
          </cell>
          <cell r="AA1173">
            <v>4.8051997778797526</v>
          </cell>
          <cell r="AB1173">
            <v>0</v>
          </cell>
        </row>
        <row r="1174">
          <cell r="X1174">
            <v>288.89</v>
          </cell>
          <cell r="Z1174" t="str">
            <v>RA</v>
          </cell>
          <cell r="AA1174">
            <v>72.338413956835936</v>
          </cell>
          <cell r="AB1174">
            <v>0</v>
          </cell>
        </row>
        <row r="1175">
          <cell r="X1175">
            <v>251.06</v>
          </cell>
          <cell r="Z1175" t="str">
            <v>RA</v>
          </cell>
          <cell r="AA1175">
            <v>62.865735082568563</v>
          </cell>
          <cell r="AB1175">
            <v>0</v>
          </cell>
        </row>
        <row r="1176">
          <cell r="X1176">
            <v>1195.9000000000001</v>
          </cell>
          <cell r="Z1176" t="str">
            <v>RA</v>
          </cell>
          <cell r="AA1176">
            <v>299.45484181169343</v>
          </cell>
          <cell r="AB1176">
            <v>0</v>
          </cell>
        </row>
        <row r="1177">
          <cell r="X1177">
            <v>1315.84</v>
          </cell>
          <cell r="Z1177" t="str">
            <v>RA</v>
          </cell>
          <cell r="AA1177">
            <v>329.48796642653951</v>
          </cell>
          <cell r="AB1177">
            <v>0</v>
          </cell>
        </row>
        <row r="1178">
          <cell r="X1178">
            <v>343.22</v>
          </cell>
          <cell r="Z1178" t="str">
            <v>RA</v>
          </cell>
          <cell r="AA1178">
            <v>85.942713275867064</v>
          </cell>
          <cell r="AB1178">
            <v>0</v>
          </cell>
        </row>
        <row r="1179">
          <cell r="X1179">
            <v>349.29</v>
          </cell>
          <cell r="Z1179" t="str">
            <v>RA</v>
          </cell>
          <cell r="AA1179">
            <v>87.462648797061959</v>
          </cell>
          <cell r="AB1179">
            <v>0</v>
          </cell>
        </row>
        <row r="1180">
          <cell r="X1180">
            <v>3850.2</v>
          </cell>
          <cell r="Z1180" t="str">
            <v>RA</v>
          </cell>
          <cell r="AA1180">
            <v>964.09485069268487</v>
          </cell>
          <cell r="AB1180">
            <v>0</v>
          </cell>
        </row>
        <row r="1181">
          <cell r="X1181">
            <v>4647.96</v>
          </cell>
          <cell r="Z1181" t="str">
            <v>RA</v>
          </cell>
          <cell r="AA1181">
            <v>1163.8549431784249</v>
          </cell>
          <cell r="AB1181">
            <v>0</v>
          </cell>
        </row>
        <row r="1182">
          <cell r="X1182">
            <v>8230.44</v>
          </cell>
          <cell r="Z1182" t="str">
            <v>RA</v>
          </cell>
          <cell r="AA1182">
            <v>2060.9123741455255</v>
          </cell>
          <cell r="AB1182">
            <v>0</v>
          </cell>
        </row>
        <row r="1183">
          <cell r="X1183">
            <v>377318.71</v>
          </cell>
          <cell r="Z1183" t="str">
            <v/>
          </cell>
          <cell r="AA1183">
            <v>94481.07251078033</v>
          </cell>
          <cell r="AB1183">
            <v>0</v>
          </cell>
        </row>
        <row r="1184">
          <cell r="X1184">
            <v>69719.69</v>
          </cell>
          <cell r="Z1184" t="str">
            <v/>
          </cell>
          <cell r="AA1184">
            <v>17457.896764035704</v>
          </cell>
          <cell r="AB1184">
            <v>0</v>
          </cell>
        </row>
        <row r="1185">
          <cell r="X1185">
            <v>153.09</v>
          </cell>
          <cell r="Z1185" t="str">
            <v>RA</v>
          </cell>
          <cell r="AA1185">
            <v>38.333925690235091</v>
          </cell>
          <cell r="AB1185">
            <v>0</v>
          </cell>
        </row>
        <row r="1186">
          <cell r="X1186">
            <v>141.55000000000001</v>
          </cell>
          <cell r="Z1186" t="str">
            <v>RA</v>
          </cell>
          <cell r="AA1186">
            <v>35.444295391291249</v>
          </cell>
          <cell r="AB1186">
            <v>0</v>
          </cell>
        </row>
        <row r="1187">
          <cell r="X1187">
            <v>9.6</v>
          </cell>
          <cell r="Z1187" t="str">
            <v>RA</v>
          </cell>
          <cell r="AA1187">
            <v>2.4038518951352592</v>
          </cell>
          <cell r="AB1187">
            <v>0</v>
          </cell>
        </row>
        <row r="1188">
          <cell r="X1188">
            <v>22.53</v>
          </cell>
          <cell r="Z1188" t="str">
            <v>RA</v>
          </cell>
          <cell r="AA1188">
            <v>5.641539916395562</v>
          </cell>
          <cell r="AB1188">
            <v>0</v>
          </cell>
        </row>
        <row r="1189">
          <cell r="X1189">
            <v>18.149999999999999</v>
          </cell>
          <cell r="Z1189" t="str">
            <v>RA</v>
          </cell>
          <cell r="AA1189">
            <v>4.5447824892400996</v>
          </cell>
          <cell r="AB1189">
            <v>0</v>
          </cell>
        </row>
        <row r="1190">
          <cell r="X1190">
            <v>510.09</v>
          </cell>
          <cell r="Z1190" t="str">
            <v>RA</v>
          </cell>
          <cell r="AA1190">
            <v>127.72716804057754</v>
          </cell>
          <cell r="AB1190">
            <v>0</v>
          </cell>
        </row>
        <row r="1191">
          <cell r="X1191">
            <v>291.17</v>
          </cell>
          <cell r="Z1191" t="str">
            <v>RA</v>
          </cell>
          <cell r="AA1191">
            <v>72.909328781930569</v>
          </cell>
          <cell r="AB1191">
            <v>0</v>
          </cell>
        </row>
        <row r="1192">
          <cell r="X1192">
            <v>263.89999999999998</v>
          </cell>
          <cell r="Z1192" t="str">
            <v>RA</v>
          </cell>
          <cell r="AA1192">
            <v>66.08088699231196</v>
          </cell>
          <cell r="AB1192">
            <v>0</v>
          </cell>
        </row>
        <row r="1193">
          <cell r="X1193">
            <v>404.35</v>
          </cell>
          <cell r="Z1193" t="str">
            <v>RA</v>
          </cell>
          <cell r="AA1193">
            <v>101.24974102061897</v>
          </cell>
          <cell r="AB1193">
            <v>0</v>
          </cell>
        </row>
        <row r="1194">
          <cell r="X1194">
            <v>44.23</v>
          </cell>
          <cell r="Z1194" t="str">
            <v>RA</v>
          </cell>
          <cell r="AA1194">
            <v>11.075246804357553</v>
          </cell>
          <cell r="AB1194">
            <v>0</v>
          </cell>
        </row>
        <row r="1195">
          <cell r="X1195">
            <v>1738.44</v>
          </cell>
          <cell r="Z1195" t="str">
            <v>RA</v>
          </cell>
          <cell r="AA1195">
            <v>435.30753006030631</v>
          </cell>
          <cell r="AB1195">
            <v>0</v>
          </cell>
        </row>
        <row r="1196">
          <cell r="X1196">
            <v>102.43</v>
          </cell>
          <cell r="Z1196" t="str">
            <v>RA</v>
          </cell>
          <cell r="AA1196">
            <v>25.648598918615065</v>
          </cell>
          <cell r="AB1196">
            <v>0</v>
          </cell>
        </row>
        <row r="1197">
          <cell r="X1197">
            <v>22264.46</v>
          </cell>
          <cell r="Z1197" t="str">
            <v>RA</v>
          </cell>
          <cell r="AA1197">
            <v>5575.0483713711637</v>
          </cell>
          <cell r="AB1197">
            <v>0</v>
          </cell>
        </row>
        <row r="1198">
          <cell r="X1198">
            <v>14747.25</v>
          </cell>
          <cell r="Z1198" t="str">
            <v>RA</v>
          </cell>
          <cell r="AA1198">
            <v>3692.7296729722348</v>
          </cell>
          <cell r="AB1198">
            <v>0</v>
          </cell>
        </row>
        <row r="1199">
          <cell r="X1199">
            <v>776.1</v>
          </cell>
          <cell r="Z1199" t="str">
            <v>RA</v>
          </cell>
          <cell r="AA1199">
            <v>194.33640164734112</v>
          </cell>
          <cell r="AB1199">
            <v>0</v>
          </cell>
        </row>
        <row r="1200">
          <cell r="X1200">
            <v>1145.52</v>
          </cell>
          <cell r="Z1200" t="str">
            <v>RA</v>
          </cell>
          <cell r="AA1200">
            <v>286.83962738701479</v>
          </cell>
          <cell r="AB1200">
            <v>0</v>
          </cell>
        </row>
        <row r="1201">
          <cell r="X1201">
            <v>11065.98</v>
          </cell>
          <cell r="Z1201" t="str">
            <v>RA</v>
          </cell>
          <cell r="AA1201">
            <v>2770.9351035967579</v>
          </cell>
          <cell r="AB1201">
            <v>0</v>
          </cell>
        </row>
        <row r="1202">
          <cell r="X1202">
            <v>813.12</v>
          </cell>
          <cell r="Z1202" t="str">
            <v>RA</v>
          </cell>
          <cell r="AA1202">
            <v>203.60625551795647</v>
          </cell>
          <cell r="AB1202">
            <v>0</v>
          </cell>
        </row>
        <row r="1203">
          <cell r="X1203">
            <v>162.38</v>
          </cell>
          <cell r="Z1203" t="str">
            <v>RA</v>
          </cell>
          <cell r="AA1203">
            <v>40.660153201256605</v>
          </cell>
          <cell r="AB1203">
            <v>0</v>
          </cell>
        </row>
        <row r="1204">
          <cell r="X1204">
            <v>10259.86</v>
          </cell>
          <cell r="Z1204" t="str">
            <v>RA</v>
          </cell>
          <cell r="AA1204">
            <v>2569.0816567523379</v>
          </cell>
          <cell r="AB1204">
            <v>0</v>
          </cell>
        </row>
        <row r="1205">
          <cell r="X1205">
            <v>312.06</v>
          </cell>
          <cell r="Z1205" t="str">
            <v>RA</v>
          </cell>
          <cell r="AA1205">
            <v>78.14021066624052</v>
          </cell>
          <cell r="AB1205">
            <v>0</v>
          </cell>
        </row>
        <row r="1206">
          <cell r="X1206">
            <v>978.69</v>
          </cell>
          <cell r="Z1206" t="str">
            <v>RA</v>
          </cell>
          <cell r="AA1206">
            <v>245.06518867186739</v>
          </cell>
          <cell r="AB1206">
            <v>0</v>
          </cell>
        </row>
        <row r="1207">
          <cell r="X1207">
            <v>2653.8</v>
          </cell>
          <cell r="Z1207" t="str">
            <v>RA</v>
          </cell>
          <cell r="AA1207">
            <v>664.51480826145325</v>
          </cell>
          <cell r="AB1207">
            <v>0</v>
          </cell>
        </row>
        <row r="1208">
          <cell r="X1208">
            <v>489.22</v>
          </cell>
          <cell r="Z1208" t="str">
            <v>RA</v>
          </cell>
          <cell r="AA1208">
            <v>122.50129418104913</v>
          </cell>
          <cell r="AB1208">
            <v>0</v>
          </cell>
        </row>
        <row r="1209">
          <cell r="X1209">
            <v>44.32</v>
          </cell>
          <cell r="Z1209" t="str">
            <v>RA</v>
          </cell>
          <cell r="AA1209">
            <v>11.097782915874447</v>
          </cell>
          <cell r="AB1209">
            <v>0</v>
          </cell>
        </row>
        <row r="1210">
          <cell r="X1210">
            <v>38</v>
          </cell>
          <cell r="Z1210" t="str">
            <v>RA</v>
          </cell>
          <cell r="AA1210">
            <v>9.5152470849104009</v>
          </cell>
          <cell r="AB1210">
            <v>0</v>
          </cell>
        </row>
        <row r="1211">
          <cell r="X1211">
            <v>184.95</v>
          </cell>
          <cell r="Z1211" t="str">
            <v>RA</v>
          </cell>
          <cell r="AA1211">
            <v>46.311709167215227</v>
          </cell>
          <cell r="AB1211">
            <v>0</v>
          </cell>
        </row>
        <row r="1212">
          <cell r="X1212">
            <v>84.45</v>
          </cell>
          <cell r="Z1212" t="str">
            <v>RA</v>
          </cell>
          <cell r="AA1212">
            <v>21.146384640017985</v>
          </cell>
          <cell r="AB1212">
            <v>0</v>
          </cell>
        </row>
        <row r="1213">
          <cell r="X1213">
            <v>307599.02</v>
          </cell>
          <cell r="Z1213" t="str">
            <v/>
          </cell>
          <cell r="AA1213">
            <v>77023.17574674463</v>
          </cell>
          <cell r="AB1213">
            <v>0</v>
          </cell>
        </row>
        <row r="1214">
          <cell r="X1214">
            <v>111.44</v>
          </cell>
          <cell r="Z1214" t="str">
            <v>RA</v>
          </cell>
          <cell r="AA1214">
            <v>27.904714082695133</v>
          </cell>
          <cell r="AB1214">
            <v>0</v>
          </cell>
        </row>
        <row r="1215">
          <cell r="X1215">
            <v>69.849999999999994</v>
          </cell>
          <cell r="Z1215" t="str">
            <v>RA</v>
          </cell>
          <cell r="AA1215">
            <v>17.490526549499776</v>
          </cell>
          <cell r="AB1215">
            <v>0</v>
          </cell>
        </row>
        <row r="1216">
          <cell r="X1216">
            <v>960.96</v>
          </cell>
          <cell r="Z1216" t="str">
            <v>RA</v>
          </cell>
          <cell r="AA1216">
            <v>240.62557470303946</v>
          </cell>
          <cell r="AB1216">
            <v>0</v>
          </cell>
        </row>
        <row r="1217">
          <cell r="X1217">
            <v>1005.76</v>
          </cell>
          <cell r="Z1217" t="str">
            <v>RA</v>
          </cell>
          <cell r="AA1217">
            <v>251.84355021367065</v>
          </cell>
          <cell r="AB1217">
            <v>0</v>
          </cell>
        </row>
        <row r="1218">
          <cell r="X1218">
            <v>90.82</v>
          </cell>
          <cell r="Z1218" t="str">
            <v>RA</v>
          </cell>
          <cell r="AA1218">
            <v>22.741440532935858</v>
          </cell>
          <cell r="AB1218">
            <v>0</v>
          </cell>
        </row>
        <row r="1219">
          <cell r="X1219">
            <v>766.59</v>
          </cell>
          <cell r="Z1219" t="str">
            <v>RA</v>
          </cell>
          <cell r="AA1219">
            <v>191.95508586372276</v>
          </cell>
          <cell r="AB1219">
            <v>0</v>
          </cell>
        </row>
        <row r="1220">
          <cell r="X1220">
            <v>1963.18</v>
          </cell>
          <cell r="Z1220" t="str">
            <v>RA</v>
          </cell>
          <cell r="AA1220">
            <v>491.58270453037903</v>
          </cell>
          <cell r="AB1220">
            <v>0</v>
          </cell>
        </row>
        <row r="1221">
          <cell r="X1221">
            <v>1322.75</v>
          </cell>
          <cell r="Z1221" t="str">
            <v>RA</v>
          </cell>
          <cell r="AA1221">
            <v>331.21823898855877</v>
          </cell>
          <cell r="AB1221">
            <v>0</v>
          </cell>
        </row>
        <row r="1222">
          <cell r="X1222">
            <v>3853.68</v>
          </cell>
          <cell r="Z1222" t="str">
            <v>RA</v>
          </cell>
          <cell r="AA1222">
            <v>964.96624700467146</v>
          </cell>
          <cell r="AB1222">
            <v>0</v>
          </cell>
        </row>
        <row r="1223">
          <cell r="X1223">
            <v>1162.8900000000001</v>
          </cell>
          <cell r="Z1223" t="str">
            <v>RA</v>
          </cell>
          <cell r="AA1223">
            <v>291.18909690977517</v>
          </cell>
          <cell r="AB1223">
            <v>0</v>
          </cell>
        </row>
        <row r="1224">
          <cell r="X1224">
            <v>12191.52</v>
          </cell>
          <cell r="Z1224" t="str">
            <v>RA</v>
          </cell>
          <cell r="AA1224">
            <v>3052.7717142270226</v>
          </cell>
          <cell r="AB1224">
            <v>0</v>
          </cell>
        </row>
        <row r="1225">
          <cell r="X1225">
            <v>10318.17</v>
          </cell>
          <cell r="Z1225" t="str">
            <v>RA</v>
          </cell>
          <cell r="AA1225">
            <v>2583.6825530028937</v>
          </cell>
          <cell r="AB1225">
            <v>0</v>
          </cell>
        </row>
        <row r="1226">
          <cell r="X1226">
            <v>687.14</v>
          </cell>
          <cell r="Z1226" t="str">
            <v>RA</v>
          </cell>
          <cell r="AA1226">
            <v>172.06070741908772</v>
          </cell>
          <cell r="AB1226">
            <v>0</v>
          </cell>
        </row>
        <row r="1227">
          <cell r="X1227">
            <v>6412.48</v>
          </cell>
          <cell r="Z1227" t="str">
            <v>RA</v>
          </cell>
          <cell r="AA1227">
            <v>1605.6929375538487</v>
          </cell>
          <cell r="AB1227">
            <v>0</v>
          </cell>
        </row>
        <row r="1228">
          <cell r="X1228">
            <v>3206.24</v>
          </cell>
          <cell r="Z1228" t="str">
            <v>RA</v>
          </cell>
          <cell r="AA1228">
            <v>802.84646877692433</v>
          </cell>
          <cell r="AB1228">
            <v>0</v>
          </cell>
        </row>
        <row r="1229">
          <cell r="X1229">
            <v>1885.68</v>
          </cell>
          <cell r="Z1229" t="str">
            <v>RA</v>
          </cell>
          <cell r="AA1229">
            <v>472.17660850194335</v>
          </cell>
          <cell r="AB1229">
            <v>0</v>
          </cell>
        </row>
        <row r="1230">
          <cell r="X1230">
            <v>3206.24</v>
          </cell>
          <cell r="Z1230" t="str">
            <v>RA</v>
          </cell>
          <cell r="AA1230">
            <v>802.84646877692433</v>
          </cell>
          <cell r="AB1230">
            <v>0</v>
          </cell>
        </row>
        <row r="1231">
          <cell r="X1231">
            <v>1355.6</v>
          </cell>
          <cell r="Z1231" t="str">
            <v>RA</v>
          </cell>
          <cell r="AA1231">
            <v>339.44391969222471</v>
          </cell>
          <cell r="AB1231">
            <v>0</v>
          </cell>
        </row>
        <row r="1232">
          <cell r="X1232">
            <v>405.37</v>
          </cell>
          <cell r="Z1232" t="str">
            <v>RA</v>
          </cell>
          <cell r="AA1232">
            <v>101.5051502844771</v>
          </cell>
          <cell r="AB1232">
            <v>0</v>
          </cell>
        </row>
        <row r="1233">
          <cell r="X1233">
            <v>348.24</v>
          </cell>
          <cell r="Z1233" t="str">
            <v>RA</v>
          </cell>
          <cell r="AA1233">
            <v>87.199727496031528</v>
          </cell>
          <cell r="AB1233">
            <v>0</v>
          </cell>
        </row>
        <row r="1234">
          <cell r="X1234">
            <v>840.74</v>
          </cell>
          <cell r="Z1234" t="str">
            <v>RA</v>
          </cell>
          <cell r="AA1234">
            <v>210.52233774125187</v>
          </cell>
          <cell r="AB1234">
            <v>0</v>
          </cell>
        </row>
        <row r="1235">
          <cell r="X1235">
            <v>4284.2299999999996</v>
          </cell>
          <cell r="Z1235" t="str">
            <v>RA</v>
          </cell>
          <cell r="AA1235">
            <v>1072.7765004890969</v>
          </cell>
          <cell r="AB1235">
            <v>0</v>
          </cell>
        </row>
        <row r="1236">
          <cell r="X1236">
            <v>1315.64</v>
          </cell>
          <cell r="Z1236" t="str">
            <v>RA</v>
          </cell>
          <cell r="AA1236">
            <v>329.43788617872423</v>
          </cell>
          <cell r="AB1236">
            <v>0</v>
          </cell>
        </row>
        <row r="1237">
          <cell r="X1237">
            <v>3515.09</v>
          </cell>
          <cell r="Z1237" t="str">
            <v>RA</v>
          </cell>
          <cell r="AA1237">
            <v>880.18289146572909</v>
          </cell>
          <cell r="AB1237">
            <v>0</v>
          </cell>
        </row>
        <row r="1238">
          <cell r="X1238">
            <v>4284.2299999999996</v>
          </cell>
          <cell r="Z1238" t="str">
            <v>RA</v>
          </cell>
          <cell r="AA1238">
            <v>1072.7765004890969</v>
          </cell>
          <cell r="AB1238">
            <v>0</v>
          </cell>
        </row>
        <row r="1239">
          <cell r="X1239">
            <v>4964.08</v>
          </cell>
          <cell r="Z1239" t="str">
            <v>RA</v>
          </cell>
          <cell r="AA1239">
            <v>1243.0117828753164</v>
          </cell>
          <cell r="AB1239">
            <v>0</v>
          </cell>
        </row>
        <row r="1240">
          <cell r="X1240">
            <v>613.24</v>
          </cell>
          <cell r="Z1240" t="str">
            <v>RA</v>
          </cell>
          <cell r="AA1240">
            <v>153.55605585132776</v>
          </cell>
          <cell r="AB1240">
            <v>0</v>
          </cell>
        </row>
        <row r="1241">
          <cell r="X1241">
            <v>3177.93</v>
          </cell>
          <cell r="Z1241" t="str">
            <v>RA</v>
          </cell>
          <cell r="AA1241">
            <v>795.7576096986661</v>
          </cell>
          <cell r="AB1241">
            <v>0</v>
          </cell>
        </row>
        <row r="1242">
          <cell r="X1242">
            <v>438.76</v>
          </cell>
          <cell r="Z1242" t="str">
            <v>RA</v>
          </cell>
          <cell r="AA1242">
            <v>109.86604765724441</v>
          </cell>
          <cell r="AB1242">
            <v>0</v>
          </cell>
        </row>
        <row r="1243">
          <cell r="X1243">
            <v>455.63</v>
          </cell>
          <cell r="Z1243" t="str">
            <v>RA</v>
          </cell>
          <cell r="AA1243">
            <v>114.09031656046648</v>
          </cell>
          <cell r="AB1243">
            <v>0</v>
          </cell>
        </row>
        <row r="1244">
          <cell r="X1244">
            <v>508.1</v>
          </cell>
          <cell r="Z1244" t="str">
            <v>RA</v>
          </cell>
          <cell r="AA1244">
            <v>127.22886957481514</v>
          </cell>
          <cell r="AB1244">
            <v>0</v>
          </cell>
        </row>
        <row r="1245">
          <cell r="X1245">
            <v>217272.2</v>
          </cell>
          <cell r="Z1245" t="str">
            <v>RA</v>
          </cell>
          <cell r="AA1245">
            <v>54405.228096896572</v>
          </cell>
          <cell r="AB1245">
            <v>0</v>
          </cell>
        </row>
        <row r="1246">
          <cell r="X1246">
            <v>264.55</v>
          </cell>
          <cell r="Z1246" t="str">
            <v>RA</v>
          </cell>
          <cell r="AA1246">
            <v>66.243647797711759</v>
          </cell>
          <cell r="AB1246">
            <v>0</v>
          </cell>
        </row>
        <row r="1247">
          <cell r="X1247">
            <v>2616.9899999999998</v>
          </cell>
          <cell r="Z1247" t="str">
            <v>RA</v>
          </cell>
          <cell r="AA1247">
            <v>655.29753865104396</v>
          </cell>
          <cell r="AB1247">
            <v>0</v>
          </cell>
        </row>
        <row r="1248">
          <cell r="X1248">
            <v>511.06</v>
          </cell>
          <cell r="Z1248" t="str">
            <v>RA</v>
          </cell>
          <cell r="AA1248">
            <v>127.97005724248183</v>
          </cell>
          <cell r="AB1248">
            <v>0</v>
          </cell>
        </row>
        <row r="1249">
          <cell r="X1249">
            <v>2798.24</v>
          </cell>
          <cell r="Z1249" t="str">
            <v>RA</v>
          </cell>
          <cell r="AA1249">
            <v>700.68276323367581</v>
          </cell>
          <cell r="AB1249">
            <v>0</v>
          </cell>
        </row>
        <row r="1250">
          <cell r="X1250">
            <v>2499.2800000000002</v>
          </cell>
          <cell r="Z1250" t="str">
            <v>RA</v>
          </cell>
          <cell r="AA1250">
            <v>625.82280879933865</v>
          </cell>
          <cell r="AB1250">
            <v>0</v>
          </cell>
        </row>
        <row r="1251">
          <cell r="X1251">
            <v>219.66</v>
          </cell>
          <cell r="Z1251" t="str">
            <v>RA</v>
          </cell>
          <cell r="AA1251">
            <v>55.003136175563654</v>
          </cell>
          <cell r="AB1251">
            <v>0</v>
          </cell>
        </row>
        <row r="1252">
          <cell r="X1252">
            <v>290.33999999999997</v>
          </cell>
          <cell r="Z1252" t="str">
            <v>RA</v>
          </cell>
          <cell r="AA1252">
            <v>72.701495753496985</v>
          </cell>
          <cell r="AB1252">
            <v>0</v>
          </cell>
        </row>
        <row r="1253">
          <cell r="X1253">
            <v>2402.1</v>
          </cell>
          <cell r="Z1253" t="str">
            <v>RA</v>
          </cell>
          <cell r="AA1253">
            <v>601.48881638587568</v>
          </cell>
          <cell r="AB1253">
            <v>0</v>
          </cell>
        </row>
        <row r="1254">
          <cell r="X1254">
            <v>255.53</v>
          </cell>
          <cell r="Z1254" t="str">
            <v>RA</v>
          </cell>
          <cell r="AA1254">
            <v>63.985028621240915</v>
          </cell>
          <cell r="AB1254">
            <v>0</v>
          </cell>
        </row>
        <row r="1255">
          <cell r="X1255">
            <v>2667</v>
          </cell>
          <cell r="Z1255" t="str">
            <v>RA</v>
          </cell>
          <cell r="AA1255">
            <v>667.82010461726418</v>
          </cell>
          <cell r="AB1255">
            <v>0</v>
          </cell>
        </row>
        <row r="1256">
          <cell r="X1256">
            <v>7.96</v>
          </cell>
          <cell r="Z1256" t="str">
            <v>RA</v>
          </cell>
          <cell r="AA1256">
            <v>1.9931938630496524</v>
          </cell>
          <cell r="AB1256">
            <v>0</v>
          </cell>
        </row>
        <row r="1257">
          <cell r="X1257">
            <v>71.84</v>
          </cell>
          <cell r="Z1257" t="str">
            <v>RA</v>
          </cell>
          <cell r="AA1257">
            <v>17.98882501526219</v>
          </cell>
          <cell r="AB1257">
            <v>0</v>
          </cell>
        </row>
      </sheetData>
      <sheetData sheetId="5">
        <row r="1">
          <cell r="C1" t="e">
            <v>#REF!</v>
          </cell>
        </row>
        <row r="4">
          <cell r="C4" t="str">
            <v>PROPONENTE / TOMADOR</v>
          </cell>
        </row>
        <row r="5">
          <cell r="C5" t="str">
            <v>SERVIÇO AUTÁRQUICO DE ÁGUA E ESGOTO</v>
          </cell>
        </row>
        <row r="6">
          <cell r="B6" t="str">
            <v>Automática, conforme os agrupadores Nível 2 do Orçamento</v>
          </cell>
          <cell r="C6" t="str">
            <v>1. Selecione abaixo a forma de definição dos agrupadores de eventos:</v>
          </cell>
        </row>
        <row r="7">
          <cell r="B7" t="str">
            <v>Automática, conforme os agrupadores Nível 3 do Orçamento</v>
          </cell>
        </row>
        <row r="8">
          <cell r="B8" t="str">
            <v>Automática, conforme os agrupadores Nível 4 do Orçamento</v>
          </cell>
          <cell r="C8" t="str">
            <v>Definir Manualmente</v>
          </cell>
        </row>
        <row r="9">
          <cell r="B9" t="str">
            <v>Definir Manualmente</v>
          </cell>
        </row>
        <row r="10">
          <cell r="C10">
            <v>32</v>
          </cell>
        </row>
        <row r="11">
          <cell r="C11" t="str">
            <v>Foi selecionado na aba 'MENU' o acompanhamento por BM. Não há necessidade de definição de Eventos.</v>
          </cell>
        </row>
        <row r="13">
          <cell r="C13" t="str">
            <v>Nº do Evento</v>
          </cell>
        </row>
        <row r="15">
          <cell r="A15" t="str">
            <v/>
          </cell>
          <cell r="B15" t="str">
            <v/>
          </cell>
          <cell r="C15">
            <v>0</v>
          </cell>
          <cell r="D15" t="str">
            <v/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</row>
        <row r="16">
          <cell r="C16">
            <v>1</v>
          </cell>
        </row>
        <row r="17">
          <cell r="C17">
            <v>2</v>
          </cell>
        </row>
        <row r="18">
          <cell r="C18">
            <v>3</v>
          </cell>
        </row>
        <row r="19">
          <cell r="C19">
            <v>4</v>
          </cell>
        </row>
        <row r="20">
          <cell r="C20">
            <v>5</v>
          </cell>
        </row>
        <row r="21">
          <cell r="C21">
            <v>6</v>
          </cell>
        </row>
        <row r="22">
          <cell r="C22">
            <v>7</v>
          </cell>
        </row>
        <row r="23">
          <cell r="C23">
            <v>8</v>
          </cell>
        </row>
        <row r="24">
          <cell r="C24">
            <v>9</v>
          </cell>
        </row>
        <row r="25">
          <cell r="C25">
            <v>10</v>
          </cell>
        </row>
        <row r="26">
          <cell r="C26">
            <v>11</v>
          </cell>
        </row>
        <row r="27">
          <cell r="C27">
            <v>12</v>
          </cell>
        </row>
        <row r="28">
          <cell r="C28">
            <v>13</v>
          </cell>
        </row>
        <row r="29">
          <cell r="C29">
            <v>14</v>
          </cell>
        </row>
        <row r="30">
          <cell r="C30">
            <v>15</v>
          </cell>
        </row>
        <row r="31">
          <cell r="C31">
            <v>16</v>
          </cell>
        </row>
        <row r="32">
          <cell r="C32">
            <v>17</v>
          </cell>
        </row>
        <row r="33">
          <cell r="C33">
            <v>18</v>
          </cell>
        </row>
        <row r="34">
          <cell r="C34">
            <v>19</v>
          </cell>
        </row>
        <row r="35">
          <cell r="C35">
            <v>20</v>
          </cell>
        </row>
        <row r="36">
          <cell r="C36">
            <v>21</v>
          </cell>
        </row>
        <row r="37">
          <cell r="C37">
            <v>22</v>
          </cell>
        </row>
        <row r="38">
          <cell r="C38">
            <v>23</v>
          </cell>
        </row>
        <row r="39">
          <cell r="C39">
            <v>24</v>
          </cell>
        </row>
        <row r="40">
          <cell r="C40">
            <v>25</v>
          </cell>
        </row>
        <row r="41">
          <cell r="C41">
            <v>26</v>
          </cell>
        </row>
        <row r="42">
          <cell r="C42">
            <v>27</v>
          </cell>
        </row>
        <row r="43">
          <cell r="C43">
            <v>28</v>
          </cell>
        </row>
        <row r="44">
          <cell r="C44">
            <v>29</v>
          </cell>
        </row>
        <row r="45">
          <cell r="C45">
            <v>30</v>
          </cell>
        </row>
        <row r="46">
          <cell r="C46">
            <v>31</v>
          </cell>
        </row>
        <row r="47">
          <cell r="C47">
            <v>32</v>
          </cell>
        </row>
        <row r="48">
          <cell r="C48">
            <v>33</v>
          </cell>
        </row>
      </sheetData>
      <sheetData sheetId="6">
        <row r="1">
          <cell r="M1">
            <v>0</v>
          </cell>
        </row>
        <row r="11">
          <cell r="A11" t="str">
            <v>Manual</v>
          </cell>
        </row>
        <row r="12">
          <cell r="A12" t="str">
            <v>Manual</v>
          </cell>
          <cell r="Q12" t="str">
            <v>MÊS 1</v>
          </cell>
          <cell r="AQ12" t="str">
            <v>.</v>
          </cell>
        </row>
        <row r="15">
          <cell r="M15">
            <v>0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>
            <v>1</v>
          </cell>
        </row>
        <row r="20">
          <cell r="M20">
            <v>1</v>
          </cell>
        </row>
        <row r="21">
          <cell r="M21">
            <v>0</v>
          </cell>
        </row>
        <row r="22">
          <cell r="M22">
            <v>1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 t="str">
            <v/>
          </cell>
        </row>
        <row r="27">
          <cell r="M27">
            <v>1</v>
          </cell>
        </row>
        <row r="28">
          <cell r="M28" t="str">
            <v/>
          </cell>
        </row>
        <row r="29">
          <cell r="M29" t="str">
            <v/>
          </cell>
        </row>
        <row r="30">
          <cell r="M30">
            <v>1</v>
          </cell>
        </row>
        <row r="31">
          <cell r="M31">
            <v>1</v>
          </cell>
        </row>
        <row r="32">
          <cell r="M32">
            <v>1</v>
          </cell>
        </row>
        <row r="33">
          <cell r="M33">
            <v>0</v>
          </cell>
        </row>
        <row r="34">
          <cell r="M34">
            <v>2</v>
          </cell>
        </row>
        <row r="35">
          <cell r="M35">
            <v>0</v>
          </cell>
        </row>
        <row r="36">
          <cell r="M36">
            <v>3</v>
          </cell>
        </row>
        <row r="37">
          <cell r="M37">
            <v>3</v>
          </cell>
        </row>
        <row r="38">
          <cell r="M38">
            <v>3</v>
          </cell>
        </row>
        <row r="39">
          <cell r="M39">
            <v>3</v>
          </cell>
        </row>
        <row r="40">
          <cell r="M40">
            <v>3</v>
          </cell>
        </row>
        <row r="41">
          <cell r="M41">
            <v>3</v>
          </cell>
        </row>
        <row r="42">
          <cell r="M42">
            <v>3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4</v>
          </cell>
        </row>
        <row r="46">
          <cell r="M46">
            <v>4</v>
          </cell>
        </row>
        <row r="47">
          <cell r="M47">
            <v>4</v>
          </cell>
        </row>
        <row r="48">
          <cell r="M48" t="str">
            <v/>
          </cell>
        </row>
        <row r="49">
          <cell r="M49">
            <v>4</v>
          </cell>
        </row>
        <row r="50">
          <cell r="M50">
            <v>4</v>
          </cell>
        </row>
        <row r="51">
          <cell r="M51">
            <v>4</v>
          </cell>
        </row>
        <row r="52">
          <cell r="M52">
            <v>4</v>
          </cell>
        </row>
        <row r="53">
          <cell r="M53">
            <v>4</v>
          </cell>
        </row>
        <row r="54">
          <cell r="M54">
            <v>4</v>
          </cell>
        </row>
        <row r="55">
          <cell r="M55">
            <v>4</v>
          </cell>
        </row>
        <row r="56">
          <cell r="M56">
            <v>4</v>
          </cell>
        </row>
        <row r="57">
          <cell r="M57">
            <v>4</v>
          </cell>
        </row>
        <row r="58">
          <cell r="M58">
            <v>4</v>
          </cell>
        </row>
        <row r="59">
          <cell r="M59">
            <v>4</v>
          </cell>
        </row>
        <row r="60">
          <cell r="M60">
            <v>4</v>
          </cell>
        </row>
        <row r="61">
          <cell r="M61">
            <v>4</v>
          </cell>
        </row>
        <row r="62">
          <cell r="M62">
            <v>4</v>
          </cell>
        </row>
        <row r="63">
          <cell r="M63">
            <v>4</v>
          </cell>
        </row>
        <row r="64">
          <cell r="M64">
            <v>0</v>
          </cell>
        </row>
        <row r="65">
          <cell r="M65">
            <v>4</v>
          </cell>
        </row>
        <row r="66">
          <cell r="M66">
            <v>4</v>
          </cell>
        </row>
        <row r="67">
          <cell r="M67">
            <v>4</v>
          </cell>
        </row>
        <row r="68">
          <cell r="M68">
            <v>4</v>
          </cell>
        </row>
        <row r="69">
          <cell r="M69">
            <v>4</v>
          </cell>
        </row>
        <row r="70">
          <cell r="M70">
            <v>4</v>
          </cell>
        </row>
        <row r="71">
          <cell r="M71">
            <v>4</v>
          </cell>
        </row>
        <row r="72">
          <cell r="M72">
            <v>4</v>
          </cell>
        </row>
        <row r="73">
          <cell r="M73">
            <v>4</v>
          </cell>
        </row>
        <row r="74">
          <cell r="M74" t="str">
            <v/>
          </cell>
        </row>
        <row r="75">
          <cell r="M75">
            <v>4</v>
          </cell>
        </row>
        <row r="76">
          <cell r="M76">
            <v>4</v>
          </cell>
        </row>
        <row r="77">
          <cell r="M77">
            <v>4</v>
          </cell>
        </row>
        <row r="78">
          <cell r="M78">
            <v>4</v>
          </cell>
        </row>
        <row r="79">
          <cell r="M79" t="str">
            <v/>
          </cell>
        </row>
        <row r="80">
          <cell r="M80" t="str">
            <v/>
          </cell>
        </row>
        <row r="81">
          <cell r="M81">
            <v>4</v>
          </cell>
        </row>
        <row r="82">
          <cell r="M82">
            <v>4</v>
          </cell>
        </row>
        <row r="83">
          <cell r="M83">
            <v>4</v>
          </cell>
        </row>
        <row r="84">
          <cell r="M84">
            <v>4</v>
          </cell>
        </row>
        <row r="85">
          <cell r="M85">
            <v>4</v>
          </cell>
        </row>
        <row r="86">
          <cell r="M86">
            <v>4</v>
          </cell>
        </row>
        <row r="87">
          <cell r="M87">
            <v>4</v>
          </cell>
        </row>
        <row r="88">
          <cell r="M88">
            <v>0</v>
          </cell>
        </row>
        <row r="89">
          <cell r="M89">
            <v>4</v>
          </cell>
        </row>
        <row r="90">
          <cell r="M90" t="str">
            <v/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5</v>
          </cell>
        </row>
        <row r="94">
          <cell r="M94" t="str">
            <v/>
          </cell>
        </row>
        <row r="95">
          <cell r="M95">
            <v>5</v>
          </cell>
        </row>
        <row r="96">
          <cell r="M96">
            <v>5</v>
          </cell>
        </row>
        <row r="97">
          <cell r="M97">
            <v>5</v>
          </cell>
        </row>
        <row r="98">
          <cell r="M98">
            <v>5</v>
          </cell>
        </row>
        <row r="99">
          <cell r="M99">
            <v>5</v>
          </cell>
        </row>
        <row r="100">
          <cell r="M100">
            <v>5</v>
          </cell>
        </row>
        <row r="101">
          <cell r="M101">
            <v>5</v>
          </cell>
        </row>
        <row r="102">
          <cell r="M102">
            <v>5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5</v>
          </cell>
        </row>
        <row r="106">
          <cell r="M106">
            <v>5</v>
          </cell>
        </row>
        <row r="107">
          <cell r="M107">
            <v>5</v>
          </cell>
        </row>
        <row r="108">
          <cell r="M108">
            <v>0</v>
          </cell>
        </row>
        <row r="109">
          <cell r="M109">
            <v>5</v>
          </cell>
        </row>
        <row r="110">
          <cell r="M110">
            <v>5</v>
          </cell>
        </row>
        <row r="111">
          <cell r="M111">
            <v>5</v>
          </cell>
        </row>
        <row r="112">
          <cell r="M112">
            <v>0</v>
          </cell>
        </row>
        <row r="113">
          <cell r="M113">
            <v>6</v>
          </cell>
        </row>
        <row r="114">
          <cell r="M114">
            <v>6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6</v>
          </cell>
        </row>
        <row r="118">
          <cell r="M118">
            <v>6</v>
          </cell>
        </row>
        <row r="119">
          <cell r="M119" t="str">
            <v/>
          </cell>
        </row>
        <row r="120">
          <cell r="M120" t="str">
            <v/>
          </cell>
        </row>
        <row r="121">
          <cell r="M121">
            <v>6</v>
          </cell>
        </row>
        <row r="122">
          <cell r="M122">
            <v>6</v>
          </cell>
        </row>
        <row r="123">
          <cell r="M123">
            <v>6</v>
          </cell>
        </row>
        <row r="124">
          <cell r="M124">
            <v>6</v>
          </cell>
        </row>
        <row r="125">
          <cell r="M125">
            <v>6</v>
          </cell>
        </row>
        <row r="126">
          <cell r="M126">
            <v>6</v>
          </cell>
        </row>
        <row r="127">
          <cell r="M127">
            <v>6</v>
          </cell>
        </row>
        <row r="128">
          <cell r="M128">
            <v>6</v>
          </cell>
        </row>
        <row r="129">
          <cell r="M129">
            <v>6</v>
          </cell>
        </row>
        <row r="130">
          <cell r="M130">
            <v>6</v>
          </cell>
        </row>
        <row r="131">
          <cell r="M131">
            <v>6</v>
          </cell>
        </row>
        <row r="132">
          <cell r="M132">
            <v>6</v>
          </cell>
        </row>
        <row r="133">
          <cell r="M133">
            <v>6</v>
          </cell>
        </row>
        <row r="134">
          <cell r="M134">
            <v>6</v>
          </cell>
        </row>
        <row r="135">
          <cell r="M135">
            <v>0</v>
          </cell>
        </row>
        <row r="136">
          <cell r="M136">
            <v>7</v>
          </cell>
        </row>
        <row r="137">
          <cell r="M137">
            <v>7</v>
          </cell>
        </row>
        <row r="138">
          <cell r="M138">
            <v>7</v>
          </cell>
        </row>
        <row r="139">
          <cell r="M139">
            <v>7</v>
          </cell>
        </row>
        <row r="140">
          <cell r="M140">
            <v>7</v>
          </cell>
        </row>
        <row r="141">
          <cell r="M141">
            <v>7</v>
          </cell>
        </row>
        <row r="142">
          <cell r="M142">
            <v>7</v>
          </cell>
        </row>
        <row r="143">
          <cell r="M143">
            <v>7</v>
          </cell>
        </row>
        <row r="144">
          <cell r="M144">
            <v>7</v>
          </cell>
        </row>
        <row r="145">
          <cell r="M145">
            <v>7</v>
          </cell>
        </row>
        <row r="146">
          <cell r="M146">
            <v>0</v>
          </cell>
        </row>
        <row r="147">
          <cell r="M147">
            <v>7</v>
          </cell>
        </row>
        <row r="148">
          <cell r="M148">
            <v>7</v>
          </cell>
        </row>
        <row r="149">
          <cell r="M149">
            <v>7</v>
          </cell>
        </row>
        <row r="150">
          <cell r="M150">
            <v>7</v>
          </cell>
        </row>
        <row r="151">
          <cell r="M151">
            <v>7</v>
          </cell>
        </row>
        <row r="152">
          <cell r="M152">
            <v>7</v>
          </cell>
        </row>
        <row r="153">
          <cell r="M153">
            <v>7</v>
          </cell>
        </row>
        <row r="154">
          <cell r="M154">
            <v>7</v>
          </cell>
        </row>
        <row r="155">
          <cell r="M155" t="str">
            <v/>
          </cell>
        </row>
        <row r="156">
          <cell r="M156">
            <v>7</v>
          </cell>
        </row>
        <row r="157">
          <cell r="M157">
            <v>7</v>
          </cell>
        </row>
        <row r="158">
          <cell r="M158">
            <v>7</v>
          </cell>
        </row>
        <row r="159">
          <cell r="M159">
            <v>7</v>
          </cell>
        </row>
        <row r="160">
          <cell r="M160">
            <v>7</v>
          </cell>
        </row>
        <row r="161">
          <cell r="M161">
            <v>7</v>
          </cell>
        </row>
        <row r="162">
          <cell r="M162">
            <v>7</v>
          </cell>
        </row>
        <row r="163">
          <cell r="M163">
            <v>7</v>
          </cell>
        </row>
        <row r="164">
          <cell r="M164">
            <v>7</v>
          </cell>
        </row>
        <row r="165">
          <cell r="M165">
            <v>7</v>
          </cell>
        </row>
        <row r="166">
          <cell r="M166">
            <v>7</v>
          </cell>
        </row>
        <row r="167">
          <cell r="M167">
            <v>7</v>
          </cell>
        </row>
        <row r="168">
          <cell r="M168">
            <v>7</v>
          </cell>
        </row>
        <row r="169">
          <cell r="M169">
            <v>7</v>
          </cell>
        </row>
        <row r="170">
          <cell r="M170">
            <v>7</v>
          </cell>
        </row>
        <row r="171">
          <cell r="M171">
            <v>0</v>
          </cell>
        </row>
        <row r="172">
          <cell r="M172">
            <v>7</v>
          </cell>
        </row>
        <row r="173">
          <cell r="M173">
            <v>7</v>
          </cell>
        </row>
        <row r="174">
          <cell r="M174">
            <v>7</v>
          </cell>
        </row>
        <row r="175">
          <cell r="M175">
            <v>7</v>
          </cell>
        </row>
        <row r="176">
          <cell r="M176">
            <v>7</v>
          </cell>
        </row>
        <row r="177">
          <cell r="M177">
            <v>7</v>
          </cell>
        </row>
        <row r="178">
          <cell r="M178">
            <v>7</v>
          </cell>
        </row>
        <row r="179">
          <cell r="M179">
            <v>7</v>
          </cell>
        </row>
        <row r="180">
          <cell r="M180">
            <v>7</v>
          </cell>
        </row>
        <row r="181">
          <cell r="M181">
            <v>7</v>
          </cell>
        </row>
        <row r="182">
          <cell r="M182">
            <v>7</v>
          </cell>
        </row>
        <row r="183">
          <cell r="M183">
            <v>7</v>
          </cell>
        </row>
        <row r="184">
          <cell r="M184">
            <v>7</v>
          </cell>
        </row>
        <row r="185">
          <cell r="M185">
            <v>7</v>
          </cell>
        </row>
        <row r="186">
          <cell r="M186">
            <v>7</v>
          </cell>
        </row>
        <row r="187">
          <cell r="M187">
            <v>7</v>
          </cell>
        </row>
        <row r="188">
          <cell r="M188">
            <v>7</v>
          </cell>
        </row>
        <row r="189">
          <cell r="M189">
            <v>7</v>
          </cell>
        </row>
        <row r="190">
          <cell r="M190">
            <v>7</v>
          </cell>
        </row>
        <row r="191">
          <cell r="M191">
            <v>7</v>
          </cell>
        </row>
        <row r="192">
          <cell r="M192">
            <v>7</v>
          </cell>
        </row>
        <row r="193">
          <cell r="M193">
            <v>7</v>
          </cell>
        </row>
        <row r="194">
          <cell r="M194">
            <v>7</v>
          </cell>
        </row>
        <row r="195">
          <cell r="M195">
            <v>7</v>
          </cell>
        </row>
        <row r="196">
          <cell r="M196">
            <v>7</v>
          </cell>
        </row>
        <row r="197">
          <cell r="M197">
            <v>7</v>
          </cell>
        </row>
        <row r="198">
          <cell r="M198">
            <v>7</v>
          </cell>
        </row>
        <row r="199">
          <cell r="M199">
            <v>7</v>
          </cell>
        </row>
        <row r="200">
          <cell r="M200">
            <v>7</v>
          </cell>
        </row>
        <row r="201">
          <cell r="M201">
            <v>7</v>
          </cell>
        </row>
        <row r="202">
          <cell r="M202">
            <v>7</v>
          </cell>
        </row>
        <row r="203">
          <cell r="M203">
            <v>7</v>
          </cell>
        </row>
        <row r="204">
          <cell r="M204">
            <v>7</v>
          </cell>
        </row>
        <row r="205">
          <cell r="M205">
            <v>7</v>
          </cell>
        </row>
        <row r="206">
          <cell r="M206">
            <v>7</v>
          </cell>
        </row>
        <row r="207">
          <cell r="M207">
            <v>7</v>
          </cell>
        </row>
        <row r="208">
          <cell r="M208" t="str">
            <v/>
          </cell>
        </row>
        <row r="209">
          <cell r="M209">
            <v>7</v>
          </cell>
        </row>
        <row r="210">
          <cell r="M210" t="str">
            <v/>
          </cell>
        </row>
        <row r="211">
          <cell r="M211" t="str">
            <v/>
          </cell>
        </row>
        <row r="212">
          <cell r="M212">
            <v>7</v>
          </cell>
        </row>
        <row r="213">
          <cell r="M213">
            <v>7</v>
          </cell>
        </row>
        <row r="214">
          <cell r="M214">
            <v>7</v>
          </cell>
        </row>
        <row r="215">
          <cell r="M215">
            <v>7</v>
          </cell>
        </row>
        <row r="216">
          <cell r="M216">
            <v>7</v>
          </cell>
        </row>
        <row r="217">
          <cell r="M217">
            <v>7</v>
          </cell>
        </row>
        <row r="218">
          <cell r="M218">
            <v>7</v>
          </cell>
        </row>
        <row r="219">
          <cell r="M219">
            <v>7</v>
          </cell>
        </row>
        <row r="220">
          <cell r="M220">
            <v>7</v>
          </cell>
        </row>
        <row r="221">
          <cell r="M221">
            <v>7</v>
          </cell>
        </row>
        <row r="222">
          <cell r="M222">
            <v>7</v>
          </cell>
        </row>
        <row r="223">
          <cell r="M223">
            <v>7</v>
          </cell>
        </row>
        <row r="224">
          <cell r="M224">
            <v>0</v>
          </cell>
        </row>
        <row r="225">
          <cell r="M225">
            <v>7</v>
          </cell>
        </row>
        <row r="226">
          <cell r="M226">
            <v>0</v>
          </cell>
        </row>
        <row r="227">
          <cell r="M227">
            <v>8</v>
          </cell>
        </row>
        <row r="228">
          <cell r="M228">
            <v>8</v>
          </cell>
        </row>
        <row r="229">
          <cell r="M229">
            <v>8</v>
          </cell>
        </row>
        <row r="230">
          <cell r="M230">
            <v>8</v>
          </cell>
        </row>
        <row r="231">
          <cell r="M231">
            <v>8</v>
          </cell>
        </row>
        <row r="232">
          <cell r="M232">
            <v>8</v>
          </cell>
        </row>
        <row r="233">
          <cell r="M233">
            <v>8</v>
          </cell>
        </row>
        <row r="234">
          <cell r="M234">
            <v>8</v>
          </cell>
        </row>
        <row r="235">
          <cell r="M235">
            <v>8</v>
          </cell>
        </row>
        <row r="236">
          <cell r="M236">
            <v>8</v>
          </cell>
        </row>
        <row r="237">
          <cell r="M237" t="str">
            <v/>
          </cell>
        </row>
        <row r="238">
          <cell r="M238">
            <v>8</v>
          </cell>
        </row>
        <row r="239">
          <cell r="M239">
            <v>8</v>
          </cell>
        </row>
        <row r="240">
          <cell r="M240">
            <v>8</v>
          </cell>
        </row>
        <row r="241">
          <cell r="M241">
            <v>8</v>
          </cell>
        </row>
        <row r="242">
          <cell r="M242">
            <v>8</v>
          </cell>
        </row>
        <row r="243">
          <cell r="M243">
            <v>8</v>
          </cell>
        </row>
        <row r="244">
          <cell r="M244">
            <v>8</v>
          </cell>
        </row>
        <row r="245">
          <cell r="M245">
            <v>8</v>
          </cell>
        </row>
        <row r="246">
          <cell r="M246">
            <v>8</v>
          </cell>
        </row>
        <row r="247">
          <cell r="M247">
            <v>8</v>
          </cell>
        </row>
        <row r="248">
          <cell r="M248">
            <v>8</v>
          </cell>
        </row>
        <row r="249">
          <cell r="M249">
            <v>8</v>
          </cell>
        </row>
        <row r="250">
          <cell r="M250">
            <v>8</v>
          </cell>
        </row>
        <row r="251">
          <cell r="M251">
            <v>8</v>
          </cell>
        </row>
        <row r="252">
          <cell r="M252">
            <v>8</v>
          </cell>
        </row>
        <row r="253">
          <cell r="M253">
            <v>8</v>
          </cell>
        </row>
        <row r="254">
          <cell r="M254">
            <v>9</v>
          </cell>
        </row>
        <row r="255">
          <cell r="M255">
            <v>9</v>
          </cell>
        </row>
        <row r="256">
          <cell r="M256">
            <v>9</v>
          </cell>
        </row>
        <row r="257">
          <cell r="M257">
            <v>9</v>
          </cell>
        </row>
        <row r="258">
          <cell r="M258">
            <v>9</v>
          </cell>
        </row>
        <row r="259">
          <cell r="M259">
            <v>9</v>
          </cell>
        </row>
        <row r="260">
          <cell r="M260">
            <v>9</v>
          </cell>
        </row>
        <row r="261">
          <cell r="M261">
            <v>9</v>
          </cell>
        </row>
        <row r="262">
          <cell r="M262">
            <v>9</v>
          </cell>
        </row>
        <row r="263">
          <cell r="M263">
            <v>9</v>
          </cell>
        </row>
        <row r="264">
          <cell r="M264">
            <v>9</v>
          </cell>
        </row>
        <row r="265">
          <cell r="M265">
            <v>9</v>
          </cell>
        </row>
        <row r="266">
          <cell r="M266">
            <v>9</v>
          </cell>
        </row>
        <row r="267">
          <cell r="M267">
            <v>9</v>
          </cell>
        </row>
        <row r="268">
          <cell r="M268">
            <v>9</v>
          </cell>
        </row>
        <row r="269">
          <cell r="M269">
            <v>9</v>
          </cell>
        </row>
        <row r="270">
          <cell r="M270">
            <v>9</v>
          </cell>
        </row>
        <row r="271">
          <cell r="M271">
            <v>9</v>
          </cell>
        </row>
        <row r="272">
          <cell r="M272">
            <v>9</v>
          </cell>
        </row>
        <row r="273">
          <cell r="M273">
            <v>9</v>
          </cell>
        </row>
        <row r="274">
          <cell r="M274">
            <v>9</v>
          </cell>
        </row>
        <row r="275">
          <cell r="M275">
            <v>9</v>
          </cell>
        </row>
        <row r="276">
          <cell r="M276">
            <v>9</v>
          </cell>
        </row>
        <row r="277">
          <cell r="M277">
            <v>9</v>
          </cell>
        </row>
        <row r="278">
          <cell r="M278">
            <v>9</v>
          </cell>
        </row>
        <row r="279">
          <cell r="M279">
            <v>9</v>
          </cell>
        </row>
        <row r="280">
          <cell r="M280">
            <v>9</v>
          </cell>
        </row>
        <row r="281">
          <cell r="M281">
            <v>9</v>
          </cell>
        </row>
        <row r="282">
          <cell r="M282">
            <v>9</v>
          </cell>
        </row>
        <row r="283">
          <cell r="M283">
            <v>9</v>
          </cell>
        </row>
        <row r="284">
          <cell r="M284">
            <v>9</v>
          </cell>
        </row>
        <row r="285">
          <cell r="M285">
            <v>9</v>
          </cell>
        </row>
        <row r="286">
          <cell r="M286">
            <v>9</v>
          </cell>
        </row>
        <row r="287">
          <cell r="M287">
            <v>9</v>
          </cell>
        </row>
        <row r="288">
          <cell r="M288">
            <v>9</v>
          </cell>
        </row>
        <row r="289">
          <cell r="M289">
            <v>9</v>
          </cell>
        </row>
        <row r="290">
          <cell r="M290">
            <v>9</v>
          </cell>
        </row>
        <row r="291">
          <cell r="M291">
            <v>9</v>
          </cell>
        </row>
        <row r="292">
          <cell r="M292">
            <v>9</v>
          </cell>
        </row>
        <row r="293">
          <cell r="M293">
            <v>9</v>
          </cell>
        </row>
        <row r="294">
          <cell r="M294">
            <v>9</v>
          </cell>
        </row>
        <row r="295">
          <cell r="M295">
            <v>9</v>
          </cell>
        </row>
        <row r="296">
          <cell r="M296">
            <v>9</v>
          </cell>
        </row>
        <row r="297">
          <cell r="M297">
            <v>9</v>
          </cell>
        </row>
        <row r="298">
          <cell r="M298">
            <v>9</v>
          </cell>
        </row>
        <row r="299">
          <cell r="M299">
            <v>9</v>
          </cell>
        </row>
        <row r="300">
          <cell r="M300">
            <v>9</v>
          </cell>
        </row>
        <row r="301">
          <cell r="M301">
            <v>9</v>
          </cell>
        </row>
        <row r="302">
          <cell r="M302">
            <v>9</v>
          </cell>
        </row>
        <row r="303">
          <cell r="M303">
            <v>9</v>
          </cell>
        </row>
        <row r="304">
          <cell r="M304">
            <v>9</v>
          </cell>
        </row>
        <row r="305">
          <cell r="M305">
            <v>9</v>
          </cell>
        </row>
        <row r="306">
          <cell r="M306">
            <v>9</v>
          </cell>
        </row>
        <row r="307">
          <cell r="M307">
            <v>9</v>
          </cell>
        </row>
        <row r="308">
          <cell r="M308" t="str">
            <v/>
          </cell>
        </row>
        <row r="309">
          <cell r="M309" t="str">
            <v/>
          </cell>
        </row>
        <row r="310">
          <cell r="M310">
            <v>9</v>
          </cell>
        </row>
        <row r="311">
          <cell r="M311">
            <v>9</v>
          </cell>
        </row>
        <row r="312">
          <cell r="M312">
            <v>9</v>
          </cell>
        </row>
        <row r="313">
          <cell r="M313">
            <v>9</v>
          </cell>
        </row>
        <row r="314">
          <cell r="M314">
            <v>9</v>
          </cell>
        </row>
        <row r="315">
          <cell r="M315">
            <v>9</v>
          </cell>
        </row>
        <row r="316">
          <cell r="M316">
            <v>9</v>
          </cell>
        </row>
        <row r="317">
          <cell r="M317">
            <v>9</v>
          </cell>
        </row>
        <row r="318">
          <cell r="M318">
            <v>9</v>
          </cell>
        </row>
        <row r="319">
          <cell r="M319">
            <v>9</v>
          </cell>
        </row>
        <row r="320">
          <cell r="M320">
            <v>9</v>
          </cell>
        </row>
        <row r="321">
          <cell r="M321">
            <v>10</v>
          </cell>
        </row>
        <row r="322">
          <cell r="M322">
            <v>10</v>
          </cell>
        </row>
        <row r="323">
          <cell r="M323">
            <v>10</v>
          </cell>
        </row>
        <row r="324">
          <cell r="M324">
            <v>10</v>
          </cell>
        </row>
        <row r="325">
          <cell r="M325">
            <v>10</v>
          </cell>
        </row>
        <row r="326">
          <cell r="M326">
            <v>10</v>
          </cell>
        </row>
        <row r="327">
          <cell r="M327">
            <v>10</v>
          </cell>
        </row>
        <row r="328">
          <cell r="M328">
            <v>10</v>
          </cell>
        </row>
        <row r="329">
          <cell r="M329">
            <v>10</v>
          </cell>
        </row>
        <row r="330">
          <cell r="M330">
            <v>10</v>
          </cell>
        </row>
        <row r="331">
          <cell r="M331">
            <v>10</v>
          </cell>
        </row>
        <row r="332">
          <cell r="M332">
            <v>10</v>
          </cell>
        </row>
        <row r="333">
          <cell r="M333">
            <v>10</v>
          </cell>
        </row>
        <row r="334">
          <cell r="M334">
            <v>10</v>
          </cell>
        </row>
        <row r="335">
          <cell r="M335">
            <v>10</v>
          </cell>
        </row>
        <row r="336">
          <cell r="M336">
            <v>10</v>
          </cell>
        </row>
        <row r="337">
          <cell r="M337" t="str">
            <v/>
          </cell>
        </row>
        <row r="338">
          <cell r="M338">
            <v>10</v>
          </cell>
        </row>
        <row r="339">
          <cell r="M339">
            <v>10</v>
          </cell>
        </row>
        <row r="340">
          <cell r="M340">
            <v>10</v>
          </cell>
        </row>
        <row r="341">
          <cell r="M341">
            <v>10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10</v>
          </cell>
        </row>
        <row r="353">
          <cell r="M353">
            <v>10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10</v>
          </cell>
        </row>
        <row r="363">
          <cell r="M363">
            <v>10</v>
          </cell>
        </row>
        <row r="364">
          <cell r="M364">
            <v>0</v>
          </cell>
        </row>
        <row r="365">
          <cell r="M365">
            <v>10</v>
          </cell>
        </row>
        <row r="366">
          <cell r="M366" t="str">
            <v/>
          </cell>
        </row>
        <row r="367">
          <cell r="M367" t="str">
            <v/>
          </cell>
        </row>
        <row r="368">
          <cell r="M368">
            <v>10</v>
          </cell>
        </row>
        <row r="369">
          <cell r="M369">
            <v>10</v>
          </cell>
        </row>
        <row r="370">
          <cell r="M370">
            <v>10</v>
          </cell>
        </row>
        <row r="371">
          <cell r="M371">
            <v>10</v>
          </cell>
        </row>
        <row r="372">
          <cell r="M372" t="str">
            <v/>
          </cell>
        </row>
        <row r="373">
          <cell r="M373">
            <v>10</v>
          </cell>
        </row>
        <row r="374">
          <cell r="M374">
            <v>10</v>
          </cell>
        </row>
        <row r="375">
          <cell r="M375">
            <v>10</v>
          </cell>
        </row>
        <row r="376">
          <cell r="M376">
            <v>10</v>
          </cell>
        </row>
        <row r="377">
          <cell r="M377">
            <v>10</v>
          </cell>
        </row>
        <row r="378">
          <cell r="M378">
            <v>10</v>
          </cell>
        </row>
        <row r="379">
          <cell r="M379">
            <v>10</v>
          </cell>
        </row>
        <row r="380">
          <cell r="M380">
            <v>10</v>
          </cell>
        </row>
        <row r="381">
          <cell r="M381">
            <v>10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 t="str">
            <v/>
          </cell>
        </row>
        <row r="385">
          <cell r="M385" t="str">
            <v/>
          </cell>
        </row>
        <row r="386">
          <cell r="M386">
            <v>0</v>
          </cell>
        </row>
        <row r="387">
          <cell r="M387">
            <v>11</v>
          </cell>
        </row>
        <row r="388">
          <cell r="M388">
            <v>11</v>
          </cell>
        </row>
        <row r="389">
          <cell r="M389">
            <v>11</v>
          </cell>
        </row>
        <row r="390">
          <cell r="M390">
            <v>11</v>
          </cell>
        </row>
        <row r="391">
          <cell r="M391">
            <v>11</v>
          </cell>
        </row>
        <row r="392">
          <cell r="M392">
            <v>11</v>
          </cell>
        </row>
        <row r="393">
          <cell r="M393">
            <v>11</v>
          </cell>
        </row>
        <row r="394">
          <cell r="M394">
            <v>11</v>
          </cell>
        </row>
        <row r="395">
          <cell r="M395">
            <v>11</v>
          </cell>
        </row>
        <row r="396">
          <cell r="M396">
            <v>11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12</v>
          </cell>
        </row>
        <row r="400">
          <cell r="M400">
            <v>12</v>
          </cell>
        </row>
        <row r="401">
          <cell r="M401">
            <v>12</v>
          </cell>
        </row>
        <row r="402">
          <cell r="M402">
            <v>12</v>
          </cell>
        </row>
        <row r="403">
          <cell r="M403">
            <v>12</v>
          </cell>
        </row>
        <row r="404">
          <cell r="M404">
            <v>12</v>
          </cell>
        </row>
        <row r="405">
          <cell r="M405">
            <v>12</v>
          </cell>
        </row>
        <row r="406">
          <cell r="M406">
            <v>12</v>
          </cell>
        </row>
        <row r="407">
          <cell r="M407">
            <v>12</v>
          </cell>
        </row>
        <row r="408">
          <cell r="M408">
            <v>12</v>
          </cell>
        </row>
        <row r="409">
          <cell r="M409">
            <v>12</v>
          </cell>
        </row>
        <row r="410">
          <cell r="M410">
            <v>0</v>
          </cell>
        </row>
        <row r="411">
          <cell r="M411">
            <v>12</v>
          </cell>
        </row>
        <row r="412">
          <cell r="M412">
            <v>12</v>
          </cell>
        </row>
        <row r="413">
          <cell r="M413">
            <v>12</v>
          </cell>
        </row>
        <row r="414">
          <cell r="M414">
            <v>0</v>
          </cell>
        </row>
        <row r="415">
          <cell r="M415">
            <v>12</v>
          </cell>
        </row>
        <row r="416">
          <cell r="M416">
            <v>12</v>
          </cell>
        </row>
        <row r="417">
          <cell r="M417">
            <v>12</v>
          </cell>
        </row>
        <row r="418">
          <cell r="M418">
            <v>12</v>
          </cell>
        </row>
        <row r="419">
          <cell r="M419">
            <v>12</v>
          </cell>
        </row>
        <row r="420">
          <cell r="M420">
            <v>12</v>
          </cell>
        </row>
        <row r="421">
          <cell r="M421">
            <v>12</v>
          </cell>
        </row>
        <row r="422">
          <cell r="M422" t="str">
            <v/>
          </cell>
        </row>
        <row r="423">
          <cell r="M423">
            <v>12</v>
          </cell>
        </row>
        <row r="424">
          <cell r="M424">
            <v>12</v>
          </cell>
        </row>
        <row r="425">
          <cell r="M425">
            <v>12</v>
          </cell>
        </row>
        <row r="426">
          <cell r="M426">
            <v>12</v>
          </cell>
        </row>
        <row r="427">
          <cell r="M427">
            <v>12</v>
          </cell>
        </row>
        <row r="428">
          <cell r="M428">
            <v>12</v>
          </cell>
        </row>
        <row r="429">
          <cell r="M429">
            <v>12</v>
          </cell>
        </row>
        <row r="430">
          <cell r="M430">
            <v>12</v>
          </cell>
        </row>
        <row r="431">
          <cell r="M431">
            <v>12</v>
          </cell>
        </row>
        <row r="432">
          <cell r="M432">
            <v>12</v>
          </cell>
        </row>
        <row r="433">
          <cell r="M433">
            <v>12</v>
          </cell>
        </row>
        <row r="434">
          <cell r="M434">
            <v>12</v>
          </cell>
        </row>
        <row r="435">
          <cell r="M435">
            <v>12</v>
          </cell>
        </row>
        <row r="436">
          <cell r="M436">
            <v>12</v>
          </cell>
        </row>
        <row r="437">
          <cell r="M437">
            <v>12</v>
          </cell>
        </row>
        <row r="438">
          <cell r="M438">
            <v>12</v>
          </cell>
        </row>
        <row r="439">
          <cell r="M439">
            <v>12</v>
          </cell>
        </row>
        <row r="440">
          <cell r="M440">
            <v>12</v>
          </cell>
        </row>
        <row r="441">
          <cell r="M441">
            <v>12</v>
          </cell>
        </row>
        <row r="442">
          <cell r="M442">
            <v>12</v>
          </cell>
        </row>
        <row r="443">
          <cell r="M443">
            <v>12</v>
          </cell>
        </row>
        <row r="444">
          <cell r="M444">
            <v>12</v>
          </cell>
        </row>
        <row r="445">
          <cell r="M445">
            <v>12</v>
          </cell>
        </row>
        <row r="446">
          <cell r="M446">
            <v>12</v>
          </cell>
        </row>
        <row r="447">
          <cell r="M447">
            <v>12</v>
          </cell>
        </row>
        <row r="448">
          <cell r="M448">
            <v>12</v>
          </cell>
        </row>
        <row r="449">
          <cell r="M449">
            <v>12</v>
          </cell>
        </row>
        <row r="450">
          <cell r="M450" t="str">
            <v/>
          </cell>
        </row>
        <row r="451">
          <cell r="M451" t="str">
            <v/>
          </cell>
        </row>
        <row r="452">
          <cell r="M452">
            <v>12</v>
          </cell>
        </row>
        <row r="453">
          <cell r="M453">
            <v>12</v>
          </cell>
        </row>
        <row r="454">
          <cell r="M454">
            <v>12</v>
          </cell>
        </row>
        <row r="455">
          <cell r="M455">
            <v>12</v>
          </cell>
        </row>
        <row r="456">
          <cell r="M456">
            <v>12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12</v>
          </cell>
        </row>
        <row r="460">
          <cell r="M460">
            <v>12</v>
          </cell>
        </row>
        <row r="461">
          <cell r="M461">
            <v>0</v>
          </cell>
        </row>
        <row r="462">
          <cell r="M462">
            <v>12</v>
          </cell>
        </row>
        <row r="463">
          <cell r="M463">
            <v>12</v>
          </cell>
        </row>
        <row r="464">
          <cell r="M464">
            <v>0</v>
          </cell>
        </row>
        <row r="465">
          <cell r="M465">
            <v>13</v>
          </cell>
        </row>
        <row r="466">
          <cell r="M466">
            <v>13</v>
          </cell>
        </row>
        <row r="467">
          <cell r="M467">
            <v>0</v>
          </cell>
        </row>
        <row r="468">
          <cell r="M468">
            <v>13</v>
          </cell>
        </row>
        <row r="469">
          <cell r="M469">
            <v>13</v>
          </cell>
        </row>
        <row r="470">
          <cell r="M470">
            <v>13</v>
          </cell>
        </row>
        <row r="471">
          <cell r="M471">
            <v>13</v>
          </cell>
        </row>
        <row r="472">
          <cell r="M472" t="str">
            <v/>
          </cell>
        </row>
        <row r="473">
          <cell r="M473">
            <v>13</v>
          </cell>
        </row>
        <row r="474">
          <cell r="M474">
            <v>13</v>
          </cell>
        </row>
        <row r="475">
          <cell r="M475">
            <v>13</v>
          </cell>
        </row>
        <row r="476">
          <cell r="M476">
            <v>13</v>
          </cell>
        </row>
        <row r="477">
          <cell r="M477">
            <v>13</v>
          </cell>
        </row>
        <row r="478">
          <cell r="M478">
            <v>13</v>
          </cell>
        </row>
        <row r="479">
          <cell r="M479">
            <v>13</v>
          </cell>
        </row>
        <row r="480">
          <cell r="M480">
            <v>13</v>
          </cell>
        </row>
        <row r="481">
          <cell r="M481">
            <v>13</v>
          </cell>
        </row>
        <row r="482">
          <cell r="M482">
            <v>13</v>
          </cell>
        </row>
        <row r="483">
          <cell r="M483">
            <v>13</v>
          </cell>
        </row>
        <row r="484">
          <cell r="M484">
            <v>13</v>
          </cell>
        </row>
        <row r="485">
          <cell r="M485">
            <v>13</v>
          </cell>
        </row>
        <row r="486">
          <cell r="M486">
            <v>13</v>
          </cell>
        </row>
        <row r="487">
          <cell r="M487">
            <v>13</v>
          </cell>
        </row>
        <row r="488">
          <cell r="M488">
            <v>13</v>
          </cell>
        </row>
        <row r="489">
          <cell r="M489">
            <v>13</v>
          </cell>
        </row>
        <row r="490">
          <cell r="M490">
            <v>13</v>
          </cell>
        </row>
        <row r="491">
          <cell r="M491">
            <v>13</v>
          </cell>
        </row>
        <row r="492">
          <cell r="M492">
            <v>13</v>
          </cell>
        </row>
        <row r="493">
          <cell r="M493">
            <v>13</v>
          </cell>
        </row>
        <row r="494">
          <cell r="M494">
            <v>13</v>
          </cell>
        </row>
        <row r="495">
          <cell r="M495">
            <v>13</v>
          </cell>
        </row>
        <row r="496">
          <cell r="M496">
            <v>13</v>
          </cell>
        </row>
        <row r="497">
          <cell r="M497">
            <v>13</v>
          </cell>
        </row>
        <row r="498">
          <cell r="M498">
            <v>13</v>
          </cell>
        </row>
        <row r="499">
          <cell r="M499">
            <v>13</v>
          </cell>
        </row>
        <row r="500">
          <cell r="M500">
            <v>13</v>
          </cell>
        </row>
        <row r="501">
          <cell r="M501">
            <v>13</v>
          </cell>
        </row>
        <row r="502">
          <cell r="M502">
            <v>13</v>
          </cell>
        </row>
        <row r="503">
          <cell r="M503">
            <v>13</v>
          </cell>
        </row>
        <row r="504">
          <cell r="M504">
            <v>13</v>
          </cell>
        </row>
        <row r="505">
          <cell r="M505" t="str">
            <v/>
          </cell>
        </row>
        <row r="506">
          <cell r="M506" t="str">
            <v/>
          </cell>
        </row>
        <row r="507">
          <cell r="M507">
            <v>13</v>
          </cell>
        </row>
        <row r="508">
          <cell r="M508">
            <v>13</v>
          </cell>
        </row>
        <row r="509">
          <cell r="M509">
            <v>13</v>
          </cell>
        </row>
        <row r="510">
          <cell r="M510">
            <v>13</v>
          </cell>
        </row>
        <row r="511">
          <cell r="M511">
            <v>13</v>
          </cell>
        </row>
        <row r="512">
          <cell r="M512">
            <v>13</v>
          </cell>
        </row>
        <row r="513">
          <cell r="M513">
            <v>13</v>
          </cell>
        </row>
        <row r="514">
          <cell r="M514">
            <v>13</v>
          </cell>
        </row>
        <row r="515">
          <cell r="M515">
            <v>13</v>
          </cell>
        </row>
        <row r="516">
          <cell r="M516">
            <v>13</v>
          </cell>
        </row>
        <row r="517">
          <cell r="M517">
            <v>13</v>
          </cell>
        </row>
        <row r="518">
          <cell r="M518">
            <v>13</v>
          </cell>
        </row>
        <row r="519">
          <cell r="M519">
            <v>13</v>
          </cell>
        </row>
        <row r="520">
          <cell r="M520" t="str">
            <v/>
          </cell>
        </row>
        <row r="521">
          <cell r="M521">
            <v>14</v>
          </cell>
        </row>
        <row r="522">
          <cell r="M522">
            <v>14</v>
          </cell>
        </row>
        <row r="523">
          <cell r="M523">
            <v>14</v>
          </cell>
        </row>
        <row r="524">
          <cell r="M524">
            <v>14</v>
          </cell>
        </row>
        <row r="525">
          <cell r="M525">
            <v>14</v>
          </cell>
        </row>
        <row r="526">
          <cell r="M526">
            <v>14</v>
          </cell>
        </row>
        <row r="527">
          <cell r="M527">
            <v>14</v>
          </cell>
        </row>
        <row r="528">
          <cell r="M528">
            <v>14</v>
          </cell>
        </row>
        <row r="529">
          <cell r="M529">
            <v>14</v>
          </cell>
        </row>
        <row r="530">
          <cell r="M530">
            <v>14</v>
          </cell>
        </row>
        <row r="531">
          <cell r="M531">
            <v>14</v>
          </cell>
        </row>
        <row r="532">
          <cell r="M532">
            <v>14</v>
          </cell>
        </row>
        <row r="533">
          <cell r="M533" t="str">
            <v/>
          </cell>
        </row>
        <row r="534">
          <cell r="M534">
            <v>14</v>
          </cell>
        </row>
        <row r="535">
          <cell r="M535">
            <v>14</v>
          </cell>
        </row>
        <row r="536">
          <cell r="M536">
            <v>0</v>
          </cell>
        </row>
        <row r="537">
          <cell r="M537">
            <v>14</v>
          </cell>
        </row>
        <row r="538">
          <cell r="M538">
            <v>14</v>
          </cell>
        </row>
        <row r="539">
          <cell r="M539">
            <v>14</v>
          </cell>
        </row>
        <row r="540">
          <cell r="M540">
            <v>14</v>
          </cell>
        </row>
        <row r="541">
          <cell r="M541">
            <v>14</v>
          </cell>
        </row>
        <row r="542">
          <cell r="M542">
            <v>14</v>
          </cell>
        </row>
        <row r="543">
          <cell r="M543">
            <v>14</v>
          </cell>
        </row>
        <row r="544">
          <cell r="M544">
            <v>14</v>
          </cell>
        </row>
        <row r="545">
          <cell r="M545">
            <v>14</v>
          </cell>
        </row>
        <row r="546">
          <cell r="M546">
            <v>14</v>
          </cell>
        </row>
        <row r="547">
          <cell r="M547" t="str">
            <v/>
          </cell>
        </row>
        <row r="548">
          <cell r="M548" t="str">
            <v/>
          </cell>
        </row>
        <row r="549">
          <cell r="M549">
            <v>0</v>
          </cell>
        </row>
        <row r="550">
          <cell r="M550">
            <v>15</v>
          </cell>
        </row>
        <row r="551">
          <cell r="M551">
            <v>15</v>
          </cell>
        </row>
        <row r="552">
          <cell r="M552">
            <v>15</v>
          </cell>
        </row>
        <row r="553">
          <cell r="M553">
            <v>15</v>
          </cell>
        </row>
        <row r="554">
          <cell r="M554">
            <v>15</v>
          </cell>
        </row>
        <row r="555">
          <cell r="M555">
            <v>15</v>
          </cell>
        </row>
        <row r="556">
          <cell r="M556">
            <v>15</v>
          </cell>
        </row>
        <row r="557">
          <cell r="M557">
            <v>15</v>
          </cell>
        </row>
        <row r="558">
          <cell r="M558">
            <v>15</v>
          </cell>
        </row>
        <row r="559">
          <cell r="M559">
            <v>15</v>
          </cell>
        </row>
        <row r="560">
          <cell r="M560">
            <v>16</v>
          </cell>
        </row>
        <row r="561">
          <cell r="M561">
            <v>16</v>
          </cell>
        </row>
        <row r="562">
          <cell r="M562">
            <v>16</v>
          </cell>
        </row>
        <row r="563">
          <cell r="M563">
            <v>16</v>
          </cell>
        </row>
        <row r="564">
          <cell r="M564">
            <v>16</v>
          </cell>
        </row>
        <row r="565">
          <cell r="M565">
            <v>16</v>
          </cell>
        </row>
        <row r="566">
          <cell r="M566">
            <v>0</v>
          </cell>
        </row>
        <row r="567">
          <cell r="M567">
            <v>16</v>
          </cell>
        </row>
        <row r="568">
          <cell r="M568">
            <v>16</v>
          </cell>
        </row>
        <row r="569">
          <cell r="M569">
            <v>16</v>
          </cell>
        </row>
        <row r="570">
          <cell r="M570">
            <v>16</v>
          </cell>
        </row>
        <row r="571">
          <cell r="M571" t="str">
            <v/>
          </cell>
        </row>
        <row r="572">
          <cell r="M572">
            <v>16</v>
          </cell>
        </row>
        <row r="573">
          <cell r="M573">
            <v>16</v>
          </cell>
        </row>
        <row r="574">
          <cell r="M574">
            <v>16</v>
          </cell>
        </row>
        <row r="575">
          <cell r="M575" t="str">
            <v/>
          </cell>
        </row>
        <row r="576">
          <cell r="M576" t="str">
            <v/>
          </cell>
        </row>
        <row r="577">
          <cell r="M577">
            <v>16</v>
          </cell>
        </row>
        <row r="578">
          <cell r="M578">
            <v>16</v>
          </cell>
        </row>
        <row r="579">
          <cell r="M579">
            <v>16</v>
          </cell>
        </row>
        <row r="580">
          <cell r="M580">
            <v>16</v>
          </cell>
        </row>
        <row r="581">
          <cell r="M581">
            <v>16</v>
          </cell>
        </row>
        <row r="582">
          <cell r="M582">
            <v>16</v>
          </cell>
        </row>
        <row r="583">
          <cell r="M583">
            <v>16</v>
          </cell>
        </row>
        <row r="584">
          <cell r="M584">
            <v>16</v>
          </cell>
        </row>
        <row r="585">
          <cell r="M585">
            <v>16</v>
          </cell>
        </row>
        <row r="586">
          <cell r="M586">
            <v>16</v>
          </cell>
        </row>
        <row r="587">
          <cell r="M587">
            <v>16</v>
          </cell>
        </row>
        <row r="588">
          <cell r="M588">
            <v>17</v>
          </cell>
        </row>
        <row r="589">
          <cell r="M589">
            <v>17</v>
          </cell>
        </row>
        <row r="590">
          <cell r="M590">
            <v>17</v>
          </cell>
        </row>
        <row r="591">
          <cell r="M591">
            <v>17</v>
          </cell>
        </row>
        <row r="592">
          <cell r="M592">
            <v>17</v>
          </cell>
        </row>
        <row r="593">
          <cell r="M593">
            <v>17</v>
          </cell>
        </row>
        <row r="594">
          <cell r="M594">
            <v>17</v>
          </cell>
        </row>
        <row r="595">
          <cell r="M595">
            <v>17</v>
          </cell>
        </row>
        <row r="596">
          <cell r="M596">
            <v>17</v>
          </cell>
        </row>
        <row r="597">
          <cell r="M597">
            <v>17</v>
          </cell>
        </row>
        <row r="598">
          <cell r="M598">
            <v>0</v>
          </cell>
        </row>
        <row r="599">
          <cell r="M599">
            <v>17</v>
          </cell>
        </row>
        <row r="600">
          <cell r="M600">
            <v>17</v>
          </cell>
        </row>
        <row r="601">
          <cell r="M601">
            <v>17</v>
          </cell>
        </row>
        <row r="602">
          <cell r="M602" t="str">
            <v/>
          </cell>
        </row>
        <row r="603">
          <cell r="M603">
            <v>17</v>
          </cell>
        </row>
        <row r="604">
          <cell r="M604">
            <v>17</v>
          </cell>
        </row>
        <row r="605">
          <cell r="M605">
            <v>17</v>
          </cell>
        </row>
        <row r="606">
          <cell r="M606" t="str">
            <v/>
          </cell>
        </row>
        <row r="607">
          <cell r="M607" t="str">
            <v/>
          </cell>
        </row>
        <row r="608">
          <cell r="M608">
            <v>17</v>
          </cell>
        </row>
        <row r="609">
          <cell r="M609">
            <v>17</v>
          </cell>
        </row>
        <row r="610">
          <cell r="M610">
            <v>17</v>
          </cell>
        </row>
        <row r="611">
          <cell r="M611">
            <v>17</v>
          </cell>
        </row>
        <row r="612">
          <cell r="M612">
            <v>17</v>
          </cell>
        </row>
        <row r="613">
          <cell r="M613">
            <v>17</v>
          </cell>
        </row>
        <row r="614">
          <cell r="M614">
            <v>17</v>
          </cell>
        </row>
        <row r="615">
          <cell r="M615">
            <v>17</v>
          </cell>
        </row>
        <row r="616">
          <cell r="M616">
            <v>17</v>
          </cell>
        </row>
        <row r="617">
          <cell r="M617">
            <v>17</v>
          </cell>
        </row>
        <row r="618">
          <cell r="M618">
            <v>0</v>
          </cell>
        </row>
        <row r="619">
          <cell r="M619">
            <v>18</v>
          </cell>
        </row>
        <row r="620">
          <cell r="M620">
            <v>18</v>
          </cell>
        </row>
        <row r="621">
          <cell r="M621">
            <v>18</v>
          </cell>
        </row>
        <row r="622">
          <cell r="M622">
            <v>18</v>
          </cell>
        </row>
        <row r="623">
          <cell r="M623">
            <v>18</v>
          </cell>
        </row>
        <row r="624">
          <cell r="M624">
            <v>18</v>
          </cell>
        </row>
        <row r="625">
          <cell r="M625">
            <v>18</v>
          </cell>
        </row>
        <row r="626">
          <cell r="M626">
            <v>18</v>
          </cell>
        </row>
        <row r="627">
          <cell r="M627">
            <v>18</v>
          </cell>
        </row>
        <row r="628">
          <cell r="M628" t="str">
            <v/>
          </cell>
        </row>
        <row r="629">
          <cell r="M629">
            <v>18</v>
          </cell>
        </row>
        <row r="630">
          <cell r="M630">
            <v>18</v>
          </cell>
        </row>
        <row r="631">
          <cell r="M631">
            <v>18</v>
          </cell>
        </row>
        <row r="632">
          <cell r="M632">
            <v>18</v>
          </cell>
        </row>
        <row r="633">
          <cell r="M633">
            <v>18</v>
          </cell>
        </row>
        <row r="634">
          <cell r="M634" t="str">
            <v/>
          </cell>
        </row>
        <row r="635">
          <cell r="M635" t="str">
            <v/>
          </cell>
        </row>
        <row r="636">
          <cell r="M636">
            <v>18</v>
          </cell>
        </row>
        <row r="637">
          <cell r="M637">
            <v>18</v>
          </cell>
        </row>
        <row r="638">
          <cell r="M638">
            <v>18</v>
          </cell>
        </row>
        <row r="639">
          <cell r="M639">
            <v>18</v>
          </cell>
        </row>
        <row r="640">
          <cell r="M640">
            <v>18</v>
          </cell>
        </row>
        <row r="641">
          <cell r="M641" t="str">
            <v/>
          </cell>
        </row>
        <row r="642">
          <cell r="M642">
            <v>18</v>
          </cell>
        </row>
        <row r="643">
          <cell r="M643">
            <v>0</v>
          </cell>
        </row>
        <row r="644">
          <cell r="M644">
            <v>18</v>
          </cell>
        </row>
        <row r="645">
          <cell r="M645">
            <v>18</v>
          </cell>
        </row>
        <row r="646">
          <cell r="M646">
            <v>18</v>
          </cell>
        </row>
        <row r="647">
          <cell r="M647">
            <v>18</v>
          </cell>
        </row>
        <row r="648">
          <cell r="M648">
            <v>18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19</v>
          </cell>
        </row>
        <row r="652">
          <cell r="M652">
            <v>19</v>
          </cell>
        </row>
        <row r="653">
          <cell r="M653">
            <v>19</v>
          </cell>
        </row>
        <row r="654">
          <cell r="M654">
            <v>19</v>
          </cell>
        </row>
        <row r="655">
          <cell r="M655">
            <v>19</v>
          </cell>
        </row>
        <row r="656">
          <cell r="M656">
            <v>19</v>
          </cell>
        </row>
        <row r="657">
          <cell r="M657">
            <v>0</v>
          </cell>
        </row>
        <row r="658">
          <cell r="M658">
            <v>19</v>
          </cell>
        </row>
        <row r="659">
          <cell r="M659">
            <v>19</v>
          </cell>
        </row>
        <row r="660">
          <cell r="M660">
            <v>19</v>
          </cell>
        </row>
        <row r="661">
          <cell r="M661">
            <v>19</v>
          </cell>
        </row>
        <row r="662">
          <cell r="M662">
            <v>19</v>
          </cell>
        </row>
        <row r="663">
          <cell r="M663" t="str">
            <v/>
          </cell>
        </row>
        <row r="664">
          <cell r="M664" t="str">
            <v/>
          </cell>
        </row>
        <row r="665">
          <cell r="M665">
            <v>19</v>
          </cell>
        </row>
        <row r="666">
          <cell r="M666">
            <v>19</v>
          </cell>
        </row>
        <row r="667">
          <cell r="M667">
            <v>19</v>
          </cell>
        </row>
        <row r="668">
          <cell r="M668">
            <v>19</v>
          </cell>
        </row>
        <row r="669">
          <cell r="M669">
            <v>19</v>
          </cell>
        </row>
        <row r="670">
          <cell r="M670">
            <v>19</v>
          </cell>
        </row>
        <row r="671">
          <cell r="M671">
            <v>19</v>
          </cell>
        </row>
        <row r="672">
          <cell r="M672">
            <v>19</v>
          </cell>
        </row>
        <row r="673">
          <cell r="M673">
            <v>19</v>
          </cell>
        </row>
        <row r="674">
          <cell r="M674">
            <v>19</v>
          </cell>
        </row>
        <row r="675">
          <cell r="M675">
            <v>19</v>
          </cell>
        </row>
        <row r="676">
          <cell r="M676">
            <v>19</v>
          </cell>
        </row>
        <row r="677">
          <cell r="M677">
            <v>19</v>
          </cell>
        </row>
        <row r="678">
          <cell r="M678">
            <v>19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20</v>
          </cell>
        </row>
        <row r="682">
          <cell r="M682">
            <v>20</v>
          </cell>
        </row>
        <row r="683">
          <cell r="M683">
            <v>20</v>
          </cell>
        </row>
        <row r="684">
          <cell r="M684">
            <v>20</v>
          </cell>
        </row>
        <row r="685">
          <cell r="M685">
            <v>20</v>
          </cell>
        </row>
        <row r="686">
          <cell r="M686">
            <v>20</v>
          </cell>
        </row>
        <row r="687">
          <cell r="M687">
            <v>20</v>
          </cell>
        </row>
        <row r="688">
          <cell r="M688">
            <v>20</v>
          </cell>
        </row>
        <row r="689">
          <cell r="M689">
            <v>20</v>
          </cell>
        </row>
        <row r="690">
          <cell r="M690">
            <v>20</v>
          </cell>
        </row>
        <row r="691">
          <cell r="M691">
            <v>20</v>
          </cell>
        </row>
        <row r="692">
          <cell r="M692">
            <v>20</v>
          </cell>
        </row>
        <row r="693">
          <cell r="M693">
            <v>20</v>
          </cell>
        </row>
        <row r="694">
          <cell r="M694">
            <v>20</v>
          </cell>
        </row>
        <row r="695">
          <cell r="M695">
            <v>20</v>
          </cell>
        </row>
        <row r="696">
          <cell r="M696">
            <v>20</v>
          </cell>
        </row>
        <row r="697">
          <cell r="M697" t="str">
            <v/>
          </cell>
        </row>
        <row r="698">
          <cell r="M698">
            <v>20</v>
          </cell>
        </row>
        <row r="699">
          <cell r="M699">
            <v>20</v>
          </cell>
        </row>
        <row r="700">
          <cell r="M700">
            <v>20</v>
          </cell>
        </row>
        <row r="701">
          <cell r="M701">
            <v>20</v>
          </cell>
        </row>
        <row r="702">
          <cell r="M702">
            <v>20</v>
          </cell>
        </row>
        <row r="703">
          <cell r="M703">
            <v>20</v>
          </cell>
        </row>
        <row r="704">
          <cell r="M704">
            <v>20</v>
          </cell>
        </row>
        <row r="705">
          <cell r="M705">
            <v>20</v>
          </cell>
        </row>
        <row r="706">
          <cell r="M706">
            <v>20</v>
          </cell>
        </row>
        <row r="707">
          <cell r="M707">
            <v>20</v>
          </cell>
        </row>
        <row r="708">
          <cell r="M708">
            <v>20</v>
          </cell>
        </row>
        <row r="709">
          <cell r="M709">
            <v>20</v>
          </cell>
        </row>
        <row r="710">
          <cell r="M710">
            <v>20</v>
          </cell>
        </row>
        <row r="711">
          <cell r="M711">
            <v>20</v>
          </cell>
        </row>
        <row r="712">
          <cell r="M712">
            <v>20</v>
          </cell>
        </row>
        <row r="713">
          <cell r="M713">
            <v>0</v>
          </cell>
        </row>
        <row r="714">
          <cell r="M714">
            <v>20</v>
          </cell>
        </row>
        <row r="715">
          <cell r="M715">
            <v>20</v>
          </cell>
        </row>
        <row r="716">
          <cell r="M716">
            <v>20</v>
          </cell>
        </row>
        <row r="717">
          <cell r="M717">
            <v>20</v>
          </cell>
        </row>
        <row r="718">
          <cell r="M718">
            <v>20</v>
          </cell>
        </row>
        <row r="719">
          <cell r="M719">
            <v>20</v>
          </cell>
        </row>
        <row r="720">
          <cell r="M720">
            <v>20</v>
          </cell>
        </row>
        <row r="721">
          <cell r="M721">
            <v>20</v>
          </cell>
        </row>
        <row r="722">
          <cell r="M722">
            <v>20</v>
          </cell>
        </row>
        <row r="723">
          <cell r="M723">
            <v>20</v>
          </cell>
        </row>
        <row r="724">
          <cell r="M724">
            <v>20</v>
          </cell>
        </row>
        <row r="725">
          <cell r="M725">
            <v>20</v>
          </cell>
        </row>
        <row r="726">
          <cell r="M726">
            <v>20</v>
          </cell>
        </row>
        <row r="727">
          <cell r="M727">
            <v>20</v>
          </cell>
        </row>
        <row r="728">
          <cell r="M728">
            <v>20</v>
          </cell>
        </row>
        <row r="729">
          <cell r="M729">
            <v>20</v>
          </cell>
        </row>
        <row r="730">
          <cell r="M730" t="str">
            <v/>
          </cell>
        </row>
        <row r="731">
          <cell r="M731">
            <v>20</v>
          </cell>
        </row>
        <row r="732">
          <cell r="M732" t="str">
            <v/>
          </cell>
        </row>
        <row r="733">
          <cell r="M733">
            <v>20</v>
          </cell>
        </row>
        <row r="734">
          <cell r="M734">
            <v>20</v>
          </cell>
        </row>
        <row r="735">
          <cell r="M735">
            <v>20</v>
          </cell>
        </row>
        <row r="736">
          <cell r="M736">
            <v>20</v>
          </cell>
        </row>
        <row r="737">
          <cell r="M737">
            <v>20</v>
          </cell>
        </row>
        <row r="738">
          <cell r="M738">
            <v>20</v>
          </cell>
        </row>
        <row r="739">
          <cell r="M739">
            <v>20</v>
          </cell>
        </row>
        <row r="740">
          <cell r="M740">
            <v>20</v>
          </cell>
        </row>
        <row r="741">
          <cell r="M741">
            <v>20</v>
          </cell>
        </row>
        <row r="742">
          <cell r="M742">
            <v>20</v>
          </cell>
        </row>
        <row r="743">
          <cell r="M743">
            <v>20</v>
          </cell>
        </row>
        <row r="744">
          <cell r="M744">
            <v>20</v>
          </cell>
        </row>
        <row r="745">
          <cell r="M745">
            <v>20</v>
          </cell>
        </row>
        <row r="746">
          <cell r="M746">
            <v>20</v>
          </cell>
        </row>
        <row r="747">
          <cell r="M747">
            <v>20</v>
          </cell>
        </row>
        <row r="748">
          <cell r="M748">
            <v>0</v>
          </cell>
        </row>
        <row r="749">
          <cell r="M749">
            <v>21</v>
          </cell>
        </row>
        <row r="750">
          <cell r="M750">
            <v>21</v>
          </cell>
        </row>
        <row r="751">
          <cell r="M751">
            <v>21</v>
          </cell>
        </row>
        <row r="752">
          <cell r="M752">
            <v>21</v>
          </cell>
        </row>
        <row r="753">
          <cell r="M753">
            <v>21</v>
          </cell>
        </row>
        <row r="754">
          <cell r="M754">
            <v>21</v>
          </cell>
        </row>
        <row r="755">
          <cell r="M755">
            <v>21</v>
          </cell>
        </row>
        <row r="756">
          <cell r="M756">
            <v>21</v>
          </cell>
        </row>
        <row r="757">
          <cell r="M757">
            <v>21</v>
          </cell>
        </row>
        <row r="758">
          <cell r="M758">
            <v>21</v>
          </cell>
        </row>
        <row r="759">
          <cell r="M759">
            <v>21</v>
          </cell>
        </row>
        <row r="760">
          <cell r="M760">
            <v>21</v>
          </cell>
        </row>
        <row r="761">
          <cell r="M761">
            <v>21</v>
          </cell>
        </row>
        <row r="762">
          <cell r="M762">
            <v>21</v>
          </cell>
        </row>
        <row r="763">
          <cell r="M763">
            <v>21</v>
          </cell>
        </row>
        <row r="764">
          <cell r="M764">
            <v>21</v>
          </cell>
        </row>
        <row r="765">
          <cell r="M765">
            <v>21</v>
          </cell>
        </row>
        <row r="766">
          <cell r="M766">
            <v>21</v>
          </cell>
        </row>
        <row r="767">
          <cell r="M767">
            <v>21</v>
          </cell>
        </row>
        <row r="768">
          <cell r="M768">
            <v>21</v>
          </cell>
        </row>
        <row r="769">
          <cell r="M769">
            <v>21</v>
          </cell>
        </row>
        <row r="770">
          <cell r="M770">
            <v>21</v>
          </cell>
        </row>
        <row r="771">
          <cell r="M771">
            <v>21</v>
          </cell>
        </row>
        <row r="772">
          <cell r="M772">
            <v>21</v>
          </cell>
        </row>
        <row r="773">
          <cell r="M773">
            <v>21</v>
          </cell>
        </row>
        <row r="774">
          <cell r="M774">
            <v>21</v>
          </cell>
        </row>
        <row r="775">
          <cell r="M775">
            <v>21</v>
          </cell>
        </row>
        <row r="776">
          <cell r="M776">
            <v>21</v>
          </cell>
        </row>
        <row r="777">
          <cell r="M777">
            <v>21</v>
          </cell>
        </row>
        <row r="778">
          <cell r="M778">
            <v>21</v>
          </cell>
        </row>
        <row r="779">
          <cell r="M779">
            <v>21</v>
          </cell>
        </row>
        <row r="780">
          <cell r="M780">
            <v>21</v>
          </cell>
        </row>
        <row r="781">
          <cell r="M781">
            <v>21</v>
          </cell>
        </row>
        <row r="782">
          <cell r="M782">
            <v>21</v>
          </cell>
        </row>
        <row r="783">
          <cell r="M783">
            <v>21</v>
          </cell>
        </row>
        <row r="784">
          <cell r="M784">
            <v>21</v>
          </cell>
        </row>
        <row r="785">
          <cell r="M785">
            <v>21</v>
          </cell>
        </row>
        <row r="786">
          <cell r="M786" t="str">
            <v/>
          </cell>
        </row>
        <row r="787">
          <cell r="M787" t="str">
            <v/>
          </cell>
        </row>
        <row r="788">
          <cell r="M788">
            <v>23</v>
          </cell>
        </row>
        <row r="789">
          <cell r="M789">
            <v>23</v>
          </cell>
        </row>
        <row r="790">
          <cell r="M790">
            <v>23</v>
          </cell>
        </row>
        <row r="791">
          <cell r="M791">
            <v>23</v>
          </cell>
        </row>
        <row r="792">
          <cell r="M792">
            <v>23</v>
          </cell>
        </row>
        <row r="793">
          <cell r="M793">
            <v>23</v>
          </cell>
        </row>
        <row r="794">
          <cell r="M794">
            <v>23</v>
          </cell>
        </row>
        <row r="795">
          <cell r="M795">
            <v>23</v>
          </cell>
        </row>
        <row r="796">
          <cell r="M796">
            <v>23</v>
          </cell>
        </row>
        <row r="797">
          <cell r="M797">
            <v>23</v>
          </cell>
        </row>
        <row r="798">
          <cell r="M798">
            <v>23</v>
          </cell>
        </row>
        <row r="799">
          <cell r="M799">
            <v>23</v>
          </cell>
        </row>
        <row r="800">
          <cell r="M800">
            <v>23</v>
          </cell>
        </row>
        <row r="801">
          <cell r="M801">
            <v>23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24</v>
          </cell>
        </row>
        <row r="805">
          <cell r="M805">
            <v>24</v>
          </cell>
        </row>
        <row r="806">
          <cell r="M806">
            <v>24</v>
          </cell>
        </row>
        <row r="807">
          <cell r="M807">
            <v>24</v>
          </cell>
        </row>
        <row r="808">
          <cell r="M808">
            <v>24</v>
          </cell>
        </row>
        <row r="809">
          <cell r="M809">
            <v>24</v>
          </cell>
        </row>
        <row r="810">
          <cell r="M810">
            <v>24</v>
          </cell>
        </row>
        <row r="811">
          <cell r="M811">
            <v>24</v>
          </cell>
        </row>
        <row r="812">
          <cell r="M812">
            <v>24</v>
          </cell>
        </row>
        <row r="813">
          <cell r="M813">
            <v>24</v>
          </cell>
        </row>
        <row r="814">
          <cell r="M814">
            <v>24</v>
          </cell>
        </row>
        <row r="815">
          <cell r="M815">
            <v>24</v>
          </cell>
        </row>
        <row r="816">
          <cell r="M816">
            <v>24</v>
          </cell>
        </row>
        <row r="817">
          <cell r="M817">
            <v>24</v>
          </cell>
        </row>
        <row r="818">
          <cell r="M818">
            <v>24</v>
          </cell>
        </row>
        <row r="819">
          <cell r="M819">
            <v>24</v>
          </cell>
        </row>
        <row r="820">
          <cell r="M820">
            <v>24</v>
          </cell>
        </row>
        <row r="821">
          <cell r="M821" t="str">
            <v/>
          </cell>
        </row>
        <row r="822">
          <cell r="M822">
            <v>24</v>
          </cell>
        </row>
        <row r="823">
          <cell r="M823">
            <v>24</v>
          </cell>
        </row>
        <row r="824">
          <cell r="M824">
            <v>24</v>
          </cell>
        </row>
        <row r="825">
          <cell r="M825">
            <v>24</v>
          </cell>
        </row>
        <row r="826">
          <cell r="M826">
            <v>24</v>
          </cell>
        </row>
        <row r="827">
          <cell r="M827">
            <v>24</v>
          </cell>
        </row>
        <row r="828">
          <cell r="M828">
            <v>24</v>
          </cell>
        </row>
        <row r="829">
          <cell r="M829">
            <v>24</v>
          </cell>
        </row>
        <row r="830">
          <cell r="M830">
            <v>24</v>
          </cell>
        </row>
        <row r="831">
          <cell r="M831">
            <v>24</v>
          </cell>
        </row>
        <row r="832">
          <cell r="M832">
            <v>24</v>
          </cell>
        </row>
        <row r="833">
          <cell r="M833">
            <v>24</v>
          </cell>
        </row>
        <row r="834">
          <cell r="M834">
            <v>24</v>
          </cell>
        </row>
        <row r="835">
          <cell r="M835">
            <v>24</v>
          </cell>
        </row>
        <row r="836">
          <cell r="M836">
            <v>24</v>
          </cell>
        </row>
        <row r="837">
          <cell r="M837">
            <v>0</v>
          </cell>
        </row>
        <row r="838">
          <cell r="M838">
            <v>24</v>
          </cell>
        </row>
        <row r="839">
          <cell r="M839">
            <v>24</v>
          </cell>
        </row>
        <row r="840">
          <cell r="M840">
            <v>24</v>
          </cell>
        </row>
        <row r="841">
          <cell r="M841">
            <v>24</v>
          </cell>
        </row>
        <row r="842">
          <cell r="M842">
            <v>24</v>
          </cell>
        </row>
        <row r="843">
          <cell r="M843">
            <v>24</v>
          </cell>
        </row>
        <row r="844">
          <cell r="M844">
            <v>24</v>
          </cell>
        </row>
        <row r="845">
          <cell r="M845">
            <v>24</v>
          </cell>
        </row>
        <row r="846">
          <cell r="M846">
            <v>24</v>
          </cell>
        </row>
        <row r="847">
          <cell r="M847">
            <v>24</v>
          </cell>
        </row>
        <row r="848">
          <cell r="M848">
            <v>24</v>
          </cell>
        </row>
        <row r="849">
          <cell r="M849">
            <v>24</v>
          </cell>
        </row>
        <row r="850">
          <cell r="M850">
            <v>24</v>
          </cell>
        </row>
        <row r="851">
          <cell r="M851">
            <v>24</v>
          </cell>
        </row>
        <row r="852">
          <cell r="M852">
            <v>24</v>
          </cell>
        </row>
        <row r="853">
          <cell r="M853">
            <v>24</v>
          </cell>
        </row>
        <row r="854">
          <cell r="M854" t="str">
            <v/>
          </cell>
        </row>
        <row r="855">
          <cell r="M855">
            <v>24</v>
          </cell>
        </row>
        <row r="856">
          <cell r="M856" t="str">
            <v/>
          </cell>
        </row>
        <row r="857">
          <cell r="M857">
            <v>24</v>
          </cell>
        </row>
        <row r="858">
          <cell r="M858">
            <v>24</v>
          </cell>
        </row>
        <row r="859">
          <cell r="M859">
            <v>24</v>
          </cell>
        </row>
        <row r="860">
          <cell r="M860">
            <v>24</v>
          </cell>
        </row>
        <row r="861">
          <cell r="M861">
            <v>24</v>
          </cell>
        </row>
        <row r="862">
          <cell r="M862">
            <v>24</v>
          </cell>
        </row>
        <row r="863">
          <cell r="M863">
            <v>24</v>
          </cell>
        </row>
        <row r="864">
          <cell r="M864">
            <v>24</v>
          </cell>
        </row>
        <row r="865">
          <cell r="M865">
            <v>24</v>
          </cell>
        </row>
        <row r="866">
          <cell r="M866">
            <v>24</v>
          </cell>
        </row>
        <row r="867">
          <cell r="M867">
            <v>24</v>
          </cell>
        </row>
        <row r="868">
          <cell r="M868">
            <v>24</v>
          </cell>
        </row>
        <row r="869">
          <cell r="M869">
            <v>24</v>
          </cell>
        </row>
        <row r="870">
          <cell r="M870">
            <v>0</v>
          </cell>
        </row>
        <row r="871">
          <cell r="M871">
            <v>24</v>
          </cell>
        </row>
        <row r="872">
          <cell r="M872">
            <v>0</v>
          </cell>
        </row>
        <row r="873">
          <cell r="M873">
            <v>25</v>
          </cell>
        </row>
        <row r="874">
          <cell r="M874">
            <v>25</v>
          </cell>
        </row>
        <row r="875">
          <cell r="M875">
            <v>25</v>
          </cell>
        </row>
        <row r="876">
          <cell r="M876">
            <v>25</v>
          </cell>
        </row>
        <row r="877">
          <cell r="M877">
            <v>25</v>
          </cell>
        </row>
        <row r="878">
          <cell r="M878">
            <v>25</v>
          </cell>
        </row>
        <row r="879">
          <cell r="M879">
            <v>25</v>
          </cell>
        </row>
        <row r="880">
          <cell r="M880">
            <v>25</v>
          </cell>
        </row>
        <row r="881">
          <cell r="M881">
            <v>25</v>
          </cell>
        </row>
        <row r="882">
          <cell r="M882">
            <v>25</v>
          </cell>
        </row>
        <row r="883">
          <cell r="M883">
            <v>25</v>
          </cell>
        </row>
        <row r="884">
          <cell r="M884">
            <v>25</v>
          </cell>
        </row>
        <row r="885">
          <cell r="M885">
            <v>25</v>
          </cell>
        </row>
        <row r="886">
          <cell r="M886">
            <v>25</v>
          </cell>
        </row>
        <row r="887">
          <cell r="M887">
            <v>25</v>
          </cell>
        </row>
        <row r="888">
          <cell r="M888">
            <v>25</v>
          </cell>
        </row>
        <row r="889">
          <cell r="M889">
            <v>25</v>
          </cell>
        </row>
        <row r="890">
          <cell r="M890">
            <v>25</v>
          </cell>
        </row>
        <row r="891">
          <cell r="M891">
            <v>25</v>
          </cell>
        </row>
        <row r="892">
          <cell r="M892">
            <v>25</v>
          </cell>
        </row>
        <row r="893">
          <cell r="M893">
            <v>25</v>
          </cell>
        </row>
        <row r="894">
          <cell r="M894">
            <v>25</v>
          </cell>
        </row>
        <row r="895">
          <cell r="M895">
            <v>25</v>
          </cell>
        </row>
        <row r="896">
          <cell r="M896">
            <v>25</v>
          </cell>
        </row>
        <row r="897">
          <cell r="M897">
            <v>25</v>
          </cell>
        </row>
        <row r="898">
          <cell r="M898">
            <v>25</v>
          </cell>
        </row>
        <row r="899">
          <cell r="M899">
            <v>25</v>
          </cell>
        </row>
        <row r="900">
          <cell r="M900">
            <v>25</v>
          </cell>
        </row>
        <row r="901">
          <cell r="M901">
            <v>25</v>
          </cell>
        </row>
        <row r="902">
          <cell r="M902">
            <v>25</v>
          </cell>
        </row>
        <row r="903">
          <cell r="M903">
            <v>25</v>
          </cell>
        </row>
        <row r="904">
          <cell r="M904">
            <v>25</v>
          </cell>
        </row>
        <row r="905">
          <cell r="M905">
            <v>25</v>
          </cell>
        </row>
        <row r="906">
          <cell r="M906">
            <v>25</v>
          </cell>
        </row>
        <row r="907">
          <cell r="M907">
            <v>25</v>
          </cell>
        </row>
        <row r="908">
          <cell r="M908">
            <v>25</v>
          </cell>
        </row>
        <row r="909">
          <cell r="M909">
            <v>25</v>
          </cell>
        </row>
        <row r="910">
          <cell r="M910" t="str">
            <v/>
          </cell>
        </row>
        <row r="911">
          <cell r="M911" t="str">
            <v/>
          </cell>
        </row>
        <row r="912">
          <cell r="M912">
            <v>25</v>
          </cell>
        </row>
        <row r="913">
          <cell r="M913">
            <v>25</v>
          </cell>
        </row>
        <row r="914">
          <cell r="M914">
            <v>25</v>
          </cell>
        </row>
        <row r="915">
          <cell r="M915">
            <v>25</v>
          </cell>
        </row>
        <row r="916">
          <cell r="M916">
            <v>25</v>
          </cell>
        </row>
        <row r="917">
          <cell r="M917">
            <v>25</v>
          </cell>
        </row>
        <row r="918">
          <cell r="M918">
            <v>25</v>
          </cell>
        </row>
        <row r="919">
          <cell r="M919">
            <v>25</v>
          </cell>
        </row>
        <row r="920">
          <cell r="M920">
            <v>25</v>
          </cell>
        </row>
        <row r="921">
          <cell r="M921">
            <v>25</v>
          </cell>
        </row>
        <row r="922">
          <cell r="M922">
            <v>25</v>
          </cell>
        </row>
        <row r="923">
          <cell r="M923">
            <v>25</v>
          </cell>
        </row>
        <row r="924">
          <cell r="M924">
            <v>25</v>
          </cell>
        </row>
        <row r="925">
          <cell r="M925">
            <v>25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26</v>
          </cell>
        </row>
        <row r="929">
          <cell r="M929">
            <v>26</v>
          </cell>
        </row>
        <row r="930">
          <cell r="M930">
            <v>26</v>
          </cell>
        </row>
        <row r="931">
          <cell r="M931">
            <v>26</v>
          </cell>
        </row>
        <row r="932">
          <cell r="M932">
            <v>26</v>
          </cell>
        </row>
        <row r="933">
          <cell r="M933">
            <v>26</v>
          </cell>
        </row>
        <row r="934">
          <cell r="M934">
            <v>26</v>
          </cell>
        </row>
        <row r="935">
          <cell r="M935">
            <v>26</v>
          </cell>
        </row>
        <row r="936">
          <cell r="M936">
            <v>26</v>
          </cell>
        </row>
        <row r="937">
          <cell r="M937">
            <v>26</v>
          </cell>
        </row>
        <row r="938">
          <cell r="M938">
            <v>26</v>
          </cell>
        </row>
        <row r="939">
          <cell r="M939">
            <v>26</v>
          </cell>
        </row>
        <row r="940">
          <cell r="M940">
            <v>26</v>
          </cell>
        </row>
        <row r="941">
          <cell r="M941">
            <v>26</v>
          </cell>
        </row>
        <row r="942">
          <cell r="M942">
            <v>26</v>
          </cell>
        </row>
        <row r="943">
          <cell r="M943">
            <v>26</v>
          </cell>
        </row>
        <row r="944">
          <cell r="M944">
            <v>26</v>
          </cell>
        </row>
        <row r="945">
          <cell r="M945" t="str">
            <v/>
          </cell>
        </row>
        <row r="946">
          <cell r="M946">
            <v>26</v>
          </cell>
        </row>
        <row r="947">
          <cell r="M947">
            <v>26</v>
          </cell>
        </row>
        <row r="948">
          <cell r="M948">
            <v>26</v>
          </cell>
        </row>
        <row r="949">
          <cell r="M949">
            <v>26</v>
          </cell>
        </row>
        <row r="950">
          <cell r="M950">
            <v>26</v>
          </cell>
        </row>
        <row r="951">
          <cell r="M951">
            <v>26</v>
          </cell>
        </row>
        <row r="952">
          <cell r="M952">
            <v>26</v>
          </cell>
        </row>
        <row r="953">
          <cell r="M953">
            <v>26</v>
          </cell>
        </row>
        <row r="954">
          <cell r="M954">
            <v>26</v>
          </cell>
        </row>
        <row r="955">
          <cell r="M955">
            <v>26</v>
          </cell>
        </row>
        <row r="956">
          <cell r="M956">
            <v>26</v>
          </cell>
        </row>
        <row r="957">
          <cell r="M957">
            <v>26</v>
          </cell>
        </row>
        <row r="958">
          <cell r="M958">
            <v>26</v>
          </cell>
        </row>
        <row r="959">
          <cell r="M959">
            <v>26</v>
          </cell>
        </row>
        <row r="960">
          <cell r="M960">
            <v>26</v>
          </cell>
        </row>
        <row r="961">
          <cell r="M961">
            <v>0</v>
          </cell>
        </row>
        <row r="962">
          <cell r="M962">
            <v>26</v>
          </cell>
        </row>
        <row r="963">
          <cell r="M963">
            <v>26</v>
          </cell>
        </row>
        <row r="964">
          <cell r="M964">
            <v>26</v>
          </cell>
        </row>
        <row r="965">
          <cell r="M965">
            <v>26</v>
          </cell>
        </row>
        <row r="966">
          <cell r="M966">
            <v>26</v>
          </cell>
        </row>
        <row r="967">
          <cell r="M967">
            <v>26</v>
          </cell>
        </row>
        <row r="968">
          <cell r="M968">
            <v>26</v>
          </cell>
        </row>
        <row r="969">
          <cell r="M969">
            <v>26</v>
          </cell>
        </row>
        <row r="970">
          <cell r="M970">
            <v>26</v>
          </cell>
        </row>
        <row r="971">
          <cell r="M971">
            <v>26</v>
          </cell>
        </row>
        <row r="972">
          <cell r="M972">
            <v>26</v>
          </cell>
        </row>
        <row r="973">
          <cell r="M973">
            <v>26</v>
          </cell>
        </row>
        <row r="974">
          <cell r="M974">
            <v>26</v>
          </cell>
        </row>
        <row r="975">
          <cell r="M975">
            <v>26</v>
          </cell>
        </row>
        <row r="976">
          <cell r="M976">
            <v>26</v>
          </cell>
        </row>
        <row r="977">
          <cell r="M977">
            <v>26</v>
          </cell>
        </row>
        <row r="978">
          <cell r="M978" t="str">
            <v/>
          </cell>
        </row>
        <row r="979">
          <cell r="M979">
            <v>26</v>
          </cell>
        </row>
        <row r="980">
          <cell r="M980" t="str">
            <v/>
          </cell>
        </row>
        <row r="981">
          <cell r="M981">
            <v>26</v>
          </cell>
        </row>
        <row r="982">
          <cell r="M982">
            <v>26</v>
          </cell>
        </row>
        <row r="983">
          <cell r="M983">
            <v>26</v>
          </cell>
        </row>
        <row r="984">
          <cell r="M984">
            <v>26</v>
          </cell>
        </row>
        <row r="985">
          <cell r="M985">
            <v>26</v>
          </cell>
        </row>
        <row r="986">
          <cell r="M986">
            <v>26</v>
          </cell>
        </row>
        <row r="987">
          <cell r="M987">
            <v>26</v>
          </cell>
        </row>
        <row r="988">
          <cell r="M988">
            <v>26</v>
          </cell>
        </row>
        <row r="989">
          <cell r="M989">
            <v>26</v>
          </cell>
        </row>
        <row r="990">
          <cell r="M990">
            <v>26</v>
          </cell>
        </row>
        <row r="991">
          <cell r="M991">
            <v>26</v>
          </cell>
        </row>
        <row r="992">
          <cell r="M992">
            <v>26</v>
          </cell>
        </row>
        <row r="993">
          <cell r="M993">
            <v>26</v>
          </cell>
        </row>
        <row r="994">
          <cell r="M994">
            <v>0</v>
          </cell>
        </row>
        <row r="995">
          <cell r="M995">
            <v>26</v>
          </cell>
        </row>
        <row r="996">
          <cell r="M996">
            <v>0</v>
          </cell>
        </row>
        <row r="997">
          <cell r="M997">
            <v>27</v>
          </cell>
        </row>
        <row r="998">
          <cell r="M998">
            <v>27</v>
          </cell>
        </row>
        <row r="999">
          <cell r="M999">
            <v>27</v>
          </cell>
        </row>
        <row r="1000">
          <cell r="M1000">
            <v>27</v>
          </cell>
        </row>
        <row r="1001">
          <cell r="M1001">
            <v>27</v>
          </cell>
        </row>
        <row r="1002">
          <cell r="M1002">
            <v>27</v>
          </cell>
        </row>
        <row r="1003">
          <cell r="M1003">
            <v>27</v>
          </cell>
        </row>
        <row r="1004">
          <cell r="M1004">
            <v>27</v>
          </cell>
        </row>
        <row r="1005">
          <cell r="M1005">
            <v>27</v>
          </cell>
        </row>
        <row r="1006">
          <cell r="M1006">
            <v>27</v>
          </cell>
        </row>
        <row r="1007">
          <cell r="M1007">
            <v>27</v>
          </cell>
        </row>
        <row r="1008">
          <cell r="M1008">
            <v>27</v>
          </cell>
        </row>
        <row r="1009">
          <cell r="M1009">
            <v>27</v>
          </cell>
        </row>
        <row r="1010">
          <cell r="M1010">
            <v>27</v>
          </cell>
        </row>
        <row r="1011">
          <cell r="M1011">
            <v>27</v>
          </cell>
        </row>
        <row r="1012">
          <cell r="M1012">
            <v>27</v>
          </cell>
        </row>
        <row r="1013">
          <cell r="M1013">
            <v>27</v>
          </cell>
        </row>
        <row r="1014">
          <cell r="M1014">
            <v>27</v>
          </cell>
        </row>
        <row r="1015">
          <cell r="M1015">
            <v>27</v>
          </cell>
        </row>
        <row r="1016">
          <cell r="M1016">
            <v>27</v>
          </cell>
        </row>
        <row r="1017">
          <cell r="M1017">
            <v>27</v>
          </cell>
        </row>
        <row r="1018">
          <cell r="M1018">
            <v>27</v>
          </cell>
        </row>
        <row r="1019">
          <cell r="M1019">
            <v>27</v>
          </cell>
        </row>
        <row r="1020">
          <cell r="M1020">
            <v>27</v>
          </cell>
        </row>
        <row r="1021">
          <cell r="M1021">
            <v>27</v>
          </cell>
        </row>
        <row r="1022">
          <cell r="M1022">
            <v>27</v>
          </cell>
        </row>
        <row r="1023">
          <cell r="M1023">
            <v>27</v>
          </cell>
        </row>
        <row r="1024">
          <cell r="M1024">
            <v>27</v>
          </cell>
        </row>
        <row r="1025">
          <cell r="M1025">
            <v>27</v>
          </cell>
        </row>
        <row r="1026">
          <cell r="M1026">
            <v>27</v>
          </cell>
        </row>
        <row r="1027">
          <cell r="M1027">
            <v>27</v>
          </cell>
        </row>
        <row r="1028">
          <cell r="M1028">
            <v>27</v>
          </cell>
        </row>
        <row r="1029">
          <cell r="M1029">
            <v>27</v>
          </cell>
        </row>
        <row r="1030">
          <cell r="M1030">
            <v>27</v>
          </cell>
        </row>
        <row r="1031">
          <cell r="M1031">
            <v>27</v>
          </cell>
        </row>
        <row r="1032">
          <cell r="M1032">
            <v>27</v>
          </cell>
        </row>
        <row r="1033">
          <cell r="M1033">
            <v>27</v>
          </cell>
        </row>
        <row r="1034">
          <cell r="M1034" t="str">
            <v/>
          </cell>
        </row>
        <row r="1035">
          <cell r="M1035" t="str">
            <v/>
          </cell>
        </row>
        <row r="1036">
          <cell r="M1036">
            <v>29</v>
          </cell>
        </row>
        <row r="1037">
          <cell r="M1037">
            <v>29</v>
          </cell>
        </row>
        <row r="1038">
          <cell r="M1038">
            <v>0</v>
          </cell>
        </row>
        <row r="1039">
          <cell r="M1039">
            <v>29</v>
          </cell>
        </row>
        <row r="1040">
          <cell r="M1040">
            <v>29</v>
          </cell>
        </row>
        <row r="1041">
          <cell r="M1041">
            <v>29</v>
          </cell>
        </row>
        <row r="1042">
          <cell r="M1042">
            <v>29</v>
          </cell>
        </row>
        <row r="1043">
          <cell r="M1043">
            <v>29</v>
          </cell>
        </row>
        <row r="1044">
          <cell r="M1044">
            <v>29</v>
          </cell>
        </row>
        <row r="1045">
          <cell r="M1045">
            <v>29</v>
          </cell>
        </row>
        <row r="1046">
          <cell r="M1046">
            <v>29</v>
          </cell>
        </row>
        <row r="1047">
          <cell r="M1047">
            <v>29</v>
          </cell>
        </row>
        <row r="1048">
          <cell r="M1048">
            <v>29</v>
          </cell>
        </row>
        <row r="1049">
          <cell r="M1049">
            <v>0</v>
          </cell>
        </row>
        <row r="1050">
          <cell r="M1050">
            <v>30</v>
          </cell>
        </row>
        <row r="1051">
          <cell r="M1051">
            <v>30</v>
          </cell>
        </row>
        <row r="1052">
          <cell r="M1052">
            <v>30</v>
          </cell>
        </row>
        <row r="1053">
          <cell r="M1053">
            <v>30</v>
          </cell>
        </row>
        <row r="1054">
          <cell r="M1054">
            <v>30</v>
          </cell>
        </row>
        <row r="1055">
          <cell r="M1055">
            <v>30</v>
          </cell>
        </row>
        <row r="1056">
          <cell r="M1056">
            <v>30</v>
          </cell>
        </row>
        <row r="1057">
          <cell r="M1057">
            <v>30</v>
          </cell>
        </row>
        <row r="1058">
          <cell r="M1058">
            <v>30</v>
          </cell>
        </row>
        <row r="1059">
          <cell r="M1059">
            <v>30</v>
          </cell>
        </row>
        <row r="1060">
          <cell r="M1060">
            <v>0</v>
          </cell>
        </row>
        <row r="1061">
          <cell r="M1061">
            <v>0</v>
          </cell>
        </row>
        <row r="1062">
          <cell r="M1062">
            <v>0</v>
          </cell>
        </row>
        <row r="1063">
          <cell r="M1063">
            <v>30</v>
          </cell>
        </row>
        <row r="1064">
          <cell r="M1064" t="str">
            <v/>
          </cell>
        </row>
        <row r="1065">
          <cell r="M1065">
            <v>30</v>
          </cell>
        </row>
        <row r="1066">
          <cell r="M1066">
            <v>30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30</v>
          </cell>
        </row>
        <row r="1084">
          <cell r="M1084">
            <v>30</v>
          </cell>
        </row>
        <row r="1085">
          <cell r="M1085">
            <v>30</v>
          </cell>
        </row>
        <row r="1086">
          <cell r="M1086">
            <v>30</v>
          </cell>
        </row>
        <row r="1087">
          <cell r="M1087">
            <v>30</v>
          </cell>
        </row>
        <row r="1088">
          <cell r="M1088">
            <v>30</v>
          </cell>
        </row>
        <row r="1089">
          <cell r="M1089">
            <v>30</v>
          </cell>
        </row>
        <row r="1090">
          <cell r="M1090">
            <v>30</v>
          </cell>
        </row>
        <row r="1091">
          <cell r="M1091">
            <v>30</v>
          </cell>
        </row>
        <row r="1092">
          <cell r="M1092">
            <v>30</v>
          </cell>
        </row>
        <row r="1093">
          <cell r="M1093">
            <v>30</v>
          </cell>
        </row>
        <row r="1094">
          <cell r="M1094">
            <v>30</v>
          </cell>
        </row>
        <row r="1095">
          <cell r="M1095">
            <v>30</v>
          </cell>
        </row>
        <row r="1096">
          <cell r="M1096">
            <v>0</v>
          </cell>
        </row>
        <row r="1097">
          <cell r="M1097">
            <v>30</v>
          </cell>
        </row>
        <row r="1098">
          <cell r="M1098">
            <v>30</v>
          </cell>
        </row>
        <row r="1099">
          <cell r="M1099">
            <v>30</v>
          </cell>
        </row>
        <row r="1100">
          <cell r="M1100">
            <v>30</v>
          </cell>
        </row>
        <row r="1101">
          <cell r="M1101">
            <v>30</v>
          </cell>
        </row>
        <row r="1102">
          <cell r="M1102">
            <v>30</v>
          </cell>
        </row>
        <row r="1103">
          <cell r="M1103">
            <v>30</v>
          </cell>
        </row>
        <row r="1104">
          <cell r="M1104">
            <v>30</v>
          </cell>
        </row>
        <row r="1105">
          <cell r="M1105">
            <v>30</v>
          </cell>
        </row>
        <row r="1106">
          <cell r="M1106">
            <v>30</v>
          </cell>
        </row>
        <row r="1107">
          <cell r="M1107">
            <v>30</v>
          </cell>
        </row>
        <row r="1108">
          <cell r="M1108">
            <v>30</v>
          </cell>
        </row>
        <row r="1109">
          <cell r="M1109">
            <v>30</v>
          </cell>
        </row>
        <row r="1110">
          <cell r="M1110">
            <v>30</v>
          </cell>
        </row>
        <row r="1111">
          <cell r="M1111">
            <v>30</v>
          </cell>
        </row>
        <row r="1112">
          <cell r="M1112">
            <v>30</v>
          </cell>
        </row>
        <row r="1113">
          <cell r="M1113">
            <v>30</v>
          </cell>
        </row>
        <row r="1114">
          <cell r="M1114">
            <v>30</v>
          </cell>
        </row>
        <row r="1115">
          <cell r="M1115">
            <v>30</v>
          </cell>
        </row>
        <row r="1116">
          <cell r="M1116">
            <v>30</v>
          </cell>
        </row>
        <row r="1117">
          <cell r="M1117" t="str">
            <v/>
          </cell>
        </row>
        <row r="1118">
          <cell r="M1118" t="str">
            <v/>
          </cell>
        </row>
        <row r="1119">
          <cell r="M1119">
            <v>30</v>
          </cell>
        </row>
        <row r="1120">
          <cell r="M1120">
            <v>30</v>
          </cell>
        </row>
        <row r="1121">
          <cell r="M1121">
            <v>30</v>
          </cell>
        </row>
        <row r="1122">
          <cell r="M1122">
            <v>30</v>
          </cell>
        </row>
        <row r="1123">
          <cell r="M1123">
            <v>30</v>
          </cell>
        </row>
        <row r="1124">
          <cell r="M1124">
            <v>30</v>
          </cell>
        </row>
        <row r="1125">
          <cell r="M1125">
            <v>30</v>
          </cell>
        </row>
        <row r="1126">
          <cell r="M1126">
            <v>30</v>
          </cell>
        </row>
        <row r="1127">
          <cell r="M1127">
            <v>30</v>
          </cell>
        </row>
        <row r="1128">
          <cell r="M1128">
            <v>30</v>
          </cell>
        </row>
        <row r="1129">
          <cell r="M1129">
            <v>30</v>
          </cell>
        </row>
        <row r="1130">
          <cell r="M1130">
            <v>30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31</v>
          </cell>
        </row>
        <row r="1134">
          <cell r="M1134">
            <v>31</v>
          </cell>
        </row>
        <row r="1135">
          <cell r="M1135">
            <v>31</v>
          </cell>
        </row>
        <row r="1136">
          <cell r="M1136">
            <v>31</v>
          </cell>
        </row>
        <row r="1137">
          <cell r="M1137">
            <v>31</v>
          </cell>
        </row>
        <row r="1138">
          <cell r="M1138">
            <v>31</v>
          </cell>
        </row>
        <row r="1139">
          <cell r="M1139">
            <v>31</v>
          </cell>
        </row>
        <row r="1140">
          <cell r="M1140" t="str">
            <v/>
          </cell>
        </row>
        <row r="1141">
          <cell r="M1141">
            <v>31</v>
          </cell>
        </row>
        <row r="1142">
          <cell r="M1142">
            <v>31</v>
          </cell>
        </row>
        <row r="1143">
          <cell r="M1143">
            <v>31</v>
          </cell>
        </row>
        <row r="1144">
          <cell r="M1144">
            <v>31</v>
          </cell>
        </row>
        <row r="1145">
          <cell r="M1145">
            <v>31</v>
          </cell>
        </row>
        <row r="1146">
          <cell r="M1146">
            <v>31</v>
          </cell>
        </row>
        <row r="1147">
          <cell r="M1147">
            <v>31</v>
          </cell>
        </row>
        <row r="1148">
          <cell r="M1148">
            <v>31</v>
          </cell>
        </row>
        <row r="1149">
          <cell r="M1149">
            <v>31</v>
          </cell>
        </row>
        <row r="1150">
          <cell r="M1150">
            <v>31</v>
          </cell>
        </row>
        <row r="1151">
          <cell r="M1151">
            <v>31</v>
          </cell>
        </row>
        <row r="1152">
          <cell r="M1152">
            <v>31</v>
          </cell>
        </row>
        <row r="1153">
          <cell r="M1153">
            <v>31</v>
          </cell>
        </row>
        <row r="1154">
          <cell r="M1154">
            <v>31</v>
          </cell>
        </row>
        <row r="1155">
          <cell r="M1155">
            <v>31</v>
          </cell>
        </row>
        <row r="1156">
          <cell r="M1156">
            <v>31</v>
          </cell>
        </row>
        <row r="1157">
          <cell r="M1157" t="str">
            <v/>
          </cell>
        </row>
        <row r="1158">
          <cell r="M1158">
            <v>32</v>
          </cell>
        </row>
        <row r="1159">
          <cell r="M1159">
            <v>32</v>
          </cell>
        </row>
        <row r="1160">
          <cell r="M1160">
            <v>32</v>
          </cell>
        </row>
        <row r="1161">
          <cell r="M1161">
            <v>32</v>
          </cell>
        </row>
        <row r="1162">
          <cell r="M1162">
            <v>32</v>
          </cell>
        </row>
        <row r="1163">
          <cell r="M1163">
            <v>32</v>
          </cell>
        </row>
        <row r="1164">
          <cell r="M1164">
            <v>32</v>
          </cell>
        </row>
        <row r="1165">
          <cell r="M1165">
            <v>32</v>
          </cell>
        </row>
        <row r="1166">
          <cell r="M1166">
            <v>32</v>
          </cell>
        </row>
        <row r="1167">
          <cell r="M1167">
            <v>32</v>
          </cell>
        </row>
        <row r="1168">
          <cell r="M1168">
            <v>32</v>
          </cell>
        </row>
        <row r="1169">
          <cell r="M1169">
            <v>32</v>
          </cell>
        </row>
        <row r="1170">
          <cell r="M1170">
            <v>32</v>
          </cell>
        </row>
        <row r="1171">
          <cell r="M1171">
            <v>32</v>
          </cell>
        </row>
        <row r="1172">
          <cell r="M1172">
            <v>0</v>
          </cell>
        </row>
        <row r="1173">
          <cell r="M1173">
            <v>32</v>
          </cell>
        </row>
        <row r="1174">
          <cell r="M1174">
            <v>32</v>
          </cell>
        </row>
        <row r="1175">
          <cell r="M1175">
            <v>32</v>
          </cell>
        </row>
        <row r="1176">
          <cell r="M1176">
            <v>32</v>
          </cell>
        </row>
        <row r="1177">
          <cell r="M1177">
            <v>32</v>
          </cell>
        </row>
        <row r="1178">
          <cell r="M1178">
            <v>32</v>
          </cell>
        </row>
        <row r="1179">
          <cell r="M1179">
            <v>32</v>
          </cell>
        </row>
        <row r="1180">
          <cell r="M1180">
            <v>32</v>
          </cell>
        </row>
        <row r="1181">
          <cell r="M1181">
            <v>32</v>
          </cell>
        </row>
        <row r="1182">
          <cell r="M1182">
            <v>32</v>
          </cell>
        </row>
        <row r="1183">
          <cell r="M1183" t="str">
            <v/>
          </cell>
        </row>
        <row r="1184">
          <cell r="M1184" t="str">
            <v/>
          </cell>
        </row>
        <row r="1185">
          <cell r="M1185">
            <v>32</v>
          </cell>
        </row>
        <row r="1186">
          <cell r="M1186">
            <v>32</v>
          </cell>
        </row>
        <row r="1187">
          <cell r="M1187">
            <v>32</v>
          </cell>
        </row>
        <row r="1188">
          <cell r="M1188">
            <v>32</v>
          </cell>
        </row>
        <row r="1189">
          <cell r="M1189">
            <v>32</v>
          </cell>
        </row>
        <row r="1190">
          <cell r="M1190">
            <v>32</v>
          </cell>
        </row>
        <row r="1191">
          <cell r="M1191">
            <v>32</v>
          </cell>
        </row>
        <row r="1192">
          <cell r="M1192">
            <v>32</v>
          </cell>
        </row>
        <row r="1193">
          <cell r="M1193">
            <v>32</v>
          </cell>
        </row>
        <row r="1194">
          <cell r="M1194">
            <v>32</v>
          </cell>
        </row>
        <row r="1195">
          <cell r="M1195">
            <v>32</v>
          </cell>
        </row>
        <row r="1196">
          <cell r="M1196">
            <v>32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33</v>
          </cell>
        </row>
        <row r="1200">
          <cell r="M1200">
            <v>33</v>
          </cell>
        </row>
        <row r="1201">
          <cell r="M1201">
            <v>33</v>
          </cell>
        </row>
        <row r="1202">
          <cell r="M1202">
            <v>33</v>
          </cell>
        </row>
        <row r="1203">
          <cell r="M1203">
            <v>33</v>
          </cell>
        </row>
        <row r="1204">
          <cell r="M1204">
            <v>0</v>
          </cell>
        </row>
        <row r="1205">
          <cell r="M1205">
            <v>33</v>
          </cell>
        </row>
        <row r="1206">
          <cell r="M1206">
            <v>33</v>
          </cell>
        </row>
        <row r="1207">
          <cell r="M1207">
            <v>33</v>
          </cell>
        </row>
        <row r="1208">
          <cell r="M1208">
            <v>33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</row>
        <row r="1212">
          <cell r="M1212">
            <v>33</v>
          </cell>
        </row>
        <row r="1213">
          <cell r="M1213" t="str">
            <v/>
          </cell>
        </row>
        <row r="1214">
          <cell r="M1214">
            <v>33</v>
          </cell>
        </row>
        <row r="1215">
          <cell r="M1215">
            <v>33</v>
          </cell>
        </row>
        <row r="1216">
          <cell r="M1216">
            <v>33</v>
          </cell>
        </row>
        <row r="1217">
          <cell r="M1217">
            <v>33</v>
          </cell>
        </row>
        <row r="1218">
          <cell r="M1218">
            <v>33</v>
          </cell>
        </row>
        <row r="1219">
          <cell r="M1219">
            <v>33</v>
          </cell>
        </row>
        <row r="1220">
          <cell r="M1220">
            <v>33</v>
          </cell>
        </row>
        <row r="1221">
          <cell r="M1221">
            <v>33</v>
          </cell>
        </row>
        <row r="1222">
          <cell r="M1222">
            <v>33</v>
          </cell>
        </row>
        <row r="1223">
          <cell r="M1223">
            <v>33</v>
          </cell>
        </row>
        <row r="1224">
          <cell r="M1224">
            <v>33</v>
          </cell>
        </row>
        <row r="1225">
          <cell r="M1225">
            <v>33</v>
          </cell>
        </row>
        <row r="1226">
          <cell r="M1226">
            <v>33</v>
          </cell>
        </row>
        <row r="1227">
          <cell r="M1227">
            <v>33</v>
          </cell>
        </row>
        <row r="1228">
          <cell r="M1228">
            <v>33</v>
          </cell>
        </row>
        <row r="1229">
          <cell r="M1229">
            <v>33</v>
          </cell>
        </row>
        <row r="1230">
          <cell r="M1230">
            <v>33</v>
          </cell>
        </row>
        <row r="1231">
          <cell r="M1231">
            <v>33</v>
          </cell>
        </row>
        <row r="1232">
          <cell r="M1232">
            <v>33</v>
          </cell>
        </row>
        <row r="1233">
          <cell r="M1233">
            <v>33</v>
          </cell>
        </row>
        <row r="1234">
          <cell r="M1234">
            <v>33</v>
          </cell>
        </row>
        <row r="1235">
          <cell r="M1235">
            <v>33</v>
          </cell>
        </row>
        <row r="1236">
          <cell r="M1236">
            <v>33</v>
          </cell>
        </row>
        <row r="1237">
          <cell r="M1237">
            <v>33</v>
          </cell>
        </row>
        <row r="1238">
          <cell r="M1238">
            <v>33</v>
          </cell>
        </row>
        <row r="1239">
          <cell r="M1239">
            <v>33</v>
          </cell>
        </row>
        <row r="1240">
          <cell r="M1240">
            <v>33</v>
          </cell>
        </row>
        <row r="1241">
          <cell r="M1241">
            <v>33</v>
          </cell>
        </row>
        <row r="1242">
          <cell r="M1242">
            <v>33</v>
          </cell>
        </row>
        <row r="1243">
          <cell r="M1243">
            <v>33</v>
          </cell>
        </row>
        <row r="1244">
          <cell r="M1244">
            <v>33</v>
          </cell>
        </row>
        <row r="1245">
          <cell r="M1245">
            <v>33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33</v>
          </cell>
        </row>
        <row r="1257">
          <cell r="M1257">
            <v>33</v>
          </cell>
        </row>
      </sheetData>
      <sheetData sheetId="7">
        <row r="6">
          <cell r="B6" t="str">
            <v>NO ACOMPANHAMENTO POR BM, UTILIZE A ABA CRONO</v>
          </cell>
        </row>
        <row r="8">
          <cell r="B8" t="str">
            <v>2. ADMINISTRAÇÃO LOCAL</v>
          </cell>
        </row>
        <row r="15">
          <cell r="F15" t="str">
            <v/>
          </cell>
        </row>
        <row r="16">
          <cell r="F16" t="str">
            <v>1. INSTALAÇÕES PRELIMINARES / CANTEIRO DE OBRAS</v>
          </cell>
        </row>
        <row r="17">
          <cell r="F17" t="str">
            <v>2. ADMINISTRAÇÃO LOCAL</v>
          </cell>
        </row>
        <row r="18">
          <cell r="F18" t="str">
            <v>3. PROJETO EXECUTIVO</v>
          </cell>
        </row>
        <row r="19">
          <cell r="F19" t="str">
            <v>4. CAPTAÇÃO - EAB01/BALSA/ PASSARELA E PIER</v>
          </cell>
        </row>
        <row r="20">
          <cell r="F20" t="str">
            <v>5. AAB1- INTERLIGAÇÕES</v>
          </cell>
        </row>
        <row r="21">
          <cell r="F21" t="str">
            <v>6. INSTALAÇÕES ELÉTRICAS EAB01</v>
          </cell>
        </row>
        <row r="22">
          <cell r="F22" t="str">
            <v>7. CAPTAÇÃO - CAIXA DE AREIA E ESTAÇÃO ELEVATÓRIA ÁGUA BRUTA 02 - EAB02</v>
          </cell>
        </row>
        <row r="23">
          <cell r="F23" t="str">
            <v>8. CAPTAÇÃO-SUBESTAÇÃO CEMIG</v>
          </cell>
        </row>
        <row r="24">
          <cell r="F24" t="str">
            <v>9. INSTALAÇÕES ELÉTRICAS EAB02</v>
          </cell>
        </row>
        <row r="25">
          <cell r="F25" t="str">
            <v>10. AAB02-ADUTORA DE ÁGUA BRUTA / CAIXA DE MANOBRA E TRANSIÇÃO / VRPS</v>
          </cell>
        </row>
        <row r="26">
          <cell r="F26" t="str">
            <v>11. AAB2 -TRAVESSIA MND E CAIXAS</v>
          </cell>
        </row>
        <row r="27">
          <cell r="F27" t="str">
            <v>12. ETA-RESERVATÓRIO APOIADO 450M3 - RAP07</v>
          </cell>
        </row>
        <row r="28">
          <cell r="F28" t="str">
            <v>13. ETA-RESERVATÓRIO ELEVADO 100M3 - REL06</v>
          </cell>
        </row>
        <row r="29">
          <cell r="F29" t="str">
            <v>14. ETA-INTERLIGAÇÕES</v>
          </cell>
        </row>
        <row r="30">
          <cell r="F30" t="str">
            <v>15. INSTALAÇÕES ELÉTRICAS ETA</v>
          </cell>
        </row>
        <row r="31">
          <cell r="F31" t="str">
            <v>16. AT01-AAT - TRECHO 1</v>
          </cell>
        </row>
        <row r="32">
          <cell r="F32" t="str">
            <v>17. AT02-AAT - TRECHO 2</v>
          </cell>
        </row>
        <row r="33">
          <cell r="F33" t="str">
            <v>18. AT03-AAT - TRECHO 3</v>
          </cell>
        </row>
        <row r="34">
          <cell r="F34" t="str">
            <v>19. CAIXAS DE DESCARGAS - (DN150 E DN200) / CAIXA DE VENTOSA</v>
          </cell>
        </row>
        <row r="35">
          <cell r="F35" t="str">
            <v>20. EAT02 - EAT02 - BOOSTER CAIXA AMARELA</v>
          </cell>
        </row>
        <row r="36">
          <cell r="F36" t="str">
            <v>21. INSTALAÇÕES ELÉTRICAS EAT02</v>
          </cell>
        </row>
        <row r="37">
          <cell r="F37" t="str">
            <v>22. EAT03 - BOOSTER VITÓRIA</v>
          </cell>
        </row>
        <row r="38">
          <cell r="F38" t="str">
            <v>23. INSTALAÇÕES ELÉTRICAS EAT03</v>
          </cell>
        </row>
        <row r="39">
          <cell r="F39" t="str">
            <v>24. EAT04 - BOOSTER VITÓRIA</v>
          </cell>
        </row>
        <row r="40">
          <cell r="F40" t="str">
            <v>25. INSTALAÇÕES ELÉTRICAS EAT04</v>
          </cell>
        </row>
        <row r="41">
          <cell r="F41" t="str">
            <v>26. EAT05 - BOOSTER BONFIM</v>
          </cell>
        </row>
        <row r="42">
          <cell r="F42" t="str">
            <v>27. INSTALAÇÕES ELÉTRICAS EAT05</v>
          </cell>
        </row>
        <row r="43">
          <cell r="F43" t="str">
            <v>28. RESERVATÓRIO APOIADO 500M3 - RAP08 / INTERLIGAÇÕES</v>
          </cell>
        </row>
        <row r="44">
          <cell r="F44" t="str">
            <v>29. INSTALAÇÕES ELÉTRICAS RAP08 - JOSÉ MARRA</v>
          </cell>
        </row>
        <row r="45">
          <cell r="F45" t="str">
            <v>30. RESERVATÓRIO ELEVADO 100M3 - REL07 / INTERLIGAÇÕES</v>
          </cell>
        </row>
        <row r="46">
          <cell r="F46" t="str">
            <v>31. RA01-RESERVATÓRIO APOIADO 300M3 - RAP09</v>
          </cell>
        </row>
        <row r="47">
          <cell r="F47" t="str">
            <v>32. RE01-RESERVATÓRIO ELEVADO 100M3 - REL08</v>
          </cell>
        </row>
        <row r="48">
          <cell r="F48" t="str">
            <v>33. RESERVATÓRIO ELEVADO 100M3 - REL09 / INTERLIGAÇÕES</v>
          </cell>
        </row>
      </sheetData>
      <sheetData sheetId="8">
        <row r="9">
          <cell r="A9">
            <v>2</v>
          </cell>
        </row>
        <row r="10">
          <cell r="A10">
            <v>3</v>
          </cell>
          <cell r="H10">
            <v>2</v>
          </cell>
        </row>
        <row r="11">
          <cell r="A11">
            <v>4</v>
          </cell>
        </row>
        <row r="14">
          <cell r="A14" t="str">
            <v/>
          </cell>
        </row>
        <row r="17">
          <cell r="A17" t="str">
            <v>1.1. INSTALAÇÕES PRELIMINARES / CANTEIRO DE OBRAS</v>
          </cell>
        </row>
        <row r="20">
          <cell r="A20" t="str">
            <v>1.2. ADMINISTRAÇÃO LOCAL</v>
          </cell>
        </row>
        <row r="23">
          <cell r="A23" t="str">
            <v>1.3. CAPTAÇÃO - EAB01/BALSA/ PASSARELA E PIER</v>
          </cell>
        </row>
        <row r="26">
          <cell r="A26" t="str">
            <v>1.4. AAB1- INTERLIGAÇÕES</v>
          </cell>
        </row>
        <row r="29">
          <cell r="A29" t="str">
            <v>1.5. INSTALAÇÕES ELÉTRICAS EAB01</v>
          </cell>
        </row>
        <row r="32">
          <cell r="A32" t="str">
            <v>1.6. CAPTAÇÃO - CAIXA DE AREIA E ESTAÇÃO ELEVATÓRIA ÁGUA BRUTA 02 - EAB02</v>
          </cell>
        </row>
        <row r="35">
          <cell r="A35" t="str">
            <v>1.7. CAPTAÇÃO-SUBESTAÇÃO CEMIG</v>
          </cell>
        </row>
        <row r="38">
          <cell r="A38" t="str">
            <v>1.8. INSTALAÇÕES ELÉTRICAS EAB02</v>
          </cell>
        </row>
        <row r="41">
          <cell r="A41" t="str">
            <v>1.9. AAB02-ADUTORA DE ÁGUA BRUTA / CAIXA DE MANOBRA E TRANSIÇÃO / VRPS</v>
          </cell>
        </row>
        <row r="44">
          <cell r="A44" t="str">
            <v>1.10. AAB2 -TRAVESSIA MND E CAIXAS</v>
          </cell>
        </row>
        <row r="47">
          <cell r="A47" t="str">
            <v>1.11. ETA-RESERVATÓRIO APOIADO 450M3 - RAP07</v>
          </cell>
        </row>
        <row r="50">
          <cell r="A50" t="str">
            <v>1.12. ETA-RESERVATÓRIO ELEVADO 100M3 - REL06</v>
          </cell>
        </row>
        <row r="53">
          <cell r="A53" t="str">
            <v>1.13. ETA-INTERLIGAÇÕES</v>
          </cell>
        </row>
        <row r="56">
          <cell r="A56" t="str">
            <v>1.14. INSTALAÇÕES ELÉTRICAS ETA</v>
          </cell>
        </row>
        <row r="59">
          <cell r="A59" t="str">
            <v>1.15. AT01-AAT - TRECHO 1</v>
          </cell>
        </row>
        <row r="62">
          <cell r="A62" t="str">
            <v>1.16. AT02-AAT - TRECHO 2</v>
          </cell>
        </row>
        <row r="65">
          <cell r="A65" t="str">
            <v>1.17. AT03-AAT - TRECHO 3</v>
          </cell>
        </row>
        <row r="68">
          <cell r="A68" t="str">
            <v>1.18. CAIXAS DE DESCARGAS - (DN150 E DN200) / CAIXA DE VENTOSA</v>
          </cell>
        </row>
        <row r="71">
          <cell r="A71" t="str">
            <v>1.19. EAT02 - EAT02 - BOOSTER CAIXA AMARELA</v>
          </cell>
        </row>
        <row r="74">
          <cell r="A74" t="str">
            <v>1.20. INSTALAÇÕES ELÉTRICAS EAT02</v>
          </cell>
        </row>
        <row r="77">
          <cell r="A77" t="str">
            <v>1.21. EAT04 - BOOSTER JARDIM VITÓRIA 2</v>
          </cell>
        </row>
        <row r="80">
          <cell r="A80" t="str">
            <v>1.22. INSTALAÇÕES ELÉTRICAS EAT04</v>
          </cell>
        </row>
        <row r="83">
          <cell r="A83" t="str">
            <v>1.23. EAT05 - BOOSTER BONFIM</v>
          </cell>
        </row>
        <row r="86">
          <cell r="A86" t="str">
            <v>1.24. INSTALAÇÕES ELÉTRICAS EAT05</v>
          </cell>
        </row>
        <row r="89">
          <cell r="A89" t="str">
            <v>1.25. RESERVATÓRIO ELEVADO 100M3 - REL07 / INTERLIGAÇÕES</v>
          </cell>
        </row>
        <row r="92">
          <cell r="A92" t="str">
            <v>1.26. RA01-RESERVATÓRIO APOIADO 300M3 - RAP09</v>
          </cell>
        </row>
        <row r="95">
          <cell r="A95" t="str">
            <v>1.27. RESERVATÓRIO ELEVADO 100M3 - REL09 / INTERLIGAÇÕES</v>
          </cell>
        </row>
        <row r="104">
          <cell r="U104">
            <v>1.6799999999999999E-2</v>
          </cell>
          <cell r="V104">
            <v>0.12280000000000001</v>
          </cell>
          <cell r="W104">
            <v>0.25530000000000003</v>
          </cell>
          <cell r="X104">
            <v>0.40400000000000003</v>
          </cell>
          <cell r="Y104">
            <v>0.61970000000000003</v>
          </cell>
          <cell r="Z104">
            <v>0.83550000000000002</v>
          </cell>
          <cell r="AA104">
            <v>0.9073</v>
          </cell>
          <cell r="AB104">
            <v>0.94140000000000001</v>
          </cell>
          <cell r="AC104">
            <v>0.96919999999999995</v>
          </cell>
          <cell r="AD104">
            <v>0.98170000000000002</v>
          </cell>
          <cell r="AE104">
            <v>0.99419999999999997</v>
          </cell>
          <cell r="AF104">
            <v>1</v>
          </cell>
        </row>
        <row r="109">
          <cell r="H109" t="str">
            <v>1.2. ADMINISTRAÇÃO LOCAL</v>
          </cell>
        </row>
      </sheetData>
      <sheetData sheetId="9">
        <row r="2">
          <cell r="A2" t="str">
            <v>Sem Projeto</v>
          </cell>
        </row>
        <row r="3">
          <cell r="A3" t="str">
            <v>Em Análise</v>
          </cell>
        </row>
        <row r="4">
          <cell r="A4" t="str">
            <v>Análise Concluída / A Licitar</v>
          </cell>
        </row>
        <row r="5">
          <cell r="A5" t="str">
            <v>Licitado / Em Execução</v>
          </cell>
        </row>
        <row r="6">
          <cell r="A6" t="str">
            <v>Concluído</v>
          </cell>
        </row>
        <row r="8">
          <cell r="A8" t="str">
            <v>Proporcional</v>
          </cell>
        </row>
        <row r="9">
          <cell r="A9" t="str">
            <v>Calculado</v>
          </cell>
        </row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10957650.33</v>
          </cell>
          <cell r="AA14">
            <v>2743809.2200000044</v>
          </cell>
          <cell r="AB14">
            <v>0</v>
          </cell>
        </row>
        <row r="15">
          <cell r="B15" t="str">
            <v>TR$</v>
          </cell>
          <cell r="O15">
            <v>10957650.33</v>
          </cell>
          <cell r="AA15">
            <v>2743809.22</v>
          </cell>
          <cell r="AB15">
            <v>0</v>
          </cell>
        </row>
      </sheetData>
      <sheetData sheetId="10">
        <row r="9">
          <cell r="J9">
            <v>1</v>
          </cell>
        </row>
        <row r="15">
          <cell r="A15" t="str">
            <v/>
          </cell>
          <cell r="B15">
            <v>0</v>
          </cell>
          <cell r="C15" t="str">
            <v/>
          </cell>
          <cell r="H15" t="str">
            <v>A administração local será proporcional a execução dos demais eventos, independente de frentes de obra.</v>
          </cell>
        </row>
        <row r="49">
          <cell r="A49" t="str">
            <v>F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10957650.33</v>
          </cell>
        </row>
        <row r="17">
          <cell r="AC17">
            <v>0</v>
          </cell>
          <cell r="AD17">
            <v>0</v>
          </cell>
        </row>
        <row r="18">
          <cell r="AC18">
            <v>0</v>
          </cell>
          <cell r="AD18">
            <v>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97E5F-538C-40EE-A3C7-F206A2048FBE}">
  <sheetPr codeName="Planilha3"/>
  <dimension ref="A1:Q1201"/>
  <sheetViews>
    <sheetView tabSelected="1" workbookViewId="0">
      <pane ySplit="1" topLeftCell="A2" activePane="bottomLeft" state="frozen"/>
      <selection activeCell="K1" sqref="K1"/>
      <selection pane="bottomLeft"/>
    </sheetView>
  </sheetViews>
  <sheetFormatPr defaultColWidth="9.140625" defaultRowHeight="15" x14ac:dyDescent="0.25"/>
  <cols>
    <col min="1" max="1" width="15" style="3" customWidth="1"/>
    <col min="2" max="2" width="25" style="3" customWidth="1"/>
    <col min="3" max="3" width="12" style="3" customWidth="1"/>
    <col min="4" max="4" width="15.5703125" style="12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4" width="20" style="3" customWidth="1"/>
    <col min="15" max="15" width="50" style="3" customWidth="1"/>
    <col min="16" max="16" width="15" style="3" customWidth="1"/>
    <col min="17" max="17" width="17.5703125" style="3" customWidth="1"/>
    <col min="18" max="16384" width="9.140625" style="3"/>
  </cols>
  <sheetData>
    <row r="1" spans="1:17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45" customHeight="1" x14ac:dyDescent="0.25">
      <c r="A2" s="4" t="s">
        <v>17</v>
      </c>
      <c r="B2" s="5" t="s">
        <v>18</v>
      </c>
      <c r="C2" s="4"/>
      <c r="D2" s="4"/>
      <c r="E2" s="4" t="s">
        <v>19</v>
      </c>
      <c r="F2" s="6"/>
      <c r="G2" s="4"/>
      <c r="H2" s="7"/>
      <c r="I2" s="7"/>
      <c r="J2" s="8"/>
      <c r="K2" s="9"/>
      <c r="L2" s="9">
        <f>78231.81</f>
        <v>78231.81</v>
      </c>
      <c r="M2" s="4"/>
      <c r="N2" s="10"/>
      <c r="O2" s="4"/>
      <c r="P2" s="11"/>
      <c r="Q2" s="9"/>
    </row>
    <row r="3" spans="1:17" ht="45" customHeight="1" x14ac:dyDescent="0.25">
      <c r="A3" s="4" t="s">
        <v>20</v>
      </c>
      <c r="B3" s="5" t="s">
        <v>21</v>
      </c>
      <c r="C3" s="4" t="s">
        <v>22</v>
      </c>
      <c r="D3" s="4" t="s">
        <v>23</v>
      </c>
      <c r="E3" s="4" t="s">
        <v>24</v>
      </c>
      <c r="F3" s="6">
        <f>45.4</f>
        <v>45.4</v>
      </c>
      <c r="G3" s="4" t="s">
        <v>25</v>
      </c>
      <c r="H3" s="7">
        <v>500.9</v>
      </c>
      <c r="I3" s="7">
        <v>500.9</v>
      </c>
      <c r="J3" s="8" t="s">
        <v>26</v>
      </c>
      <c r="K3" s="9">
        <f>629.63</f>
        <v>629.63</v>
      </c>
      <c r="L3" s="9">
        <f>28585.2</f>
        <v>28585.200000000001</v>
      </c>
      <c r="M3" s="4"/>
      <c r="N3" s="10">
        <v>1</v>
      </c>
      <c r="O3" s="4" t="s">
        <v>27</v>
      </c>
      <c r="P3" s="11">
        <v>45.4</v>
      </c>
      <c r="Q3" s="9">
        <f>28585.2</f>
        <v>28585.200000000001</v>
      </c>
    </row>
    <row r="4" spans="1:17" ht="45" customHeight="1" x14ac:dyDescent="0.25">
      <c r="A4" s="4" t="s">
        <v>20</v>
      </c>
      <c r="B4" s="5" t="s">
        <v>28</v>
      </c>
      <c r="C4" s="4" t="s">
        <v>29</v>
      </c>
      <c r="D4" s="4" t="s">
        <v>30</v>
      </c>
      <c r="E4" s="4" t="s">
        <v>31</v>
      </c>
      <c r="F4" s="6">
        <f>12</f>
        <v>12</v>
      </c>
      <c r="G4" s="4" t="s">
        <v>32</v>
      </c>
      <c r="H4" s="7">
        <v>846.5</v>
      </c>
      <c r="I4" s="7">
        <v>846.5</v>
      </c>
      <c r="J4" s="8" t="s">
        <v>26</v>
      </c>
      <c r="K4" s="9">
        <f>1064.05</f>
        <v>1064.05</v>
      </c>
      <c r="L4" s="9">
        <f>12768.6</f>
        <v>12768.6</v>
      </c>
      <c r="M4" s="4"/>
      <c r="N4" s="10">
        <v>1</v>
      </c>
      <c r="O4" s="4" t="s">
        <v>27</v>
      </c>
      <c r="P4" s="11">
        <v>12</v>
      </c>
      <c r="Q4" s="9">
        <f>12768.6</f>
        <v>12768.6</v>
      </c>
    </row>
    <row r="5" spans="1:17" ht="45" customHeight="1" x14ac:dyDescent="0.25">
      <c r="A5" s="4" t="s">
        <v>20</v>
      </c>
      <c r="B5" s="5" t="s">
        <v>33</v>
      </c>
      <c r="C5" s="4" t="s">
        <v>29</v>
      </c>
      <c r="D5" s="4" t="s">
        <v>34</v>
      </c>
      <c r="E5" s="4" t="s">
        <v>35</v>
      </c>
      <c r="F5" s="6">
        <f>232</f>
        <v>232</v>
      </c>
      <c r="G5" s="4" t="s">
        <v>36</v>
      </c>
      <c r="H5" s="7">
        <v>9</v>
      </c>
      <c r="I5" s="7">
        <v>9</v>
      </c>
      <c r="J5" s="8" t="s">
        <v>26</v>
      </c>
      <c r="K5" s="9">
        <f>11.31</f>
        <v>11.31</v>
      </c>
      <c r="L5" s="9">
        <f>2623.92</f>
        <v>2623.92</v>
      </c>
      <c r="M5" s="4"/>
      <c r="N5" s="10">
        <v>1</v>
      </c>
      <c r="O5" s="4" t="s">
        <v>27</v>
      </c>
      <c r="P5" s="11">
        <v>232</v>
      </c>
      <c r="Q5" s="9">
        <f>2623.92</f>
        <v>2623.92</v>
      </c>
    </row>
    <row r="6" spans="1:17" ht="45" customHeight="1" x14ac:dyDescent="0.25">
      <c r="A6" s="4" t="s">
        <v>20</v>
      </c>
      <c r="B6" s="5" t="s">
        <v>37</v>
      </c>
      <c r="C6" s="4" t="s">
        <v>29</v>
      </c>
      <c r="D6" s="4" t="s">
        <v>38</v>
      </c>
      <c r="E6" s="4" t="s">
        <v>39</v>
      </c>
      <c r="F6" s="6">
        <f>12</f>
        <v>12</v>
      </c>
      <c r="G6" s="4" t="s">
        <v>32</v>
      </c>
      <c r="H6" s="7">
        <v>580</v>
      </c>
      <c r="I6" s="7">
        <v>580</v>
      </c>
      <c r="J6" s="8" t="s">
        <v>26</v>
      </c>
      <c r="K6" s="9">
        <f>729.06</f>
        <v>729.06</v>
      </c>
      <c r="L6" s="9">
        <f>8748.72</f>
        <v>8748.7199999999993</v>
      </c>
      <c r="M6" s="4"/>
      <c r="N6" s="10">
        <v>1</v>
      </c>
      <c r="O6" s="4" t="s">
        <v>27</v>
      </c>
      <c r="P6" s="11">
        <v>12</v>
      </c>
      <c r="Q6" s="9">
        <f>8748.72</f>
        <v>8748.7199999999993</v>
      </c>
    </row>
    <row r="7" spans="1:17" ht="45" customHeight="1" x14ac:dyDescent="0.25">
      <c r="A7" s="4" t="s">
        <v>20</v>
      </c>
      <c r="B7" s="5" t="s">
        <v>40</v>
      </c>
      <c r="C7" s="4" t="s">
        <v>29</v>
      </c>
      <c r="D7" s="4" t="s">
        <v>41</v>
      </c>
      <c r="E7" s="4" t="s">
        <v>42</v>
      </c>
      <c r="F7" s="6">
        <f>12</f>
        <v>12</v>
      </c>
      <c r="G7" s="4" t="s">
        <v>32</v>
      </c>
      <c r="H7" s="7">
        <v>1604.52</v>
      </c>
      <c r="I7" s="7">
        <v>1604.52</v>
      </c>
      <c r="J7" s="8" t="s">
        <v>26</v>
      </c>
      <c r="K7" s="9">
        <f>2016.88</f>
        <v>2016.88</v>
      </c>
      <c r="L7" s="9">
        <f>24202.56</f>
        <v>24202.560000000001</v>
      </c>
      <c r="M7" s="4"/>
      <c r="N7" s="10">
        <v>1</v>
      </c>
      <c r="O7" s="4" t="s">
        <v>27</v>
      </c>
      <c r="P7" s="11">
        <v>12</v>
      </c>
      <c r="Q7" s="9">
        <f>24202.56</f>
        <v>24202.560000000001</v>
      </c>
    </row>
    <row r="8" spans="1:17" ht="45" customHeight="1" x14ac:dyDescent="0.25">
      <c r="A8" s="4" t="s">
        <v>20</v>
      </c>
      <c r="B8" s="5" t="s">
        <v>43</v>
      </c>
      <c r="C8" s="4" t="s">
        <v>29</v>
      </c>
      <c r="D8" s="4" t="s">
        <v>44</v>
      </c>
      <c r="E8" s="4" t="s">
        <v>45</v>
      </c>
      <c r="F8" s="6">
        <f>1</f>
        <v>1</v>
      </c>
      <c r="G8" s="4" t="s">
        <v>46</v>
      </c>
      <c r="H8" s="7">
        <v>317.8</v>
      </c>
      <c r="I8" s="7">
        <v>317.8</v>
      </c>
      <c r="J8" s="8" t="s">
        <v>26</v>
      </c>
      <c r="K8" s="9">
        <f>399.47</f>
        <v>399.47</v>
      </c>
      <c r="L8" s="9">
        <f>399.47</f>
        <v>399.47</v>
      </c>
      <c r="M8" s="4"/>
      <c r="N8" s="10">
        <v>1</v>
      </c>
      <c r="O8" s="4" t="s">
        <v>27</v>
      </c>
      <c r="P8" s="11">
        <v>1</v>
      </c>
      <c r="Q8" s="9">
        <f>399.47</f>
        <v>399.47</v>
      </c>
    </row>
    <row r="9" spans="1:17" ht="45" customHeight="1" x14ac:dyDescent="0.25">
      <c r="A9" s="4" t="s">
        <v>20</v>
      </c>
      <c r="B9" s="5" t="s">
        <v>47</v>
      </c>
      <c r="C9" s="4" t="s">
        <v>29</v>
      </c>
      <c r="D9" s="4" t="s">
        <v>48</v>
      </c>
      <c r="E9" s="4" t="s">
        <v>49</v>
      </c>
      <c r="F9" s="6">
        <f>1</f>
        <v>1</v>
      </c>
      <c r="G9" s="4" t="s">
        <v>46</v>
      </c>
      <c r="H9" s="7">
        <v>379.03</v>
      </c>
      <c r="I9" s="7">
        <v>379.03</v>
      </c>
      <c r="J9" s="8" t="s">
        <v>26</v>
      </c>
      <c r="K9" s="9">
        <f>476.44</f>
        <v>476.44</v>
      </c>
      <c r="L9" s="9">
        <f>476.44</f>
        <v>476.44</v>
      </c>
      <c r="M9" s="4"/>
      <c r="N9" s="10">
        <v>1</v>
      </c>
      <c r="O9" s="4" t="s">
        <v>27</v>
      </c>
      <c r="P9" s="11">
        <v>1</v>
      </c>
      <c r="Q9" s="9">
        <f>476.44</f>
        <v>476.44</v>
      </c>
    </row>
    <row r="10" spans="1:17" ht="45" customHeight="1" x14ac:dyDescent="0.25">
      <c r="A10" s="4" t="s">
        <v>20</v>
      </c>
      <c r="B10" s="5" t="s">
        <v>50</v>
      </c>
      <c r="C10" s="4" t="s">
        <v>29</v>
      </c>
      <c r="D10" s="4" t="s">
        <v>51</v>
      </c>
      <c r="E10" s="4" t="s">
        <v>52</v>
      </c>
      <c r="F10" s="6">
        <f>1</f>
        <v>1</v>
      </c>
      <c r="G10" s="4" t="s">
        <v>46</v>
      </c>
      <c r="H10" s="7">
        <v>339.62</v>
      </c>
      <c r="I10" s="7">
        <v>339.62</v>
      </c>
      <c r="J10" s="8" t="s">
        <v>26</v>
      </c>
      <c r="K10" s="9">
        <f>426.9</f>
        <v>426.9</v>
      </c>
      <c r="L10" s="9">
        <f>426.9</f>
        <v>426.9</v>
      </c>
      <c r="M10" s="4"/>
      <c r="N10" s="10">
        <v>1</v>
      </c>
      <c r="O10" s="4" t="s">
        <v>27</v>
      </c>
      <c r="P10" s="11">
        <v>1</v>
      </c>
      <c r="Q10" s="9">
        <f>426.9</f>
        <v>426.9</v>
      </c>
    </row>
    <row r="11" spans="1:17" ht="45" customHeight="1" x14ac:dyDescent="0.25">
      <c r="A11" s="4" t="s">
        <v>17</v>
      </c>
      <c r="B11" s="5" t="s">
        <v>53</v>
      </c>
      <c r="C11" s="4"/>
      <c r="D11" s="4"/>
      <c r="E11" s="4" t="s">
        <v>54</v>
      </c>
      <c r="F11" s="6"/>
      <c r="G11" s="4"/>
      <c r="H11" s="7"/>
      <c r="I11" s="7"/>
      <c r="J11" s="8"/>
      <c r="K11" s="9"/>
      <c r="L11" s="9">
        <f>791609.28</f>
        <v>791609.28</v>
      </c>
      <c r="M11" s="4"/>
      <c r="N11" s="10"/>
      <c r="O11" s="4"/>
      <c r="P11" s="11"/>
      <c r="Q11" s="9"/>
    </row>
    <row r="12" spans="1:17" ht="45" customHeight="1" x14ac:dyDescent="0.25">
      <c r="A12" s="4" t="s">
        <v>20</v>
      </c>
      <c r="B12" s="5" t="s">
        <v>55</v>
      </c>
      <c r="C12" s="4" t="s">
        <v>22</v>
      </c>
      <c r="D12" s="4" t="s">
        <v>18</v>
      </c>
      <c r="E12" s="4" t="s">
        <v>54</v>
      </c>
      <c r="F12" s="6">
        <f>12</f>
        <v>12</v>
      </c>
      <c r="G12" s="4" t="s">
        <v>56</v>
      </c>
      <c r="H12" s="7">
        <v>52480.06</v>
      </c>
      <c r="I12" s="7">
        <v>52480.06</v>
      </c>
      <c r="J12" s="8" t="s">
        <v>26</v>
      </c>
      <c r="K12" s="9">
        <f>65967.44</f>
        <v>65967.44</v>
      </c>
      <c r="L12" s="9">
        <f>791609.28</f>
        <v>791609.28</v>
      </c>
      <c r="M12" s="4"/>
      <c r="N12" s="10">
        <v>1</v>
      </c>
      <c r="O12" s="4" t="s">
        <v>27</v>
      </c>
      <c r="P12" s="11">
        <v>12</v>
      </c>
      <c r="Q12" s="9">
        <f>791609.28</f>
        <v>791609.28</v>
      </c>
    </row>
    <row r="13" spans="1:17" ht="45" customHeight="1" x14ac:dyDescent="0.25">
      <c r="A13" s="4" t="s">
        <v>17</v>
      </c>
      <c r="B13" s="5" t="s">
        <v>57</v>
      </c>
      <c r="C13" s="4"/>
      <c r="D13" s="4"/>
      <c r="E13" s="4" t="s">
        <v>58</v>
      </c>
      <c r="F13" s="6"/>
      <c r="G13" s="4"/>
      <c r="H13" s="7"/>
      <c r="I13" s="7"/>
      <c r="J13" s="8"/>
      <c r="K13" s="9"/>
      <c r="L13" s="9">
        <f>724770.3</f>
        <v>724770.3</v>
      </c>
      <c r="M13" s="4"/>
      <c r="N13" s="10"/>
      <c r="O13" s="4"/>
      <c r="P13" s="11"/>
      <c r="Q13" s="9"/>
    </row>
    <row r="14" spans="1:17" ht="45" customHeight="1" x14ac:dyDescent="0.25">
      <c r="A14" s="4" t="s">
        <v>20</v>
      </c>
      <c r="B14" s="5" t="s">
        <v>59</v>
      </c>
      <c r="C14" s="4" t="s">
        <v>29</v>
      </c>
      <c r="D14" s="4" t="s">
        <v>60</v>
      </c>
      <c r="E14" s="4" t="s">
        <v>61</v>
      </c>
      <c r="F14" s="6">
        <f>73</f>
        <v>73</v>
      </c>
      <c r="G14" s="4" t="s">
        <v>25</v>
      </c>
      <c r="H14" s="7">
        <v>5.8</v>
      </c>
      <c r="I14" s="7">
        <v>5.8</v>
      </c>
      <c r="J14" s="8" t="s">
        <v>26</v>
      </c>
      <c r="K14" s="9">
        <f>7.29</f>
        <v>7.29</v>
      </c>
      <c r="L14" s="9">
        <f>532.17</f>
        <v>532.16999999999996</v>
      </c>
      <c r="M14" s="4"/>
      <c r="N14" s="10">
        <v>1</v>
      </c>
      <c r="O14" s="4" t="s">
        <v>27</v>
      </c>
      <c r="P14" s="11">
        <v>73</v>
      </c>
      <c r="Q14" s="9">
        <f>532.17</f>
        <v>532.16999999999996</v>
      </c>
    </row>
    <row r="15" spans="1:17" ht="45" customHeight="1" x14ac:dyDescent="0.25">
      <c r="A15" s="4" t="s">
        <v>20</v>
      </c>
      <c r="B15" s="5" t="s">
        <v>62</v>
      </c>
      <c r="C15" s="4" t="s">
        <v>63</v>
      </c>
      <c r="D15" s="4" t="s">
        <v>64</v>
      </c>
      <c r="E15" s="4" t="s">
        <v>65</v>
      </c>
      <c r="F15" s="6">
        <f>2</f>
        <v>2</v>
      </c>
      <c r="G15" s="4" t="s">
        <v>25</v>
      </c>
      <c r="H15" s="7">
        <v>128.82</v>
      </c>
      <c r="I15" s="7">
        <v>128.82</v>
      </c>
      <c r="J15" s="8" t="s">
        <v>26</v>
      </c>
      <c r="K15" s="9">
        <f>161.93</f>
        <v>161.93</v>
      </c>
      <c r="L15" s="9">
        <f>323.86</f>
        <v>323.86</v>
      </c>
      <c r="M15" s="4"/>
      <c r="N15" s="10">
        <v>1</v>
      </c>
      <c r="O15" s="4" t="s">
        <v>27</v>
      </c>
      <c r="P15" s="11">
        <v>2</v>
      </c>
      <c r="Q15" s="9">
        <f>323.86</f>
        <v>323.86</v>
      </c>
    </row>
    <row r="16" spans="1:17" ht="45" customHeight="1" x14ac:dyDescent="0.25">
      <c r="A16" s="4" t="s">
        <v>20</v>
      </c>
      <c r="B16" s="5" t="s">
        <v>66</v>
      </c>
      <c r="C16" s="4" t="s">
        <v>63</v>
      </c>
      <c r="D16" s="4" t="s">
        <v>67</v>
      </c>
      <c r="E16" s="4" t="s">
        <v>68</v>
      </c>
      <c r="F16" s="6">
        <f>20</f>
        <v>20</v>
      </c>
      <c r="G16" s="4" t="s">
        <v>25</v>
      </c>
      <c r="H16" s="7">
        <v>87.69</v>
      </c>
      <c r="I16" s="7">
        <v>87.69</v>
      </c>
      <c r="J16" s="8" t="s">
        <v>26</v>
      </c>
      <c r="K16" s="9">
        <f>110.23</f>
        <v>110.23</v>
      </c>
      <c r="L16" s="9">
        <f>2204.6</f>
        <v>2204.6</v>
      </c>
      <c r="M16" s="4"/>
      <c r="N16" s="10">
        <v>1</v>
      </c>
      <c r="O16" s="4" t="s">
        <v>27</v>
      </c>
      <c r="P16" s="11">
        <v>20</v>
      </c>
      <c r="Q16" s="9">
        <f>2204.6</f>
        <v>2204.6</v>
      </c>
    </row>
    <row r="17" spans="1:17" ht="45" customHeight="1" x14ac:dyDescent="0.25">
      <c r="A17" s="4" t="s">
        <v>20</v>
      </c>
      <c r="B17" s="5" t="s">
        <v>69</v>
      </c>
      <c r="C17" s="4" t="s">
        <v>63</v>
      </c>
      <c r="D17" s="4" t="s">
        <v>70</v>
      </c>
      <c r="E17" s="4" t="s">
        <v>71</v>
      </c>
      <c r="F17" s="6">
        <f>6</f>
        <v>6</v>
      </c>
      <c r="G17" s="4" t="s">
        <v>25</v>
      </c>
      <c r="H17" s="7">
        <v>86.27</v>
      </c>
      <c r="I17" s="7">
        <v>86.27</v>
      </c>
      <c r="J17" s="8" t="s">
        <v>26</v>
      </c>
      <c r="K17" s="9">
        <f>108.44</f>
        <v>108.44</v>
      </c>
      <c r="L17" s="9">
        <f>650.64</f>
        <v>650.64</v>
      </c>
      <c r="M17" s="4"/>
      <c r="N17" s="10">
        <v>1</v>
      </c>
      <c r="O17" s="4" t="s">
        <v>27</v>
      </c>
      <c r="P17" s="11">
        <v>6</v>
      </c>
      <c r="Q17" s="9">
        <f>650.64</f>
        <v>650.64</v>
      </c>
    </row>
    <row r="18" spans="1:17" ht="45" customHeight="1" x14ac:dyDescent="0.25">
      <c r="A18" s="4" t="s">
        <v>20</v>
      </c>
      <c r="B18" s="5" t="s">
        <v>72</v>
      </c>
      <c r="C18" s="4" t="s">
        <v>29</v>
      </c>
      <c r="D18" s="4" t="s">
        <v>73</v>
      </c>
      <c r="E18" s="4" t="s">
        <v>74</v>
      </c>
      <c r="F18" s="6">
        <f>3.5</f>
        <v>3.5</v>
      </c>
      <c r="G18" s="4" t="s">
        <v>75</v>
      </c>
      <c r="H18" s="7">
        <v>844.67</v>
      </c>
      <c r="I18" s="7">
        <v>844.67</v>
      </c>
      <c r="J18" s="8" t="s">
        <v>26</v>
      </c>
      <c r="K18" s="9">
        <f>1061.75</f>
        <v>1061.75</v>
      </c>
      <c r="L18" s="9">
        <f>3716.13</f>
        <v>3716.13</v>
      </c>
      <c r="M18" s="4"/>
      <c r="N18" s="10">
        <v>1</v>
      </c>
      <c r="O18" s="4" t="s">
        <v>27</v>
      </c>
      <c r="P18" s="11">
        <v>3.5</v>
      </c>
      <c r="Q18" s="9">
        <f>3716.13</f>
        <v>3716.13</v>
      </c>
    </row>
    <row r="19" spans="1:17" ht="45" customHeight="1" x14ac:dyDescent="0.25">
      <c r="A19" s="4" t="s">
        <v>20</v>
      </c>
      <c r="B19" s="5" t="s">
        <v>76</v>
      </c>
      <c r="C19" s="4" t="s">
        <v>29</v>
      </c>
      <c r="D19" s="4" t="s">
        <v>77</v>
      </c>
      <c r="E19" s="4" t="s">
        <v>78</v>
      </c>
      <c r="F19" s="6">
        <f>199</f>
        <v>199</v>
      </c>
      <c r="G19" s="4" t="s">
        <v>79</v>
      </c>
      <c r="H19" s="7">
        <v>13.28</v>
      </c>
      <c r="I19" s="7">
        <v>13.28</v>
      </c>
      <c r="J19" s="8" t="s">
        <v>26</v>
      </c>
      <c r="K19" s="9">
        <f>16.69</f>
        <v>16.690000000000001</v>
      </c>
      <c r="L19" s="9">
        <f>3321.31</f>
        <v>3321.31</v>
      </c>
      <c r="M19" s="4"/>
      <c r="N19" s="10">
        <v>1</v>
      </c>
      <c r="O19" s="4" t="s">
        <v>27</v>
      </c>
      <c r="P19" s="11">
        <v>199</v>
      </c>
      <c r="Q19" s="9">
        <f>3321.31</f>
        <v>3321.31</v>
      </c>
    </row>
    <row r="20" spans="1:17" ht="45" customHeight="1" x14ac:dyDescent="0.25">
      <c r="A20" s="4" t="s">
        <v>20</v>
      </c>
      <c r="B20" s="5" t="s">
        <v>80</v>
      </c>
      <c r="C20" s="4" t="s">
        <v>29</v>
      </c>
      <c r="D20" s="4" t="s">
        <v>81</v>
      </c>
      <c r="E20" s="4" t="s">
        <v>82</v>
      </c>
      <c r="F20" s="6">
        <f>50</f>
        <v>50</v>
      </c>
      <c r="G20" s="4" t="s">
        <v>79</v>
      </c>
      <c r="H20" s="7">
        <v>13.28</v>
      </c>
      <c r="I20" s="7">
        <v>13.28</v>
      </c>
      <c r="J20" s="8" t="s">
        <v>26</v>
      </c>
      <c r="K20" s="9">
        <f>16.69</f>
        <v>16.690000000000001</v>
      </c>
      <c r="L20" s="9">
        <f>834.5</f>
        <v>834.5</v>
      </c>
      <c r="M20" s="4"/>
      <c r="N20" s="10">
        <v>1</v>
      </c>
      <c r="O20" s="4" t="s">
        <v>27</v>
      </c>
      <c r="P20" s="11">
        <v>50</v>
      </c>
      <c r="Q20" s="9">
        <f>834.5</f>
        <v>834.5</v>
      </c>
    </row>
    <row r="21" spans="1:17" ht="45" customHeight="1" x14ac:dyDescent="0.25">
      <c r="A21" s="4" t="s">
        <v>20</v>
      </c>
      <c r="B21" s="5" t="s">
        <v>83</v>
      </c>
      <c r="C21" s="4" t="s">
        <v>29</v>
      </c>
      <c r="D21" s="4" t="s">
        <v>84</v>
      </c>
      <c r="E21" s="4" t="s">
        <v>85</v>
      </c>
      <c r="F21" s="6">
        <f>2</f>
        <v>2</v>
      </c>
      <c r="G21" s="4" t="s">
        <v>46</v>
      </c>
      <c r="H21" s="7">
        <v>2090.4</v>
      </c>
      <c r="I21" s="7">
        <v>2090.4</v>
      </c>
      <c r="J21" s="8" t="s">
        <v>26</v>
      </c>
      <c r="K21" s="9">
        <f>2627.63</f>
        <v>2627.63</v>
      </c>
      <c r="L21" s="9">
        <f>5255.26</f>
        <v>5255.26</v>
      </c>
      <c r="M21" s="4"/>
      <c r="N21" s="10">
        <v>1</v>
      </c>
      <c r="O21" s="4" t="s">
        <v>27</v>
      </c>
      <c r="P21" s="11">
        <v>2</v>
      </c>
      <c r="Q21" s="9">
        <f>5255.26</f>
        <v>5255.26</v>
      </c>
    </row>
    <row r="22" spans="1:17" ht="45" customHeight="1" x14ac:dyDescent="0.25">
      <c r="A22" s="4" t="s">
        <v>20</v>
      </c>
      <c r="B22" s="5" t="s">
        <v>86</v>
      </c>
      <c r="C22" s="4" t="s">
        <v>29</v>
      </c>
      <c r="D22" s="4" t="s">
        <v>87</v>
      </c>
      <c r="E22" s="4" t="s">
        <v>88</v>
      </c>
      <c r="F22" s="6">
        <f>1691</f>
        <v>1691</v>
      </c>
      <c r="G22" s="4" t="s">
        <v>79</v>
      </c>
      <c r="H22" s="7">
        <v>4.54</v>
      </c>
      <c r="I22" s="7">
        <v>4.54</v>
      </c>
      <c r="J22" s="8" t="s">
        <v>26</v>
      </c>
      <c r="K22" s="9">
        <f>5.71</f>
        <v>5.71</v>
      </c>
      <c r="L22" s="9">
        <f>9655.61</f>
        <v>9655.61</v>
      </c>
      <c r="M22" s="4"/>
      <c r="N22" s="10">
        <v>1</v>
      </c>
      <c r="O22" s="4" t="s">
        <v>27</v>
      </c>
      <c r="P22" s="11">
        <v>1691</v>
      </c>
      <c r="Q22" s="9">
        <f>9655.61</f>
        <v>9655.61</v>
      </c>
    </row>
    <row r="23" spans="1:17" ht="45" customHeight="1" x14ac:dyDescent="0.25">
      <c r="A23" s="4" t="s">
        <v>20</v>
      </c>
      <c r="B23" s="5" t="s">
        <v>89</v>
      </c>
      <c r="C23" s="4" t="s">
        <v>29</v>
      </c>
      <c r="D23" s="4" t="s">
        <v>90</v>
      </c>
      <c r="E23" s="4" t="s">
        <v>91</v>
      </c>
      <c r="F23" s="6">
        <f>3</f>
        <v>3</v>
      </c>
      <c r="G23" s="4" t="s">
        <v>92</v>
      </c>
      <c r="H23" s="7">
        <v>1459.65</v>
      </c>
      <c r="I23" s="7">
        <v>1459.65</v>
      </c>
      <c r="J23" s="8" t="s">
        <v>26</v>
      </c>
      <c r="K23" s="9">
        <f>1834.78</f>
        <v>1834.78</v>
      </c>
      <c r="L23" s="9">
        <f>5504.34</f>
        <v>5504.34</v>
      </c>
      <c r="M23" s="4"/>
      <c r="N23" s="10">
        <v>1</v>
      </c>
      <c r="O23" s="4" t="s">
        <v>27</v>
      </c>
      <c r="P23" s="11">
        <v>3</v>
      </c>
      <c r="Q23" s="9">
        <f>5504.34</f>
        <v>5504.34</v>
      </c>
    </row>
    <row r="24" spans="1:17" ht="45" customHeight="1" x14ac:dyDescent="0.25">
      <c r="A24" s="4" t="s">
        <v>20</v>
      </c>
      <c r="B24" s="5" t="s">
        <v>93</v>
      </c>
      <c r="C24" s="4" t="s">
        <v>29</v>
      </c>
      <c r="D24" s="4" t="s">
        <v>94</v>
      </c>
      <c r="E24" s="4" t="s">
        <v>95</v>
      </c>
      <c r="F24" s="6">
        <f>64.5</f>
        <v>64.5</v>
      </c>
      <c r="G24" s="4" t="s">
        <v>96</v>
      </c>
      <c r="H24" s="7">
        <v>696.92</v>
      </c>
      <c r="I24" s="7">
        <v>696.92</v>
      </c>
      <c r="J24" s="8" t="s">
        <v>26</v>
      </c>
      <c r="K24" s="9">
        <f>876.03</f>
        <v>876.03</v>
      </c>
      <c r="L24" s="9">
        <f>56503.94</f>
        <v>56503.94</v>
      </c>
      <c r="M24" s="4"/>
      <c r="N24" s="10">
        <v>1</v>
      </c>
      <c r="O24" s="4" t="s">
        <v>27</v>
      </c>
      <c r="P24" s="11">
        <v>64.5</v>
      </c>
      <c r="Q24" s="9">
        <f>56503.94</f>
        <v>56503.94</v>
      </c>
    </row>
    <row r="25" spans="1:17" ht="45" customHeight="1" x14ac:dyDescent="0.25">
      <c r="A25" s="4" t="s">
        <v>20</v>
      </c>
      <c r="B25" s="5" t="s">
        <v>97</v>
      </c>
      <c r="C25" s="4" t="s">
        <v>22</v>
      </c>
      <c r="D25" s="4" t="s">
        <v>98</v>
      </c>
      <c r="E25" s="4" t="s">
        <v>99</v>
      </c>
      <c r="F25" s="6">
        <f>50</f>
        <v>50</v>
      </c>
      <c r="G25" s="4" t="s">
        <v>25</v>
      </c>
      <c r="H25" s="7">
        <v>582.75</v>
      </c>
      <c r="I25" s="7">
        <v>582.75</v>
      </c>
      <c r="J25" s="8" t="s">
        <v>26</v>
      </c>
      <c r="K25" s="9">
        <f>732.52</f>
        <v>732.52</v>
      </c>
      <c r="L25" s="9">
        <f>36626</f>
        <v>36626</v>
      </c>
      <c r="M25" s="4"/>
      <c r="N25" s="10">
        <v>1</v>
      </c>
      <c r="O25" s="4" t="s">
        <v>27</v>
      </c>
      <c r="P25" s="11">
        <v>50</v>
      </c>
      <c r="Q25" s="9">
        <f>36626</f>
        <v>36626</v>
      </c>
    </row>
    <row r="26" spans="1:17" ht="45" customHeight="1" x14ac:dyDescent="0.25">
      <c r="A26" s="4" t="s">
        <v>20</v>
      </c>
      <c r="B26" s="5" t="s">
        <v>100</v>
      </c>
      <c r="C26" s="4" t="s">
        <v>22</v>
      </c>
      <c r="D26" s="4" t="s">
        <v>101</v>
      </c>
      <c r="E26" s="4" t="s">
        <v>102</v>
      </c>
      <c r="F26" s="6">
        <f>1</f>
        <v>1</v>
      </c>
      <c r="G26" s="4" t="s">
        <v>46</v>
      </c>
      <c r="H26" s="7">
        <v>1381.74</v>
      </c>
      <c r="I26" s="7">
        <v>1381.74</v>
      </c>
      <c r="J26" s="8" t="s">
        <v>26</v>
      </c>
      <c r="K26" s="9">
        <f>1736.85</f>
        <v>1736.85</v>
      </c>
      <c r="L26" s="9">
        <f>1736.85</f>
        <v>1736.85</v>
      </c>
      <c r="M26" s="4"/>
      <c r="N26" s="10">
        <v>1</v>
      </c>
      <c r="O26" s="4" t="s">
        <v>27</v>
      </c>
      <c r="P26" s="11">
        <v>1</v>
      </c>
      <c r="Q26" s="9">
        <f>1736.85</f>
        <v>1736.85</v>
      </c>
    </row>
    <row r="27" spans="1:17" ht="45" customHeight="1" x14ac:dyDescent="0.25">
      <c r="A27" s="4" t="s">
        <v>20</v>
      </c>
      <c r="B27" s="5" t="s">
        <v>103</v>
      </c>
      <c r="C27" s="4" t="s">
        <v>29</v>
      </c>
      <c r="D27" s="4" t="s">
        <v>104</v>
      </c>
      <c r="E27" s="4" t="s">
        <v>105</v>
      </c>
      <c r="F27" s="6">
        <f>5032.8</f>
        <v>5032.8</v>
      </c>
      <c r="G27" s="4" t="s">
        <v>79</v>
      </c>
      <c r="H27" s="7">
        <v>25.24</v>
      </c>
      <c r="I27" s="7">
        <v>25.24</v>
      </c>
      <c r="J27" s="8" t="s">
        <v>26</v>
      </c>
      <c r="K27" s="9">
        <f>31.73</f>
        <v>31.73</v>
      </c>
      <c r="L27" s="9">
        <f>159690.74</f>
        <v>159690.74</v>
      </c>
      <c r="M27" s="4"/>
      <c r="N27" s="10">
        <v>1</v>
      </c>
      <c r="O27" s="4" t="s">
        <v>27</v>
      </c>
      <c r="P27" s="11">
        <v>5032.8</v>
      </c>
      <c r="Q27" s="9">
        <f>159690.74</f>
        <v>159690.74</v>
      </c>
    </row>
    <row r="28" spans="1:17" ht="45" customHeight="1" x14ac:dyDescent="0.25">
      <c r="A28" s="4" t="s">
        <v>20</v>
      </c>
      <c r="B28" s="5" t="s">
        <v>106</v>
      </c>
      <c r="C28" s="4" t="s">
        <v>63</v>
      </c>
      <c r="D28" s="4" t="s">
        <v>107</v>
      </c>
      <c r="E28" s="4" t="s">
        <v>108</v>
      </c>
      <c r="F28" s="6">
        <f>8</f>
        <v>8</v>
      </c>
      <c r="G28" s="4" t="s">
        <v>75</v>
      </c>
      <c r="H28" s="7">
        <v>8.64</v>
      </c>
      <c r="I28" s="7">
        <v>8.64</v>
      </c>
      <c r="J28" s="8" t="s">
        <v>26</v>
      </c>
      <c r="K28" s="9">
        <f>10.86</f>
        <v>10.86</v>
      </c>
      <c r="L28" s="9">
        <f>86.88</f>
        <v>86.88</v>
      </c>
      <c r="M28" s="4"/>
      <c r="N28" s="10">
        <v>1</v>
      </c>
      <c r="O28" s="4" t="s">
        <v>27</v>
      </c>
      <c r="P28" s="11">
        <v>8</v>
      </c>
      <c r="Q28" s="9">
        <f>86.88</f>
        <v>86.88</v>
      </c>
    </row>
    <row r="29" spans="1:17" ht="45" customHeight="1" x14ac:dyDescent="0.25">
      <c r="A29" s="4" t="s">
        <v>20</v>
      </c>
      <c r="B29" s="5" t="s">
        <v>109</v>
      </c>
      <c r="C29" s="4" t="s">
        <v>63</v>
      </c>
      <c r="D29" s="4" t="s">
        <v>110</v>
      </c>
      <c r="E29" s="4" t="s">
        <v>111</v>
      </c>
      <c r="F29" s="6">
        <f>32</f>
        <v>32</v>
      </c>
      <c r="G29" s="4" t="s">
        <v>112</v>
      </c>
      <c r="H29" s="7">
        <v>3.31</v>
      </c>
      <c r="I29" s="7">
        <v>3.31</v>
      </c>
      <c r="J29" s="8" t="s">
        <v>26</v>
      </c>
      <c r="K29" s="9">
        <f>4.16</f>
        <v>4.16</v>
      </c>
      <c r="L29" s="9">
        <f>133.12</f>
        <v>133.12</v>
      </c>
      <c r="M29" s="4"/>
      <c r="N29" s="10">
        <v>1</v>
      </c>
      <c r="O29" s="4" t="s">
        <v>27</v>
      </c>
      <c r="P29" s="11">
        <v>32</v>
      </c>
      <c r="Q29" s="9">
        <f>133.12</f>
        <v>133.12</v>
      </c>
    </row>
    <row r="30" spans="1:17" ht="45" customHeight="1" x14ac:dyDescent="0.25">
      <c r="A30" s="4" t="s">
        <v>20</v>
      </c>
      <c r="B30" s="5" t="s">
        <v>113</v>
      </c>
      <c r="C30" s="4" t="s">
        <v>63</v>
      </c>
      <c r="D30" s="4" t="s">
        <v>114</v>
      </c>
      <c r="E30" s="4" t="s">
        <v>115</v>
      </c>
      <c r="F30" s="6">
        <f>8</f>
        <v>8</v>
      </c>
      <c r="G30" s="4" t="s">
        <v>75</v>
      </c>
      <c r="H30" s="7">
        <v>1.45</v>
      </c>
      <c r="I30" s="7">
        <v>1.45</v>
      </c>
      <c r="J30" s="8" t="s">
        <v>26</v>
      </c>
      <c r="K30" s="9">
        <f>1.82</f>
        <v>1.82</v>
      </c>
      <c r="L30" s="9">
        <f>14.56</f>
        <v>14.56</v>
      </c>
      <c r="M30" s="4"/>
      <c r="N30" s="10">
        <v>1</v>
      </c>
      <c r="O30" s="4" t="s">
        <v>27</v>
      </c>
      <c r="P30" s="11">
        <v>8</v>
      </c>
      <c r="Q30" s="9">
        <f>14.56</f>
        <v>14.56</v>
      </c>
    </row>
    <row r="31" spans="1:17" ht="45" customHeight="1" x14ac:dyDescent="0.25">
      <c r="A31" s="4" t="s">
        <v>20</v>
      </c>
      <c r="B31" s="5" t="s">
        <v>116</v>
      </c>
      <c r="C31" s="4" t="s">
        <v>63</v>
      </c>
      <c r="D31" s="4" t="s">
        <v>117</v>
      </c>
      <c r="E31" s="4" t="s">
        <v>118</v>
      </c>
      <c r="F31" s="6">
        <f>4</f>
        <v>4</v>
      </c>
      <c r="G31" s="4" t="s">
        <v>46</v>
      </c>
      <c r="H31" s="7">
        <v>388.57</v>
      </c>
      <c r="I31" s="7">
        <v>388.57</v>
      </c>
      <c r="J31" s="8" t="s">
        <v>26</v>
      </c>
      <c r="K31" s="9">
        <f>488.43</f>
        <v>488.43</v>
      </c>
      <c r="L31" s="9">
        <f>1953.72</f>
        <v>1953.72</v>
      </c>
      <c r="M31" s="4"/>
      <c r="N31" s="10">
        <v>1</v>
      </c>
      <c r="O31" s="4" t="s">
        <v>27</v>
      </c>
      <c r="P31" s="11">
        <v>4</v>
      </c>
      <c r="Q31" s="9">
        <f>1953.72</f>
        <v>1953.72</v>
      </c>
    </row>
    <row r="32" spans="1:17" ht="45" customHeight="1" x14ac:dyDescent="0.25">
      <c r="A32" s="4" t="s">
        <v>20</v>
      </c>
      <c r="B32" s="5" t="s">
        <v>119</v>
      </c>
      <c r="C32" s="4" t="s">
        <v>29</v>
      </c>
      <c r="D32" s="4" t="s">
        <v>120</v>
      </c>
      <c r="E32" s="4" t="s">
        <v>121</v>
      </c>
      <c r="F32" s="6">
        <f>3</f>
        <v>3</v>
      </c>
      <c r="G32" s="4" t="s">
        <v>46</v>
      </c>
      <c r="H32" s="7">
        <v>3.34</v>
      </c>
      <c r="I32" s="7">
        <v>3.34</v>
      </c>
      <c r="J32" s="8" t="s">
        <v>122</v>
      </c>
      <c r="K32" s="9">
        <f>3.98</f>
        <v>3.98</v>
      </c>
      <c r="L32" s="9">
        <f>11.94</f>
        <v>11.94</v>
      </c>
      <c r="M32" s="4"/>
      <c r="N32" s="10">
        <v>1</v>
      </c>
      <c r="O32" s="4" t="s">
        <v>27</v>
      </c>
      <c r="P32" s="11">
        <v>3</v>
      </c>
      <c r="Q32" s="9">
        <f>11.94</f>
        <v>11.94</v>
      </c>
    </row>
    <row r="33" spans="1:17" ht="45" customHeight="1" x14ac:dyDescent="0.25">
      <c r="A33" s="4" t="s">
        <v>20</v>
      </c>
      <c r="B33" s="5" t="s">
        <v>123</v>
      </c>
      <c r="C33" s="4" t="s">
        <v>29</v>
      </c>
      <c r="D33" s="4" t="s">
        <v>124</v>
      </c>
      <c r="E33" s="4" t="s">
        <v>125</v>
      </c>
      <c r="F33" s="6">
        <f>4</f>
        <v>4</v>
      </c>
      <c r="G33" s="4" t="s">
        <v>46</v>
      </c>
      <c r="H33" s="7">
        <v>6.27</v>
      </c>
      <c r="I33" s="7">
        <v>6.27</v>
      </c>
      <c r="J33" s="8" t="s">
        <v>122</v>
      </c>
      <c r="K33" s="9">
        <f>7.46</f>
        <v>7.46</v>
      </c>
      <c r="L33" s="9">
        <f>29.84</f>
        <v>29.84</v>
      </c>
      <c r="M33" s="4"/>
      <c r="N33" s="10">
        <v>1</v>
      </c>
      <c r="O33" s="4" t="s">
        <v>27</v>
      </c>
      <c r="P33" s="11">
        <v>4</v>
      </c>
      <c r="Q33" s="9">
        <f>29.84</f>
        <v>29.84</v>
      </c>
    </row>
    <row r="34" spans="1:17" ht="45" customHeight="1" x14ac:dyDescent="0.25">
      <c r="A34" s="4" t="s">
        <v>20</v>
      </c>
      <c r="B34" s="5" t="s">
        <v>126</v>
      </c>
      <c r="C34" s="4" t="s">
        <v>29</v>
      </c>
      <c r="D34" s="4" t="s">
        <v>127</v>
      </c>
      <c r="E34" s="4" t="s">
        <v>128</v>
      </c>
      <c r="F34" s="6">
        <f>24</f>
        <v>24</v>
      </c>
      <c r="G34" s="4" t="s">
        <v>46</v>
      </c>
      <c r="H34" s="7">
        <v>8.2100000000000009</v>
      </c>
      <c r="I34" s="7">
        <v>8.2100000000000009</v>
      </c>
      <c r="J34" s="8" t="s">
        <v>122</v>
      </c>
      <c r="K34" s="9">
        <f>9.77</f>
        <v>9.77</v>
      </c>
      <c r="L34" s="9">
        <f>234.48</f>
        <v>234.48</v>
      </c>
      <c r="M34" s="4"/>
      <c r="N34" s="10">
        <v>1</v>
      </c>
      <c r="O34" s="4" t="s">
        <v>27</v>
      </c>
      <c r="P34" s="11">
        <v>24</v>
      </c>
      <c r="Q34" s="9">
        <f>234.48</f>
        <v>234.48</v>
      </c>
    </row>
    <row r="35" spans="1:17" ht="45" customHeight="1" x14ac:dyDescent="0.25">
      <c r="A35" s="4" t="s">
        <v>20</v>
      </c>
      <c r="B35" s="5" t="s">
        <v>129</v>
      </c>
      <c r="C35" s="4" t="s">
        <v>29</v>
      </c>
      <c r="D35" s="4" t="s">
        <v>130</v>
      </c>
      <c r="E35" s="4" t="s">
        <v>131</v>
      </c>
      <c r="F35" s="6">
        <f>2</f>
        <v>2</v>
      </c>
      <c r="G35" s="4" t="s">
        <v>46</v>
      </c>
      <c r="H35" s="7">
        <v>2.59</v>
      </c>
      <c r="I35" s="7">
        <v>2.59</v>
      </c>
      <c r="J35" s="8" t="s">
        <v>122</v>
      </c>
      <c r="K35" s="9">
        <f>3.08</f>
        <v>3.08</v>
      </c>
      <c r="L35" s="9">
        <f>6.16</f>
        <v>6.16</v>
      </c>
      <c r="M35" s="4"/>
      <c r="N35" s="10">
        <v>1</v>
      </c>
      <c r="O35" s="4" t="s">
        <v>27</v>
      </c>
      <c r="P35" s="11">
        <v>2</v>
      </c>
      <c r="Q35" s="9">
        <f>6.16</f>
        <v>6.16</v>
      </c>
    </row>
    <row r="36" spans="1:17" ht="45" customHeight="1" x14ac:dyDescent="0.25">
      <c r="A36" s="4" t="s">
        <v>20</v>
      </c>
      <c r="B36" s="5" t="s">
        <v>132</v>
      </c>
      <c r="C36" s="4" t="s">
        <v>29</v>
      </c>
      <c r="D36" s="4" t="s">
        <v>133</v>
      </c>
      <c r="E36" s="4" t="s">
        <v>134</v>
      </c>
      <c r="F36" s="6">
        <f>1</f>
        <v>1</v>
      </c>
      <c r="G36" s="4" t="s">
        <v>46</v>
      </c>
      <c r="H36" s="7">
        <v>288.58999999999997</v>
      </c>
      <c r="I36" s="7">
        <v>288.58999999999997</v>
      </c>
      <c r="J36" s="8" t="s">
        <v>122</v>
      </c>
      <c r="K36" s="9">
        <f>343.57</f>
        <v>343.57</v>
      </c>
      <c r="L36" s="9">
        <f>343.57</f>
        <v>343.57</v>
      </c>
      <c r="M36" s="4"/>
      <c r="N36" s="10">
        <v>1</v>
      </c>
      <c r="O36" s="4" t="s">
        <v>27</v>
      </c>
      <c r="P36" s="11">
        <v>1</v>
      </c>
      <c r="Q36" s="9">
        <f>343.57</f>
        <v>343.57</v>
      </c>
    </row>
    <row r="37" spans="1:17" ht="45" customHeight="1" x14ac:dyDescent="0.25">
      <c r="A37" s="4" t="s">
        <v>20</v>
      </c>
      <c r="B37" s="5" t="s">
        <v>135</v>
      </c>
      <c r="C37" s="4" t="s">
        <v>29</v>
      </c>
      <c r="D37" s="4" t="s">
        <v>136</v>
      </c>
      <c r="E37" s="4" t="s">
        <v>137</v>
      </c>
      <c r="F37" s="6">
        <f>3</f>
        <v>3</v>
      </c>
      <c r="G37" s="4" t="s">
        <v>46</v>
      </c>
      <c r="H37" s="7">
        <v>1528.67</v>
      </c>
      <c r="I37" s="7">
        <v>1528.67</v>
      </c>
      <c r="J37" s="8" t="s">
        <v>122</v>
      </c>
      <c r="K37" s="9">
        <f>1819.88</f>
        <v>1819.88</v>
      </c>
      <c r="L37" s="9">
        <f>5459.64</f>
        <v>5459.64</v>
      </c>
      <c r="M37" s="4"/>
      <c r="N37" s="10">
        <v>1</v>
      </c>
      <c r="O37" s="4" t="s">
        <v>27</v>
      </c>
      <c r="P37" s="11">
        <v>3</v>
      </c>
      <c r="Q37" s="9">
        <f>5459.64</f>
        <v>5459.64</v>
      </c>
    </row>
    <row r="38" spans="1:17" ht="45" customHeight="1" x14ac:dyDescent="0.25">
      <c r="A38" s="4" t="s">
        <v>20</v>
      </c>
      <c r="B38" s="5" t="s">
        <v>138</v>
      </c>
      <c r="C38" s="4" t="s">
        <v>29</v>
      </c>
      <c r="D38" s="4" t="s">
        <v>139</v>
      </c>
      <c r="E38" s="4" t="s">
        <v>140</v>
      </c>
      <c r="F38" s="6">
        <f>1</f>
        <v>1</v>
      </c>
      <c r="G38" s="4" t="s">
        <v>46</v>
      </c>
      <c r="H38" s="7">
        <v>755.79</v>
      </c>
      <c r="I38" s="7">
        <v>755.79</v>
      </c>
      <c r="J38" s="8" t="s">
        <v>122</v>
      </c>
      <c r="K38" s="9">
        <f>899.77</f>
        <v>899.77</v>
      </c>
      <c r="L38" s="9">
        <f>899.77</f>
        <v>899.77</v>
      </c>
      <c r="M38" s="4"/>
      <c r="N38" s="10">
        <v>1</v>
      </c>
      <c r="O38" s="4" t="s">
        <v>27</v>
      </c>
      <c r="P38" s="11">
        <v>1</v>
      </c>
      <c r="Q38" s="9">
        <f>899.77</f>
        <v>899.77</v>
      </c>
    </row>
    <row r="39" spans="1:17" ht="45" customHeight="1" x14ac:dyDescent="0.25">
      <c r="A39" s="4" t="s">
        <v>20</v>
      </c>
      <c r="B39" s="5" t="s">
        <v>141</v>
      </c>
      <c r="C39" s="4" t="s">
        <v>29</v>
      </c>
      <c r="D39" s="4" t="s">
        <v>142</v>
      </c>
      <c r="E39" s="4" t="s">
        <v>143</v>
      </c>
      <c r="F39" s="6">
        <f>1</f>
        <v>1</v>
      </c>
      <c r="G39" s="4" t="s">
        <v>46</v>
      </c>
      <c r="H39" s="7">
        <v>389.85</v>
      </c>
      <c r="I39" s="7">
        <v>389.85</v>
      </c>
      <c r="J39" s="8" t="s">
        <v>122</v>
      </c>
      <c r="K39" s="9">
        <f>464.12</f>
        <v>464.12</v>
      </c>
      <c r="L39" s="9">
        <f>464.12</f>
        <v>464.12</v>
      </c>
      <c r="M39" s="4"/>
      <c r="N39" s="10">
        <v>1</v>
      </c>
      <c r="O39" s="4" t="s">
        <v>27</v>
      </c>
      <c r="P39" s="11">
        <v>1</v>
      </c>
      <c r="Q39" s="9">
        <f>464.12</f>
        <v>464.12</v>
      </c>
    </row>
    <row r="40" spans="1:17" ht="45" customHeight="1" x14ac:dyDescent="0.25">
      <c r="A40" s="4" t="s">
        <v>20</v>
      </c>
      <c r="B40" s="5" t="s">
        <v>144</v>
      </c>
      <c r="C40" s="4" t="s">
        <v>29</v>
      </c>
      <c r="D40" s="4" t="s">
        <v>145</v>
      </c>
      <c r="E40" s="4" t="s">
        <v>146</v>
      </c>
      <c r="F40" s="6">
        <f>2</f>
        <v>2</v>
      </c>
      <c r="G40" s="4" t="s">
        <v>46</v>
      </c>
      <c r="H40" s="7">
        <v>4748.5</v>
      </c>
      <c r="I40" s="7">
        <v>4748.5</v>
      </c>
      <c r="J40" s="8" t="s">
        <v>122</v>
      </c>
      <c r="K40" s="9">
        <f>5653.09</f>
        <v>5653.09</v>
      </c>
      <c r="L40" s="9">
        <f>11306.18</f>
        <v>11306.18</v>
      </c>
      <c r="M40" s="4"/>
      <c r="N40" s="10">
        <v>1</v>
      </c>
      <c r="O40" s="4" t="s">
        <v>27</v>
      </c>
      <c r="P40" s="11">
        <v>2</v>
      </c>
      <c r="Q40" s="9">
        <f>11306.18</f>
        <v>11306.18</v>
      </c>
    </row>
    <row r="41" spans="1:17" ht="45" customHeight="1" x14ac:dyDescent="0.25">
      <c r="A41" s="4" t="s">
        <v>20</v>
      </c>
      <c r="B41" s="5" t="s">
        <v>147</v>
      </c>
      <c r="C41" s="4" t="s">
        <v>29</v>
      </c>
      <c r="D41" s="4" t="s">
        <v>148</v>
      </c>
      <c r="E41" s="4" t="s">
        <v>149</v>
      </c>
      <c r="F41" s="6">
        <f>2</f>
        <v>2</v>
      </c>
      <c r="G41" s="4" t="s">
        <v>96</v>
      </c>
      <c r="H41" s="7">
        <v>770.96</v>
      </c>
      <c r="I41" s="7">
        <v>770.96</v>
      </c>
      <c r="J41" s="8" t="s">
        <v>122</v>
      </c>
      <c r="K41" s="9">
        <f>917.83</f>
        <v>917.83</v>
      </c>
      <c r="L41" s="9">
        <f>1835.66</f>
        <v>1835.66</v>
      </c>
      <c r="M41" s="4"/>
      <c r="N41" s="10">
        <v>1</v>
      </c>
      <c r="O41" s="4" t="s">
        <v>27</v>
      </c>
      <c r="P41" s="11">
        <v>2</v>
      </c>
      <c r="Q41" s="9">
        <f>1835.66</f>
        <v>1835.66</v>
      </c>
    </row>
    <row r="42" spans="1:17" ht="45" customHeight="1" x14ac:dyDescent="0.25">
      <c r="A42" s="4" t="s">
        <v>20</v>
      </c>
      <c r="B42" s="5" t="s">
        <v>150</v>
      </c>
      <c r="C42" s="4" t="s">
        <v>29</v>
      </c>
      <c r="D42" s="4" t="s">
        <v>151</v>
      </c>
      <c r="E42" s="4" t="s">
        <v>152</v>
      </c>
      <c r="F42" s="6">
        <f>320</f>
        <v>320</v>
      </c>
      <c r="G42" s="4" t="s">
        <v>46</v>
      </c>
      <c r="H42" s="7">
        <v>9.17</v>
      </c>
      <c r="I42" s="7">
        <v>9.17</v>
      </c>
      <c r="J42" s="8" t="s">
        <v>122</v>
      </c>
      <c r="K42" s="9">
        <f>10.92</f>
        <v>10.92</v>
      </c>
      <c r="L42" s="9">
        <f>3494.4</f>
        <v>3494.4</v>
      </c>
      <c r="M42" s="4"/>
      <c r="N42" s="10">
        <v>1</v>
      </c>
      <c r="O42" s="4" t="s">
        <v>27</v>
      </c>
      <c r="P42" s="11">
        <v>320</v>
      </c>
      <c r="Q42" s="9">
        <f>3494.4</f>
        <v>3494.4</v>
      </c>
    </row>
    <row r="43" spans="1:17" ht="45" customHeight="1" x14ac:dyDescent="0.25">
      <c r="A43" s="4" t="s">
        <v>20</v>
      </c>
      <c r="B43" s="5" t="s">
        <v>153</v>
      </c>
      <c r="C43" s="4" t="s">
        <v>29</v>
      </c>
      <c r="D43" s="4" t="s">
        <v>154</v>
      </c>
      <c r="E43" s="4" t="s">
        <v>155</v>
      </c>
      <c r="F43" s="6">
        <f>40</f>
        <v>40</v>
      </c>
      <c r="G43" s="4" t="s">
        <v>46</v>
      </c>
      <c r="H43" s="7">
        <v>3.77</v>
      </c>
      <c r="I43" s="7">
        <v>3.77</v>
      </c>
      <c r="J43" s="8" t="s">
        <v>122</v>
      </c>
      <c r="K43" s="9">
        <f>4.49</f>
        <v>4.49</v>
      </c>
      <c r="L43" s="9">
        <f>179.6</f>
        <v>179.6</v>
      </c>
      <c r="M43" s="4"/>
      <c r="N43" s="10">
        <v>1</v>
      </c>
      <c r="O43" s="4" t="s">
        <v>27</v>
      </c>
      <c r="P43" s="11">
        <v>40</v>
      </c>
      <c r="Q43" s="9">
        <f>179.6</f>
        <v>179.6</v>
      </c>
    </row>
    <row r="44" spans="1:17" ht="45" customHeight="1" x14ac:dyDescent="0.25">
      <c r="A44" s="4" t="s">
        <v>20</v>
      </c>
      <c r="B44" s="5" t="s">
        <v>156</v>
      </c>
      <c r="C44" s="4" t="s">
        <v>29</v>
      </c>
      <c r="D44" s="4" t="s">
        <v>157</v>
      </c>
      <c r="E44" s="4" t="s">
        <v>158</v>
      </c>
      <c r="F44" s="6">
        <f>2</f>
        <v>2</v>
      </c>
      <c r="G44" s="4" t="s">
        <v>46</v>
      </c>
      <c r="H44" s="7">
        <v>755.35</v>
      </c>
      <c r="I44" s="7">
        <v>755.35</v>
      </c>
      <c r="J44" s="8" t="s">
        <v>122</v>
      </c>
      <c r="K44" s="9">
        <f>899.24</f>
        <v>899.24</v>
      </c>
      <c r="L44" s="9">
        <f>1798.48</f>
        <v>1798.48</v>
      </c>
      <c r="M44" s="4"/>
      <c r="N44" s="10">
        <v>1</v>
      </c>
      <c r="O44" s="4" t="s">
        <v>27</v>
      </c>
      <c r="P44" s="11">
        <v>2</v>
      </c>
      <c r="Q44" s="9">
        <f>1798.48</f>
        <v>1798.48</v>
      </c>
    </row>
    <row r="45" spans="1:17" ht="45" customHeight="1" x14ac:dyDescent="0.25">
      <c r="A45" s="4" t="s">
        <v>20</v>
      </c>
      <c r="B45" s="5" t="s">
        <v>159</v>
      </c>
      <c r="C45" s="4" t="s">
        <v>29</v>
      </c>
      <c r="D45" s="4" t="s">
        <v>160</v>
      </c>
      <c r="E45" s="4" t="s">
        <v>161</v>
      </c>
      <c r="F45" s="6">
        <f>2</f>
        <v>2</v>
      </c>
      <c r="G45" s="4" t="s">
        <v>46</v>
      </c>
      <c r="H45" s="7">
        <v>2994.39</v>
      </c>
      <c r="I45" s="7">
        <v>2994.39</v>
      </c>
      <c r="J45" s="8" t="s">
        <v>122</v>
      </c>
      <c r="K45" s="9">
        <f>3564.82</f>
        <v>3564.82</v>
      </c>
      <c r="L45" s="9">
        <f>7129.64</f>
        <v>7129.64</v>
      </c>
      <c r="M45" s="4"/>
      <c r="N45" s="10">
        <v>1</v>
      </c>
      <c r="O45" s="4" t="s">
        <v>27</v>
      </c>
      <c r="P45" s="11">
        <v>2</v>
      </c>
      <c r="Q45" s="9">
        <f>7129.64</f>
        <v>7129.64</v>
      </c>
    </row>
    <row r="46" spans="1:17" ht="45" customHeight="1" x14ac:dyDescent="0.25">
      <c r="A46" s="4" t="s">
        <v>20</v>
      </c>
      <c r="B46" s="5" t="s">
        <v>162</v>
      </c>
      <c r="C46" s="4" t="s">
        <v>29</v>
      </c>
      <c r="D46" s="4" t="s">
        <v>163</v>
      </c>
      <c r="E46" s="4" t="s">
        <v>164</v>
      </c>
      <c r="F46" s="6">
        <f>1</f>
        <v>1</v>
      </c>
      <c r="G46" s="4" t="s">
        <v>46</v>
      </c>
      <c r="H46" s="7">
        <v>590.13</v>
      </c>
      <c r="I46" s="7">
        <v>590.13</v>
      </c>
      <c r="J46" s="8" t="s">
        <v>122</v>
      </c>
      <c r="K46" s="9">
        <f>702.55</f>
        <v>702.55</v>
      </c>
      <c r="L46" s="9">
        <f>702.55</f>
        <v>702.55</v>
      </c>
      <c r="M46" s="4"/>
      <c r="N46" s="10">
        <v>1</v>
      </c>
      <c r="O46" s="4" t="s">
        <v>27</v>
      </c>
      <c r="P46" s="11">
        <v>1</v>
      </c>
      <c r="Q46" s="9">
        <f>702.55</f>
        <v>702.55</v>
      </c>
    </row>
    <row r="47" spans="1:17" ht="45" customHeight="1" x14ac:dyDescent="0.25">
      <c r="A47" s="4" t="s">
        <v>20</v>
      </c>
      <c r="B47" s="5" t="s">
        <v>165</v>
      </c>
      <c r="C47" s="4" t="s">
        <v>29</v>
      </c>
      <c r="D47" s="4" t="s">
        <v>166</v>
      </c>
      <c r="E47" s="4" t="s">
        <v>167</v>
      </c>
      <c r="F47" s="6">
        <f>1</f>
        <v>1</v>
      </c>
      <c r="G47" s="4" t="s">
        <v>46</v>
      </c>
      <c r="H47" s="7">
        <v>791.97</v>
      </c>
      <c r="I47" s="7">
        <v>791.97</v>
      </c>
      <c r="J47" s="8" t="s">
        <v>122</v>
      </c>
      <c r="K47" s="9">
        <f>942.84</f>
        <v>942.84</v>
      </c>
      <c r="L47" s="9">
        <f>942.84</f>
        <v>942.84</v>
      </c>
      <c r="M47" s="4"/>
      <c r="N47" s="10">
        <v>1</v>
      </c>
      <c r="O47" s="4" t="s">
        <v>27</v>
      </c>
      <c r="P47" s="11">
        <v>1</v>
      </c>
      <c r="Q47" s="9">
        <f>942.84</f>
        <v>942.84</v>
      </c>
    </row>
    <row r="48" spans="1:17" ht="45" customHeight="1" x14ac:dyDescent="0.25">
      <c r="A48" s="4" t="s">
        <v>20</v>
      </c>
      <c r="B48" s="5" t="s">
        <v>168</v>
      </c>
      <c r="C48" s="4" t="s">
        <v>29</v>
      </c>
      <c r="D48" s="4" t="s">
        <v>169</v>
      </c>
      <c r="E48" s="4" t="s">
        <v>170</v>
      </c>
      <c r="F48" s="6">
        <f>2</f>
        <v>2</v>
      </c>
      <c r="G48" s="4" t="s">
        <v>46</v>
      </c>
      <c r="H48" s="7">
        <v>1592.5</v>
      </c>
      <c r="I48" s="7">
        <v>1592.5</v>
      </c>
      <c r="J48" s="8" t="s">
        <v>122</v>
      </c>
      <c r="K48" s="9">
        <f>1895.87</f>
        <v>1895.87</v>
      </c>
      <c r="L48" s="9">
        <f>3791.74</f>
        <v>3791.74</v>
      </c>
      <c r="M48" s="4"/>
      <c r="N48" s="10">
        <v>1</v>
      </c>
      <c r="O48" s="4" t="s">
        <v>27</v>
      </c>
      <c r="P48" s="11">
        <v>2</v>
      </c>
      <c r="Q48" s="9">
        <f>3791.74</f>
        <v>3791.74</v>
      </c>
    </row>
    <row r="49" spans="1:17" ht="45" customHeight="1" x14ac:dyDescent="0.25">
      <c r="A49" s="4" t="s">
        <v>20</v>
      </c>
      <c r="B49" s="5" t="s">
        <v>171</v>
      </c>
      <c r="C49" s="4" t="s">
        <v>29</v>
      </c>
      <c r="D49" s="4" t="s">
        <v>172</v>
      </c>
      <c r="E49" s="4" t="s">
        <v>173</v>
      </c>
      <c r="F49" s="6">
        <f>1</f>
        <v>1</v>
      </c>
      <c r="G49" s="4" t="s">
        <v>46</v>
      </c>
      <c r="H49" s="7">
        <v>2610.42</v>
      </c>
      <c r="I49" s="7">
        <v>2610.42</v>
      </c>
      <c r="J49" s="8" t="s">
        <v>122</v>
      </c>
      <c r="K49" s="9">
        <f>3107.71</f>
        <v>3107.71</v>
      </c>
      <c r="L49" s="9">
        <f>3107.71</f>
        <v>3107.71</v>
      </c>
      <c r="M49" s="4"/>
      <c r="N49" s="10">
        <v>1</v>
      </c>
      <c r="O49" s="4" t="s">
        <v>27</v>
      </c>
      <c r="P49" s="11">
        <v>1</v>
      </c>
      <c r="Q49" s="9">
        <f>3107.71</f>
        <v>3107.71</v>
      </c>
    </row>
    <row r="50" spans="1:17" ht="45" customHeight="1" x14ac:dyDescent="0.25">
      <c r="A50" s="4" t="s">
        <v>20</v>
      </c>
      <c r="B50" s="5" t="s">
        <v>174</v>
      </c>
      <c r="C50" s="4" t="s">
        <v>29</v>
      </c>
      <c r="D50" s="4" t="s">
        <v>175</v>
      </c>
      <c r="E50" s="4" t="s">
        <v>176</v>
      </c>
      <c r="F50" s="6">
        <f>4</f>
        <v>4</v>
      </c>
      <c r="G50" s="4" t="s">
        <v>46</v>
      </c>
      <c r="H50" s="7">
        <v>1175.56</v>
      </c>
      <c r="I50" s="7">
        <v>1175.56</v>
      </c>
      <c r="J50" s="8" t="s">
        <v>122</v>
      </c>
      <c r="K50" s="9">
        <f>1399.5</f>
        <v>1399.5</v>
      </c>
      <c r="L50" s="9">
        <f>5598</f>
        <v>5598</v>
      </c>
      <c r="M50" s="4"/>
      <c r="N50" s="10">
        <v>1</v>
      </c>
      <c r="O50" s="4" t="s">
        <v>27</v>
      </c>
      <c r="P50" s="11">
        <v>4</v>
      </c>
      <c r="Q50" s="9">
        <f>5598</f>
        <v>5598</v>
      </c>
    </row>
    <row r="51" spans="1:17" ht="45" customHeight="1" x14ac:dyDescent="0.25">
      <c r="A51" s="4" t="s">
        <v>20</v>
      </c>
      <c r="B51" s="5" t="s">
        <v>177</v>
      </c>
      <c r="C51" s="4" t="s">
        <v>29</v>
      </c>
      <c r="D51" s="4" t="s">
        <v>178</v>
      </c>
      <c r="E51" s="4" t="s">
        <v>179</v>
      </c>
      <c r="F51" s="6">
        <f>1</f>
        <v>1</v>
      </c>
      <c r="G51" s="4" t="s">
        <v>46</v>
      </c>
      <c r="H51" s="7">
        <v>1226.43</v>
      </c>
      <c r="I51" s="7">
        <v>1226.43</v>
      </c>
      <c r="J51" s="8" t="s">
        <v>122</v>
      </c>
      <c r="K51" s="9">
        <f>1460.06</f>
        <v>1460.06</v>
      </c>
      <c r="L51" s="9">
        <f>1460.06</f>
        <v>1460.06</v>
      </c>
      <c r="M51" s="4"/>
      <c r="N51" s="10">
        <v>1</v>
      </c>
      <c r="O51" s="4" t="s">
        <v>27</v>
      </c>
      <c r="P51" s="11">
        <v>1</v>
      </c>
      <c r="Q51" s="9">
        <f>1460.06</f>
        <v>1460.06</v>
      </c>
    </row>
    <row r="52" spans="1:17" ht="45" customHeight="1" x14ac:dyDescent="0.25">
      <c r="A52" s="4" t="s">
        <v>20</v>
      </c>
      <c r="B52" s="5" t="s">
        <v>180</v>
      </c>
      <c r="C52" s="4" t="s">
        <v>29</v>
      </c>
      <c r="D52" s="4" t="s">
        <v>181</v>
      </c>
      <c r="E52" s="4" t="s">
        <v>182</v>
      </c>
      <c r="F52" s="6">
        <f>1</f>
        <v>1</v>
      </c>
      <c r="G52" s="4" t="s">
        <v>46</v>
      </c>
      <c r="H52" s="7">
        <v>3865.68</v>
      </c>
      <c r="I52" s="7">
        <v>3865.68</v>
      </c>
      <c r="J52" s="8" t="s">
        <v>122</v>
      </c>
      <c r="K52" s="9">
        <f>4602.09</f>
        <v>4602.09</v>
      </c>
      <c r="L52" s="9">
        <f>4602.09</f>
        <v>4602.09</v>
      </c>
      <c r="M52" s="4"/>
      <c r="N52" s="10">
        <v>1</v>
      </c>
      <c r="O52" s="4" t="s">
        <v>27</v>
      </c>
      <c r="P52" s="11">
        <v>1</v>
      </c>
      <c r="Q52" s="9">
        <f>4602.09</f>
        <v>4602.09</v>
      </c>
    </row>
    <row r="53" spans="1:17" ht="45" customHeight="1" x14ac:dyDescent="0.25">
      <c r="A53" s="4" t="s">
        <v>20</v>
      </c>
      <c r="B53" s="5" t="s">
        <v>183</v>
      </c>
      <c r="C53" s="4" t="s">
        <v>29</v>
      </c>
      <c r="D53" s="4" t="s">
        <v>184</v>
      </c>
      <c r="E53" s="4" t="s">
        <v>185</v>
      </c>
      <c r="F53" s="6">
        <f>2</f>
        <v>2</v>
      </c>
      <c r="G53" s="4" t="s">
        <v>46</v>
      </c>
      <c r="H53" s="7">
        <v>4339.29</v>
      </c>
      <c r="I53" s="7">
        <v>4339.29</v>
      </c>
      <c r="J53" s="8" t="s">
        <v>122</v>
      </c>
      <c r="K53" s="9">
        <f>5165.92</f>
        <v>5165.92</v>
      </c>
      <c r="L53" s="9">
        <f>10331.84</f>
        <v>10331.84</v>
      </c>
      <c r="M53" s="4"/>
      <c r="N53" s="10">
        <v>1</v>
      </c>
      <c r="O53" s="4" t="s">
        <v>27</v>
      </c>
      <c r="P53" s="11">
        <v>2</v>
      </c>
      <c r="Q53" s="9">
        <f>10331.84</f>
        <v>10331.84</v>
      </c>
    </row>
    <row r="54" spans="1:17" ht="45" customHeight="1" x14ac:dyDescent="0.25">
      <c r="A54" s="4" t="s">
        <v>20</v>
      </c>
      <c r="B54" s="5" t="s">
        <v>186</v>
      </c>
      <c r="C54" s="4" t="s">
        <v>29</v>
      </c>
      <c r="D54" s="4" t="s">
        <v>187</v>
      </c>
      <c r="E54" s="4" t="s">
        <v>188</v>
      </c>
      <c r="F54" s="6">
        <f>1</f>
        <v>1</v>
      </c>
      <c r="G54" s="4" t="s">
        <v>46</v>
      </c>
      <c r="H54" s="7">
        <v>4878.2</v>
      </c>
      <c r="I54" s="7">
        <v>4878.2</v>
      </c>
      <c r="J54" s="8" t="s">
        <v>122</v>
      </c>
      <c r="K54" s="9">
        <f>5807.5</f>
        <v>5807.5</v>
      </c>
      <c r="L54" s="9">
        <f>5807.5</f>
        <v>5807.5</v>
      </c>
      <c r="M54" s="4"/>
      <c r="N54" s="10">
        <v>1</v>
      </c>
      <c r="O54" s="4" t="s">
        <v>27</v>
      </c>
      <c r="P54" s="11">
        <v>1</v>
      </c>
      <c r="Q54" s="9">
        <f>5807.5</f>
        <v>5807.5</v>
      </c>
    </row>
    <row r="55" spans="1:17" ht="45" customHeight="1" x14ac:dyDescent="0.25">
      <c r="A55" s="4" t="s">
        <v>20</v>
      </c>
      <c r="B55" s="5" t="s">
        <v>189</v>
      </c>
      <c r="C55" s="4" t="s">
        <v>29</v>
      </c>
      <c r="D55" s="4" t="s">
        <v>190</v>
      </c>
      <c r="E55" s="4" t="s">
        <v>191</v>
      </c>
      <c r="F55" s="6">
        <f>2</f>
        <v>2</v>
      </c>
      <c r="G55" s="4" t="s">
        <v>46</v>
      </c>
      <c r="H55" s="7">
        <v>1141.55</v>
      </c>
      <c r="I55" s="7">
        <v>1141.55</v>
      </c>
      <c r="J55" s="8" t="s">
        <v>122</v>
      </c>
      <c r="K55" s="9">
        <f>1359.02</f>
        <v>1359.02</v>
      </c>
      <c r="L55" s="9">
        <f>2718.04</f>
        <v>2718.04</v>
      </c>
      <c r="M55" s="4"/>
      <c r="N55" s="10">
        <v>1</v>
      </c>
      <c r="O55" s="4" t="s">
        <v>27</v>
      </c>
      <c r="P55" s="11">
        <v>2</v>
      </c>
      <c r="Q55" s="9">
        <f>2718.04</f>
        <v>2718.04</v>
      </c>
    </row>
    <row r="56" spans="1:17" ht="45" customHeight="1" x14ac:dyDescent="0.25">
      <c r="A56" s="4" t="s">
        <v>20</v>
      </c>
      <c r="B56" s="5" t="s">
        <v>192</v>
      </c>
      <c r="C56" s="4" t="s">
        <v>29</v>
      </c>
      <c r="D56" s="4" t="s">
        <v>193</v>
      </c>
      <c r="E56" s="4" t="s">
        <v>194</v>
      </c>
      <c r="F56" s="6">
        <f>1</f>
        <v>1</v>
      </c>
      <c r="G56" s="4" t="s">
        <v>46</v>
      </c>
      <c r="H56" s="7">
        <v>1440.11</v>
      </c>
      <c r="I56" s="7">
        <v>1440.11</v>
      </c>
      <c r="J56" s="8" t="s">
        <v>122</v>
      </c>
      <c r="K56" s="9">
        <f>1714.45</f>
        <v>1714.45</v>
      </c>
      <c r="L56" s="9">
        <f>1714.45</f>
        <v>1714.45</v>
      </c>
      <c r="M56" s="4"/>
      <c r="N56" s="10">
        <v>1</v>
      </c>
      <c r="O56" s="4" t="s">
        <v>27</v>
      </c>
      <c r="P56" s="11">
        <v>1</v>
      </c>
      <c r="Q56" s="9">
        <f>1714.45</f>
        <v>1714.45</v>
      </c>
    </row>
    <row r="57" spans="1:17" ht="45" customHeight="1" x14ac:dyDescent="0.25">
      <c r="A57" s="4" t="s">
        <v>20</v>
      </c>
      <c r="B57" s="5" t="s">
        <v>195</v>
      </c>
      <c r="C57" s="4" t="s">
        <v>196</v>
      </c>
      <c r="D57" s="4" t="s">
        <v>53</v>
      </c>
      <c r="E57" s="4" t="s">
        <v>197</v>
      </c>
      <c r="F57" s="6">
        <f>2</f>
        <v>2</v>
      </c>
      <c r="G57" s="4" t="s">
        <v>46</v>
      </c>
      <c r="H57" s="7">
        <v>28000</v>
      </c>
      <c r="I57" s="7">
        <v>28000</v>
      </c>
      <c r="J57" s="8" t="s">
        <v>122</v>
      </c>
      <c r="K57" s="9">
        <f>33334</f>
        <v>33334</v>
      </c>
      <c r="L57" s="9">
        <f>66668</f>
        <v>66668</v>
      </c>
      <c r="M57" s="4"/>
      <c r="N57" s="10">
        <v>1</v>
      </c>
      <c r="O57" s="4" t="s">
        <v>27</v>
      </c>
      <c r="P57" s="11">
        <v>2</v>
      </c>
      <c r="Q57" s="9">
        <f>66668</f>
        <v>66668</v>
      </c>
    </row>
    <row r="58" spans="1:17" ht="45" customHeight="1" x14ac:dyDescent="0.25">
      <c r="A58" s="4" t="s">
        <v>20</v>
      </c>
      <c r="B58" s="5" t="s">
        <v>198</v>
      </c>
      <c r="C58" s="4" t="s">
        <v>196</v>
      </c>
      <c r="D58" s="4" t="s">
        <v>199</v>
      </c>
      <c r="E58" s="4" t="s">
        <v>200</v>
      </c>
      <c r="F58" s="6">
        <f>2</f>
        <v>2</v>
      </c>
      <c r="G58" s="4" t="s">
        <v>92</v>
      </c>
      <c r="H58" s="7">
        <v>88984.09</v>
      </c>
      <c r="I58" s="7">
        <v>88984.09</v>
      </c>
      <c r="J58" s="8" t="s">
        <v>122</v>
      </c>
      <c r="K58" s="9">
        <f>105935.56</f>
        <v>105935.56</v>
      </c>
      <c r="L58" s="9">
        <f>211871.12</f>
        <v>211871.12</v>
      </c>
      <c r="M58" s="4"/>
      <c r="N58" s="10">
        <v>1</v>
      </c>
      <c r="O58" s="4" t="s">
        <v>27</v>
      </c>
      <c r="P58" s="11">
        <v>2</v>
      </c>
      <c r="Q58" s="9">
        <f>211871.12</f>
        <v>211871.12</v>
      </c>
    </row>
    <row r="59" spans="1:17" ht="45" customHeight="1" x14ac:dyDescent="0.25">
      <c r="A59" s="4" t="s">
        <v>20</v>
      </c>
      <c r="B59" s="5" t="s">
        <v>201</v>
      </c>
      <c r="C59" s="4" t="s">
        <v>196</v>
      </c>
      <c r="D59" s="4" t="s">
        <v>202</v>
      </c>
      <c r="E59" s="4" t="s">
        <v>203</v>
      </c>
      <c r="F59" s="6">
        <f>8</f>
        <v>8</v>
      </c>
      <c r="G59" s="4" t="s">
        <v>46</v>
      </c>
      <c r="H59" s="7">
        <v>5482.82</v>
      </c>
      <c r="I59" s="7">
        <v>5482.82</v>
      </c>
      <c r="J59" s="8" t="s">
        <v>122</v>
      </c>
      <c r="K59" s="9">
        <f>6527.3</f>
        <v>6527.3</v>
      </c>
      <c r="L59" s="9">
        <f>52218.4</f>
        <v>52218.400000000001</v>
      </c>
      <c r="M59" s="4"/>
      <c r="N59" s="10">
        <v>1</v>
      </c>
      <c r="O59" s="4" t="s">
        <v>27</v>
      </c>
      <c r="P59" s="11">
        <v>8</v>
      </c>
      <c r="Q59" s="9">
        <f>52218.4</f>
        <v>52218.400000000001</v>
      </c>
    </row>
    <row r="60" spans="1:17" ht="45" customHeight="1" x14ac:dyDescent="0.25">
      <c r="A60" s="4" t="s">
        <v>20</v>
      </c>
      <c r="B60" s="5" t="s">
        <v>204</v>
      </c>
      <c r="C60" s="4" t="s">
        <v>196</v>
      </c>
      <c r="D60" s="4" t="s">
        <v>205</v>
      </c>
      <c r="E60" s="4" t="s">
        <v>206</v>
      </c>
      <c r="F60" s="6">
        <f>1</f>
        <v>1</v>
      </c>
      <c r="G60" s="4" t="s">
        <v>46</v>
      </c>
      <c r="H60" s="7">
        <v>26290</v>
      </c>
      <c r="I60" s="7">
        <v>26290</v>
      </c>
      <c r="J60" s="8" t="s">
        <v>122</v>
      </c>
      <c r="K60" s="9">
        <f>31298.25</f>
        <v>31298.25</v>
      </c>
      <c r="L60" s="9">
        <f>31298.25</f>
        <v>31298.25</v>
      </c>
      <c r="M60" s="4"/>
      <c r="N60" s="10">
        <v>1</v>
      </c>
      <c r="O60" s="4" t="s">
        <v>27</v>
      </c>
      <c r="P60" s="11">
        <v>1</v>
      </c>
      <c r="Q60" s="9">
        <f>31298.25</f>
        <v>31298.25</v>
      </c>
    </row>
    <row r="61" spans="1:17" ht="45" customHeight="1" x14ac:dyDescent="0.25">
      <c r="A61" s="4" t="s">
        <v>17</v>
      </c>
      <c r="B61" s="5" t="s">
        <v>207</v>
      </c>
      <c r="C61" s="4"/>
      <c r="D61" s="4"/>
      <c r="E61" s="4" t="s">
        <v>208</v>
      </c>
      <c r="F61" s="6"/>
      <c r="G61" s="4"/>
      <c r="H61" s="7"/>
      <c r="I61" s="7"/>
      <c r="J61" s="8"/>
      <c r="K61" s="9"/>
      <c r="L61" s="9">
        <f>47481.24</f>
        <v>47481.24</v>
      </c>
      <c r="M61" s="4"/>
      <c r="N61" s="10"/>
      <c r="O61" s="4"/>
      <c r="P61" s="11"/>
      <c r="Q61" s="9"/>
    </row>
    <row r="62" spans="1:17" ht="45" customHeight="1" x14ac:dyDescent="0.25">
      <c r="A62" s="4" t="s">
        <v>20</v>
      </c>
      <c r="B62" s="5" t="s">
        <v>209</v>
      </c>
      <c r="C62" s="4" t="s">
        <v>63</v>
      </c>
      <c r="D62" s="4" t="s">
        <v>210</v>
      </c>
      <c r="E62" s="4" t="s">
        <v>211</v>
      </c>
      <c r="F62" s="6">
        <f>3</f>
        <v>3</v>
      </c>
      <c r="G62" s="4" t="s">
        <v>75</v>
      </c>
      <c r="H62" s="7">
        <v>82.75</v>
      </c>
      <c r="I62" s="7">
        <v>82.75</v>
      </c>
      <c r="J62" s="8" t="s">
        <v>26</v>
      </c>
      <c r="K62" s="9">
        <f>104.02</f>
        <v>104.02</v>
      </c>
      <c r="L62" s="9">
        <f>312.06</f>
        <v>312.06</v>
      </c>
      <c r="M62" s="4"/>
      <c r="N62" s="10">
        <v>1</v>
      </c>
      <c r="O62" s="4" t="s">
        <v>27</v>
      </c>
      <c r="P62" s="11">
        <v>3</v>
      </c>
      <c r="Q62" s="9">
        <f>312.06</f>
        <v>312.06</v>
      </c>
    </row>
    <row r="63" spans="1:17" ht="45" customHeight="1" x14ac:dyDescent="0.25">
      <c r="A63" s="4" t="s">
        <v>20</v>
      </c>
      <c r="B63" s="5" t="s">
        <v>212</v>
      </c>
      <c r="C63" s="4" t="s">
        <v>63</v>
      </c>
      <c r="D63" s="4" t="s">
        <v>213</v>
      </c>
      <c r="E63" s="4" t="s">
        <v>214</v>
      </c>
      <c r="F63" s="6">
        <f>55</f>
        <v>55</v>
      </c>
      <c r="G63" s="4" t="s">
        <v>75</v>
      </c>
      <c r="H63" s="7">
        <v>13.66</v>
      </c>
      <c r="I63" s="7">
        <v>13.66</v>
      </c>
      <c r="J63" s="8" t="s">
        <v>26</v>
      </c>
      <c r="K63" s="9">
        <f>17.17</f>
        <v>17.170000000000002</v>
      </c>
      <c r="L63" s="9">
        <f>944.35</f>
        <v>944.35</v>
      </c>
      <c r="M63" s="4"/>
      <c r="N63" s="10">
        <v>1</v>
      </c>
      <c r="O63" s="4" t="s">
        <v>27</v>
      </c>
      <c r="P63" s="11">
        <v>55</v>
      </c>
      <c r="Q63" s="9">
        <f>944.35</f>
        <v>944.35</v>
      </c>
    </row>
    <row r="64" spans="1:17" ht="45" customHeight="1" x14ac:dyDescent="0.25">
      <c r="A64" s="4" t="s">
        <v>20</v>
      </c>
      <c r="B64" s="5" t="s">
        <v>215</v>
      </c>
      <c r="C64" s="4" t="s">
        <v>29</v>
      </c>
      <c r="D64" s="4" t="s">
        <v>216</v>
      </c>
      <c r="E64" s="4" t="s">
        <v>217</v>
      </c>
      <c r="F64" s="6">
        <f>56</f>
        <v>56</v>
      </c>
      <c r="G64" s="4" t="s">
        <v>75</v>
      </c>
      <c r="H64" s="7">
        <v>35.19</v>
      </c>
      <c r="I64" s="7">
        <v>35.19</v>
      </c>
      <c r="J64" s="8" t="s">
        <v>26</v>
      </c>
      <c r="K64" s="9">
        <f>44.23</f>
        <v>44.23</v>
      </c>
      <c r="L64" s="9">
        <f>2476.88</f>
        <v>2476.88</v>
      </c>
      <c r="M64" s="4"/>
      <c r="N64" s="10">
        <v>1</v>
      </c>
      <c r="O64" s="4" t="s">
        <v>27</v>
      </c>
      <c r="P64" s="11">
        <v>56</v>
      </c>
      <c r="Q64" s="9">
        <f>2476.88</f>
        <v>2476.88</v>
      </c>
    </row>
    <row r="65" spans="1:17" ht="45" customHeight="1" x14ac:dyDescent="0.25">
      <c r="A65" s="4" t="s">
        <v>20</v>
      </c>
      <c r="B65" s="5" t="s">
        <v>218</v>
      </c>
      <c r="C65" s="4" t="s">
        <v>63</v>
      </c>
      <c r="D65" s="4" t="s">
        <v>219</v>
      </c>
      <c r="E65" s="4" t="s">
        <v>220</v>
      </c>
      <c r="F65" s="6">
        <f>58</f>
        <v>58</v>
      </c>
      <c r="G65" s="4" t="s">
        <v>25</v>
      </c>
      <c r="H65" s="7">
        <v>6.38</v>
      </c>
      <c r="I65" s="7">
        <v>6.38</v>
      </c>
      <c r="J65" s="8" t="s">
        <v>26</v>
      </c>
      <c r="K65" s="9">
        <f>8.02</f>
        <v>8.02</v>
      </c>
      <c r="L65" s="9">
        <f>465.16</f>
        <v>465.16</v>
      </c>
      <c r="M65" s="4"/>
      <c r="N65" s="10">
        <v>1</v>
      </c>
      <c r="O65" s="4" t="s">
        <v>27</v>
      </c>
      <c r="P65" s="11">
        <v>58</v>
      </c>
      <c r="Q65" s="9">
        <f>465.16</f>
        <v>465.16</v>
      </c>
    </row>
    <row r="66" spans="1:17" ht="45" customHeight="1" x14ac:dyDescent="0.25">
      <c r="A66" s="4" t="s">
        <v>20</v>
      </c>
      <c r="B66" s="5" t="s">
        <v>221</v>
      </c>
      <c r="C66" s="4" t="s">
        <v>63</v>
      </c>
      <c r="D66" s="4" t="s">
        <v>107</v>
      </c>
      <c r="E66" s="4" t="s">
        <v>108</v>
      </c>
      <c r="F66" s="6">
        <f>2</f>
        <v>2</v>
      </c>
      <c r="G66" s="4" t="s">
        <v>75</v>
      </c>
      <c r="H66" s="7">
        <v>8.64</v>
      </c>
      <c r="I66" s="7">
        <v>8.64</v>
      </c>
      <c r="J66" s="8" t="s">
        <v>26</v>
      </c>
      <c r="K66" s="9">
        <f>10.86</f>
        <v>10.86</v>
      </c>
      <c r="L66" s="9">
        <f>21.72</f>
        <v>21.72</v>
      </c>
      <c r="M66" s="4"/>
      <c r="N66" s="10">
        <v>1</v>
      </c>
      <c r="O66" s="4" t="s">
        <v>27</v>
      </c>
      <c r="P66" s="11">
        <v>2</v>
      </c>
      <c r="Q66" s="9">
        <f>21.72</f>
        <v>21.72</v>
      </c>
    </row>
    <row r="67" spans="1:17" ht="45" customHeight="1" x14ac:dyDescent="0.25">
      <c r="A67" s="4" t="s">
        <v>20</v>
      </c>
      <c r="B67" s="5" t="s">
        <v>222</v>
      </c>
      <c r="C67" s="4" t="s">
        <v>63</v>
      </c>
      <c r="D67" s="4" t="s">
        <v>110</v>
      </c>
      <c r="E67" s="4" t="s">
        <v>111</v>
      </c>
      <c r="F67" s="6">
        <f>8</f>
        <v>8</v>
      </c>
      <c r="G67" s="4" t="s">
        <v>112</v>
      </c>
      <c r="H67" s="7">
        <v>3.31</v>
      </c>
      <c r="I67" s="7">
        <v>3.31</v>
      </c>
      <c r="J67" s="8" t="s">
        <v>26</v>
      </c>
      <c r="K67" s="9">
        <f>4.16</f>
        <v>4.16</v>
      </c>
      <c r="L67" s="9">
        <f>33.28</f>
        <v>33.28</v>
      </c>
      <c r="M67" s="4"/>
      <c r="N67" s="10">
        <v>1</v>
      </c>
      <c r="O67" s="4" t="s">
        <v>27</v>
      </c>
      <c r="P67" s="11">
        <v>8</v>
      </c>
      <c r="Q67" s="9">
        <f>33.28</f>
        <v>33.28</v>
      </c>
    </row>
    <row r="68" spans="1:17" ht="45" customHeight="1" x14ac:dyDescent="0.25">
      <c r="A68" s="4" t="s">
        <v>20</v>
      </c>
      <c r="B68" s="5" t="s">
        <v>223</v>
      </c>
      <c r="C68" s="4" t="s">
        <v>63</v>
      </c>
      <c r="D68" s="4" t="s">
        <v>114</v>
      </c>
      <c r="E68" s="4" t="s">
        <v>115</v>
      </c>
      <c r="F68" s="6">
        <f>2</f>
        <v>2</v>
      </c>
      <c r="G68" s="4" t="s">
        <v>75</v>
      </c>
      <c r="H68" s="7">
        <v>1.45</v>
      </c>
      <c r="I68" s="7">
        <v>1.45</v>
      </c>
      <c r="J68" s="8" t="s">
        <v>26</v>
      </c>
      <c r="K68" s="9">
        <f>1.82</f>
        <v>1.82</v>
      </c>
      <c r="L68" s="9">
        <f>3.64</f>
        <v>3.64</v>
      </c>
      <c r="M68" s="4"/>
      <c r="N68" s="10">
        <v>1</v>
      </c>
      <c r="O68" s="4" t="s">
        <v>27</v>
      </c>
      <c r="P68" s="11">
        <v>2</v>
      </c>
      <c r="Q68" s="9">
        <f>3.64</f>
        <v>3.64</v>
      </c>
    </row>
    <row r="69" spans="1:17" ht="45" customHeight="1" x14ac:dyDescent="0.25">
      <c r="A69" s="4" t="s">
        <v>20</v>
      </c>
      <c r="B69" s="5" t="s">
        <v>224</v>
      </c>
      <c r="C69" s="4" t="s">
        <v>63</v>
      </c>
      <c r="D69" s="4" t="s">
        <v>225</v>
      </c>
      <c r="E69" s="4" t="s">
        <v>226</v>
      </c>
      <c r="F69" s="6">
        <f>50</f>
        <v>50</v>
      </c>
      <c r="G69" s="4" t="s">
        <v>96</v>
      </c>
      <c r="H69" s="7">
        <v>11.39</v>
      </c>
      <c r="I69" s="7">
        <v>11.39</v>
      </c>
      <c r="J69" s="8" t="s">
        <v>26</v>
      </c>
      <c r="K69" s="9">
        <f>14.32</f>
        <v>14.32</v>
      </c>
      <c r="L69" s="9">
        <f>716</f>
        <v>716</v>
      </c>
      <c r="M69" s="4"/>
      <c r="N69" s="10">
        <v>1</v>
      </c>
      <c r="O69" s="4" t="s">
        <v>27</v>
      </c>
      <c r="P69" s="11">
        <v>50</v>
      </c>
      <c r="Q69" s="9">
        <f>716</f>
        <v>716</v>
      </c>
    </row>
    <row r="70" spans="1:17" ht="45" customHeight="1" x14ac:dyDescent="0.25">
      <c r="A70" s="4" t="s">
        <v>20</v>
      </c>
      <c r="B70" s="5" t="s">
        <v>227</v>
      </c>
      <c r="C70" s="4" t="s">
        <v>29</v>
      </c>
      <c r="D70" s="4" t="s">
        <v>228</v>
      </c>
      <c r="E70" s="4" t="s">
        <v>229</v>
      </c>
      <c r="F70" s="6">
        <f>23</f>
        <v>23</v>
      </c>
      <c r="G70" s="4" t="s">
        <v>96</v>
      </c>
      <c r="H70" s="7">
        <v>15.35</v>
      </c>
      <c r="I70" s="7">
        <v>15.35</v>
      </c>
      <c r="J70" s="8" t="s">
        <v>26</v>
      </c>
      <c r="K70" s="9">
        <f>19.29</f>
        <v>19.29</v>
      </c>
      <c r="L70" s="9">
        <f>443.67</f>
        <v>443.67</v>
      </c>
      <c r="M70" s="4"/>
      <c r="N70" s="10">
        <v>1</v>
      </c>
      <c r="O70" s="4" t="s">
        <v>27</v>
      </c>
      <c r="P70" s="11">
        <v>23</v>
      </c>
      <c r="Q70" s="9">
        <f>443.67</f>
        <v>443.67</v>
      </c>
    </row>
    <row r="71" spans="1:17" ht="45" customHeight="1" x14ac:dyDescent="0.25">
      <c r="A71" s="4" t="s">
        <v>20</v>
      </c>
      <c r="B71" s="5" t="s">
        <v>230</v>
      </c>
      <c r="C71" s="4" t="s">
        <v>29</v>
      </c>
      <c r="D71" s="4" t="s">
        <v>231</v>
      </c>
      <c r="E71" s="4" t="s">
        <v>232</v>
      </c>
      <c r="F71" s="6">
        <f>1</f>
        <v>1</v>
      </c>
      <c r="G71" s="4" t="s">
        <v>46</v>
      </c>
      <c r="H71" s="7">
        <v>753.2</v>
      </c>
      <c r="I71" s="7">
        <v>753.2</v>
      </c>
      <c r="J71" s="8" t="s">
        <v>122</v>
      </c>
      <c r="K71" s="9">
        <f>896.68</f>
        <v>896.68</v>
      </c>
      <c r="L71" s="9">
        <f>896.68</f>
        <v>896.68</v>
      </c>
      <c r="M71" s="4"/>
      <c r="N71" s="10">
        <v>1</v>
      </c>
      <c r="O71" s="4" t="s">
        <v>27</v>
      </c>
      <c r="P71" s="11">
        <v>1</v>
      </c>
      <c r="Q71" s="9">
        <f>896.68</f>
        <v>896.68</v>
      </c>
    </row>
    <row r="72" spans="1:17" ht="45" customHeight="1" x14ac:dyDescent="0.25">
      <c r="A72" s="4" t="s">
        <v>20</v>
      </c>
      <c r="B72" s="5" t="s">
        <v>233</v>
      </c>
      <c r="C72" s="4" t="s">
        <v>29</v>
      </c>
      <c r="D72" s="4" t="s">
        <v>234</v>
      </c>
      <c r="E72" s="4" t="s">
        <v>235</v>
      </c>
      <c r="F72" s="6">
        <f>54</f>
        <v>54</v>
      </c>
      <c r="G72" s="4" t="s">
        <v>96</v>
      </c>
      <c r="H72" s="7">
        <v>480.35</v>
      </c>
      <c r="I72" s="7">
        <v>480.35</v>
      </c>
      <c r="J72" s="8" t="s">
        <v>122</v>
      </c>
      <c r="K72" s="9">
        <f>571.86</f>
        <v>571.86</v>
      </c>
      <c r="L72" s="9">
        <f>30880.44</f>
        <v>30880.44</v>
      </c>
      <c r="M72" s="4"/>
      <c r="N72" s="10">
        <v>1</v>
      </c>
      <c r="O72" s="4" t="s">
        <v>27</v>
      </c>
      <c r="P72" s="11">
        <v>54</v>
      </c>
      <c r="Q72" s="9">
        <f>30880.44</f>
        <v>30880.44</v>
      </c>
    </row>
    <row r="73" spans="1:17" ht="45" customHeight="1" x14ac:dyDescent="0.25">
      <c r="A73" s="4" t="s">
        <v>20</v>
      </c>
      <c r="B73" s="5" t="s">
        <v>236</v>
      </c>
      <c r="C73" s="4" t="s">
        <v>63</v>
      </c>
      <c r="D73" s="4" t="s">
        <v>237</v>
      </c>
      <c r="E73" s="4" t="s">
        <v>238</v>
      </c>
      <c r="F73" s="6">
        <f>24</f>
        <v>24</v>
      </c>
      <c r="G73" s="4" t="s">
        <v>96</v>
      </c>
      <c r="H73" s="7">
        <v>360.05</v>
      </c>
      <c r="I73" s="7">
        <v>360.05</v>
      </c>
      <c r="J73" s="8" t="s">
        <v>122</v>
      </c>
      <c r="K73" s="9">
        <f>428.64</f>
        <v>428.64</v>
      </c>
      <c r="L73" s="9">
        <f>10287.36</f>
        <v>10287.36</v>
      </c>
      <c r="M73" s="4"/>
      <c r="N73" s="10">
        <v>1</v>
      </c>
      <c r="O73" s="4" t="s">
        <v>27</v>
      </c>
      <c r="P73" s="11">
        <v>24</v>
      </c>
      <c r="Q73" s="9">
        <f>10287.36</f>
        <v>10287.36</v>
      </c>
    </row>
    <row r="74" spans="1:17" ht="45" customHeight="1" x14ac:dyDescent="0.25">
      <c r="A74" s="4" t="s">
        <v>17</v>
      </c>
      <c r="B74" s="5" t="s">
        <v>199</v>
      </c>
      <c r="C74" s="4"/>
      <c r="D74" s="4"/>
      <c r="E74" s="4" t="s">
        <v>239</v>
      </c>
      <c r="F74" s="6"/>
      <c r="G74" s="4"/>
      <c r="H74" s="7"/>
      <c r="I74" s="7"/>
      <c r="J74" s="8"/>
      <c r="K74" s="9"/>
      <c r="L74" s="9">
        <f>369813.81</f>
        <v>369813.81</v>
      </c>
      <c r="M74" s="4"/>
      <c r="N74" s="10"/>
      <c r="O74" s="4"/>
      <c r="P74" s="11"/>
      <c r="Q74" s="9"/>
    </row>
    <row r="75" spans="1:17" ht="45" customHeight="1" x14ac:dyDescent="0.25">
      <c r="A75" s="4" t="s">
        <v>20</v>
      </c>
      <c r="B75" s="5" t="s">
        <v>240</v>
      </c>
      <c r="C75" s="4" t="s">
        <v>29</v>
      </c>
      <c r="D75" s="4" t="s">
        <v>241</v>
      </c>
      <c r="E75" s="4" t="s">
        <v>242</v>
      </c>
      <c r="F75" s="6">
        <f>6</f>
        <v>6</v>
      </c>
      <c r="G75" s="4" t="s">
        <v>46</v>
      </c>
      <c r="H75" s="7">
        <v>93.29</v>
      </c>
      <c r="I75" s="7">
        <v>93.29</v>
      </c>
      <c r="J75" s="8" t="s">
        <v>26</v>
      </c>
      <c r="K75" s="9">
        <f>117.27</f>
        <v>117.27</v>
      </c>
      <c r="L75" s="9">
        <f>703.62</f>
        <v>703.62</v>
      </c>
      <c r="M75" s="4"/>
      <c r="N75" s="10">
        <v>1</v>
      </c>
      <c r="O75" s="4" t="s">
        <v>27</v>
      </c>
      <c r="P75" s="11">
        <v>6</v>
      </c>
      <c r="Q75" s="9">
        <f>703.62</f>
        <v>703.62</v>
      </c>
    </row>
    <row r="76" spans="1:17" ht="45" customHeight="1" x14ac:dyDescent="0.25">
      <c r="A76" s="4" t="s">
        <v>20</v>
      </c>
      <c r="B76" s="5" t="s">
        <v>243</v>
      </c>
      <c r="C76" s="4" t="s">
        <v>29</v>
      </c>
      <c r="D76" s="4" t="s">
        <v>244</v>
      </c>
      <c r="E76" s="4" t="s">
        <v>245</v>
      </c>
      <c r="F76" s="6">
        <f>3</f>
        <v>3</v>
      </c>
      <c r="G76" s="4" t="s">
        <v>46</v>
      </c>
      <c r="H76" s="7">
        <v>136.38999999999999</v>
      </c>
      <c r="I76" s="7">
        <v>136.38999999999999</v>
      </c>
      <c r="J76" s="8" t="s">
        <v>26</v>
      </c>
      <c r="K76" s="9">
        <f>171.44</f>
        <v>171.44</v>
      </c>
      <c r="L76" s="9">
        <f>514.32</f>
        <v>514.32000000000005</v>
      </c>
      <c r="M76" s="4"/>
      <c r="N76" s="10">
        <v>1</v>
      </c>
      <c r="O76" s="4" t="s">
        <v>27</v>
      </c>
      <c r="P76" s="11">
        <v>3</v>
      </c>
      <c r="Q76" s="9">
        <f>514.32</f>
        <v>514.32000000000005</v>
      </c>
    </row>
    <row r="77" spans="1:17" ht="45" customHeight="1" x14ac:dyDescent="0.25">
      <c r="A77" s="4" t="s">
        <v>20</v>
      </c>
      <c r="B77" s="5" t="s">
        <v>246</v>
      </c>
      <c r="C77" s="4" t="s">
        <v>29</v>
      </c>
      <c r="D77" s="4" t="s">
        <v>247</v>
      </c>
      <c r="E77" s="4" t="s">
        <v>248</v>
      </c>
      <c r="F77" s="6">
        <f>45</f>
        <v>45</v>
      </c>
      <c r="G77" s="4" t="s">
        <v>46</v>
      </c>
      <c r="H77" s="7">
        <v>206.37</v>
      </c>
      <c r="I77" s="7">
        <v>206.37</v>
      </c>
      <c r="J77" s="8" t="s">
        <v>26</v>
      </c>
      <c r="K77" s="9">
        <f>259.41</f>
        <v>259.41000000000003</v>
      </c>
      <c r="L77" s="9">
        <f>11673.45</f>
        <v>11673.45</v>
      </c>
      <c r="M77" s="4"/>
      <c r="N77" s="10">
        <v>1</v>
      </c>
      <c r="O77" s="4" t="s">
        <v>27</v>
      </c>
      <c r="P77" s="11">
        <v>45</v>
      </c>
      <c r="Q77" s="9">
        <f>11673.45</f>
        <v>11673.45</v>
      </c>
    </row>
    <row r="78" spans="1:17" ht="45" customHeight="1" x14ac:dyDescent="0.25">
      <c r="A78" s="4" t="s">
        <v>20</v>
      </c>
      <c r="B78" s="5" t="s">
        <v>249</v>
      </c>
      <c r="C78" s="4" t="s">
        <v>29</v>
      </c>
      <c r="D78" s="4" t="s">
        <v>250</v>
      </c>
      <c r="E78" s="4" t="s">
        <v>251</v>
      </c>
      <c r="F78" s="6">
        <f>24</f>
        <v>24</v>
      </c>
      <c r="G78" s="4" t="s">
        <v>46</v>
      </c>
      <c r="H78" s="7">
        <v>261.20999999999998</v>
      </c>
      <c r="I78" s="7">
        <v>261.20999999999998</v>
      </c>
      <c r="J78" s="8" t="s">
        <v>26</v>
      </c>
      <c r="K78" s="9">
        <f>328.34</f>
        <v>328.34</v>
      </c>
      <c r="L78" s="9">
        <f>7880.16</f>
        <v>7880.16</v>
      </c>
      <c r="M78" s="4"/>
      <c r="N78" s="10">
        <v>1</v>
      </c>
      <c r="O78" s="4" t="s">
        <v>27</v>
      </c>
      <c r="P78" s="11">
        <v>24</v>
      </c>
      <c r="Q78" s="9">
        <f>7880.16</f>
        <v>7880.16</v>
      </c>
    </row>
    <row r="79" spans="1:17" ht="45" customHeight="1" x14ac:dyDescent="0.25">
      <c r="A79" s="4" t="s">
        <v>20</v>
      </c>
      <c r="B79" s="5" t="s">
        <v>252</v>
      </c>
      <c r="C79" s="4" t="s">
        <v>29</v>
      </c>
      <c r="D79" s="4" t="s">
        <v>253</v>
      </c>
      <c r="E79" s="4" t="s">
        <v>254</v>
      </c>
      <c r="F79" s="6">
        <f>15</f>
        <v>15</v>
      </c>
      <c r="G79" s="4" t="s">
        <v>46</v>
      </c>
      <c r="H79" s="7">
        <v>52.64</v>
      </c>
      <c r="I79" s="7">
        <v>52.64</v>
      </c>
      <c r="J79" s="8" t="s">
        <v>26</v>
      </c>
      <c r="K79" s="9">
        <f>66.17</f>
        <v>66.17</v>
      </c>
      <c r="L79" s="9">
        <f>992.55</f>
        <v>992.55</v>
      </c>
      <c r="M79" s="4"/>
      <c r="N79" s="10">
        <v>1</v>
      </c>
      <c r="O79" s="4" t="s">
        <v>27</v>
      </c>
      <c r="P79" s="11">
        <v>15</v>
      </c>
      <c r="Q79" s="9">
        <f>992.55</f>
        <v>992.55</v>
      </c>
    </row>
    <row r="80" spans="1:17" ht="45" customHeight="1" x14ac:dyDescent="0.25">
      <c r="A80" s="4" t="s">
        <v>20</v>
      </c>
      <c r="B80" s="5" t="s">
        <v>255</v>
      </c>
      <c r="C80" s="4" t="s">
        <v>29</v>
      </c>
      <c r="D80" s="4" t="s">
        <v>256</v>
      </c>
      <c r="E80" s="4" t="s">
        <v>257</v>
      </c>
      <c r="F80" s="6">
        <f>6</f>
        <v>6</v>
      </c>
      <c r="G80" s="4" t="s">
        <v>46</v>
      </c>
      <c r="H80" s="7">
        <v>156.49</v>
      </c>
      <c r="I80" s="7">
        <v>156.49</v>
      </c>
      <c r="J80" s="8" t="s">
        <v>26</v>
      </c>
      <c r="K80" s="9">
        <f>196.71</f>
        <v>196.71</v>
      </c>
      <c r="L80" s="9">
        <f>1180.26</f>
        <v>1180.26</v>
      </c>
      <c r="M80" s="4"/>
      <c r="N80" s="10">
        <v>1</v>
      </c>
      <c r="O80" s="4" t="s">
        <v>27</v>
      </c>
      <c r="P80" s="11">
        <v>6</v>
      </c>
      <c r="Q80" s="9">
        <f>1180.26</f>
        <v>1180.26</v>
      </c>
    </row>
    <row r="81" spans="1:17" ht="45" customHeight="1" x14ac:dyDescent="0.25">
      <c r="A81" s="4" t="s">
        <v>20</v>
      </c>
      <c r="B81" s="5" t="s">
        <v>258</v>
      </c>
      <c r="C81" s="4" t="s">
        <v>29</v>
      </c>
      <c r="D81" s="4" t="s">
        <v>259</v>
      </c>
      <c r="E81" s="4" t="s">
        <v>260</v>
      </c>
      <c r="F81" s="6">
        <f>5</f>
        <v>5</v>
      </c>
      <c r="G81" s="4" t="s">
        <v>46</v>
      </c>
      <c r="H81" s="7">
        <v>150.59</v>
      </c>
      <c r="I81" s="7">
        <v>150.59</v>
      </c>
      <c r="J81" s="8" t="s">
        <v>26</v>
      </c>
      <c r="K81" s="9">
        <f>189.29</f>
        <v>189.29</v>
      </c>
      <c r="L81" s="9">
        <f>946.45</f>
        <v>946.45</v>
      </c>
      <c r="M81" s="4"/>
      <c r="N81" s="10">
        <v>1</v>
      </c>
      <c r="O81" s="4" t="s">
        <v>27</v>
      </c>
      <c r="P81" s="11">
        <v>5</v>
      </c>
      <c r="Q81" s="9">
        <f>946.45</f>
        <v>946.45</v>
      </c>
    </row>
    <row r="82" spans="1:17" ht="45" customHeight="1" x14ac:dyDescent="0.25">
      <c r="A82" s="4" t="s">
        <v>20</v>
      </c>
      <c r="B82" s="5" t="s">
        <v>261</v>
      </c>
      <c r="C82" s="4" t="s">
        <v>29</v>
      </c>
      <c r="D82" s="4" t="s">
        <v>262</v>
      </c>
      <c r="E82" s="4" t="s">
        <v>263</v>
      </c>
      <c r="F82" s="6">
        <f>10</f>
        <v>10</v>
      </c>
      <c r="G82" s="4" t="s">
        <v>46</v>
      </c>
      <c r="H82" s="7">
        <v>142.22999999999999</v>
      </c>
      <c r="I82" s="7">
        <v>142.22999999999999</v>
      </c>
      <c r="J82" s="8" t="s">
        <v>26</v>
      </c>
      <c r="K82" s="9">
        <f>178.78</f>
        <v>178.78</v>
      </c>
      <c r="L82" s="9">
        <f>1787.8</f>
        <v>1787.8</v>
      </c>
      <c r="M82" s="4"/>
      <c r="N82" s="10">
        <v>1</v>
      </c>
      <c r="O82" s="4" t="s">
        <v>27</v>
      </c>
      <c r="P82" s="11">
        <v>10</v>
      </c>
      <c r="Q82" s="9">
        <f>1787.8</f>
        <v>1787.8</v>
      </c>
    </row>
    <row r="83" spans="1:17" ht="45" customHeight="1" x14ac:dyDescent="0.25">
      <c r="A83" s="4" t="s">
        <v>20</v>
      </c>
      <c r="B83" s="5" t="s">
        <v>264</v>
      </c>
      <c r="C83" s="4" t="s">
        <v>22</v>
      </c>
      <c r="D83" s="4" t="s">
        <v>265</v>
      </c>
      <c r="E83" s="4" t="s">
        <v>266</v>
      </c>
      <c r="F83" s="6">
        <f>3</f>
        <v>3</v>
      </c>
      <c r="G83" s="4" t="s">
        <v>46</v>
      </c>
      <c r="H83" s="7">
        <v>158.91999999999999</v>
      </c>
      <c r="I83" s="7">
        <v>158.91999999999999</v>
      </c>
      <c r="J83" s="8" t="s">
        <v>26</v>
      </c>
      <c r="K83" s="9">
        <f>199.76</f>
        <v>199.76</v>
      </c>
      <c r="L83" s="9">
        <f>599.28</f>
        <v>599.28</v>
      </c>
      <c r="M83" s="4"/>
      <c r="N83" s="10">
        <v>1</v>
      </c>
      <c r="O83" s="4" t="s">
        <v>27</v>
      </c>
      <c r="P83" s="11">
        <v>3</v>
      </c>
      <c r="Q83" s="9">
        <f>599.28</f>
        <v>599.28</v>
      </c>
    </row>
    <row r="84" spans="1:17" ht="45" customHeight="1" x14ac:dyDescent="0.25">
      <c r="A84" s="4" t="s">
        <v>20</v>
      </c>
      <c r="B84" s="5" t="s">
        <v>267</v>
      </c>
      <c r="C84" s="4" t="s">
        <v>22</v>
      </c>
      <c r="D84" s="4" t="s">
        <v>268</v>
      </c>
      <c r="E84" s="4" t="s">
        <v>269</v>
      </c>
      <c r="F84" s="6">
        <f>4</f>
        <v>4</v>
      </c>
      <c r="G84" s="4" t="s">
        <v>46</v>
      </c>
      <c r="H84" s="7">
        <v>158.91999999999999</v>
      </c>
      <c r="I84" s="7">
        <v>158.91999999999999</v>
      </c>
      <c r="J84" s="8" t="s">
        <v>26</v>
      </c>
      <c r="K84" s="9">
        <f>199.76</f>
        <v>199.76</v>
      </c>
      <c r="L84" s="9">
        <f>799.04</f>
        <v>799.04</v>
      </c>
      <c r="M84" s="4"/>
      <c r="N84" s="10">
        <v>1</v>
      </c>
      <c r="O84" s="4" t="s">
        <v>27</v>
      </c>
      <c r="P84" s="11">
        <v>4</v>
      </c>
      <c r="Q84" s="9">
        <f>799.04</f>
        <v>799.04</v>
      </c>
    </row>
    <row r="85" spans="1:17" ht="45" customHeight="1" x14ac:dyDescent="0.25">
      <c r="A85" s="4" t="s">
        <v>20</v>
      </c>
      <c r="B85" s="5" t="s">
        <v>270</v>
      </c>
      <c r="C85" s="4" t="s">
        <v>29</v>
      </c>
      <c r="D85" s="4" t="s">
        <v>271</v>
      </c>
      <c r="E85" s="4" t="s">
        <v>272</v>
      </c>
      <c r="F85" s="6">
        <f>180</f>
        <v>180</v>
      </c>
      <c r="G85" s="4" t="s">
        <v>96</v>
      </c>
      <c r="H85" s="7">
        <v>20.69</v>
      </c>
      <c r="I85" s="7">
        <v>20.69</v>
      </c>
      <c r="J85" s="8" t="s">
        <v>26</v>
      </c>
      <c r="K85" s="9">
        <f>26.01</f>
        <v>26.01</v>
      </c>
      <c r="L85" s="9">
        <f>4681.8</f>
        <v>4681.8</v>
      </c>
      <c r="M85" s="4"/>
      <c r="N85" s="10">
        <v>1</v>
      </c>
      <c r="O85" s="4" t="s">
        <v>27</v>
      </c>
      <c r="P85" s="11">
        <v>180</v>
      </c>
      <c r="Q85" s="9">
        <f>4681.8</f>
        <v>4681.8</v>
      </c>
    </row>
    <row r="86" spans="1:17" ht="45" customHeight="1" x14ac:dyDescent="0.25">
      <c r="A86" s="4" t="s">
        <v>20</v>
      </c>
      <c r="B86" s="5" t="s">
        <v>273</v>
      </c>
      <c r="C86" s="4" t="s">
        <v>29</v>
      </c>
      <c r="D86" s="4" t="s">
        <v>274</v>
      </c>
      <c r="E86" s="4" t="s">
        <v>275</v>
      </c>
      <c r="F86" s="6">
        <f>20</f>
        <v>20</v>
      </c>
      <c r="G86" s="4" t="s">
        <v>96</v>
      </c>
      <c r="H86" s="7">
        <v>25.45</v>
      </c>
      <c r="I86" s="7">
        <v>25.45</v>
      </c>
      <c r="J86" s="8" t="s">
        <v>26</v>
      </c>
      <c r="K86" s="9">
        <f>31.99</f>
        <v>31.99</v>
      </c>
      <c r="L86" s="9">
        <f>639.8</f>
        <v>639.79999999999995</v>
      </c>
      <c r="M86" s="4"/>
      <c r="N86" s="10">
        <v>1</v>
      </c>
      <c r="O86" s="4" t="s">
        <v>27</v>
      </c>
      <c r="P86" s="11">
        <v>20</v>
      </c>
      <c r="Q86" s="9">
        <f>639.8</f>
        <v>639.79999999999995</v>
      </c>
    </row>
    <row r="87" spans="1:17" ht="45" customHeight="1" x14ac:dyDescent="0.25">
      <c r="A87" s="4" t="s">
        <v>20</v>
      </c>
      <c r="B87" s="5" t="s">
        <v>276</v>
      </c>
      <c r="C87" s="4" t="s">
        <v>29</v>
      </c>
      <c r="D87" s="4" t="s">
        <v>277</v>
      </c>
      <c r="E87" s="4" t="s">
        <v>278</v>
      </c>
      <c r="F87" s="6">
        <f>60</f>
        <v>60</v>
      </c>
      <c r="G87" s="4" t="s">
        <v>96</v>
      </c>
      <c r="H87" s="7">
        <v>41.71</v>
      </c>
      <c r="I87" s="7">
        <v>41.71</v>
      </c>
      <c r="J87" s="8" t="s">
        <v>26</v>
      </c>
      <c r="K87" s="9">
        <f>52.43</f>
        <v>52.43</v>
      </c>
      <c r="L87" s="9">
        <f>3145.8</f>
        <v>3145.8</v>
      </c>
      <c r="M87" s="4"/>
      <c r="N87" s="10">
        <v>1</v>
      </c>
      <c r="O87" s="4" t="s">
        <v>27</v>
      </c>
      <c r="P87" s="11">
        <v>60</v>
      </c>
      <c r="Q87" s="9">
        <f>3145.8</f>
        <v>3145.8</v>
      </c>
    </row>
    <row r="88" spans="1:17" ht="45" customHeight="1" x14ac:dyDescent="0.25">
      <c r="A88" s="4" t="s">
        <v>20</v>
      </c>
      <c r="B88" s="5" t="s">
        <v>279</v>
      </c>
      <c r="C88" s="4" t="s">
        <v>29</v>
      </c>
      <c r="D88" s="4" t="s">
        <v>280</v>
      </c>
      <c r="E88" s="4" t="s">
        <v>281</v>
      </c>
      <c r="F88" s="6">
        <f>180</f>
        <v>180</v>
      </c>
      <c r="G88" s="4" t="s">
        <v>96</v>
      </c>
      <c r="H88" s="7">
        <v>19.420000000000002</v>
      </c>
      <c r="I88" s="7">
        <v>19.420000000000002</v>
      </c>
      <c r="J88" s="8" t="s">
        <v>26</v>
      </c>
      <c r="K88" s="9">
        <f>24.41</f>
        <v>24.41</v>
      </c>
      <c r="L88" s="9">
        <f>4393.8</f>
        <v>4393.8</v>
      </c>
      <c r="M88" s="4"/>
      <c r="N88" s="10">
        <v>1</v>
      </c>
      <c r="O88" s="4" t="s">
        <v>27</v>
      </c>
      <c r="P88" s="11">
        <v>180</v>
      </c>
      <c r="Q88" s="9">
        <f>4393.8</f>
        <v>4393.8</v>
      </c>
    </row>
    <row r="89" spans="1:17" ht="45" customHeight="1" x14ac:dyDescent="0.25">
      <c r="A89" s="4" t="s">
        <v>20</v>
      </c>
      <c r="B89" s="5" t="s">
        <v>282</v>
      </c>
      <c r="C89" s="4" t="s">
        <v>29</v>
      </c>
      <c r="D89" s="4" t="s">
        <v>283</v>
      </c>
      <c r="E89" s="4" t="s">
        <v>284</v>
      </c>
      <c r="F89" s="6">
        <f>20</f>
        <v>20</v>
      </c>
      <c r="G89" s="4" t="s">
        <v>96</v>
      </c>
      <c r="H89" s="7">
        <v>29.98</v>
      </c>
      <c r="I89" s="7">
        <v>29.98</v>
      </c>
      <c r="J89" s="8" t="s">
        <v>26</v>
      </c>
      <c r="K89" s="9">
        <f>37.68</f>
        <v>37.68</v>
      </c>
      <c r="L89" s="9">
        <f>753.6</f>
        <v>753.6</v>
      </c>
      <c r="M89" s="4"/>
      <c r="N89" s="10">
        <v>1</v>
      </c>
      <c r="O89" s="4" t="s">
        <v>27</v>
      </c>
      <c r="P89" s="11">
        <v>20</v>
      </c>
      <c r="Q89" s="9">
        <f>753.6</f>
        <v>753.6</v>
      </c>
    </row>
    <row r="90" spans="1:17" ht="45" customHeight="1" x14ac:dyDescent="0.25">
      <c r="A90" s="4" t="s">
        <v>20</v>
      </c>
      <c r="B90" s="5" t="s">
        <v>285</v>
      </c>
      <c r="C90" s="4" t="s">
        <v>29</v>
      </c>
      <c r="D90" s="4" t="s">
        <v>286</v>
      </c>
      <c r="E90" s="4" t="s">
        <v>287</v>
      </c>
      <c r="F90" s="6">
        <f>550</f>
        <v>550</v>
      </c>
      <c r="G90" s="4" t="s">
        <v>96</v>
      </c>
      <c r="H90" s="7">
        <v>39.42</v>
      </c>
      <c r="I90" s="7">
        <v>39.42</v>
      </c>
      <c r="J90" s="8" t="s">
        <v>26</v>
      </c>
      <c r="K90" s="9">
        <f>49.55</f>
        <v>49.55</v>
      </c>
      <c r="L90" s="9">
        <f>27252.5</f>
        <v>27252.5</v>
      </c>
      <c r="M90" s="4"/>
      <c r="N90" s="10">
        <v>1</v>
      </c>
      <c r="O90" s="4" t="s">
        <v>27</v>
      </c>
      <c r="P90" s="11">
        <v>550</v>
      </c>
      <c r="Q90" s="9">
        <f>27252.5</f>
        <v>27252.5</v>
      </c>
    </row>
    <row r="91" spans="1:17" ht="45" customHeight="1" x14ac:dyDescent="0.25">
      <c r="A91" s="4" t="s">
        <v>20</v>
      </c>
      <c r="B91" s="5" t="s">
        <v>288</v>
      </c>
      <c r="C91" s="4" t="s">
        <v>29</v>
      </c>
      <c r="D91" s="4" t="s">
        <v>289</v>
      </c>
      <c r="E91" s="4" t="s">
        <v>290</v>
      </c>
      <c r="F91" s="6">
        <f>60</f>
        <v>60</v>
      </c>
      <c r="G91" s="4" t="s">
        <v>96</v>
      </c>
      <c r="H91" s="7">
        <v>53.65</v>
      </c>
      <c r="I91" s="7">
        <v>53.65</v>
      </c>
      <c r="J91" s="8" t="s">
        <v>26</v>
      </c>
      <c r="K91" s="9">
        <f>67.44</f>
        <v>67.44</v>
      </c>
      <c r="L91" s="9">
        <f>4046.4</f>
        <v>4046.4</v>
      </c>
      <c r="M91" s="4"/>
      <c r="N91" s="10">
        <v>1</v>
      </c>
      <c r="O91" s="4" t="s">
        <v>27</v>
      </c>
      <c r="P91" s="11">
        <v>60</v>
      </c>
      <c r="Q91" s="9">
        <f>4046.4</f>
        <v>4046.4</v>
      </c>
    </row>
    <row r="92" spans="1:17" ht="45" customHeight="1" x14ac:dyDescent="0.25">
      <c r="A92" s="4" t="s">
        <v>20</v>
      </c>
      <c r="B92" s="5" t="s">
        <v>291</v>
      </c>
      <c r="C92" s="4" t="s">
        <v>29</v>
      </c>
      <c r="D92" s="4" t="s">
        <v>292</v>
      </c>
      <c r="E92" s="4" t="s">
        <v>293</v>
      </c>
      <c r="F92" s="6">
        <f>60</f>
        <v>60</v>
      </c>
      <c r="G92" s="4" t="s">
        <v>96</v>
      </c>
      <c r="H92" s="7">
        <v>9.08</v>
      </c>
      <c r="I92" s="7">
        <v>9.08</v>
      </c>
      <c r="J92" s="8" t="s">
        <v>26</v>
      </c>
      <c r="K92" s="9">
        <f>11.41</f>
        <v>11.41</v>
      </c>
      <c r="L92" s="9">
        <f>684.6</f>
        <v>684.6</v>
      </c>
      <c r="M92" s="4"/>
      <c r="N92" s="10">
        <v>1</v>
      </c>
      <c r="O92" s="4" t="s">
        <v>27</v>
      </c>
      <c r="P92" s="11">
        <v>60</v>
      </c>
      <c r="Q92" s="9">
        <f>684.6</f>
        <v>684.6</v>
      </c>
    </row>
    <row r="93" spans="1:17" ht="45" customHeight="1" x14ac:dyDescent="0.25">
      <c r="A93" s="4" t="s">
        <v>20</v>
      </c>
      <c r="B93" s="5" t="s">
        <v>294</v>
      </c>
      <c r="C93" s="4" t="s">
        <v>29</v>
      </c>
      <c r="D93" s="4" t="s">
        <v>295</v>
      </c>
      <c r="E93" s="4" t="s">
        <v>296</v>
      </c>
      <c r="F93" s="6">
        <f>10</f>
        <v>10</v>
      </c>
      <c r="G93" s="4" t="s">
        <v>96</v>
      </c>
      <c r="H93" s="7">
        <v>57.64</v>
      </c>
      <c r="I93" s="7">
        <v>57.64</v>
      </c>
      <c r="J93" s="8" t="s">
        <v>26</v>
      </c>
      <c r="K93" s="9">
        <f>72.45</f>
        <v>72.45</v>
      </c>
      <c r="L93" s="9">
        <f>724.5</f>
        <v>724.5</v>
      </c>
      <c r="M93" s="4"/>
      <c r="N93" s="10">
        <v>1</v>
      </c>
      <c r="O93" s="4" t="s">
        <v>27</v>
      </c>
      <c r="P93" s="11">
        <v>10</v>
      </c>
      <c r="Q93" s="9">
        <f>724.5</f>
        <v>724.5</v>
      </c>
    </row>
    <row r="94" spans="1:17" ht="45" customHeight="1" x14ac:dyDescent="0.25">
      <c r="A94" s="4" t="s">
        <v>20</v>
      </c>
      <c r="B94" s="5" t="s">
        <v>297</v>
      </c>
      <c r="C94" s="4" t="s">
        <v>63</v>
      </c>
      <c r="D94" s="4" t="s">
        <v>298</v>
      </c>
      <c r="E94" s="4" t="s">
        <v>299</v>
      </c>
      <c r="F94" s="6">
        <f>2</f>
        <v>2</v>
      </c>
      <c r="G94" s="4" t="s">
        <v>46</v>
      </c>
      <c r="H94" s="7">
        <v>18.489999999999998</v>
      </c>
      <c r="I94" s="7">
        <v>18.489999999999998</v>
      </c>
      <c r="J94" s="8" t="s">
        <v>26</v>
      </c>
      <c r="K94" s="9">
        <f>23.24</f>
        <v>23.24</v>
      </c>
      <c r="L94" s="9">
        <f>46.48</f>
        <v>46.48</v>
      </c>
      <c r="M94" s="4"/>
      <c r="N94" s="10">
        <v>1</v>
      </c>
      <c r="O94" s="4" t="s">
        <v>27</v>
      </c>
      <c r="P94" s="11">
        <v>2</v>
      </c>
      <c r="Q94" s="9">
        <f>46.48</f>
        <v>46.48</v>
      </c>
    </row>
    <row r="95" spans="1:17" ht="45" customHeight="1" x14ac:dyDescent="0.25">
      <c r="A95" s="4" t="s">
        <v>20</v>
      </c>
      <c r="B95" s="5" t="s">
        <v>300</v>
      </c>
      <c r="C95" s="4" t="s">
        <v>29</v>
      </c>
      <c r="D95" s="4" t="s">
        <v>301</v>
      </c>
      <c r="E95" s="4" t="s">
        <v>302</v>
      </c>
      <c r="F95" s="6">
        <f>1</f>
        <v>1</v>
      </c>
      <c r="G95" s="4" t="s">
        <v>46</v>
      </c>
      <c r="H95" s="7">
        <v>442.57</v>
      </c>
      <c r="I95" s="7">
        <v>442.57</v>
      </c>
      <c r="J95" s="8" t="s">
        <v>26</v>
      </c>
      <c r="K95" s="9">
        <f>556.31</f>
        <v>556.30999999999995</v>
      </c>
      <c r="L95" s="9">
        <f>556.31</f>
        <v>556.30999999999995</v>
      </c>
      <c r="M95" s="4"/>
      <c r="N95" s="10">
        <v>1</v>
      </c>
      <c r="O95" s="4" t="s">
        <v>27</v>
      </c>
      <c r="P95" s="11">
        <v>1</v>
      </c>
      <c r="Q95" s="9">
        <f>556.31</f>
        <v>556.30999999999995</v>
      </c>
    </row>
    <row r="96" spans="1:17" ht="45" customHeight="1" x14ac:dyDescent="0.25">
      <c r="A96" s="4" t="s">
        <v>20</v>
      </c>
      <c r="B96" s="5" t="s">
        <v>303</v>
      </c>
      <c r="C96" s="4" t="s">
        <v>29</v>
      </c>
      <c r="D96" s="4" t="s">
        <v>304</v>
      </c>
      <c r="E96" s="4" t="s">
        <v>305</v>
      </c>
      <c r="F96" s="6">
        <f>2</f>
        <v>2</v>
      </c>
      <c r="G96" s="4" t="s">
        <v>46</v>
      </c>
      <c r="H96" s="7">
        <v>1078.3499999999999</v>
      </c>
      <c r="I96" s="7">
        <v>1078.3499999999999</v>
      </c>
      <c r="J96" s="8" t="s">
        <v>26</v>
      </c>
      <c r="K96" s="9">
        <f>1355.49</f>
        <v>1355.49</v>
      </c>
      <c r="L96" s="9">
        <f>2710.98</f>
        <v>2710.98</v>
      </c>
      <c r="M96" s="4"/>
      <c r="N96" s="10">
        <v>1</v>
      </c>
      <c r="O96" s="4" t="s">
        <v>27</v>
      </c>
      <c r="P96" s="11">
        <v>2</v>
      </c>
      <c r="Q96" s="9">
        <f>2710.98</f>
        <v>2710.98</v>
      </c>
    </row>
    <row r="97" spans="1:17" ht="45" customHeight="1" x14ac:dyDescent="0.25">
      <c r="A97" s="4" t="s">
        <v>20</v>
      </c>
      <c r="B97" s="5" t="s">
        <v>306</v>
      </c>
      <c r="C97" s="4" t="s">
        <v>29</v>
      </c>
      <c r="D97" s="4" t="s">
        <v>307</v>
      </c>
      <c r="E97" s="4" t="s">
        <v>308</v>
      </c>
      <c r="F97" s="6">
        <f>2</f>
        <v>2</v>
      </c>
      <c r="G97" s="4" t="s">
        <v>46</v>
      </c>
      <c r="H97" s="7">
        <v>122200</v>
      </c>
      <c r="I97" s="7">
        <v>122200</v>
      </c>
      <c r="J97" s="8" t="s">
        <v>122</v>
      </c>
      <c r="K97" s="9">
        <f>145479.1</f>
        <v>145479.1</v>
      </c>
      <c r="L97" s="9">
        <f>290958.2</f>
        <v>290958.2</v>
      </c>
      <c r="M97" s="4"/>
      <c r="N97" s="10">
        <v>1</v>
      </c>
      <c r="O97" s="4" t="s">
        <v>27</v>
      </c>
      <c r="P97" s="11">
        <v>2</v>
      </c>
      <c r="Q97" s="9">
        <f>290958.2</f>
        <v>290958.2</v>
      </c>
    </row>
    <row r="98" spans="1:17" ht="45" customHeight="1" x14ac:dyDescent="0.25">
      <c r="A98" s="4" t="s">
        <v>20</v>
      </c>
      <c r="B98" s="5" t="s">
        <v>309</v>
      </c>
      <c r="C98" s="4" t="s">
        <v>29</v>
      </c>
      <c r="D98" s="4" t="s">
        <v>310</v>
      </c>
      <c r="E98" s="4" t="s">
        <v>311</v>
      </c>
      <c r="F98" s="6">
        <f>1</f>
        <v>1</v>
      </c>
      <c r="G98" s="4" t="s">
        <v>46</v>
      </c>
      <c r="H98" s="7">
        <v>1799.34</v>
      </c>
      <c r="I98" s="7">
        <v>1799.34</v>
      </c>
      <c r="J98" s="8" t="s">
        <v>122</v>
      </c>
      <c r="K98" s="9">
        <f>2142.11</f>
        <v>2142.11</v>
      </c>
      <c r="L98" s="9">
        <f>2142.11</f>
        <v>2142.11</v>
      </c>
      <c r="M98" s="4"/>
      <c r="N98" s="10">
        <v>1</v>
      </c>
      <c r="O98" s="4" t="s">
        <v>27</v>
      </c>
      <c r="P98" s="11">
        <v>1</v>
      </c>
      <c r="Q98" s="9">
        <f>2142.11</f>
        <v>2142.11</v>
      </c>
    </row>
    <row r="99" spans="1:17" ht="45" customHeight="1" x14ac:dyDescent="0.25">
      <c r="A99" s="4" t="s">
        <v>17</v>
      </c>
      <c r="B99" s="5" t="s">
        <v>312</v>
      </c>
      <c r="C99" s="4"/>
      <c r="D99" s="4"/>
      <c r="E99" s="4" t="s">
        <v>313</v>
      </c>
      <c r="F99" s="6"/>
      <c r="G99" s="4"/>
      <c r="H99" s="7"/>
      <c r="I99" s="7"/>
      <c r="J99" s="8"/>
      <c r="K99" s="9"/>
      <c r="L99" s="9">
        <f>1059516.78</f>
        <v>1059516.78</v>
      </c>
      <c r="M99" s="4"/>
      <c r="N99" s="10"/>
      <c r="O99" s="4"/>
      <c r="P99" s="11"/>
      <c r="Q99" s="9"/>
    </row>
    <row r="100" spans="1:17" ht="45" customHeight="1" x14ac:dyDescent="0.25">
      <c r="A100" s="4" t="s">
        <v>20</v>
      </c>
      <c r="B100" s="5" t="s">
        <v>314</v>
      </c>
      <c r="C100" s="4" t="s">
        <v>29</v>
      </c>
      <c r="D100" s="4" t="s">
        <v>60</v>
      </c>
      <c r="E100" s="4" t="s">
        <v>61</v>
      </c>
      <c r="F100" s="6">
        <f>142.5</f>
        <v>142.5</v>
      </c>
      <c r="G100" s="4" t="s">
        <v>25</v>
      </c>
      <c r="H100" s="7">
        <v>5.8</v>
      </c>
      <c r="I100" s="7">
        <v>5.8</v>
      </c>
      <c r="J100" s="8" t="s">
        <v>26</v>
      </c>
      <c r="K100" s="9">
        <f>7.29</f>
        <v>7.29</v>
      </c>
      <c r="L100" s="9">
        <f>1038.83</f>
        <v>1038.83</v>
      </c>
      <c r="M100" s="4"/>
      <c r="N100" s="10">
        <v>1</v>
      </c>
      <c r="O100" s="4" t="s">
        <v>27</v>
      </c>
      <c r="P100" s="11">
        <v>142.5</v>
      </c>
      <c r="Q100" s="9">
        <f>1038.83</f>
        <v>1038.83</v>
      </c>
    </row>
    <row r="101" spans="1:17" ht="45" customHeight="1" x14ac:dyDescent="0.25">
      <c r="A101" s="4" t="s">
        <v>20</v>
      </c>
      <c r="B101" s="5" t="s">
        <v>315</v>
      </c>
      <c r="C101" s="4" t="s">
        <v>63</v>
      </c>
      <c r="D101" s="4" t="s">
        <v>316</v>
      </c>
      <c r="E101" s="4" t="s">
        <v>317</v>
      </c>
      <c r="F101" s="6">
        <f>62.5</f>
        <v>62.5</v>
      </c>
      <c r="G101" s="4" t="s">
        <v>25</v>
      </c>
      <c r="H101" s="7">
        <v>62.33</v>
      </c>
      <c r="I101" s="7">
        <v>62.33</v>
      </c>
      <c r="J101" s="8" t="s">
        <v>26</v>
      </c>
      <c r="K101" s="9">
        <f>78.35</f>
        <v>78.349999999999994</v>
      </c>
      <c r="L101" s="9">
        <f>4896.88</f>
        <v>4896.88</v>
      </c>
      <c r="M101" s="4"/>
      <c r="N101" s="10">
        <v>1</v>
      </c>
      <c r="O101" s="4" t="s">
        <v>27</v>
      </c>
      <c r="P101" s="11">
        <v>62.5</v>
      </c>
      <c r="Q101" s="9">
        <f>4896.88</f>
        <v>4896.88</v>
      </c>
    </row>
    <row r="102" spans="1:17" ht="45" customHeight="1" x14ac:dyDescent="0.25">
      <c r="A102" s="4" t="s">
        <v>20</v>
      </c>
      <c r="B102" s="5" t="s">
        <v>318</v>
      </c>
      <c r="C102" s="4" t="s">
        <v>63</v>
      </c>
      <c r="D102" s="4" t="s">
        <v>319</v>
      </c>
      <c r="E102" s="4" t="s">
        <v>320</v>
      </c>
      <c r="F102" s="6">
        <f>173</f>
        <v>173</v>
      </c>
      <c r="G102" s="4" t="s">
        <v>25</v>
      </c>
      <c r="H102" s="7">
        <v>5.09</v>
      </c>
      <c r="I102" s="7">
        <v>5.09</v>
      </c>
      <c r="J102" s="8" t="s">
        <v>26</v>
      </c>
      <c r="K102" s="9">
        <f>6.4</f>
        <v>6.4</v>
      </c>
      <c r="L102" s="9">
        <f>1107.2</f>
        <v>1107.2</v>
      </c>
      <c r="M102" s="4"/>
      <c r="N102" s="10">
        <v>1</v>
      </c>
      <c r="O102" s="4" t="s">
        <v>27</v>
      </c>
      <c r="P102" s="11">
        <v>173</v>
      </c>
      <c r="Q102" s="9">
        <f>1107.2</f>
        <v>1107.2</v>
      </c>
    </row>
    <row r="103" spans="1:17" ht="45" customHeight="1" x14ac:dyDescent="0.25">
      <c r="A103" s="4" t="s">
        <v>20</v>
      </c>
      <c r="B103" s="5" t="s">
        <v>321</v>
      </c>
      <c r="C103" s="4" t="s">
        <v>63</v>
      </c>
      <c r="D103" s="4" t="s">
        <v>322</v>
      </c>
      <c r="E103" s="4" t="s">
        <v>323</v>
      </c>
      <c r="F103" s="6">
        <f>173</f>
        <v>173</v>
      </c>
      <c r="G103" s="4" t="s">
        <v>25</v>
      </c>
      <c r="H103" s="7">
        <v>9.6300000000000008</v>
      </c>
      <c r="I103" s="7">
        <v>9.6300000000000008</v>
      </c>
      <c r="J103" s="8" t="s">
        <v>26</v>
      </c>
      <c r="K103" s="9">
        <f>12.1</f>
        <v>12.1</v>
      </c>
      <c r="L103" s="9">
        <f>2093.3</f>
        <v>2093.3000000000002</v>
      </c>
      <c r="M103" s="4"/>
      <c r="N103" s="10">
        <v>1</v>
      </c>
      <c r="O103" s="4" t="s">
        <v>27</v>
      </c>
      <c r="P103" s="11">
        <v>173</v>
      </c>
      <c r="Q103" s="9">
        <f>2093.3</f>
        <v>2093.3000000000002</v>
      </c>
    </row>
    <row r="104" spans="1:17" ht="45" customHeight="1" x14ac:dyDescent="0.25">
      <c r="A104" s="4" t="s">
        <v>20</v>
      </c>
      <c r="B104" s="5" t="s">
        <v>324</v>
      </c>
      <c r="C104" s="4" t="s">
        <v>29</v>
      </c>
      <c r="D104" s="4" t="s">
        <v>325</v>
      </c>
      <c r="E104" s="4" t="s">
        <v>326</v>
      </c>
      <c r="F104" s="6">
        <f>6</f>
        <v>6</v>
      </c>
      <c r="G104" s="4" t="s">
        <v>25</v>
      </c>
      <c r="H104" s="7">
        <v>760.03</v>
      </c>
      <c r="I104" s="7">
        <v>760.03</v>
      </c>
      <c r="J104" s="8" t="s">
        <v>26</v>
      </c>
      <c r="K104" s="9">
        <f>955.36</f>
        <v>955.36</v>
      </c>
      <c r="L104" s="9">
        <f>5732.16</f>
        <v>5732.16</v>
      </c>
      <c r="M104" s="4"/>
      <c r="N104" s="10">
        <v>1</v>
      </c>
      <c r="O104" s="4" t="s">
        <v>27</v>
      </c>
      <c r="P104" s="11">
        <v>6</v>
      </c>
      <c r="Q104" s="9">
        <f>5732.16</f>
        <v>5732.16</v>
      </c>
    </row>
    <row r="105" spans="1:17" ht="45" customHeight="1" x14ac:dyDescent="0.25">
      <c r="A105" s="4" t="s">
        <v>20</v>
      </c>
      <c r="B105" s="5" t="s">
        <v>327</v>
      </c>
      <c r="C105" s="4" t="s">
        <v>63</v>
      </c>
      <c r="D105" s="4" t="s">
        <v>328</v>
      </c>
      <c r="E105" s="4" t="s">
        <v>329</v>
      </c>
      <c r="F105" s="6">
        <f>173</f>
        <v>173</v>
      </c>
      <c r="G105" s="4" t="s">
        <v>25</v>
      </c>
      <c r="H105" s="7">
        <v>11.95</v>
      </c>
      <c r="I105" s="7">
        <v>11.95</v>
      </c>
      <c r="J105" s="8" t="s">
        <v>26</v>
      </c>
      <c r="K105" s="9">
        <f>15.02</f>
        <v>15.02</v>
      </c>
      <c r="L105" s="9">
        <f>2598.46</f>
        <v>2598.46</v>
      </c>
      <c r="M105" s="4"/>
      <c r="N105" s="10">
        <v>1</v>
      </c>
      <c r="O105" s="4" t="s">
        <v>27</v>
      </c>
      <c r="P105" s="11">
        <v>173</v>
      </c>
      <c r="Q105" s="9">
        <f>2598.46</f>
        <v>2598.46</v>
      </c>
    </row>
    <row r="106" spans="1:17" ht="45" customHeight="1" x14ac:dyDescent="0.25">
      <c r="A106" s="4" t="s">
        <v>20</v>
      </c>
      <c r="B106" s="5" t="s">
        <v>330</v>
      </c>
      <c r="C106" s="4" t="s">
        <v>29</v>
      </c>
      <c r="D106" s="4" t="s">
        <v>331</v>
      </c>
      <c r="E106" s="4" t="s">
        <v>332</v>
      </c>
      <c r="F106" s="6">
        <f>6</f>
        <v>6</v>
      </c>
      <c r="G106" s="4" t="s">
        <v>25</v>
      </c>
      <c r="H106" s="7">
        <v>671.45</v>
      </c>
      <c r="I106" s="7">
        <v>671.45</v>
      </c>
      <c r="J106" s="8" t="s">
        <v>26</v>
      </c>
      <c r="K106" s="9">
        <f>844.01</f>
        <v>844.01</v>
      </c>
      <c r="L106" s="9">
        <f>5064.06</f>
        <v>5064.0600000000004</v>
      </c>
      <c r="M106" s="4"/>
      <c r="N106" s="10">
        <v>1</v>
      </c>
      <c r="O106" s="4" t="s">
        <v>27</v>
      </c>
      <c r="P106" s="11">
        <v>6</v>
      </c>
      <c r="Q106" s="9">
        <f>5064.06</f>
        <v>5064.0600000000004</v>
      </c>
    </row>
    <row r="107" spans="1:17" ht="45" customHeight="1" x14ac:dyDescent="0.25">
      <c r="A107" s="4" t="s">
        <v>20</v>
      </c>
      <c r="B107" s="5" t="s">
        <v>333</v>
      </c>
      <c r="C107" s="4" t="s">
        <v>63</v>
      </c>
      <c r="D107" s="4" t="s">
        <v>334</v>
      </c>
      <c r="E107" s="4" t="s">
        <v>335</v>
      </c>
      <c r="F107" s="6">
        <f>33</f>
        <v>33</v>
      </c>
      <c r="G107" s="4" t="s">
        <v>25</v>
      </c>
      <c r="H107" s="7">
        <v>101.28</v>
      </c>
      <c r="I107" s="7">
        <v>101.28</v>
      </c>
      <c r="J107" s="8" t="s">
        <v>26</v>
      </c>
      <c r="K107" s="9">
        <f>127.31</f>
        <v>127.31</v>
      </c>
      <c r="L107" s="9">
        <f>4201.23</f>
        <v>4201.2299999999996</v>
      </c>
      <c r="M107" s="4"/>
      <c r="N107" s="10">
        <v>1</v>
      </c>
      <c r="O107" s="4" t="s">
        <v>27</v>
      </c>
      <c r="P107" s="11">
        <v>33</v>
      </c>
      <c r="Q107" s="9">
        <f>4201.23</f>
        <v>4201.2299999999996</v>
      </c>
    </row>
    <row r="108" spans="1:17" ht="45" customHeight="1" x14ac:dyDescent="0.25">
      <c r="A108" s="4" t="s">
        <v>20</v>
      </c>
      <c r="B108" s="5" t="s">
        <v>336</v>
      </c>
      <c r="C108" s="4" t="s">
        <v>29</v>
      </c>
      <c r="D108" s="4" t="s">
        <v>337</v>
      </c>
      <c r="E108" s="4" t="s">
        <v>338</v>
      </c>
      <c r="F108" s="6">
        <f>10</f>
        <v>10</v>
      </c>
      <c r="G108" s="4" t="s">
        <v>25</v>
      </c>
      <c r="H108" s="7">
        <v>403.69</v>
      </c>
      <c r="I108" s="7">
        <v>403.69</v>
      </c>
      <c r="J108" s="8" t="s">
        <v>26</v>
      </c>
      <c r="K108" s="9">
        <f>507.44</f>
        <v>507.44</v>
      </c>
      <c r="L108" s="9">
        <f>5074.4</f>
        <v>5074.3999999999996</v>
      </c>
      <c r="M108" s="4"/>
      <c r="N108" s="10">
        <v>1</v>
      </c>
      <c r="O108" s="4" t="s">
        <v>27</v>
      </c>
      <c r="P108" s="11">
        <v>10</v>
      </c>
      <c r="Q108" s="9">
        <f>5074.4</f>
        <v>5074.3999999999996</v>
      </c>
    </row>
    <row r="109" spans="1:17" ht="45" customHeight="1" x14ac:dyDescent="0.25">
      <c r="A109" s="4" t="s">
        <v>20</v>
      </c>
      <c r="B109" s="5" t="s">
        <v>339</v>
      </c>
      <c r="C109" s="4" t="s">
        <v>63</v>
      </c>
      <c r="D109" s="4" t="s">
        <v>340</v>
      </c>
      <c r="E109" s="4" t="s">
        <v>341</v>
      </c>
      <c r="F109" s="6">
        <f>34.5</f>
        <v>34.5</v>
      </c>
      <c r="G109" s="4" t="s">
        <v>25</v>
      </c>
      <c r="H109" s="7">
        <v>53.01</v>
      </c>
      <c r="I109" s="7">
        <v>53.01</v>
      </c>
      <c r="J109" s="8" t="s">
        <v>26</v>
      </c>
      <c r="K109" s="9">
        <f>66.63</f>
        <v>66.63</v>
      </c>
      <c r="L109" s="9">
        <f>2298.74</f>
        <v>2298.7399999999998</v>
      </c>
      <c r="M109" s="4"/>
      <c r="N109" s="10">
        <v>1</v>
      </c>
      <c r="O109" s="4" t="s">
        <v>27</v>
      </c>
      <c r="P109" s="11">
        <v>34.5</v>
      </c>
      <c r="Q109" s="9">
        <f>2298.74</f>
        <v>2298.7399999999998</v>
      </c>
    </row>
    <row r="110" spans="1:17" ht="45" customHeight="1" x14ac:dyDescent="0.25">
      <c r="A110" s="4" t="s">
        <v>20</v>
      </c>
      <c r="B110" s="5" t="s">
        <v>342</v>
      </c>
      <c r="C110" s="4" t="s">
        <v>63</v>
      </c>
      <c r="D110" s="4" t="s">
        <v>213</v>
      </c>
      <c r="E110" s="4" t="s">
        <v>214</v>
      </c>
      <c r="F110" s="6">
        <f>128.5</f>
        <v>128.5</v>
      </c>
      <c r="G110" s="4" t="s">
        <v>75</v>
      </c>
      <c r="H110" s="7">
        <v>13.66</v>
      </c>
      <c r="I110" s="7">
        <v>13.66</v>
      </c>
      <c r="J110" s="8" t="s">
        <v>26</v>
      </c>
      <c r="K110" s="9">
        <f>17.17</f>
        <v>17.170000000000002</v>
      </c>
      <c r="L110" s="9">
        <f>2206.35</f>
        <v>2206.35</v>
      </c>
      <c r="M110" s="4"/>
      <c r="N110" s="10">
        <v>1</v>
      </c>
      <c r="O110" s="4" t="s">
        <v>27</v>
      </c>
      <c r="P110" s="11">
        <v>128.5</v>
      </c>
      <c r="Q110" s="9">
        <f>2206.35</f>
        <v>2206.35</v>
      </c>
    </row>
    <row r="111" spans="1:17" ht="45" customHeight="1" x14ac:dyDescent="0.25">
      <c r="A111" s="4" t="s">
        <v>20</v>
      </c>
      <c r="B111" s="5" t="s">
        <v>343</v>
      </c>
      <c r="C111" s="4" t="s">
        <v>63</v>
      </c>
      <c r="D111" s="4" t="s">
        <v>344</v>
      </c>
      <c r="E111" s="4" t="s">
        <v>345</v>
      </c>
      <c r="F111" s="6">
        <f>17</f>
        <v>17</v>
      </c>
      <c r="G111" s="4" t="s">
        <v>75</v>
      </c>
      <c r="H111" s="7">
        <v>12.37</v>
      </c>
      <c r="I111" s="7">
        <v>12.37</v>
      </c>
      <c r="J111" s="8" t="s">
        <v>26</v>
      </c>
      <c r="K111" s="9">
        <f>15.55</f>
        <v>15.55</v>
      </c>
      <c r="L111" s="9">
        <f>264.35</f>
        <v>264.35000000000002</v>
      </c>
      <c r="M111" s="4"/>
      <c r="N111" s="10">
        <v>1</v>
      </c>
      <c r="O111" s="4" t="s">
        <v>27</v>
      </c>
      <c r="P111" s="11">
        <v>17</v>
      </c>
      <c r="Q111" s="9">
        <f>264.35</f>
        <v>264.35000000000002</v>
      </c>
    </row>
    <row r="112" spans="1:17" ht="45" customHeight="1" x14ac:dyDescent="0.25">
      <c r="A112" s="4" t="s">
        <v>20</v>
      </c>
      <c r="B112" s="5" t="s">
        <v>346</v>
      </c>
      <c r="C112" s="4" t="s">
        <v>63</v>
      </c>
      <c r="D112" s="4" t="s">
        <v>210</v>
      </c>
      <c r="E112" s="4" t="s">
        <v>211</v>
      </c>
      <c r="F112" s="6">
        <f>13.5</f>
        <v>13.5</v>
      </c>
      <c r="G112" s="4" t="s">
        <v>75</v>
      </c>
      <c r="H112" s="7">
        <v>82.75</v>
      </c>
      <c r="I112" s="7">
        <v>82.75</v>
      </c>
      <c r="J112" s="8" t="s">
        <v>26</v>
      </c>
      <c r="K112" s="9">
        <f>104.02</f>
        <v>104.02</v>
      </c>
      <c r="L112" s="9">
        <f>1404.27</f>
        <v>1404.27</v>
      </c>
      <c r="M112" s="4"/>
      <c r="N112" s="10">
        <v>1</v>
      </c>
      <c r="O112" s="4" t="s">
        <v>27</v>
      </c>
      <c r="P112" s="11">
        <v>13.5</v>
      </c>
      <c r="Q112" s="9">
        <f>1404.27</f>
        <v>1404.27</v>
      </c>
    </row>
    <row r="113" spans="1:17" ht="45" customHeight="1" x14ac:dyDescent="0.25">
      <c r="A113" s="4" t="s">
        <v>20</v>
      </c>
      <c r="B113" s="5" t="s">
        <v>347</v>
      </c>
      <c r="C113" s="4" t="s">
        <v>29</v>
      </c>
      <c r="D113" s="4" t="s">
        <v>216</v>
      </c>
      <c r="E113" s="4" t="s">
        <v>217</v>
      </c>
      <c r="F113" s="6">
        <f>66.5</f>
        <v>66.5</v>
      </c>
      <c r="G113" s="4" t="s">
        <v>75</v>
      </c>
      <c r="H113" s="7">
        <v>35.19</v>
      </c>
      <c r="I113" s="7">
        <v>35.19</v>
      </c>
      <c r="J113" s="8" t="s">
        <v>26</v>
      </c>
      <c r="K113" s="9">
        <f>44.23</f>
        <v>44.23</v>
      </c>
      <c r="L113" s="9">
        <f>2941.3</f>
        <v>2941.3</v>
      </c>
      <c r="M113" s="4"/>
      <c r="N113" s="10">
        <v>1</v>
      </c>
      <c r="O113" s="4" t="s">
        <v>27</v>
      </c>
      <c r="P113" s="11">
        <v>66.5</v>
      </c>
      <c r="Q113" s="9">
        <f>2941.3</f>
        <v>2941.3</v>
      </c>
    </row>
    <row r="114" spans="1:17" ht="45" customHeight="1" x14ac:dyDescent="0.25">
      <c r="A114" s="4" t="s">
        <v>20</v>
      </c>
      <c r="B114" s="5" t="s">
        <v>348</v>
      </c>
      <c r="C114" s="4" t="s">
        <v>63</v>
      </c>
      <c r="D114" s="4" t="s">
        <v>107</v>
      </c>
      <c r="E114" s="4" t="s">
        <v>108</v>
      </c>
      <c r="F114" s="6">
        <f>120</f>
        <v>120</v>
      </c>
      <c r="G114" s="4" t="s">
        <v>75</v>
      </c>
      <c r="H114" s="7">
        <v>8.64</v>
      </c>
      <c r="I114" s="7">
        <v>8.64</v>
      </c>
      <c r="J114" s="8" t="s">
        <v>26</v>
      </c>
      <c r="K114" s="9">
        <f>10.86</f>
        <v>10.86</v>
      </c>
      <c r="L114" s="9">
        <f>1303.2</f>
        <v>1303.2</v>
      </c>
      <c r="M114" s="4"/>
      <c r="N114" s="10">
        <v>1</v>
      </c>
      <c r="O114" s="4" t="s">
        <v>27</v>
      </c>
      <c r="P114" s="11">
        <v>120</v>
      </c>
      <c r="Q114" s="9">
        <f>1303.2</f>
        <v>1303.2</v>
      </c>
    </row>
    <row r="115" spans="1:17" ht="45" customHeight="1" x14ac:dyDescent="0.25">
      <c r="A115" s="4" t="s">
        <v>20</v>
      </c>
      <c r="B115" s="5" t="s">
        <v>349</v>
      </c>
      <c r="C115" s="4" t="s">
        <v>63</v>
      </c>
      <c r="D115" s="4" t="s">
        <v>114</v>
      </c>
      <c r="E115" s="4" t="s">
        <v>115</v>
      </c>
      <c r="F115" s="6">
        <f>120</f>
        <v>120</v>
      </c>
      <c r="G115" s="4" t="s">
        <v>75</v>
      </c>
      <c r="H115" s="7">
        <v>1.45</v>
      </c>
      <c r="I115" s="7">
        <v>1.45</v>
      </c>
      <c r="J115" s="8" t="s">
        <v>26</v>
      </c>
      <c r="K115" s="9">
        <f>1.82</f>
        <v>1.82</v>
      </c>
      <c r="L115" s="9">
        <f>218.4</f>
        <v>218.4</v>
      </c>
      <c r="M115" s="4"/>
      <c r="N115" s="10">
        <v>1</v>
      </c>
      <c r="O115" s="4" t="s">
        <v>27</v>
      </c>
      <c r="P115" s="11">
        <v>120</v>
      </c>
      <c r="Q115" s="9">
        <f>218.4</f>
        <v>218.4</v>
      </c>
    </row>
    <row r="116" spans="1:17" ht="45" customHeight="1" x14ac:dyDescent="0.25">
      <c r="A116" s="4" t="s">
        <v>20</v>
      </c>
      <c r="B116" s="5" t="s">
        <v>350</v>
      </c>
      <c r="C116" s="4" t="s">
        <v>63</v>
      </c>
      <c r="D116" s="4" t="s">
        <v>110</v>
      </c>
      <c r="E116" s="4" t="s">
        <v>111</v>
      </c>
      <c r="F116" s="6">
        <f>480</f>
        <v>480</v>
      </c>
      <c r="G116" s="4" t="s">
        <v>112</v>
      </c>
      <c r="H116" s="7">
        <v>3.31</v>
      </c>
      <c r="I116" s="7">
        <v>3.31</v>
      </c>
      <c r="J116" s="8" t="s">
        <v>26</v>
      </c>
      <c r="K116" s="9">
        <f>4.16</f>
        <v>4.16</v>
      </c>
      <c r="L116" s="9">
        <f>1996.8</f>
        <v>1996.8</v>
      </c>
      <c r="M116" s="4"/>
      <c r="N116" s="10">
        <v>1</v>
      </c>
      <c r="O116" s="4" t="s">
        <v>27</v>
      </c>
      <c r="P116" s="11">
        <v>480</v>
      </c>
      <c r="Q116" s="9">
        <f>1996.8</f>
        <v>1996.8</v>
      </c>
    </row>
    <row r="117" spans="1:17" ht="45" customHeight="1" x14ac:dyDescent="0.25">
      <c r="A117" s="4" t="s">
        <v>20</v>
      </c>
      <c r="B117" s="5" t="s">
        <v>351</v>
      </c>
      <c r="C117" s="4" t="s">
        <v>63</v>
      </c>
      <c r="D117" s="4" t="s">
        <v>352</v>
      </c>
      <c r="E117" s="4" t="s">
        <v>353</v>
      </c>
      <c r="F117" s="6">
        <f>7</f>
        <v>7</v>
      </c>
      <c r="G117" s="4" t="s">
        <v>96</v>
      </c>
      <c r="H117" s="7">
        <v>69.44</v>
      </c>
      <c r="I117" s="7">
        <v>69.44</v>
      </c>
      <c r="J117" s="8" t="s">
        <v>26</v>
      </c>
      <c r="K117" s="9">
        <f>87.29</f>
        <v>87.29</v>
      </c>
      <c r="L117" s="9">
        <f>611.03</f>
        <v>611.03</v>
      </c>
      <c r="M117" s="4"/>
      <c r="N117" s="10">
        <v>1</v>
      </c>
      <c r="O117" s="4" t="s">
        <v>27</v>
      </c>
      <c r="P117" s="11">
        <v>7</v>
      </c>
      <c r="Q117" s="9">
        <f>611.03</f>
        <v>611.03</v>
      </c>
    </row>
    <row r="118" spans="1:17" ht="45" customHeight="1" x14ac:dyDescent="0.25">
      <c r="A118" s="4" t="s">
        <v>20</v>
      </c>
      <c r="B118" s="5" t="s">
        <v>354</v>
      </c>
      <c r="C118" s="4" t="s">
        <v>63</v>
      </c>
      <c r="D118" s="4" t="s">
        <v>355</v>
      </c>
      <c r="E118" s="4" t="s">
        <v>356</v>
      </c>
      <c r="F118" s="6">
        <f>18</f>
        <v>18</v>
      </c>
      <c r="G118" s="4" t="s">
        <v>96</v>
      </c>
      <c r="H118" s="7">
        <v>63.8</v>
      </c>
      <c r="I118" s="7">
        <v>63.8</v>
      </c>
      <c r="J118" s="8" t="s">
        <v>26</v>
      </c>
      <c r="K118" s="9">
        <f>80.2</f>
        <v>80.2</v>
      </c>
      <c r="L118" s="9">
        <f>1443.6</f>
        <v>1443.6</v>
      </c>
      <c r="M118" s="4"/>
      <c r="N118" s="10">
        <v>1</v>
      </c>
      <c r="O118" s="4" t="s">
        <v>27</v>
      </c>
      <c r="P118" s="11">
        <v>18</v>
      </c>
      <c r="Q118" s="9">
        <f>1443.6</f>
        <v>1443.6</v>
      </c>
    </row>
    <row r="119" spans="1:17" ht="45" customHeight="1" x14ac:dyDescent="0.25">
      <c r="A119" s="4" t="s">
        <v>20</v>
      </c>
      <c r="B119" s="5" t="s">
        <v>357</v>
      </c>
      <c r="C119" s="4" t="s">
        <v>29</v>
      </c>
      <c r="D119" s="4" t="s">
        <v>358</v>
      </c>
      <c r="E119" s="4" t="s">
        <v>359</v>
      </c>
      <c r="F119" s="6">
        <f>706</f>
        <v>706</v>
      </c>
      <c r="G119" s="4" t="s">
        <v>25</v>
      </c>
      <c r="H119" s="7">
        <v>116.72</v>
      </c>
      <c r="I119" s="7">
        <v>116.72</v>
      </c>
      <c r="J119" s="8" t="s">
        <v>26</v>
      </c>
      <c r="K119" s="9">
        <f>146.72</f>
        <v>146.72</v>
      </c>
      <c r="L119" s="9">
        <f>103584.32</f>
        <v>103584.32000000001</v>
      </c>
      <c r="M119" s="4"/>
      <c r="N119" s="10">
        <v>1</v>
      </c>
      <c r="O119" s="4" t="s">
        <v>27</v>
      </c>
      <c r="P119" s="11">
        <v>706</v>
      </c>
      <c r="Q119" s="9">
        <f>103584.32</f>
        <v>103584.32000000001</v>
      </c>
    </row>
    <row r="120" spans="1:17" ht="45" customHeight="1" x14ac:dyDescent="0.25">
      <c r="A120" s="4" t="s">
        <v>20</v>
      </c>
      <c r="B120" s="5" t="s">
        <v>360</v>
      </c>
      <c r="C120" s="4" t="s">
        <v>29</v>
      </c>
      <c r="D120" s="4" t="s">
        <v>361</v>
      </c>
      <c r="E120" s="4" t="s">
        <v>362</v>
      </c>
      <c r="F120" s="6">
        <f>706</f>
        <v>706</v>
      </c>
      <c r="G120" s="4" t="s">
        <v>25</v>
      </c>
      <c r="H120" s="7">
        <v>27.05</v>
      </c>
      <c r="I120" s="7">
        <v>27.05</v>
      </c>
      <c r="J120" s="8" t="s">
        <v>26</v>
      </c>
      <c r="K120" s="9">
        <f>34</f>
        <v>34</v>
      </c>
      <c r="L120" s="9">
        <f>24004</f>
        <v>24004</v>
      </c>
      <c r="M120" s="4"/>
      <c r="N120" s="10">
        <v>1</v>
      </c>
      <c r="O120" s="4" t="s">
        <v>27</v>
      </c>
      <c r="P120" s="11">
        <v>706</v>
      </c>
      <c r="Q120" s="9">
        <f>24004</f>
        <v>24004</v>
      </c>
    </row>
    <row r="121" spans="1:17" ht="45" customHeight="1" x14ac:dyDescent="0.25">
      <c r="A121" s="4" t="s">
        <v>20</v>
      </c>
      <c r="B121" s="5" t="s">
        <v>363</v>
      </c>
      <c r="C121" s="4" t="s">
        <v>29</v>
      </c>
      <c r="D121" s="4" t="s">
        <v>364</v>
      </c>
      <c r="E121" s="4" t="s">
        <v>365</v>
      </c>
      <c r="F121" s="6">
        <f>100.9</f>
        <v>100.9</v>
      </c>
      <c r="G121" s="4" t="s">
        <v>75</v>
      </c>
      <c r="H121" s="7">
        <v>706.98</v>
      </c>
      <c r="I121" s="7">
        <v>706.98</v>
      </c>
      <c r="J121" s="8" t="s">
        <v>26</v>
      </c>
      <c r="K121" s="9">
        <f>888.67</f>
        <v>888.67</v>
      </c>
      <c r="L121" s="9">
        <f>89666.8</f>
        <v>89666.8</v>
      </c>
      <c r="M121" s="4"/>
      <c r="N121" s="10">
        <v>1</v>
      </c>
      <c r="O121" s="4" t="s">
        <v>27</v>
      </c>
      <c r="P121" s="11">
        <v>100.9</v>
      </c>
      <c r="Q121" s="9">
        <f>89666.8</f>
        <v>89666.8</v>
      </c>
    </row>
    <row r="122" spans="1:17" ht="45" customHeight="1" x14ac:dyDescent="0.25">
      <c r="A122" s="4" t="s">
        <v>20</v>
      </c>
      <c r="B122" s="5" t="s">
        <v>366</v>
      </c>
      <c r="C122" s="4" t="s">
        <v>29</v>
      </c>
      <c r="D122" s="4" t="s">
        <v>77</v>
      </c>
      <c r="E122" s="4" t="s">
        <v>78</v>
      </c>
      <c r="F122" s="6">
        <f>9537</f>
        <v>9537</v>
      </c>
      <c r="G122" s="4" t="s">
        <v>79</v>
      </c>
      <c r="H122" s="7">
        <v>13.28</v>
      </c>
      <c r="I122" s="7">
        <v>13.28</v>
      </c>
      <c r="J122" s="8" t="s">
        <v>26</v>
      </c>
      <c r="K122" s="9">
        <f>16.69</f>
        <v>16.690000000000001</v>
      </c>
      <c r="L122" s="9">
        <f>159172.53</f>
        <v>159172.53</v>
      </c>
      <c r="M122" s="4"/>
      <c r="N122" s="10">
        <v>1</v>
      </c>
      <c r="O122" s="4" t="s">
        <v>27</v>
      </c>
      <c r="P122" s="11">
        <v>9537</v>
      </c>
      <c r="Q122" s="9">
        <f>159172.53</f>
        <v>159172.53</v>
      </c>
    </row>
    <row r="123" spans="1:17" ht="45" customHeight="1" x14ac:dyDescent="0.25">
      <c r="A123" s="4" t="s">
        <v>20</v>
      </c>
      <c r="B123" s="5" t="s">
        <v>367</v>
      </c>
      <c r="C123" s="4" t="s">
        <v>29</v>
      </c>
      <c r="D123" s="4" t="s">
        <v>81</v>
      </c>
      <c r="E123" s="4" t="s">
        <v>82</v>
      </c>
      <c r="F123" s="6">
        <f>353</f>
        <v>353</v>
      </c>
      <c r="G123" s="4" t="s">
        <v>79</v>
      </c>
      <c r="H123" s="7">
        <v>13.28</v>
      </c>
      <c r="I123" s="7">
        <v>13.28</v>
      </c>
      <c r="J123" s="8" t="s">
        <v>26</v>
      </c>
      <c r="K123" s="9">
        <f>16.69</f>
        <v>16.690000000000001</v>
      </c>
      <c r="L123" s="9">
        <f>5891.57</f>
        <v>5891.57</v>
      </c>
      <c r="M123" s="4"/>
      <c r="N123" s="10">
        <v>1</v>
      </c>
      <c r="O123" s="4" t="s">
        <v>27</v>
      </c>
      <c r="P123" s="11">
        <v>353</v>
      </c>
      <c r="Q123" s="9">
        <f>5891.57</f>
        <v>5891.57</v>
      </c>
    </row>
    <row r="124" spans="1:17" ht="45" customHeight="1" x14ac:dyDescent="0.25">
      <c r="A124" s="4" t="s">
        <v>20</v>
      </c>
      <c r="B124" s="5" t="s">
        <v>368</v>
      </c>
      <c r="C124" s="4" t="s">
        <v>63</v>
      </c>
      <c r="D124" s="4" t="s">
        <v>369</v>
      </c>
      <c r="E124" s="4" t="s">
        <v>370</v>
      </c>
      <c r="F124" s="6">
        <f>5.3</f>
        <v>5.3</v>
      </c>
      <c r="G124" s="4" t="s">
        <v>75</v>
      </c>
      <c r="H124" s="7">
        <v>514.52</v>
      </c>
      <c r="I124" s="7">
        <v>514.52</v>
      </c>
      <c r="J124" s="8" t="s">
        <v>26</v>
      </c>
      <c r="K124" s="9">
        <f>646.75</f>
        <v>646.75</v>
      </c>
      <c r="L124" s="9">
        <f>3427.78</f>
        <v>3427.78</v>
      </c>
      <c r="M124" s="4"/>
      <c r="N124" s="10">
        <v>1</v>
      </c>
      <c r="O124" s="4" t="s">
        <v>27</v>
      </c>
      <c r="P124" s="11">
        <v>5.3</v>
      </c>
      <c r="Q124" s="9">
        <f>3427.78</f>
        <v>3427.78</v>
      </c>
    </row>
    <row r="125" spans="1:17" ht="45" customHeight="1" x14ac:dyDescent="0.25">
      <c r="A125" s="4" t="s">
        <v>20</v>
      </c>
      <c r="B125" s="5" t="s">
        <v>371</v>
      </c>
      <c r="C125" s="4" t="s">
        <v>63</v>
      </c>
      <c r="D125" s="4" t="s">
        <v>372</v>
      </c>
      <c r="E125" s="4" t="s">
        <v>373</v>
      </c>
      <c r="F125" s="6">
        <f>5.3</f>
        <v>5.3</v>
      </c>
      <c r="G125" s="4" t="s">
        <v>75</v>
      </c>
      <c r="H125" s="7">
        <v>41.05</v>
      </c>
      <c r="I125" s="7">
        <v>41.05</v>
      </c>
      <c r="J125" s="8" t="s">
        <v>26</v>
      </c>
      <c r="K125" s="9">
        <f>51.6</f>
        <v>51.6</v>
      </c>
      <c r="L125" s="9">
        <f>273.48</f>
        <v>273.48</v>
      </c>
      <c r="M125" s="4"/>
      <c r="N125" s="10">
        <v>1</v>
      </c>
      <c r="O125" s="4" t="s">
        <v>27</v>
      </c>
      <c r="P125" s="11">
        <v>5.3</v>
      </c>
      <c r="Q125" s="9">
        <f>273.48</f>
        <v>273.48</v>
      </c>
    </row>
    <row r="126" spans="1:17" ht="45" customHeight="1" x14ac:dyDescent="0.25">
      <c r="A126" s="4" t="s">
        <v>20</v>
      </c>
      <c r="B126" s="5" t="s">
        <v>374</v>
      </c>
      <c r="C126" s="4" t="s">
        <v>29</v>
      </c>
      <c r="D126" s="4" t="s">
        <v>375</v>
      </c>
      <c r="E126" s="4" t="s">
        <v>376</v>
      </c>
      <c r="F126" s="6">
        <f>2</f>
        <v>2</v>
      </c>
      <c r="G126" s="4" t="s">
        <v>46</v>
      </c>
      <c r="H126" s="7">
        <v>3344.64</v>
      </c>
      <c r="I126" s="7">
        <v>3344.64</v>
      </c>
      <c r="J126" s="8" t="s">
        <v>26</v>
      </c>
      <c r="K126" s="9">
        <f>4204.21</f>
        <v>4204.21</v>
      </c>
      <c r="L126" s="9">
        <f>8408.42</f>
        <v>8408.42</v>
      </c>
      <c r="M126" s="4"/>
      <c r="N126" s="10">
        <v>1</v>
      </c>
      <c r="O126" s="4" t="s">
        <v>27</v>
      </c>
      <c r="P126" s="11">
        <v>2</v>
      </c>
      <c r="Q126" s="9">
        <f>8408.42</f>
        <v>8408.42</v>
      </c>
    </row>
    <row r="127" spans="1:17" ht="45" customHeight="1" x14ac:dyDescent="0.25">
      <c r="A127" s="4" t="s">
        <v>20</v>
      </c>
      <c r="B127" s="5" t="s">
        <v>377</v>
      </c>
      <c r="C127" s="4" t="s">
        <v>29</v>
      </c>
      <c r="D127" s="4" t="s">
        <v>228</v>
      </c>
      <c r="E127" s="4" t="s">
        <v>229</v>
      </c>
      <c r="F127" s="6">
        <f>12</f>
        <v>12</v>
      </c>
      <c r="G127" s="4" t="s">
        <v>96</v>
      </c>
      <c r="H127" s="7">
        <v>15.35</v>
      </c>
      <c r="I127" s="7">
        <v>15.35</v>
      </c>
      <c r="J127" s="8" t="s">
        <v>26</v>
      </c>
      <c r="K127" s="9">
        <f>19.29</f>
        <v>19.29</v>
      </c>
      <c r="L127" s="9">
        <f>231.48</f>
        <v>231.48</v>
      </c>
      <c r="M127" s="4"/>
      <c r="N127" s="10">
        <v>1</v>
      </c>
      <c r="O127" s="4" t="s">
        <v>27</v>
      </c>
      <c r="P127" s="11">
        <v>12</v>
      </c>
      <c r="Q127" s="9">
        <f>231.48</f>
        <v>231.48</v>
      </c>
    </row>
    <row r="128" spans="1:17" ht="45" customHeight="1" x14ac:dyDescent="0.25">
      <c r="A128" s="4" t="s">
        <v>20</v>
      </c>
      <c r="B128" s="5" t="s">
        <v>378</v>
      </c>
      <c r="C128" s="4" t="s">
        <v>29</v>
      </c>
      <c r="D128" s="4" t="s">
        <v>87</v>
      </c>
      <c r="E128" s="4" t="s">
        <v>88</v>
      </c>
      <c r="F128" s="6">
        <f>6571</f>
        <v>6571</v>
      </c>
      <c r="G128" s="4" t="s">
        <v>79</v>
      </c>
      <c r="H128" s="7">
        <v>4.54</v>
      </c>
      <c r="I128" s="7">
        <v>4.54</v>
      </c>
      <c r="J128" s="8" t="s">
        <v>26</v>
      </c>
      <c r="K128" s="9">
        <f>5.71</f>
        <v>5.71</v>
      </c>
      <c r="L128" s="9">
        <f>37520.41</f>
        <v>37520.410000000003</v>
      </c>
      <c r="M128" s="4"/>
      <c r="N128" s="10">
        <v>1</v>
      </c>
      <c r="O128" s="4" t="s">
        <v>27</v>
      </c>
      <c r="P128" s="11">
        <v>6571</v>
      </c>
      <c r="Q128" s="9">
        <f>37520.41</f>
        <v>37520.410000000003</v>
      </c>
    </row>
    <row r="129" spans="1:17" ht="45" customHeight="1" x14ac:dyDescent="0.25">
      <c r="A129" s="4" t="s">
        <v>20</v>
      </c>
      <c r="B129" s="5" t="s">
        <v>379</v>
      </c>
      <c r="C129" s="4" t="s">
        <v>22</v>
      </c>
      <c r="D129" s="4" t="s">
        <v>380</v>
      </c>
      <c r="E129" s="4" t="s">
        <v>381</v>
      </c>
      <c r="F129" s="6">
        <f>1</f>
        <v>1</v>
      </c>
      <c r="G129" s="4" t="s">
        <v>46</v>
      </c>
      <c r="H129" s="7">
        <v>2160.4499999999998</v>
      </c>
      <c r="I129" s="7">
        <v>2160.4499999999998</v>
      </c>
      <c r="J129" s="8" t="s">
        <v>26</v>
      </c>
      <c r="K129" s="9">
        <f>2715.69</f>
        <v>2715.69</v>
      </c>
      <c r="L129" s="9">
        <f>2715.69</f>
        <v>2715.69</v>
      </c>
      <c r="M129" s="4"/>
      <c r="N129" s="10">
        <v>1</v>
      </c>
      <c r="O129" s="4" t="s">
        <v>27</v>
      </c>
      <c r="P129" s="11">
        <v>1</v>
      </c>
      <c r="Q129" s="9">
        <f>2715.69</f>
        <v>2715.69</v>
      </c>
    </row>
    <row r="130" spans="1:17" ht="45" customHeight="1" x14ac:dyDescent="0.25">
      <c r="A130" s="4" t="s">
        <v>20</v>
      </c>
      <c r="B130" s="5" t="s">
        <v>382</v>
      </c>
      <c r="C130" s="4" t="s">
        <v>29</v>
      </c>
      <c r="D130" s="4" t="s">
        <v>383</v>
      </c>
      <c r="E130" s="4" t="s">
        <v>384</v>
      </c>
      <c r="F130" s="6">
        <f>20</f>
        <v>20</v>
      </c>
      <c r="G130" s="4" t="s">
        <v>96</v>
      </c>
      <c r="H130" s="7">
        <v>519.44000000000005</v>
      </c>
      <c r="I130" s="7">
        <v>519.44000000000005</v>
      </c>
      <c r="J130" s="8" t="s">
        <v>26</v>
      </c>
      <c r="K130" s="9">
        <f>652.94</f>
        <v>652.94000000000005</v>
      </c>
      <c r="L130" s="9">
        <f>13058.8</f>
        <v>13058.8</v>
      </c>
      <c r="M130" s="4"/>
      <c r="N130" s="10">
        <v>1</v>
      </c>
      <c r="O130" s="4" t="s">
        <v>27</v>
      </c>
      <c r="P130" s="11">
        <v>20</v>
      </c>
      <c r="Q130" s="9">
        <f>13058.8</f>
        <v>13058.8</v>
      </c>
    </row>
    <row r="131" spans="1:17" ht="45" customHeight="1" x14ac:dyDescent="0.25">
      <c r="A131" s="4" t="s">
        <v>20</v>
      </c>
      <c r="B131" s="5" t="s">
        <v>385</v>
      </c>
      <c r="C131" s="4" t="s">
        <v>29</v>
      </c>
      <c r="D131" s="4" t="s">
        <v>386</v>
      </c>
      <c r="E131" s="4" t="s">
        <v>387</v>
      </c>
      <c r="F131" s="6">
        <f>4</f>
        <v>4</v>
      </c>
      <c r="G131" s="4" t="s">
        <v>25</v>
      </c>
      <c r="H131" s="7">
        <v>29.4</v>
      </c>
      <c r="I131" s="7">
        <v>29.4</v>
      </c>
      <c r="J131" s="8" t="s">
        <v>26</v>
      </c>
      <c r="K131" s="9">
        <f>36.96</f>
        <v>36.96</v>
      </c>
      <c r="L131" s="9">
        <f>147.84</f>
        <v>147.84</v>
      </c>
      <c r="M131" s="4"/>
      <c r="N131" s="10">
        <v>1</v>
      </c>
      <c r="O131" s="4" t="s">
        <v>27</v>
      </c>
      <c r="P131" s="11">
        <v>4</v>
      </c>
      <c r="Q131" s="9">
        <f>147.84</f>
        <v>147.84</v>
      </c>
    </row>
    <row r="132" spans="1:17" ht="45" customHeight="1" x14ac:dyDescent="0.25">
      <c r="A132" s="4" t="s">
        <v>20</v>
      </c>
      <c r="B132" s="5" t="s">
        <v>388</v>
      </c>
      <c r="C132" s="4" t="s">
        <v>22</v>
      </c>
      <c r="D132" s="4" t="s">
        <v>389</v>
      </c>
      <c r="E132" s="4" t="s">
        <v>390</v>
      </c>
      <c r="F132" s="6">
        <f>1</f>
        <v>1</v>
      </c>
      <c r="G132" s="4" t="s">
        <v>46</v>
      </c>
      <c r="H132" s="7">
        <v>156.78</v>
      </c>
      <c r="I132" s="7">
        <v>156.78</v>
      </c>
      <c r="J132" s="8" t="s">
        <v>26</v>
      </c>
      <c r="K132" s="9">
        <f>197.07</f>
        <v>197.07</v>
      </c>
      <c r="L132" s="9">
        <f>197.07</f>
        <v>197.07</v>
      </c>
      <c r="M132" s="4"/>
      <c r="N132" s="10">
        <v>1</v>
      </c>
      <c r="O132" s="4" t="s">
        <v>27</v>
      </c>
      <c r="P132" s="11">
        <v>1</v>
      </c>
      <c r="Q132" s="9">
        <f>197.07</f>
        <v>197.07</v>
      </c>
    </row>
    <row r="133" spans="1:17" ht="45" customHeight="1" x14ac:dyDescent="0.25">
      <c r="A133" s="4" t="s">
        <v>20</v>
      </c>
      <c r="B133" s="5" t="s">
        <v>391</v>
      </c>
      <c r="C133" s="4" t="s">
        <v>22</v>
      </c>
      <c r="D133" s="4" t="s">
        <v>392</v>
      </c>
      <c r="E133" s="4" t="s">
        <v>393</v>
      </c>
      <c r="F133" s="6">
        <f>1</f>
        <v>1</v>
      </c>
      <c r="G133" s="4" t="s">
        <v>46</v>
      </c>
      <c r="H133" s="7">
        <v>183.26</v>
      </c>
      <c r="I133" s="7">
        <v>183.26</v>
      </c>
      <c r="J133" s="8" t="s">
        <v>26</v>
      </c>
      <c r="K133" s="9">
        <f>230.36</f>
        <v>230.36</v>
      </c>
      <c r="L133" s="9">
        <f>230.36</f>
        <v>230.36</v>
      </c>
      <c r="M133" s="4"/>
      <c r="N133" s="10">
        <v>1</v>
      </c>
      <c r="O133" s="4" t="s">
        <v>27</v>
      </c>
      <c r="P133" s="11">
        <v>1</v>
      </c>
      <c r="Q133" s="9">
        <f>230.36</f>
        <v>230.36</v>
      </c>
    </row>
    <row r="134" spans="1:17" ht="45" customHeight="1" x14ac:dyDescent="0.25">
      <c r="A134" s="4" t="s">
        <v>20</v>
      </c>
      <c r="B134" s="5" t="s">
        <v>394</v>
      </c>
      <c r="C134" s="4" t="s">
        <v>29</v>
      </c>
      <c r="D134" s="4" t="s">
        <v>120</v>
      </c>
      <c r="E134" s="4" t="s">
        <v>121</v>
      </c>
      <c r="F134" s="6">
        <f>18</f>
        <v>18</v>
      </c>
      <c r="G134" s="4" t="s">
        <v>46</v>
      </c>
      <c r="H134" s="7">
        <v>3.34</v>
      </c>
      <c r="I134" s="7">
        <v>3.34</v>
      </c>
      <c r="J134" s="8" t="s">
        <v>122</v>
      </c>
      <c r="K134" s="9">
        <f>3.98</f>
        <v>3.98</v>
      </c>
      <c r="L134" s="9">
        <f>71.64</f>
        <v>71.64</v>
      </c>
      <c r="M134" s="4"/>
      <c r="N134" s="10">
        <v>1</v>
      </c>
      <c r="O134" s="4" t="s">
        <v>27</v>
      </c>
      <c r="P134" s="11">
        <v>18</v>
      </c>
      <c r="Q134" s="9">
        <f>71.64</f>
        <v>71.64</v>
      </c>
    </row>
    <row r="135" spans="1:17" ht="45" customHeight="1" x14ac:dyDescent="0.25">
      <c r="A135" s="4" t="s">
        <v>20</v>
      </c>
      <c r="B135" s="5" t="s">
        <v>395</v>
      </c>
      <c r="C135" s="4" t="s">
        <v>29</v>
      </c>
      <c r="D135" s="4" t="s">
        <v>396</v>
      </c>
      <c r="E135" s="4" t="s">
        <v>397</v>
      </c>
      <c r="F135" s="6">
        <f>2</f>
        <v>2</v>
      </c>
      <c r="G135" s="4" t="s">
        <v>46</v>
      </c>
      <c r="H135" s="7">
        <v>5.33</v>
      </c>
      <c r="I135" s="7">
        <v>5.33</v>
      </c>
      <c r="J135" s="8" t="s">
        <v>122</v>
      </c>
      <c r="K135" s="9">
        <f>6.35</f>
        <v>6.35</v>
      </c>
      <c r="L135" s="9">
        <f>12.7</f>
        <v>12.7</v>
      </c>
      <c r="M135" s="4"/>
      <c r="N135" s="10">
        <v>1</v>
      </c>
      <c r="O135" s="4" t="s">
        <v>27</v>
      </c>
      <c r="P135" s="11">
        <v>2</v>
      </c>
      <c r="Q135" s="9">
        <f>12.7</f>
        <v>12.7</v>
      </c>
    </row>
    <row r="136" spans="1:17" ht="45" customHeight="1" x14ac:dyDescent="0.25">
      <c r="A136" s="4" t="s">
        <v>20</v>
      </c>
      <c r="B136" s="5" t="s">
        <v>398</v>
      </c>
      <c r="C136" s="4" t="s">
        <v>29</v>
      </c>
      <c r="D136" s="4" t="s">
        <v>124</v>
      </c>
      <c r="E136" s="4" t="s">
        <v>125</v>
      </c>
      <c r="F136" s="6">
        <f>2</f>
        <v>2</v>
      </c>
      <c r="G136" s="4" t="s">
        <v>46</v>
      </c>
      <c r="H136" s="7">
        <v>6.27</v>
      </c>
      <c r="I136" s="7">
        <v>6.27</v>
      </c>
      <c r="J136" s="8" t="s">
        <v>122</v>
      </c>
      <c r="K136" s="9">
        <f>7.46</f>
        <v>7.46</v>
      </c>
      <c r="L136" s="9">
        <f>14.92</f>
        <v>14.92</v>
      </c>
      <c r="M136" s="4"/>
      <c r="N136" s="10">
        <v>1</v>
      </c>
      <c r="O136" s="4" t="s">
        <v>27</v>
      </c>
      <c r="P136" s="11">
        <v>2</v>
      </c>
      <c r="Q136" s="9">
        <f>14.92</f>
        <v>14.92</v>
      </c>
    </row>
    <row r="137" spans="1:17" ht="45" customHeight="1" x14ac:dyDescent="0.25">
      <c r="A137" s="4" t="s">
        <v>20</v>
      </c>
      <c r="B137" s="5" t="s">
        <v>399</v>
      </c>
      <c r="C137" s="4" t="s">
        <v>29</v>
      </c>
      <c r="D137" s="4" t="s">
        <v>127</v>
      </c>
      <c r="E137" s="4" t="s">
        <v>128</v>
      </c>
      <c r="F137" s="6">
        <f>31</f>
        <v>31</v>
      </c>
      <c r="G137" s="4" t="s">
        <v>46</v>
      </c>
      <c r="H137" s="7">
        <v>8.2100000000000009</v>
      </c>
      <c r="I137" s="7">
        <v>8.2100000000000009</v>
      </c>
      <c r="J137" s="8" t="s">
        <v>122</v>
      </c>
      <c r="K137" s="9">
        <f>9.77</f>
        <v>9.77</v>
      </c>
      <c r="L137" s="9">
        <f>302.87</f>
        <v>302.87</v>
      </c>
      <c r="M137" s="4"/>
      <c r="N137" s="10">
        <v>1</v>
      </c>
      <c r="O137" s="4" t="s">
        <v>27</v>
      </c>
      <c r="P137" s="11">
        <v>31</v>
      </c>
      <c r="Q137" s="9">
        <f>302.87</f>
        <v>302.87</v>
      </c>
    </row>
    <row r="138" spans="1:17" ht="45" customHeight="1" x14ac:dyDescent="0.25">
      <c r="A138" s="4" t="s">
        <v>20</v>
      </c>
      <c r="B138" s="5" t="s">
        <v>400</v>
      </c>
      <c r="C138" s="4" t="s">
        <v>29</v>
      </c>
      <c r="D138" s="4" t="s">
        <v>401</v>
      </c>
      <c r="E138" s="4" t="s">
        <v>402</v>
      </c>
      <c r="F138" s="6">
        <f>14</f>
        <v>14</v>
      </c>
      <c r="G138" s="4" t="s">
        <v>46</v>
      </c>
      <c r="H138" s="7">
        <v>12.47</v>
      </c>
      <c r="I138" s="7">
        <v>12.47</v>
      </c>
      <c r="J138" s="8" t="s">
        <v>122</v>
      </c>
      <c r="K138" s="9">
        <f>14.85</f>
        <v>14.85</v>
      </c>
      <c r="L138" s="9">
        <f>207.9</f>
        <v>207.9</v>
      </c>
      <c r="M138" s="4"/>
      <c r="N138" s="10">
        <v>1</v>
      </c>
      <c r="O138" s="4" t="s">
        <v>27</v>
      </c>
      <c r="P138" s="11">
        <v>14</v>
      </c>
      <c r="Q138" s="9">
        <f>207.9</f>
        <v>207.9</v>
      </c>
    </row>
    <row r="139" spans="1:17" ht="45" customHeight="1" x14ac:dyDescent="0.25">
      <c r="A139" s="4" t="s">
        <v>20</v>
      </c>
      <c r="B139" s="5" t="s">
        <v>403</v>
      </c>
      <c r="C139" s="4" t="s">
        <v>29</v>
      </c>
      <c r="D139" s="4" t="s">
        <v>130</v>
      </c>
      <c r="E139" s="4" t="s">
        <v>131</v>
      </c>
      <c r="F139" s="6">
        <f>2</f>
        <v>2</v>
      </c>
      <c r="G139" s="4" t="s">
        <v>46</v>
      </c>
      <c r="H139" s="7">
        <v>2.59</v>
      </c>
      <c r="I139" s="7">
        <v>2.59</v>
      </c>
      <c r="J139" s="8" t="s">
        <v>122</v>
      </c>
      <c r="K139" s="9">
        <f>3.08</f>
        <v>3.08</v>
      </c>
      <c r="L139" s="9">
        <f>6.16</f>
        <v>6.16</v>
      </c>
      <c r="M139" s="4"/>
      <c r="N139" s="10">
        <v>1</v>
      </c>
      <c r="O139" s="4" t="s">
        <v>27</v>
      </c>
      <c r="P139" s="11">
        <v>2</v>
      </c>
      <c r="Q139" s="9">
        <f>6.16</f>
        <v>6.16</v>
      </c>
    </row>
    <row r="140" spans="1:17" ht="45" customHeight="1" x14ac:dyDescent="0.25">
      <c r="A140" s="4" t="s">
        <v>20</v>
      </c>
      <c r="B140" s="5" t="s">
        <v>404</v>
      </c>
      <c r="C140" s="4" t="s">
        <v>29</v>
      </c>
      <c r="D140" s="4" t="s">
        <v>405</v>
      </c>
      <c r="E140" s="4" t="s">
        <v>406</v>
      </c>
      <c r="F140" s="6">
        <f>3</f>
        <v>3</v>
      </c>
      <c r="G140" s="4" t="s">
        <v>46</v>
      </c>
      <c r="H140" s="7">
        <v>766.68</v>
      </c>
      <c r="I140" s="7">
        <v>766.68</v>
      </c>
      <c r="J140" s="8" t="s">
        <v>122</v>
      </c>
      <c r="K140" s="9">
        <f>912.73</f>
        <v>912.73</v>
      </c>
      <c r="L140" s="9">
        <f>2738.19</f>
        <v>2738.19</v>
      </c>
      <c r="M140" s="4"/>
      <c r="N140" s="10">
        <v>1</v>
      </c>
      <c r="O140" s="4" t="s">
        <v>27</v>
      </c>
      <c r="P140" s="11">
        <v>3</v>
      </c>
      <c r="Q140" s="9">
        <f>2738.19</f>
        <v>2738.19</v>
      </c>
    </row>
    <row r="141" spans="1:17" ht="45" customHeight="1" x14ac:dyDescent="0.25">
      <c r="A141" s="4" t="s">
        <v>20</v>
      </c>
      <c r="B141" s="5" t="s">
        <v>407</v>
      </c>
      <c r="C141" s="4" t="s">
        <v>29</v>
      </c>
      <c r="D141" s="4" t="s">
        <v>408</v>
      </c>
      <c r="E141" s="4" t="s">
        <v>409</v>
      </c>
      <c r="F141" s="6">
        <f>3</f>
        <v>3</v>
      </c>
      <c r="G141" s="4" t="s">
        <v>46</v>
      </c>
      <c r="H141" s="7">
        <v>1105.28</v>
      </c>
      <c r="I141" s="7">
        <v>1105.28</v>
      </c>
      <c r="J141" s="8" t="s">
        <v>122</v>
      </c>
      <c r="K141" s="9">
        <f>1315.84</f>
        <v>1315.84</v>
      </c>
      <c r="L141" s="9">
        <f>3947.52</f>
        <v>3947.52</v>
      </c>
      <c r="M141" s="4"/>
      <c r="N141" s="10">
        <v>1</v>
      </c>
      <c r="O141" s="4" t="s">
        <v>27</v>
      </c>
      <c r="P141" s="11">
        <v>3</v>
      </c>
      <c r="Q141" s="9">
        <f>3947.52</f>
        <v>3947.52</v>
      </c>
    </row>
    <row r="142" spans="1:17" ht="45" customHeight="1" x14ac:dyDescent="0.25">
      <c r="A142" s="4" t="s">
        <v>20</v>
      </c>
      <c r="B142" s="5" t="s">
        <v>410</v>
      </c>
      <c r="C142" s="4" t="s">
        <v>29</v>
      </c>
      <c r="D142" s="4" t="s">
        <v>411</v>
      </c>
      <c r="E142" s="4" t="s">
        <v>412</v>
      </c>
      <c r="F142" s="6">
        <f>8</f>
        <v>8</v>
      </c>
      <c r="G142" s="4" t="s">
        <v>46</v>
      </c>
      <c r="H142" s="7">
        <v>222.22</v>
      </c>
      <c r="I142" s="7">
        <v>222.22</v>
      </c>
      <c r="J142" s="8" t="s">
        <v>122</v>
      </c>
      <c r="K142" s="9">
        <f>264.55</f>
        <v>264.55</v>
      </c>
      <c r="L142" s="9">
        <f>2116.4</f>
        <v>2116.4</v>
      </c>
      <c r="M142" s="4"/>
      <c r="N142" s="10">
        <v>1</v>
      </c>
      <c r="O142" s="4" t="s">
        <v>27</v>
      </c>
      <c r="P142" s="11">
        <v>8</v>
      </c>
      <c r="Q142" s="9">
        <f>2116.4</f>
        <v>2116.4</v>
      </c>
    </row>
    <row r="143" spans="1:17" ht="45" customHeight="1" x14ac:dyDescent="0.25">
      <c r="A143" s="4" t="s">
        <v>20</v>
      </c>
      <c r="B143" s="5" t="s">
        <v>413</v>
      </c>
      <c r="C143" s="4" t="s">
        <v>29</v>
      </c>
      <c r="D143" s="4" t="s">
        <v>136</v>
      </c>
      <c r="E143" s="4" t="s">
        <v>137</v>
      </c>
      <c r="F143" s="6">
        <f>7</f>
        <v>7</v>
      </c>
      <c r="G143" s="4" t="s">
        <v>46</v>
      </c>
      <c r="H143" s="7">
        <v>1528.67</v>
      </c>
      <c r="I143" s="7">
        <v>1528.67</v>
      </c>
      <c r="J143" s="8" t="s">
        <v>122</v>
      </c>
      <c r="K143" s="9">
        <f>1819.88</f>
        <v>1819.88</v>
      </c>
      <c r="L143" s="9">
        <f>12739.16</f>
        <v>12739.16</v>
      </c>
      <c r="M143" s="4"/>
      <c r="N143" s="10">
        <v>1</v>
      </c>
      <c r="O143" s="4" t="s">
        <v>27</v>
      </c>
      <c r="P143" s="11">
        <v>7</v>
      </c>
      <c r="Q143" s="9">
        <f>12739.16</f>
        <v>12739.16</v>
      </c>
    </row>
    <row r="144" spans="1:17" ht="45" customHeight="1" x14ac:dyDescent="0.25">
      <c r="A144" s="4" t="s">
        <v>20</v>
      </c>
      <c r="B144" s="5" t="s">
        <v>414</v>
      </c>
      <c r="C144" s="4" t="s">
        <v>29</v>
      </c>
      <c r="D144" s="4" t="s">
        <v>415</v>
      </c>
      <c r="E144" s="4" t="s">
        <v>416</v>
      </c>
      <c r="F144" s="6">
        <f>2</f>
        <v>2</v>
      </c>
      <c r="G144" s="4" t="s">
        <v>46</v>
      </c>
      <c r="H144" s="7">
        <v>1426.02</v>
      </c>
      <c r="I144" s="7">
        <v>1426.02</v>
      </c>
      <c r="J144" s="8" t="s">
        <v>122</v>
      </c>
      <c r="K144" s="9">
        <f>1697.68</f>
        <v>1697.68</v>
      </c>
      <c r="L144" s="9">
        <f>3395.36</f>
        <v>3395.36</v>
      </c>
      <c r="M144" s="4"/>
      <c r="N144" s="10">
        <v>1</v>
      </c>
      <c r="O144" s="4" t="s">
        <v>27</v>
      </c>
      <c r="P144" s="11">
        <v>2</v>
      </c>
      <c r="Q144" s="9">
        <f>3395.36</f>
        <v>3395.36</v>
      </c>
    </row>
    <row r="145" spans="1:17" ht="45" customHeight="1" x14ac:dyDescent="0.25">
      <c r="A145" s="4" t="s">
        <v>20</v>
      </c>
      <c r="B145" s="5" t="s">
        <v>417</v>
      </c>
      <c r="C145" s="4" t="s">
        <v>63</v>
      </c>
      <c r="D145" s="4" t="s">
        <v>418</v>
      </c>
      <c r="E145" s="4" t="s">
        <v>419</v>
      </c>
      <c r="F145" s="6">
        <f>1</f>
        <v>1</v>
      </c>
      <c r="G145" s="4" t="s">
        <v>46</v>
      </c>
      <c r="H145" s="7">
        <v>13.44</v>
      </c>
      <c r="I145" s="7">
        <v>13.44</v>
      </c>
      <c r="J145" s="8" t="s">
        <v>122</v>
      </c>
      <c r="K145" s="9">
        <f>16</f>
        <v>16</v>
      </c>
      <c r="L145" s="9">
        <f>16</f>
        <v>16</v>
      </c>
      <c r="M145" s="4"/>
      <c r="N145" s="10">
        <v>1</v>
      </c>
      <c r="O145" s="4" t="s">
        <v>27</v>
      </c>
      <c r="P145" s="11">
        <v>1</v>
      </c>
      <c r="Q145" s="9">
        <f>16</f>
        <v>16</v>
      </c>
    </row>
    <row r="146" spans="1:17" ht="45" customHeight="1" x14ac:dyDescent="0.25">
      <c r="A146" s="4" t="s">
        <v>20</v>
      </c>
      <c r="B146" s="5" t="s">
        <v>420</v>
      </c>
      <c r="C146" s="4" t="s">
        <v>29</v>
      </c>
      <c r="D146" s="4" t="s">
        <v>421</v>
      </c>
      <c r="E146" s="4" t="s">
        <v>422</v>
      </c>
      <c r="F146" s="6">
        <f>2</f>
        <v>2</v>
      </c>
      <c r="G146" s="4" t="s">
        <v>46</v>
      </c>
      <c r="H146" s="7">
        <v>2513.59</v>
      </c>
      <c r="I146" s="7">
        <v>2513.59</v>
      </c>
      <c r="J146" s="8" t="s">
        <v>122</v>
      </c>
      <c r="K146" s="9">
        <f>2992.43</f>
        <v>2992.43</v>
      </c>
      <c r="L146" s="9">
        <f>5984.86</f>
        <v>5984.86</v>
      </c>
      <c r="M146" s="4"/>
      <c r="N146" s="10">
        <v>1</v>
      </c>
      <c r="O146" s="4" t="s">
        <v>27</v>
      </c>
      <c r="P146" s="11">
        <v>2</v>
      </c>
      <c r="Q146" s="9">
        <f>5984.86</f>
        <v>5984.86</v>
      </c>
    </row>
    <row r="147" spans="1:17" ht="45" customHeight="1" x14ac:dyDescent="0.25">
      <c r="A147" s="4" t="s">
        <v>20</v>
      </c>
      <c r="B147" s="5" t="s">
        <v>423</v>
      </c>
      <c r="C147" s="4" t="s">
        <v>29</v>
      </c>
      <c r="D147" s="4" t="s">
        <v>424</v>
      </c>
      <c r="E147" s="4" t="s">
        <v>425</v>
      </c>
      <c r="F147" s="6">
        <f>12</f>
        <v>12</v>
      </c>
      <c r="G147" s="4" t="s">
        <v>46</v>
      </c>
      <c r="H147" s="7">
        <v>340.5</v>
      </c>
      <c r="I147" s="7">
        <v>340.5</v>
      </c>
      <c r="J147" s="8" t="s">
        <v>122</v>
      </c>
      <c r="K147" s="9">
        <f>405.37</f>
        <v>405.37</v>
      </c>
      <c r="L147" s="9">
        <f>4864.44</f>
        <v>4864.4399999999996</v>
      </c>
      <c r="M147" s="4"/>
      <c r="N147" s="10">
        <v>1</v>
      </c>
      <c r="O147" s="4" t="s">
        <v>27</v>
      </c>
      <c r="P147" s="11">
        <v>12</v>
      </c>
      <c r="Q147" s="9">
        <f>4864.44</f>
        <v>4864.4399999999996</v>
      </c>
    </row>
    <row r="148" spans="1:17" ht="45" customHeight="1" x14ac:dyDescent="0.25">
      <c r="A148" s="4" t="s">
        <v>20</v>
      </c>
      <c r="B148" s="5" t="s">
        <v>426</v>
      </c>
      <c r="C148" s="4" t="s">
        <v>29</v>
      </c>
      <c r="D148" s="4" t="s">
        <v>427</v>
      </c>
      <c r="E148" s="4" t="s">
        <v>428</v>
      </c>
      <c r="F148" s="6">
        <f>4</f>
        <v>4</v>
      </c>
      <c r="G148" s="4" t="s">
        <v>46</v>
      </c>
      <c r="H148" s="7">
        <v>1172.44</v>
      </c>
      <c r="I148" s="7">
        <v>1172.44</v>
      </c>
      <c r="J148" s="8" t="s">
        <v>122</v>
      </c>
      <c r="K148" s="9">
        <f>1395.79</f>
        <v>1395.79</v>
      </c>
      <c r="L148" s="9">
        <f>5583.16</f>
        <v>5583.16</v>
      </c>
      <c r="M148" s="4"/>
      <c r="N148" s="10">
        <v>1</v>
      </c>
      <c r="O148" s="4" t="s">
        <v>27</v>
      </c>
      <c r="P148" s="11">
        <v>4</v>
      </c>
      <c r="Q148" s="9">
        <f>5583.16</f>
        <v>5583.16</v>
      </c>
    </row>
    <row r="149" spans="1:17" ht="45" customHeight="1" x14ac:dyDescent="0.25">
      <c r="A149" s="4" t="s">
        <v>20</v>
      </c>
      <c r="B149" s="5" t="s">
        <v>429</v>
      </c>
      <c r="C149" s="4" t="s">
        <v>29</v>
      </c>
      <c r="D149" s="4" t="s">
        <v>142</v>
      </c>
      <c r="E149" s="4" t="s">
        <v>143</v>
      </c>
      <c r="F149" s="6">
        <f>1</f>
        <v>1</v>
      </c>
      <c r="G149" s="4" t="s">
        <v>46</v>
      </c>
      <c r="H149" s="7">
        <v>389.85</v>
      </c>
      <c r="I149" s="7">
        <v>389.85</v>
      </c>
      <c r="J149" s="8" t="s">
        <v>122</v>
      </c>
      <c r="K149" s="9">
        <f>464.12</f>
        <v>464.12</v>
      </c>
      <c r="L149" s="9">
        <f>464.12</f>
        <v>464.12</v>
      </c>
      <c r="M149" s="4"/>
      <c r="N149" s="10">
        <v>1</v>
      </c>
      <c r="O149" s="4" t="s">
        <v>27</v>
      </c>
      <c r="P149" s="11">
        <v>1</v>
      </c>
      <c r="Q149" s="9">
        <f>464.12</f>
        <v>464.12</v>
      </c>
    </row>
    <row r="150" spans="1:17" ht="45" customHeight="1" x14ac:dyDescent="0.25">
      <c r="A150" s="4" t="s">
        <v>20</v>
      </c>
      <c r="B150" s="5" t="s">
        <v>430</v>
      </c>
      <c r="C150" s="4" t="s">
        <v>29</v>
      </c>
      <c r="D150" s="4" t="s">
        <v>431</v>
      </c>
      <c r="E150" s="4" t="s">
        <v>432</v>
      </c>
      <c r="F150" s="6">
        <f>1</f>
        <v>1</v>
      </c>
      <c r="G150" s="4" t="s">
        <v>46</v>
      </c>
      <c r="H150" s="7">
        <v>5.03</v>
      </c>
      <c r="I150" s="7">
        <v>5.03</v>
      </c>
      <c r="J150" s="8" t="s">
        <v>122</v>
      </c>
      <c r="K150" s="9">
        <f>5.99</f>
        <v>5.99</v>
      </c>
      <c r="L150" s="9">
        <f>5.99</f>
        <v>5.99</v>
      </c>
      <c r="M150" s="4"/>
      <c r="N150" s="10">
        <v>1</v>
      </c>
      <c r="O150" s="4" t="s">
        <v>27</v>
      </c>
      <c r="P150" s="11">
        <v>1</v>
      </c>
      <c r="Q150" s="9">
        <f>5.99</f>
        <v>5.99</v>
      </c>
    </row>
    <row r="151" spans="1:17" ht="45" customHeight="1" x14ac:dyDescent="0.25">
      <c r="A151" s="4" t="s">
        <v>20</v>
      </c>
      <c r="B151" s="5" t="s">
        <v>433</v>
      </c>
      <c r="C151" s="4" t="s">
        <v>29</v>
      </c>
      <c r="D151" s="4" t="s">
        <v>434</v>
      </c>
      <c r="E151" s="4" t="s">
        <v>435</v>
      </c>
      <c r="F151" s="6">
        <f>2</f>
        <v>2</v>
      </c>
      <c r="G151" s="4" t="s">
        <v>46</v>
      </c>
      <c r="H151" s="7">
        <v>3573.48</v>
      </c>
      <c r="I151" s="7">
        <v>3573.48</v>
      </c>
      <c r="J151" s="8" t="s">
        <v>122</v>
      </c>
      <c r="K151" s="9">
        <f>4254.23</f>
        <v>4254.2299999999996</v>
      </c>
      <c r="L151" s="9">
        <f>8508.46</f>
        <v>8508.4599999999991</v>
      </c>
      <c r="M151" s="4"/>
      <c r="N151" s="10">
        <v>1</v>
      </c>
      <c r="O151" s="4" t="s">
        <v>27</v>
      </c>
      <c r="P151" s="11">
        <v>2</v>
      </c>
      <c r="Q151" s="9">
        <f>8508.46</f>
        <v>8508.4599999999991</v>
      </c>
    </row>
    <row r="152" spans="1:17" ht="45" customHeight="1" x14ac:dyDescent="0.25">
      <c r="A152" s="4" t="s">
        <v>20</v>
      </c>
      <c r="B152" s="5" t="s">
        <v>436</v>
      </c>
      <c r="C152" s="4" t="s">
        <v>29</v>
      </c>
      <c r="D152" s="4" t="s">
        <v>145</v>
      </c>
      <c r="E152" s="4" t="s">
        <v>146</v>
      </c>
      <c r="F152" s="6">
        <f>2</f>
        <v>2</v>
      </c>
      <c r="G152" s="4" t="s">
        <v>46</v>
      </c>
      <c r="H152" s="7">
        <v>4748.5</v>
      </c>
      <c r="I152" s="7">
        <v>4748.5</v>
      </c>
      <c r="J152" s="8" t="s">
        <v>122</v>
      </c>
      <c r="K152" s="9">
        <f>5653.09</f>
        <v>5653.09</v>
      </c>
      <c r="L152" s="9">
        <f>11306.18</f>
        <v>11306.18</v>
      </c>
      <c r="M152" s="4"/>
      <c r="N152" s="10">
        <v>1</v>
      </c>
      <c r="O152" s="4" t="s">
        <v>27</v>
      </c>
      <c r="P152" s="11">
        <v>2</v>
      </c>
      <c r="Q152" s="9">
        <f>11306.18</f>
        <v>11306.18</v>
      </c>
    </row>
    <row r="153" spans="1:17" ht="45" customHeight="1" x14ac:dyDescent="0.25">
      <c r="A153" s="4" t="s">
        <v>20</v>
      </c>
      <c r="B153" s="5" t="s">
        <v>437</v>
      </c>
      <c r="C153" s="4" t="s">
        <v>29</v>
      </c>
      <c r="D153" s="4" t="s">
        <v>438</v>
      </c>
      <c r="E153" s="4" t="s">
        <v>439</v>
      </c>
      <c r="F153" s="6">
        <f>2</f>
        <v>2</v>
      </c>
      <c r="G153" s="4" t="s">
        <v>46</v>
      </c>
      <c r="H153" s="7">
        <v>6473.08</v>
      </c>
      <c r="I153" s="7">
        <v>6473.08</v>
      </c>
      <c r="J153" s="8" t="s">
        <v>122</v>
      </c>
      <c r="K153" s="9">
        <f>7706.2</f>
        <v>7706.2</v>
      </c>
      <c r="L153" s="9">
        <f>15412.4</f>
        <v>15412.4</v>
      </c>
      <c r="M153" s="4"/>
      <c r="N153" s="10">
        <v>1</v>
      </c>
      <c r="O153" s="4" t="s">
        <v>27</v>
      </c>
      <c r="P153" s="11">
        <v>2</v>
      </c>
      <c r="Q153" s="9">
        <f>15412.4</f>
        <v>15412.4</v>
      </c>
    </row>
    <row r="154" spans="1:17" ht="45" customHeight="1" x14ac:dyDescent="0.25">
      <c r="A154" s="4" t="s">
        <v>20</v>
      </c>
      <c r="B154" s="5" t="s">
        <v>440</v>
      </c>
      <c r="C154" s="4" t="s">
        <v>29</v>
      </c>
      <c r="D154" s="4" t="s">
        <v>441</v>
      </c>
      <c r="E154" s="4" t="s">
        <v>442</v>
      </c>
      <c r="F154" s="6">
        <f>3</f>
        <v>3</v>
      </c>
      <c r="G154" s="4" t="s">
        <v>46</v>
      </c>
      <c r="H154" s="7">
        <v>3.6</v>
      </c>
      <c r="I154" s="7">
        <v>3.6</v>
      </c>
      <c r="J154" s="8" t="s">
        <v>122</v>
      </c>
      <c r="K154" s="9">
        <f>4.29</f>
        <v>4.29</v>
      </c>
      <c r="L154" s="9">
        <f>12.87</f>
        <v>12.87</v>
      </c>
      <c r="M154" s="4"/>
      <c r="N154" s="10">
        <v>1</v>
      </c>
      <c r="O154" s="4" t="s">
        <v>27</v>
      </c>
      <c r="P154" s="11">
        <v>3</v>
      </c>
      <c r="Q154" s="9">
        <f>12.87</f>
        <v>12.87</v>
      </c>
    </row>
    <row r="155" spans="1:17" ht="45" customHeight="1" x14ac:dyDescent="0.25">
      <c r="A155" s="4" t="s">
        <v>20</v>
      </c>
      <c r="B155" s="5" t="s">
        <v>443</v>
      </c>
      <c r="C155" s="4" t="s">
        <v>63</v>
      </c>
      <c r="D155" s="4" t="s">
        <v>444</v>
      </c>
      <c r="E155" s="4" t="s">
        <v>445</v>
      </c>
      <c r="F155" s="6">
        <f>6</f>
        <v>6</v>
      </c>
      <c r="G155" s="4" t="s">
        <v>46</v>
      </c>
      <c r="H155" s="7">
        <v>8.9700000000000006</v>
      </c>
      <c r="I155" s="7">
        <v>8.9700000000000006</v>
      </c>
      <c r="J155" s="8" t="s">
        <v>122</v>
      </c>
      <c r="K155" s="9">
        <f>10.68</f>
        <v>10.68</v>
      </c>
      <c r="L155" s="9">
        <f>64.08</f>
        <v>64.08</v>
      </c>
      <c r="M155" s="4"/>
      <c r="N155" s="10">
        <v>1</v>
      </c>
      <c r="O155" s="4" t="s">
        <v>27</v>
      </c>
      <c r="P155" s="11">
        <v>6</v>
      </c>
      <c r="Q155" s="9">
        <f>64.08</f>
        <v>64.08</v>
      </c>
    </row>
    <row r="156" spans="1:17" ht="45" customHeight="1" x14ac:dyDescent="0.25">
      <c r="A156" s="4" t="s">
        <v>20</v>
      </c>
      <c r="B156" s="5" t="s">
        <v>446</v>
      </c>
      <c r="C156" s="4" t="s">
        <v>29</v>
      </c>
      <c r="D156" s="4" t="s">
        <v>151</v>
      </c>
      <c r="E156" s="4" t="s">
        <v>152</v>
      </c>
      <c r="F156" s="6">
        <f>572</f>
        <v>572</v>
      </c>
      <c r="G156" s="4" t="s">
        <v>46</v>
      </c>
      <c r="H156" s="7">
        <v>9.17</v>
      </c>
      <c r="I156" s="7">
        <v>9.17</v>
      </c>
      <c r="J156" s="8" t="s">
        <v>122</v>
      </c>
      <c r="K156" s="9">
        <f>10.92</f>
        <v>10.92</v>
      </c>
      <c r="L156" s="9">
        <f>6246.24</f>
        <v>6246.24</v>
      </c>
      <c r="M156" s="4"/>
      <c r="N156" s="10">
        <v>1</v>
      </c>
      <c r="O156" s="4" t="s">
        <v>27</v>
      </c>
      <c r="P156" s="11">
        <v>572</v>
      </c>
      <c r="Q156" s="9">
        <f>6246.24</f>
        <v>6246.24</v>
      </c>
    </row>
    <row r="157" spans="1:17" ht="45" customHeight="1" x14ac:dyDescent="0.25">
      <c r="A157" s="4" t="s">
        <v>20</v>
      </c>
      <c r="B157" s="5" t="s">
        <v>447</v>
      </c>
      <c r="C157" s="4" t="s">
        <v>29</v>
      </c>
      <c r="D157" s="4" t="s">
        <v>154</v>
      </c>
      <c r="E157" s="4" t="s">
        <v>155</v>
      </c>
      <c r="F157" s="6">
        <f>160</f>
        <v>160</v>
      </c>
      <c r="G157" s="4" t="s">
        <v>46</v>
      </c>
      <c r="H157" s="7">
        <v>3.77</v>
      </c>
      <c r="I157" s="7">
        <v>3.77</v>
      </c>
      <c r="J157" s="8" t="s">
        <v>122</v>
      </c>
      <c r="K157" s="9">
        <f>4.49</f>
        <v>4.49</v>
      </c>
      <c r="L157" s="9">
        <f>718.4</f>
        <v>718.4</v>
      </c>
      <c r="M157" s="4"/>
      <c r="N157" s="10">
        <v>1</v>
      </c>
      <c r="O157" s="4" t="s">
        <v>27</v>
      </c>
      <c r="P157" s="11">
        <v>160</v>
      </c>
      <c r="Q157" s="9">
        <f>718.4</f>
        <v>718.4</v>
      </c>
    </row>
    <row r="158" spans="1:17" ht="45" customHeight="1" x14ac:dyDescent="0.25">
      <c r="A158" s="4" t="s">
        <v>20</v>
      </c>
      <c r="B158" s="5" t="s">
        <v>448</v>
      </c>
      <c r="C158" s="4" t="s">
        <v>29</v>
      </c>
      <c r="D158" s="4" t="s">
        <v>449</v>
      </c>
      <c r="E158" s="4" t="s">
        <v>450</v>
      </c>
      <c r="F158" s="6">
        <f>2</f>
        <v>2</v>
      </c>
      <c r="G158" s="4" t="s">
        <v>46</v>
      </c>
      <c r="H158" s="7">
        <v>1233.1099999999999</v>
      </c>
      <c r="I158" s="7">
        <v>1233.1099999999999</v>
      </c>
      <c r="J158" s="8" t="s">
        <v>122</v>
      </c>
      <c r="K158" s="9">
        <f>1468.02</f>
        <v>1468.02</v>
      </c>
      <c r="L158" s="9">
        <f>2936.04</f>
        <v>2936.04</v>
      </c>
      <c r="M158" s="4"/>
      <c r="N158" s="10">
        <v>1</v>
      </c>
      <c r="O158" s="4" t="s">
        <v>27</v>
      </c>
      <c r="P158" s="11">
        <v>2</v>
      </c>
      <c r="Q158" s="9">
        <f>2936.04</f>
        <v>2936.04</v>
      </c>
    </row>
    <row r="159" spans="1:17" ht="45" customHeight="1" x14ac:dyDescent="0.25">
      <c r="A159" s="4" t="s">
        <v>20</v>
      </c>
      <c r="B159" s="5" t="s">
        <v>451</v>
      </c>
      <c r="C159" s="4" t="s">
        <v>29</v>
      </c>
      <c r="D159" s="4" t="s">
        <v>452</v>
      </c>
      <c r="E159" s="4" t="s">
        <v>453</v>
      </c>
      <c r="F159" s="6">
        <f>2</f>
        <v>2</v>
      </c>
      <c r="G159" s="4" t="s">
        <v>46</v>
      </c>
      <c r="H159" s="7">
        <v>591</v>
      </c>
      <c r="I159" s="7">
        <v>591</v>
      </c>
      <c r="J159" s="8" t="s">
        <v>122</v>
      </c>
      <c r="K159" s="9">
        <f>703.59</f>
        <v>703.59</v>
      </c>
      <c r="L159" s="9">
        <f>1407.18</f>
        <v>1407.18</v>
      </c>
      <c r="M159" s="4"/>
      <c r="N159" s="10">
        <v>1</v>
      </c>
      <c r="O159" s="4" t="s">
        <v>27</v>
      </c>
      <c r="P159" s="11">
        <v>2</v>
      </c>
      <c r="Q159" s="9">
        <f>1407.18</f>
        <v>1407.18</v>
      </c>
    </row>
    <row r="160" spans="1:17" ht="45" customHeight="1" x14ac:dyDescent="0.25">
      <c r="A160" s="4" t="s">
        <v>20</v>
      </c>
      <c r="B160" s="5" t="s">
        <v>454</v>
      </c>
      <c r="C160" s="4" t="s">
        <v>29</v>
      </c>
      <c r="D160" s="4" t="s">
        <v>160</v>
      </c>
      <c r="E160" s="4" t="s">
        <v>161</v>
      </c>
      <c r="F160" s="6">
        <f>7</f>
        <v>7</v>
      </c>
      <c r="G160" s="4" t="s">
        <v>46</v>
      </c>
      <c r="H160" s="7">
        <v>2994.39</v>
      </c>
      <c r="I160" s="7">
        <v>2994.39</v>
      </c>
      <c r="J160" s="8" t="s">
        <v>122</v>
      </c>
      <c r="K160" s="9">
        <f>3564.82</f>
        <v>3564.82</v>
      </c>
      <c r="L160" s="9">
        <f>24953.74</f>
        <v>24953.74</v>
      </c>
      <c r="M160" s="4"/>
      <c r="N160" s="10">
        <v>1</v>
      </c>
      <c r="O160" s="4" t="s">
        <v>27</v>
      </c>
      <c r="P160" s="11">
        <v>7</v>
      </c>
      <c r="Q160" s="9">
        <f>24953.74</f>
        <v>24953.74</v>
      </c>
    </row>
    <row r="161" spans="1:17" ht="45" customHeight="1" x14ac:dyDescent="0.25">
      <c r="A161" s="4" t="s">
        <v>20</v>
      </c>
      <c r="B161" s="5" t="s">
        <v>455</v>
      </c>
      <c r="C161" s="4" t="s">
        <v>29</v>
      </c>
      <c r="D161" s="4" t="s">
        <v>456</v>
      </c>
      <c r="E161" s="4" t="s">
        <v>457</v>
      </c>
      <c r="F161" s="6">
        <f>2</f>
        <v>2</v>
      </c>
      <c r="G161" s="4" t="s">
        <v>46</v>
      </c>
      <c r="H161" s="7">
        <v>6109.06</v>
      </c>
      <c r="I161" s="7">
        <v>6109.06</v>
      </c>
      <c r="J161" s="8" t="s">
        <v>122</v>
      </c>
      <c r="K161" s="9">
        <f>7272.84</f>
        <v>7272.84</v>
      </c>
      <c r="L161" s="9">
        <f>14545.68</f>
        <v>14545.68</v>
      </c>
      <c r="M161" s="4"/>
      <c r="N161" s="10">
        <v>1</v>
      </c>
      <c r="O161" s="4" t="s">
        <v>27</v>
      </c>
      <c r="P161" s="11">
        <v>2</v>
      </c>
      <c r="Q161" s="9">
        <f>14545.68</f>
        <v>14545.68</v>
      </c>
    </row>
    <row r="162" spans="1:17" ht="45" customHeight="1" x14ac:dyDescent="0.25">
      <c r="A162" s="4" t="s">
        <v>20</v>
      </c>
      <c r="B162" s="5" t="s">
        <v>458</v>
      </c>
      <c r="C162" s="4" t="s">
        <v>29</v>
      </c>
      <c r="D162" s="4" t="s">
        <v>163</v>
      </c>
      <c r="E162" s="4" t="s">
        <v>164</v>
      </c>
      <c r="F162" s="6">
        <f>1</f>
        <v>1</v>
      </c>
      <c r="G162" s="4" t="s">
        <v>46</v>
      </c>
      <c r="H162" s="7">
        <v>590.13</v>
      </c>
      <c r="I162" s="7">
        <v>590.13</v>
      </c>
      <c r="J162" s="8" t="s">
        <v>122</v>
      </c>
      <c r="K162" s="9">
        <f>702.55</f>
        <v>702.55</v>
      </c>
      <c r="L162" s="9">
        <f>702.55</f>
        <v>702.55</v>
      </c>
      <c r="M162" s="4"/>
      <c r="N162" s="10">
        <v>1</v>
      </c>
      <c r="O162" s="4" t="s">
        <v>27</v>
      </c>
      <c r="P162" s="11">
        <v>1</v>
      </c>
      <c r="Q162" s="9">
        <f>702.55</f>
        <v>702.55</v>
      </c>
    </row>
    <row r="163" spans="1:17" ht="45" customHeight="1" x14ac:dyDescent="0.25">
      <c r="A163" s="4" t="s">
        <v>20</v>
      </c>
      <c r="B163" s="5" t="s">
        <v>459</v>
      </c>
      <c r="C163" s="4" t="s">
        <v>29</v>
      </c>
      <c r="D163" s="4" t="s">
        <v>460</v>
      </c>
      <c r="E163" s="4" t="s">
        <v>461</v>
      </c>
      <c r="F163" s="6">
        <f>1</f>
        <v>1</v>
      </c>
      <c r="G163" s="4" t="s">
        <v>46</v>
      </c>
      <c r="H163" s="7">
        <v>988.46</v>
      </c>
      <c r="I163" s="7">
        <v>988.46</v>
      </c>
      <c r="J163" s="8" t="s">
        <v>122</v>
      </c>
      <c r="K163" s="9">
        <f>1176.76</f>
        <v>1176.76</v>
      </c>
      <c r="L163" s="9">
        <f>1176.76</f>
        <v>1176.76</v>
      </c>
      <c r="M163" s="4"/>
      <c r="N163" s="10">
        <v>1</v>
      </c>
      <c r="O163" s="4" t="s">
        <v>27</v>
      </c>
      <c r="P163" s="11">
        <v>1</v>
      </c>
      <c r="Q163" s="9">
        <f>1176.76</f>
        <v>1176.76</v>
      </c>
    </row>
    <row r="164" spans="1:17" ht="45" customHeight="1" x14ac:dyDescent="0.25">
      <c r="A164" s="4" t="s">
        <v>20</v>
      </c>
      <c r="B164" s="5" t="s">
        <v>462</v>
      </c>
      <c r="C164" s="4" t="s">
        <v>29</v>
      </c>
      <c r="D164" s="4" t="s">
        <v>172</v>
      </c>
      <c r="E164" s="4" t="s">
        <v>173</v>
      </c>
      <c r="F164" s="6">
        <f>1</f>
        <v>1</v>
      </c>
      <c r="G164" s="4" t="s">
        <v>46</v>
      </c>
      <c r="H164" s="7">
        <v>2610.42</v>
      </c>
      <c r="I164" s="7">
        <v>2610.42</v>
      </c>
      <c r="J164" s="8" t="s">
        <v>122</v>
      </c>
      <c r="K164" s="9">
        <f>3107.71</f>
        <v>3107.71</v>
      </c>
      <c r="L164" s="9">
        <f>3107.71</f>
        <v>3107.71</v>
      </c>
      <c r="M164" s="4"/>
      <c r="N164" s="10">
        <v>1</v>
      </c>
      <c r="O164" s="4" t="s">
        <v>27</v>
      </c>
      <c r="P164" s="11">
        <v>1</v>
      </c>
      <c r="Q164" s="9">
        <f>3107.71</f>
        <v>3107.71</v>
      </c>
    </row>
    <row r="165" spans="1:17" ht="45" customHeight="1" x14ac:dyDescent="0.25">
      <c r="A165" s="4" t="s">
        <v>20</v>
      </c>
      <c r="B165" s="5" t="s">
        <v>463</v>
      </c>
      <c r="C165" s="4" t="s">
        <v>29</v>
      </c>
      <c r="D165" s="4" t="s">
        <v>464</v>
      </c>
      <c r="E165" s="4" t="s">
        <v>465</v>
      </c>
      <c r="F165" s="6">
        <f>2</f>
        <v>2</v>
      </c>
      <c r="G165" s="4" t="s">
        <v>46</v>
      </c>
      <c r="H165" s="7">
        <v>2853.4</v>
      </c>
      <c r="I165" s="7">
        <v>2853.4</v>
      </c>
      <c r="J165" s="8" t="s">
        <v>122</v>
      </c>
      <c r="K165" s="9">
        <f>3396.97</f>
        <v>3396.97</v>
      </c>
      <c r="L165" s="9">
        <f>6793.94</f>
        <v>6793.94</v>
      </c>
      <c r="M165" s="4"/>
      <c r="N165" s="10">
        <v>1</v>
      </c>
      <c r="O165" s="4" t="s">
        <v>27</v>
      </c>
      <c r="P165" s="11">
        <v>2</v>
      </c>
      <c r="Q165" s="9">
        <f>6793.94</f>
        <v>6793.94</v>
      </c>
    </row>
    <row r="166" spans="1:17" ht="45" customHeight="1" x14ac:dyDescent="0.25">
      <c r="A166" s="4" t="s">
        <v>20</v>
      </c>
      <c r="B166" s="5" t="s">
        <v>466</v>
      </c>
      <c r="C166" s="4" t="s">
        <v>29</v>
      </c>
      <c r="D166" s="4" t="s">
        <v>175</v>
      </c>
      <c r="E166" s="4" t="s">
        <v>176</v>
      </c>
      <c r="F166" s="6">
        <f>3</f>
        <v>3</v>
      </c>
      <c r="G166" s="4" t="s">
        <v>46</v>
      </c>
      <c r="H166" s="7">
        <v>1175.56</v>
      </c>
      <c r="I166" s="7">
        <v>1175.56</v>
      </c>
      <c r="J166" s="8" t="s">
        <v>122</v>
      </c>
      <c r="K166" s="9">
        <f>1399.5</f>
        <v>1399.5</v>
      </c>
      <c r="L166" s="9">
        <f>4198.5</f>
        <v>4198.5</v>
      </c>
      <c r="M166" s="4"/>
      <c r="N166" s="10">
        <v>1</v>
      </c>
      <c r="O166" s="4" t="s">
        <v>27</v>
      </c>
      <c r="P166" s="11">
        <v>3</v>
      </c>
      <c r="Q166" s="9">
        <f>4198.5</f>
        <v>4198.5</v>
      </c>
    </row>
    <row r="167" spans="1:17" ht="45" customHeight="1" x14ac:dyDescent="0.25">
      <c r="A167" s="4" t="s">
        <v>20</v>
      </c>
      <c r="B167" s="5" t="s">
        <v>467</v>
      </c>
      <c r="C167" s="4" t="s">
        <v>29</v>
      </c>
      <c r="D167" s="4" t="s">
        <v>468</v>
      </c>
      <c r="E167" s="4" t="s">
        <v>469</v>
      </c>
      <c r="F167" s="6">
        <f>2</f>
        <v>2</v>
      </c>
      <c r="G167" s="4" t="s">
        <v>46</v>
      </c>
      <c r="H167" s="7">
        <v>1589.05</v>
      </c>
      <c r="I167" s="7">
        <v>1589.05</v>
      </c>
      <c r="J167" s="8" t="s">
        <v>122</v>
      </c>
      <c r="K167" s="9">
        <f>1891.76</f>
        <v>1891.76</v>
      </c>
      <c r="L167" s="9">
        <f>3783.52</f>
        <v>3783.52</v>
      </c>
      <c r="M167" s="4"/>
      <c r="N167" s="10">
        <v>1</v>
      </c>
      <c r="O167" s="4" t="s">
        <v>27</v>
      </c>
      <c r="P167" s="11">
        <v>2</v>
      </c>
      <c r="Q167" s="9">
        <f>3783.52</f>
        <v>3783.52</v>
      </c>
    </row>
    <row r="168" spans="1:17" ht="45" customHeight="1" x14ac:dyDescent="0.25">
      <c r="A168" s="4" t="s">
        <v>20</v>
      </c>
      <c r="B168" s="5" t="s">
        <v>470</v>
      </c>
      <c r="C168" s="4" t="s">
        <v>29</v>
      </c>
      <c r="D168" s="4" t="s">
        <v>471</v>
      </c>
      <c r="E168" s="4" t="s">
        <v>472</v>
      </c>
      <c r="F168" s="6">
        <f>10.2</f>
        <v>10.199999999999999</v>
      </c>
      <c r="G168" s="4" t="s">
        <v>96</v>
      </c>
      <c r="H168" s="7">
        <v>1340.06</v>
      </c>
      <c r="I168" s="7">
        <v>1340.06</v>
      </c>
      <c r="J168" s="8" t="s">
        <v>122</v>
      </c>
      <c r="K168" s="9">
        <f>1595.34</f>
        <v>1595.34</v>
      </c>
      <c r="L168" s="9">
        <f>16272.47</f>
        <v>16272.47</v>
      </c>
      <c r="M168" s="4"/>
      <c r="N168" s="10">
        <v>1</v>
      </c>
      <c r="O168" s="4" t="s">
        <v>27</v>
      </c>
      <c r="P168" s="11">
        <v>10.199999999999999</v>
      </c>
      <c r="Q168" s="9">
        <f>16272.47</f>
        <v>16272.47</v>
      </c>
    </row>
    <row r="169" spans="1:17" ht="45" customHeight="1" x14ac:dyDescent="0.25">
      <c r="A169" s="4" t="s">
        <v>20</v>
      </c>
      <c r="B169" s="5" t="s">
        <v>473</v>
      </c>
      <c r="C169" s="4" t="s">
        <v>29</v>
      </c>
      <c r="D169" s="4" t="s">
        <v>181</v>
      </c>
      <c r="E169" s="4" t="s">
        <v>182</v>
      </c>
      <c r="F169" s="6">
        <f>1</f>
        <v>1</v>
      </c>
      <c r="G169" s="4" t="s">
        <v>46</v>
      </c>
      <c r="H169" s="7">
        <v>3865.68</v>
      </c>
      <c r="I169" s="7">
        <v>3865.68</v>
      </c>
      <c r="J169" s="8" t="s">
        <v>122</v>
      </c>
      <c r="K169" s="9">
        <f>4602.09</f>
        <v>4602.09</v>
      </c>
      <c r="L169" s="9">
        <f>4602.09</f>
        <v>4602.09</v>
      </c>
      <c r="M169" s="4"/>
      <c r="N169" s="10">
        <v>1</v>
      </c>
      <c r="O169" s="4" t="s">
        <v>27</v>
      </c>
      <c r="P169" s="11">
        <v>1</v>
      </c>
      <c r="Q169" s="9">
        <f>4602.09</f>
        <v>4602.09</v>
      </c>
    </row>
    <row r="170" spans="1:17" ht="45" customHeight="1" x14ac:dyDescent="0.25">
      <c r="A170" s="4" t="s">
        <v>20</v>
      </c>
      <c r="B170" s="5" t="s">
        <v>474</v>
      </c>
      <c r="C170" s="4" t="s">
        <v>29</v>
      </c>
      <c r="D170" s="4" t="s">
        <v>187</v>
      </c>
      <c r="E170" s="4" t="s">
        <v>188</v>
      </c>
      <c r="F170" s="6">
        <f>1</f>
        <v>1</v>
      </c>
      <c r="G170" s="4" t="s">
        <v>46</v>
      </c>
      <c r="H170" s="7">
        <v>4878.2</v>
      </c>
      <c r="I170" s="7">
        <v>4878.2</v>
      </c>
      <c r="J170" s="8" t="s">
        <v>122</v>
      </c>
      <c r="K170" s="9">
        <f>5807.5</f>
        <v>5807.5</v>
      </c>
      <c r="L170" s="9">
        <f>5807.5</f>
        <v>5807.5</v>
      </c>
      <c r="M170" s="4"/>
      <c r="N170" s="10">
        <v>1</v>
      </c>
      <c r="O170" s="4" t="s">
        <v>27</v>
      </c>
      <c r="P170" s="11">
        <v>1</v>
      </c>
      <c r="Q170" s="9">
        <f>5807.5</f>
        <v>5807.5</v>
      </c>
    </row>
    <row r="171" spans="1:17" ht="45" customHeight="1" x14ac:dyDescent="0.25">
      <c r="A171" s="4" t="s">
        <v>20</v>
      </c>
      <c r="B171" s="5" t="s">
        <v>475</v>
      </c>
      <c r="C171" s="4" t="s">
        <v>29</v>
      </c>
      <c r="D171" s="4" t="s">
        <v>476</v>
      </c>
      <c r="E171" s="4" t="s">
        <v>477</v>
      </c>
      <c r="F171" s="6">
        <f>2</f>
        <v>2</v>
      </c>
      <c r="G171" s="4" t="s">
        <v>46</v>
      </c>
      <c r="H171" s="7">
        <v>5346.3</v>
      </c>
      <c r="I171" s="7">
        <v>5346.3</v>
      </c>
      <c r="J171" s="8" t="s">
        <v>122</v>
      </c>
      <c r="K171" s="9">
        <f>6364.77</f>
        <v>6364.77</v>
      </c>
      <c r="L171" s="9">
        <f>12729.54</f>
        <v>12729.54</v>
      </c>
      <c r="M171" s="4"/>
      <c r="N171" s="10">
        <v>1</v>
      </c>
      <c r="O171" s="4" t="s">
        <v>27</v>
      </c>
      <c r="P171" s="11">
        <v>2</v>
      </c>
      <c r="Q171" s="9">
        <f>12729.54</f>
        <v>12729.54</v>
      </c>
    </row>
    <row r="172" spans="1:17" ht="45" customHeight="1" x14ac:dyDescent="0.25">
      <c r="A172" s="4" t="s">
        <v>20</v>
      </c>
      <c r="B172" s="5" t="s">
        <v>478</v>
      </c>
      <c r="C172" s="4" t="s">
        <v>29</v>
      </c>
      <c r="D172" s="4" t="s">
        <v>479</v>
      </c>
      <c r="E172" s="4" t="s">
        <v>480</v>
      </c>
      <c r="F172" s="6">
        <f>2</f>
        <v>2</v>
      </c>
      <c r="G172" s="4" t="s">
        <v>46</v>
      </c>
      <c r="H172" s="7">
        <v>4646.16</v>
      </c>
      <c r="I172" s="7">
        <v>4646.16</v>
      </c>
      <c r="J172" s="8" t="s">
        <v>122</v>
      </c>
      <c r="K172" s="9">
        <f>5531.25</f>
        <v>5531.25</v>
      </c>
      <c r="L172" s="9">
        <f>11062.5</f>
        <v>11062.5</v>
      </c>
      <c r="M172" s="4"/>
      <c r="N172" s="10">
        <v>1</v>
      </c>
      <c r="O172" s="4" t="s">
        <v>27</v>
      </c>
      <c r="P172" s="11">
        <v>2</v>
      </c>
      <c r="Q172" s="9">
        <f>11062.5</f>
        <v>11062.5</v>
      </c>
    </row>
    <row r="173" spans="1:17" ht="45" customHeight="1" x14ac:dyDescent="0.25">
      <c r="A173" s="4" t="s">
        <v>20</v>
      </c>
      <c r="B173" s="5" t="s">
        <v>481</v>
      </c>
      <c r="C173" s="4" t="s">
        <v>29</v>
      </c>
      <c r="D173" s="4" t="s">
        <v>476</v>
      </c>
      <c r="E173" s="4" t="s">
        <v>477</v>
      </c>
      <c r="F173" s="6">
        <f>2</f>
        <v>2</v>
      </c>
      <c r="G173" s="4" t="s">
        <v>46</v>
      </c>
      <c r="H173" s="7">
        <v>5346.3</v>
      </c>
      <c r="I173" s="7">
        <v>5346.3</v>
      </c>
      <c r="J173" s="8" t="s">
        <v>122</v>
      </c>
      <c r="K173" s="9">
        <f>6364.77</f>
        <v>6364.77</v>
      </c>
      <c r="L173" s="9">
        <f>12729.54</f>
        <v>12729.54</v>
      </c>
      <c r="M173" s="4"/>
      <c r="N173" s="10">
        <v>1</v>
      </c>
      <c r="O173" s="4" t="s">
        <v>27</v>
      </c>
      <c r="P173" s="11">
        <v>2</v>
      </c>
      <c r="Q173" s="9">
        <f>12729.54</f>
        <v>12729.54</v>
      </c>
    </row>
    <row r="174" spans="1:17" ht="45" customHeight="1" x14ac:dyDescent="0.25">
      <c r="A174" s="4" t="s">
        <v>20</v>
      </c>
      <c r="B174" s="5" t="s">
        <v>482</v>
      </c>
      <c r="C174" s="4" t="s">
        <v>29</v>
      </c>
      <c r="D174" s="4" t="s">
        <v>483</v>
      </c>
      <c r="E174" s="4" t="s">
        <v>484</v>
      </c>
      <c r="F174" s="6">
        <f>1</f>
        <v>1</v>
      </c>
      <c r="G174" s="4" t="s">
        <v>46</v>
      </c>
      <c r="H174" s="7">
        <v>3505.99</v>
      </c>
      <c r="I174" s="7">
        <v>3505.99</v>
      </c>
      <c r="J174" s="8" t="s">
        <v>122</v>
      </c>
      <c r="K174" s="9">
        <f>4173.88</f>
        <v>4173.88</v>
      </c>
      <c r="L174" s="9">
        <f>4173.88</f>
        <v>4173.88</v>
      </c>
      <c r="M174" s="4"/>
      <c r="N174" s="10">
        <v>1</v>
      </c>
      <c r="O174" s="4" t="s">
        <v>27</v>
      </c>
      <c r="P174" s="11">
        <v>1</v>
      </c>
      <c r="Q174" s="9">
        <f>4173.88</f>
        <v>4173.88</v>
      </c>
    </row>
    <row r="175" spans="1:17" ht="45" customHeight="1" x14ac:dyDescent="0.25">
      <c r="A175" s="4" t="s">
        <v>20</v>
      </c>
      <c r="B175" s="5" t="s">
        <v>485</v>
      </c>
      <c r="C175" s="4" t="s">
        <v>29</v>
      </c>
      <c r="D175" s="4" t="s">
        <v>486</v>
      </c>
      <c r="E175" s="4" t="s">
        <v>487</v>
      </c>
      <c r="F175" s="6">
        <f>1</f>
        <v>1</v>
      </c>
      <c r="G175" s="4" t="s">
        <v>46</v>
      </c>
      <c r="H175" s="7">
        <v>3999.34</v>
      </c>
      <c r="I175" s="7">
        <v>3999.34</v>
      </c>
      <c r="J175" s="8" t="s">
        <v>122</v>
      </c>
      <c r="K175" s="9">
        <f>4761.21</f>
        <v>4761.21</v>
      </c>
      <c r="L175" s="9">
        <f>4761.21</f>
        <v>4761.21</v>
      </c>
      <c r="M175" s="4"/>
      <c r="N175" s="10">
        <v>1</v>
      </c>
      <c r="O175" s="4" t="s">
        <v>27</v>
      </c>
      <c r="P175" s="11">
        <v>1</v>
      </c>
      <c r="Q175" s="9">
        <f>4761.21</f>
        <v>4761.21</v>
      </c>
    </row>
    <row r="176" spans="1:17" ht="45" customHeight="1" x14ac:dyDescent="0.25">
      <c r="A176" s="4" t="s">
        <v>20</v>
      </c>
      <c r="B176" s="5" t="s">
        <v>488</v>
      </c>
      <c r="C176" s="4" t="s">
        <v>29</v>
      </c>
      <c r="D176" s="4" t="s">
        <v>489</v>
      </c>
      <c r="E176" s="4" t="s">
        <v>490</v>
      </c>
      <c r="F176" s="6">
        <f>2</f>
        <v>2</v>
      </c>
      <c r="G176" s="4" t="s">
        <v>46</v>
      </c>
      <c r="H176" s="7">
        <v>3831.59</v>
      </c>
      <c r="I176" s="7">
        <v>3831.59</v>
      </c>
      <c r="J176" s="8" t="s">
        <v>122</v>
      </c>
      <c r="K176" s="9">
        <f>4561.51</f>
        <v>4561.51</v>
      </c>
      <c r="L176" s="9">
        <f>9123.02</f>
        <v>9123.02</v>
      </c>
      <c r="M176" s="4"/>
      <c r="N176" s="10">
        <v>1</v>
      </c>
      <c r="O176" s="4" t="s">
        <v>27</v>
      </c>
      <c r="P176" s="11">
        <v>2</v>
      </c>
      <c r="Q176" s="9">
        <f>9123.02</f>
        <v>9123.02</v>
      </c>
    </row>
    <row r="177" spans="1:17" ht="45" customHeight="1" x14ac:dyDescent="0.25">
      <c r="A177" s="4" t="s">
        <v>20</v>
      </c>
      <c r="B177" s="5" t="s">
        <v>491</v>
      </c>
      <c r="C177" s="4" t="s">
        <v>29</v>
      </c>
      <c r="D177" s="4" t="s">
        <v>492</v>
      </c>
      <c r="E177" s="4" t="s">
        <v>493</v>
      </c>
      <c r="F177" s="6">
        <f>0.8</f>
        <v>0.8</v>
      </c>
      <c r="G177" s="4" t="s">
        <v>96</v>
      </c>
      <c r="H177" s="7">
        <v>1109.99</v>
      </c>
      <c r="I177" s="7">
        <v>1109.99</v>
      </c>
      <c r="J177" s="8" t="s">
        <v>122</v>
      </c>
      <c r="K177" s="9">
        <f>1321.44</f>
        <v>1321.44</v>
      </c>
      <c r="L177" s="9">
        <f>1057.15</f>
        <v>1057.1500000000001</v>
      </c>
      <c r="M177" s="4"/>
      <c r="N177" s="10">
        <v>1</v>
      </c>
      <c r="O177" s="4" t="s">
        <v>27</v>
      </c>
      <c r="P177" s="11">
        <v>0.8</v>
      </c>
      <c r="Q177" s="9">
        <f>1057.15</f>
        <v>1057.1500000000001</v>
      </c>
    </row>
    <row r="178" spans="1:17" ht="45" customHeight="1" x14ac:dyDescent="0.25">
      <c r="A178" s="4" t="s">
        <v>20</v>
      </c>
      <c r="B178" s="5" t="s">
        <v>494</v>
      </c>
      <c r="C178" s="4" t="s">
        <v>29</v>
      </c>
      <c r="D178" s="4" t="s">
        <v>492</v>
      </c>
      <c r="E178" s="4" t="s">
        <v>493</v>
      </c>
      <c r="F178" s="6">
        <f>1.3</f>
        <v>1.3</v>
      </c>
      <c r="G178" s="4" t="s">
        <v>96</v>
      </c>
      <c r="H178" s="7">
        <v>1109.99</v>
      </c>
      <c r="I178" s="7">
        <v>1109.99</v>
      </c>
      <c r="J178" s="8" t="s">
        <v>122</v>
      </c>
      <c r="K178" s="9">
        <f>1321.44</f>
        <v>1321.44</v>
      </c>
      <c r="L178" s="9">
        <f>1717.87</f>
        <v>1717.87</v>
      </c>
      <c r="M178" s="4"/>
      <c r="N178" s="10">
        <v>1</v>
      </c>
      <c r="O178" s="4" t="s">
        <v>27</v>
      </c>
      <c r="P178" s="11">
        <v>1.3</v>
      </c>
      <c r="Q178" s="9">
        <f>1717.87</f>
        <v>1717.87</v>
      </c>
    </row>
    <row r="179" spans="1:17" ht="45" customHeight="1" x14ac:dyDescent="0.25">
      <c r="A179" s="4" t="s">
        <v>20</v>
      </c>
      <c r="B179" s="5" t="s">
        <v>495</v>
      </c>
      <c r="C179" s="4" t="s">
        <v>63</v>
      </c>
      <c r="D179" s="4" t="s">
        <v>496</v>
      </c>
      <c r="E179" s="4" t="s">
        <v>497</v>
      </c>
      <c r="F179" s="6">
        <f>6.65</f>
        <v>6.65</v>
      </c>
      <c r="G179" s="4" t="s">
        <v>96</v>
      </c>
      <c r="H179" s="7">
        <v>15.91</v>
      </c>
      <c r="I179" s="7">
        <v>15.91</v>
      </c>
      <c r="J179" s="8" t="s">
        <v>122</v>
      </c>
      <c r="K179" s="9">
        <f>18.94</f>
        <v>18.940000000000001</v>
      </c>
      <c r="L179" s="9">
        <f>125.95</f>
        <v>125.95</v>
      </c>
      <c r="M179" s="4"/>
      <c r="N179" s="10">
        <v>1</v>
      </c>
      <c r="O179" s="4" t="s">
        <v>27</v>
      </c>
      <c r="P179" s="11">
        <v>6.65</v>
      </c>
      <c r="Q179" s="9">
        <f>125.95</f>
        <v>125.95</v>
      </c>
    </row>
    <row r="180" spans="1:17" ht="45" customHeight="1" x14ac:dyDescent="0.25">
      <c r="A180" s="4" t="s">
        <v>20</v>
      </c>
      <c r="B180" s="5" t="s">
        <v>498</v>
      </c>
      <c r="C180" s="4" t="s">
        <v>29</v>
      </c>
      <c r="D180" s="4" t="s">
        <v>499</v>
      </c>
      <c r="E180" s="4" t="s">
        <v>500</v>
      </c>
      <c r="F180" s="6">
        <f>2</f>
        <v>2</v>
      </c>
      <c r="G180" s="4" t="s">
        <v>46</v>
      </c>
      <c r="H180" s="7">
        <v>3457.49</v>
      </c>
      <c r="I180" s="7">
        <v>3457.49</v>
      </c>
      <c r="J180" s="8" t="s">
        <v>122</v>
      </c>
      <c r="K180" s="9">
        <f>4116.14</f>
        <v>4116.1400000000003</v>
      </c>
      <c r="L180" s="9">
        <f>8232.28</f>
        <v>8232.2800000000007</v>
      </c>
      <c r="M180" s="4"/>
      <c r="N180" s="10">
        <v>1</v>
      </c>
      <c r="O180" s="4" t="s">
        <v>27</v>
      </c>
      <c r="P180" s="11">
        <v>2</v>
      </c>
      <c r="Q180" s="9">
        <f>8232.28</f>
        <v>8232.2800000000007</v>
      </c>
    </row>
    <row r="181" spans="1:17" ht="45" customHeight="1" x14ac:dyDescent="0.25">
      <c r="A181" s="4" t="s">
        <v>20</v>
      </c>
      <c r="B181" s="5" t="s">
        <v>501</v>
      </c>
      <c r="C181" s="4" t="s">
        <v>29</v>
      </c>
      <c r="D181" s="4" t="s">
        <v>190</v>
      </c>
      <c r="E181" s="4" t="s">
        <v>191</v>
      </c>
      <c r="F181" s="6">
        <f>2</f>
        <v>2</v>
      </c>
      <c r="G181" s="4" t="s">
        <v>46</v>
      </c>
      <c r="H181" s="7">
        <v>1141.55</v>
      </c>
      <c r="I181" s="7">
        <v>1141.55</v>
      </c>
      <c r="J181" s="8" t="s">
        <v>122</v>
      </c>
      <c r="K181" s="9">
        <f>1359.02</f>
        <v>1359.02</v>
      </c>
      <c r="L181" s="9">
        <f>2718.04</f>
        <v>2718.04</v>
      </c>
      <c r="M181" s="4"/>
      <c r="N181" s="10">
        <v>1</v>
      </c>
      <c r="O181" s="4" t="s">
        <v>27</v>
      </c>
      <c r="P181" s="11">
        <v>2</v>
      </c>
      <c r="Q181" s="9">
        <f>2718.04</f>
        <v>2718.04</v>
      </c>
    </row>
    <row r="182" spans="1:17" ht="45" customHeight="1" x14ac:dyDescent="0.25">
      <c r="A182" s="4" t="s">
        <v>20</v>
      </c>
      <c r="B182" s="5" t="s">
        <v>502</v>
      </c>
      <c r="C182" s="4" t="s">
        <v>29</v>
      </c>
      <c r="D182" s="4" t="s">
        <v>193</v>
      </c>
      <c r="E182" s="4" t="s">
        <v>194</v>
      </c>
      <c r="F182" s="6">
        <f>1</f>
        <v>1</v>
      </c>
      <c r="G182" s="4" t="s">
        <v>46</v>
      </c>
      <c r="H182" s="7">
        <v>1440.11</v>
      </c>
      <c r="I182" s="7">
        <v>1440.11</v>
      </c>
      <c r="J182" s="8" t="s">
        <v>122</v>
      </c>
      <c r="K182" s="9">
        <f>1714.45</f>
        <v>1714.45</v>
      </c>
      <c r="L182" s="9">
        <f>1714.45</f>
        <v>1714.45</v>
      </c>
      <c r="M182" s="4"/>
      <c r="N182" s="10">
        <v>1</v>
      </c>
      <c r="O182" s="4" t="s">
        <v>27</v>
      </c>
      <c r="P182" s="11">
        <v>1</v>
      </c>
      <c r="Q182" s="9">
        <f>1714.45</f>
        <v>1714.45</v>
      </c>
    </row>
    <row r="183" spans="1:17" ht="45" customHeight="1" x14ac:dyDescent="0.25">
      <c r="A183" s="4" t="s">
        <v>20</v>
      </c>
      <c r="B183" s="5" t="s">
        <v>503</v>
      </c>
      <c r="C183" s="4" t="s">
        <v>29</v>
      </c>
      <c r="D183" s="4" t="s">
        <v>504</v>
      </c>
      <c r="E183" s="4" t="s">
        <v>505</v>
      </c>
      <c r="F183" s="6">
        <f>3</f>
        <v>3</v>
      </c>
      <c r="G183" s="4" t="s">
        <v>46</v>
      </c>
      <c r="H183" s="7">
        <v>133.63</v>
      </c>
      <c r="I183" s="7">
        <v>133.63</v>
      </c>
      <c r="J183" s="8" t="s">
        <v>122</v>
      </c>
      <c r="K183" s="9">
        <f>159.09</f>
        <v>159.09</v>
      </c>
      <c r="L183" s="9">
        <f>477.27</f>
        <v>477.27</v>
      </c>
      <c r="M183" s="4"/>
      <c r="N183" s="10">
        <v>1</v>
      </c>
      <c r="O183" s="4" t="s">
        <v>27</v>
      </c>
      <c r="P183" s="11">
        <v>3</v>
      </c>
      <c r="Q183" s="9">
        <f>477.27</f>
        <v>477.27</v>
      </c>
    </row>
    <row r="184" spans="1:17" ht="45" customHeight="1" x14ac:dyDescent="0.25">
      <c r="A184" s="4" t="s">
        <v>20</v>
      </c>
      <c r="B184" s="5" t="s">
        <v>506</v>
      </c>
      <c r="C184" s="4" t="s">
        <v>29</v>
      </c>
      <c r="D184" s="4" t="s">
        <v>507</v>
      </c>
      <c r="E184" s="4" t="s">
        <v>508</v>
      </c>
      <c r="F184" s="6">
        <f>3</f>
        <v>3</v>
      </c>
      <c r="G184" s="4" t="s">
        <v>46</v>
      </c>
      <c r="H184" s="7">
        <v>66.61</v>
      </c>
      <c r="I184" s="7">
        <v>66.61</v>
      </c>
      <c r="J184" s="8" t="s">
        <v>122</v>
      </c>
      <c r="K184" s="9">
        <f>79.3</f>
        <v>79.3</v>
      </c>
      <c r="L184" s="9">
        <f>237.9</f>
        <v>237.9</v>
      </c>
      <c r="M184" s="4"/>
      <c r="N184" s="10">
        <v>1</v>
      </c>
      <c r="O184" s="4" t="s">
        <v>27</v>
      </c>
      <c r="P184" s="11">
        <v>3</v>
      </c>
      <c r="Q184" s="9">
        <f>237.9</f>
        <v>237.9</v>
      </c>
    </row>
    <row r="185" spans="1:17" ht="45" customHeight="1" x14ac:dyDescent="0.25">
      <c r="A185" s="4" t="s">
        <v>20</v>
      </c>
      <c r="B185" s="5" t="s">
        <v>509</v>
      </c>
      <c r="C185" s="4" t="s">
        <v>63</v>
      </c>
      <c r="D185" s="4" t="s">
        <v>510</v>
      </c>
      <c r="E185" s="4" t="s">
        <v>511</v>
      </c>
      <c r="F185" s="6">
        <f>3</f>
        <v>3</v>
      </c>
      <c r="G185" s="4" t="s">
        <v>46</v>
      </c>
      <c r="H185" s="7">
        <v>90.49</v>
      </c>
      <c r="I185" s="7">
        <v>90.49</v>
      </c>
      <c r="J185" s="8" t="s">
        <v>122</v>
      </c>
      <c r="K185" s="9">
        <f>107.73</f>
        <v>107.73</v>
      </c>
      <c r="L185" s="9">
        <f>323.19</f>
        <v>323.19</v>
      </c>
      <c r="M185" s="4"/>
      <c r="N185" s="10">
        <v>1</v>
      </c>
      <c r="O185" s="4" t="s">
        <v>27</v>
      </c>
      <c r="P185" s="11">
        <v>3</v>
      </c>
      <c r="Q185" s="9">
        <f>323.19</f>
        <v>323.19</v>
      </c>
    </row>
    <row r="186" spans="1:17" ht="45" customHeight="1" x14ac:dyDescent="0.25">
      <c r="A186" s="4" t="s">
        <v>20</v>
      </c>
      <c r="B186" s="5" t="s">
        <v>512</v>
      </c>
      <c r="C186" s="4" t="s">
        <v>196</v>
      </c>
      <c r="D186" s="4" t="s">
        <v>207</v>
      </c>
      <c r="E186" s="4" t="s">
        <v>513</v>
      </c>
      <c r="F186" s="6">
        <f>2</f>
        <v>2</v>
      </c>
      <c r="G186" s="4" t="s">
        <v>92</v>
      </c>
      <c r="H186" s="7">
        <v>133675</v>
      </c>
      <c r="I186" s="7">
        <v>133675</v>
      </c>
      <c r="J186" s="8" t="s">
        <v>122</v>
      </c>
      <c r="K186" s="9">
        <f>159140.09</f>
        <v>159140.09</v>
      </c>
      <c r="L186" s="9">
        <f>318280.18</f>
        <v>318280.18</v>
      </c>
      <c r="M186" s="4"/>
      <c r="N186" s="10">
        <v>1</v>
      </c>
      <c r="O186" s="4" t="s">
        <v>27</v>
      </c>
      <c r="P186" s="11">
        <v>2</v>
      </c>
      <c r="Q186" s="9">
        <f>318280.18</f>
        <v>318280.18</v>
      </c>
    </row>
    <row r="187" spans="1:17" ht="45" customHeight="1" x14ac:dyDescent="0.25">
      <c r="A187" s="4" t="s">
        <v>17</v>
      </c>
      <c r="B187" s="5" t="s">
        <v>202</v>
      </c>
      <c r="C187" s="4"/>
      <c r="D187" s="4"/>
      <c r="E187" s="4" t="s">
        <v>514</v>
      </c>
      <c r="F187" s="6"/>
      <c r="G187" s="4"/>
      <c r="H187" s="7"/>
      <c r="I187" s="7"/>
      <c r="J187" s="8"/>
      <c r="K187" s="9"/>
      <c r="L187" s="9">
        <f>80765.38</f>
        <v>80765.38</v>
      </c>
      <c r="M187" s="4"/>
      <c r="N187" s="10"/>
      <c r="O187" s="4"/>
      <c r="P187" s="11"/>
      <c r="Q187" s="9"/>
    </row>
    <row r="188" spans="1:17" ht="45" customHeight="1" x14ac:dyDescent="0.25">
      <c r="A188" s="4" t="s">
        <v>20</v>
      </c>
      <c r="B188" s="5" t="s">
        <v>515</v>
      </c>
      <c r="C188" s="4" t="s">
        <v>29</v>
      </c>
      <c r="D188" s="4" t="s">
        <v>60</v>
      </c>
      <c r="E188" s="4" t="s">
        <v>61</v>
      </c>
      <c r="F188" s="6">
        <f>25.5</f>
        <v>25.5</v>
      </c>
      <c r="G188" s="4" t="s">
        <v>25</v>
      </c>
      <c r="H188" s="7">
        <v>5.8</v>
      </c>
      <c r="I188" s="7">
        <v>5.8</v>
      </c>
      <c r="J188" s="8" t="s">
        <v>26</v>
      </c>
      <c r="K188" s="9">
        <f>7.29</f>
        <v>7.29</v>
      </c>
      <c r="L188" s="9">
        <f>185.9</f>
        <v>185.9</v>
      </c>
      <c r="M188" s="4"/>
      <c r="N188" s="10">
        <v>1</v>
      </c>
      <c r="O188" s="4" t="s">
        <v>27</v>
      </c>
      <c r="P188" s="11">
        <v>25.5</v>
      </c>
      <c r="Q188" s="9">
        <f>185.9</f>
        <v>185.9</v>
      </c>
    </row>
    <row r="189" spans="1:17" ht="45" customHeight="1" x14ac:dyDescent="0.25">
      <c r="A189" s="4" t="s">
        <v>20</v>
      </c>
      <c r="B189" s="5" t="s">
        <v>516</v>
      </c>
      <c r="C189" s="4" t="s">
        <v>63</v>
      </c>
      <c r="D189" s="4" t="s">
        <v>517</v>
      </c>
      <c r="E189" s="4" t="s">
        <v>518</v>
      </c>
      <c r="F189" s="6">
        <f>59</f>
        <v>59</v>
      </c>
      <c r="G189" s="4" t="s">
        <v>25</v>
      </c>
      <c r="H189" s="7">
        <v>145.77000000000001</v>
      </c>
      <c r="I189" s="7">
        <v>145.77000000000001</v>
      </c>
      <c r="J189" s="8" t="s">
        <v>26</v>
      </c>
      <c r="K189" s="9">
        <f>183.23</f>
        <v>183.23</v>
      </c>
      <c r="L189" s="9">
        <f>10810.57</f>
        <v>10810.57</v>
      </c>
      <c r="M189" s="4"/>
      <c r="N189" s="10">
        <v>1</v>
      </c>
      <c r="O189" s="4" t="s">
        <v>27</v>
      </c>
      <c r="P189" s="11">
        <v>59</v>
      </c>
      <c r="Q189" s="9">
        <f>10810.57</f>
        <v>10810.57</v>
      </c>
    </row>
    <row r="190" spans="1:17" ht="45" customHeight="1" x14ac:dyDescent="0.25">
      <c r="A190" s="4" t="s">
        <v>20</v>
      </c>
      <c r="B190" s="5" t="s">
        <v>519</v>
      </c>
      <c r="C190" s="4" t="s">
        <v>63</v>
      </c>
      <c r="D190" s="4" t="s">
        <v>520</v>
      </c>
      <c r="E190" s="4" t="s">
        <v>521</v>
      </c>
      <c r="F190" s="6">
        <f>22</f>
        <v>22</v>
      </c>
      <c r="G190" s="4" t="s">
        <v>25</v>
      </c>
      <c r="H190" s="7">
        <v>93.84</v>
      </c>
      <c r="I190" s="7">
        <v>93.84</v>
      </c>
      <c r="J190" s="8" t="s">
        <v>26</v>
      </c>
      <c r="K190" s="9">
        <f>117.96</f>
        <v>117.96</v>
      </c>
      <c r="L190" s="9">
        <f>2595.12</f>
        <v>2595.12</v>
      </c>
      <c r="M190" s="4"/>
      <c r="N190" s="10">
        <v>1</v>
      </c>
      <c r="O190" s="4" t="s">
        <v>27</v>
      </c>
      <c r="P190" s="11">
        <v>22</v>
      </c>
      <c r="Q190" s="9">
        <f>2595.12</f>
        <v>2595.12</v>
      </c>
    </row>
    <row r="191" spans="1:17" ht="45" customHeight="1" x14ac:dyDescent="0.25">
      <c r="A191" s="4" t="s">
        <v>20</v>
      </c>
      <c r="B191" s="5" t="s">
        <v>522</v>
      </c>
      <c r="C191" s="4" t="s">
        <v>63</v>
      </c>
      <c r="D191" s="4" t="s">
        <v>319</v>
      </c>
      <c r="E191" s="4" t="s">
        <v>320</v>
      </c>
      <c r="F191" s="6">
        <f>179</f>
        <v>179</v>
      </c>
      <c r="G191" s="4" t="s">
        <v>25</v>
      </c>
      <c r="H191" s="7">
        <v>5.09</v>
      </c>
      <c r="I191" s="7">
        <v>5.09</v>
      </c>
      <c r="J191" s="8" t="s">
        <v>26</v>
      </c>
      <c r="K191" s="9">
        <f>6.4</f>
        <v>6.4</v>
      </c>
      <c r="L191" s="9">
        <f>1145.6</f>
        <v>1145.5999999999999</v>
      </c>
      <c r="M191" s="4"/>
      <c r="N191" s="10">
        <v>1</v>
      </c>
      <c r="O191" s="4" t="s">
        <v>27</v>
      </c>
      <c r="P191" s="11">
        <v>179</v>
      </c>
      <c r="Q191" s="9">
        <f>1145.6</f>
        <v>1145.5999999999999</v>
      </c>
    </row>
    <row r="192" spans="1:17" ht="45" customHeight="1" x14ac:dyDescent="0.25">
      <c r="A192" s="4" t="s">
        <v>20</v>
      </c>
      <c r="B192" s="5" t="s">
        <v>523</v>
      </c>
      <c r="C192" s="4" t="s">
        <v>63</v>
      </c>
      <c r="D192" s="4" t="s">
        <v>328</v>
      </c>
      <c r="E192" s="4" t="s">
        <v>329</v>
      </c>
      <c r="F192" s="6">
        <f>179</f>
        <v>179</v>
      </c>
      <c r="G192" s="4" t="s">
        <v>25</v>
      </c>
      <c r="H192" s="7">
        <v>11.95</v>
      </c>
      <c r="I192" s="7">
        <v>11.95</v>
      </c>
      <c r="J192" s="8" t="s">
        <v>26</v>
      </c>
      <c r="K192" s="9">
        <f>15.02</f>
        <v>15.02</v>
      </c>
      <c r="L192" s="9">
        <f>2688.58</f>
        <v>2688.58</v>
      </c>
      <c r="M192" s="4"/>
      <c r="N192" s="10">
        <v>1</v>
      </c>
      <c r="O192" s="4" t="s">
        <v>27</v>
      </c>
      <c r="P192" s="11">
        <v>179</v>
      </c>
      <c r="Q192" s="9">
        <f>2688.58</f>
        <v>2688.58</v>
      </c>
    </row>
    <row r="193" spans="1:17" ht="45" customHeight="1" x14ac:dyDescent="0.25">
      <c r="A193" s="4" t="s">
        <v>20</v>
      </c>
      <c r="B193" s="5" t="s">
        <v>524</v>
      </c>
      <c r="C193" s="4" t="s">
        <v>63</v>
      </c>
      <c r="D193" s="4" t="s">
        <v>322</v>
      </c>
      <c r="E193" s="4" t="s">
        <v>323</v>
      </c>
      <c r="F193" s="6">
        <f>179</f>
        <v>179</v>
      </c>
      <c r="G193" s="4" t="s">
        <v>25</v>
      </c>
      <c r="H193" s="7">
        <v>9.6300000000000008</v>
      </c>
      <c r="I193" s="7">
        <v>9.6300000000000008</v>
      </c>
      <c r="J193" s="8" t="s">
        <v>26</v>
      </c>
      <c r="K193" s="9">
        <f>12.1</f>
        <v>12.1</v>
      </c>
      <c r="L193" s="9">
        <f>2165.9</f>
        <v>2165.9</v>
      </c>
      <c r="M193" s="4"/>
      <c r="N193" s="10">
        <v>1</v>
      </c>
      <c r="O193" s="4" t="s">
        <v>27</v>
      </c>
      <c r="P193" s="11">
        <v>179</v>
      </c>
      <c r="Q193" s="9">
        <f>2165.9</f>
        <v>2165.9</v>
      </c>
    </row>
    <row r="194" spans="1:17" ht="45" customHeight="1" x14ac:dyDescent="0.25">
      <c r="A194" s="4" t="s">
        <v>20</v>
      </c>
      <c r="B194" s="5" t="s">
        <v>525</v>
      </c>
      <c r="C194" s="4" t="s">
        <v>63</v>
      </c>
      <c r="D194" s="4" t="s">
        <v>340</v>
      </c>
      <c r="E194" s="4" t="s">
        <v>341</v>
      </c>
      <c r="F194" s="6">
        <f>20.5</f>
        <v>20.5</v>
      </c>
      <c r="G194" s="4" t="s">
        <v>25</v>
      </c>
      <c r="H194" s="7">
        <v>53.01</v>
      </c>
      <c r="I194" s="7">
        <v>53.01</v>
      </c>
      <c r="J194" s="8" t="s">
        <v>26</v>
      </c>
      <c r="K194" s="9">
        <f>66.63</f>
        <v>66.63</v>
      </c>
      <c r="L194" s="9">
        <f>1365.92</f>
        <v>1365.92</v>
      </c>
      <c r="M194" s="4"/>
      <c r="N194" s="10">
        <v>1</v>
      </c>
      <c r="O194" s="4" t="s">
        <v>27</v>
      </c>
      <c r="P194" s="11">
        <v>20.5</v>
      </c>
      <c r="Q194" s="9">
        <f>1365.92</f>
        <v>1365.92</v>
      </c>
    </row>
    <row r="195" spans="1:17" ht="45" customHeight="1" x14ac:dyDescent="0.25">
      <c r="A195" s="4" t="s">
        <v>20</v>
      </c>
      <c r="B195" s="5" t="s">
        <v>526</v>
      </c>
      <c r="C195" s="4" t="s">
        <v>22</v>
      </c>
      <c r="D195" s="4" t="s">
        <v>527</v>
      </c>
      <c r="E195" s="4" t="s">
        <v>528</v>
      </c>
      <c r="F195" s="6">
        <f>1.5</f>
        <v>1.5</v>
      </c>
      <c r="G195" s="4" t="s">
        <v>46</v>
      </c>
      <c r="H195" s="7">
        <v>404.58</v>
      </c>
      <c r="I195" s="7">
        <v>404.58</v>
      </c>
      <c r="J195" s="8" t="s">
        <v>26</v>
      </c>
      <c r="K195" s="9">
        <f>508.56</f>
        <v>508.56</v>
      </c>
      <c r="L195" s="9">
        <f>762.84</f>
        <v>762.84</v>
      </c>
      <c r="M195" s="4"/>
      <c r="N195" s="10">
        <v>1</v>
      </c>
      <c r="O195" s="4" t="s">
        <v>27</v>
      </c>
      <c r="P195" s="11">
        <v>1.5</v>
      </c>
      <c r="Q195" s="9">
        <f>762.84</f>
        <v>762.84</v>
      </c>
    </row>
    <row r="196" spans="1:17" ht="45" customHeight="1" x14ac:dyDescent="0.25">
      <c r="A196" s="4" t="s">
        <v>20</v>
      </c>
      <c r="B196" s="5" t="s">
        <v>529</v>
      </c>
      <c r="C196" s="4" t="s">
        <v>22</v>
      </c>
      <c r="D196" s="4" t="s">
        <v>530</v>
      </c>
      <c r="E196" s="4" t="s">
        <v>531</v>
      </c>
      <c r="F196" s="6">
        <f>2</f>
        <v>2</v>
      </c>
      <c r="G196" s="4" t="s">
        <v>46</v>
      </c>
      <c r="H196" s="7">
        <v>1760.6</v>
      </c>
      <c r="I196" s="7">
        <v>1760.6</v>
      </c>
      <c r="J196" s="8" t="s">
        <v>26</v>
      </c>
      <c r="K196" s="9">
        <f>2213.07</f>
        <v>2213.0700000000002</v>
      </c>
      <c r="L196" s="9">
        <f>4426.14</f>
        <v>4426.1400000000003</v>
      </c>
      <c r="M196" s="4"/>
      <c r="N196" s="10">
        <v>1</v>
      </c>
      <c r="O196" s="4" t="s">
        <v>27</v>
      </c>
      <c r="P196" s="11">
        <v>2</v>
      </c>
      <c r="Q196" s="9">
        <f>4426.14</f>
        <v>4426.1400000000003</v>
      </c>
    </row>
    <row r="197" spans="1:17" ht="45" customHeight="1" x14ac:dyDescent="0.25">
      <c r="A197" s="4" t="s">
        <v>20</v>
      </c>
      <c r="B197" s="5" t="s">
        <v>532</v>
      </c>
      <c r="C197" s="4" t="s">
        <v>22</v>
      </c>
      <c r="D197" s="4" t="s">
        <v>533</v>
      </c>
      <c r="E197" s="4" t="s">
        <v>534</v>
      </c>
      <c r="F197" s="6">
        <f>10.5</f>
        <v>10.5</v>
      </c>
      <c r="G197" s="4" t="s">
        <v>25</v>
      </c>
      <c r="H197" s="7">
        <v>364.2</v>
      </c>
      <c r="I197" s="7">
        <v>364.2</v>
      </c>
      <c r="J197" s="8" t="s">
        <v>26</v>
      </c>
      <c r="K197" s="9">
        <f>457.8</f>
        <v>457.8</v>
      </c>
      <c r="L197" s="9">
        <f>4806.9</f>
        <v>4806.8999999999996</v>
      </c>
      <c r="M197" s="4"/>
      <c r="N197" s="10">
        <v>1</v>
      </c>
      <c r="O197" s="4" t="s">
        <v>27</v>
      </c>
      <c r="P197" s="11">
        <v>10.5</v>
      </c>
      <c r="Q197" s="9">
        <f>4806.9</f>
        <v>4806.8999999999996</v>
      </c>
    </row>
    <row r="198" spans="1:17" ht="45" customHeight="1" x14ac:dyDescent="0.25">
      <c r="A198" s="4" t="s">
        <v>20</v>
      </c>
      <c r="B198" s="5" t="s">
        <v>535</v>
      </c>
      <c r="C198" s="4" t="s">
        <v>63</v>
      </c>
      <c r="D198" s="4" t="s">
        <v>536</v>
      </c>
      <c r="E198" s="4" t="s">
        <v>537</v>
      </c>
      <c r="F198" s="6">
        <f>25.5</f>
        <v>25.5</v>
      </c>
      <c r="G198" s="4" t="s">
        <v>25</v>
      </c>
      <c r="H198" s="7">
        <v>149.1</v>
      </c>
      <c r="I198" s="7">
        <v>149.1</v>
      </c>
      <c r="J198" s="8" t="s">
        <v>122</v>
      </c>
      <c r="K198" s="9">
        <f>177.5</f>
        <v>177.5</v>
      </c>
      <c r="L198" s="9">
        <f>4526.25</f>
        <v>4526.25</v>
      </c>
      <c r="M198" s="4"/>
      <c r="N198" s="10">
        <v>1</v>
      </c>
      <c r="O198" s="4" t="s">
        <v>27</v>
      </c>
      <c r="P198" s="11">
        <v>25.5</v>
      </c>
      <c r="Q198" s="9">
        <f>4526.25</f>
        <v>4526.25</v>
      </c>
    </row>
    <row r="199" spans="1:17" ht="45" customHeight="1" x14ac:dyDescent="0.25">
      <c r="A199" s="4" t="s">
        <v>20</v>
      </c>
      <c r="B199" s="5" t="s">
        <v>538</v>
      </c>
      <c r="C199" s="4" t="s">
        <v>22</v>
      </c>
      <c r="D199" s="4" t="s">
        <v>539</v>
      </c>
      <c r="E199" s="4" t="s">
        <v>540</v>
      </c>
      <c r="F199" s="6">
        <f>25.5</f>
        <v>25.5</v>
      </c>
      <c r="G199" s="4" t="s">
        <v>25</v>
      </c>
      <c r="H199" s="7">
        <v>27.93</v>
      </c>
      <c r="I199" s="7">
        <v>27.93</v>
      </c>
      <c r="J199" s="8" t="s">
        <v>26</v>
      </c>
      <c r="K199" s="9">
        <f>35.11</f>
        <v>35.11</v>
      </c>
      <c r="L199" s="9">
        <f>895.31</f>
        <v>895.31</v>
      </c>
      <c r="M199" s="4"/>
      <c r="N199" s="10">
        <v>1</v>
      </c>
      <c r="O199" s="4" t="s">
        <v>27</v>
      </c>
      <c r="P199" s="11">
        <v>25.5</v>
      </c>
      <c r="Q199" s="9">
        <f>895.31</f>
        <v>895.31</v>
      </c>
    </row>
    <row r="200" spans="1:17" ht="45" customHeight="1" x14ac:dyDescent="0.25">
      <c r="A200" s="4" t="s">
        <v>20</v>
      </c>
      <c r="B200" s="5" t="s">
        <v>541</v>
      </c>
      <c r="C200" s="4" t="s">
        <v>63</v>
      </c>
      <c r="D200" s="4" t="s">
        <v>210</v>
      </c>
      <c r="E200" s="4" t="s">
        <v>211</v>
      </c>
      <c r="F200" s="6">
        <f>18.5</f>
        <v>18.5</v>
      </c>
      <c r="G200" s="4" t="s">
        <v>75</v>
      </c>
      <c r="H200" s="7">
        <v>82.75</v>
      </c>
      <c r="I200" s="7">
        <v>82.75</v>
      </c>
      <c r="J200" s="8" t="s">
        <v>26</v>
      </c>
      <c r="K200" s="9">
        <f>104.02</f>
        <v>104.02</v>
      </c>
      <c r="L200" s="9">
        <f>1924.37</f>
        <v>1924.37</v>
      </c>
      <c r="M200" s="4"/>
      <c r="N200" s="10">
        <v>1</v>
      </c>
      <c r="O200" s="4" t="s">
        <v>27</v>
      </c>
      <c r="P200" s="11">
        <v>18.5</v>
      </c>
      <c r="Q200" s="9">
        <f>1924.37</f>
        <v>1924.37</v>
      </c>
    </row>
    <row r="201" spans="1:17" ht="45" customHeight="1" x14ac:dyDescent="0.25">
      <c r="A201" s="4" t="s">
        <v>20</v>
      </c>
      <c r="B201" s="5" t="s">
        <v>542</v>
      </c>
      <c r="C201" s="4" t="s">
        <v>29</v>
      </c>
      <c r="D201" s="4" t="s">
        <v>216</v>
      </c>
      <c r="E201" s="4" t="s">
        <v>217</v>
      </c>
      <c r="F201" s="6">
        <f>14</f>
        <v>14</v>
      </c>
      <c r="G201" s="4" t="s">
        <v>75</v>
      </c>
      <c r="H201" s="7">
        <v>35.19</v>
      </c>
      <c r="I201" s="7">
        <v>35.19</v>
      </c>
      <c r="J201" s="8" t="s">
        <v>26</v>
      </c>
      <c r="K201" s="9">
        <f>44.23</f>
        <v>44.23</v>
      </c>
      <c r="L201" s="9">
        <f>619.22</f>
        <v>619.22</v>
      </c>
      <c r="M201" s="4"/>
      <c r="N201" s="10">
        <v>1</v>
      </c>
      <c r="O201" s="4" t="s">
        <v>27</v>
      </c>
      <c r="P201" s="11">
        <v>14</v>
      </c>
      <c r="Q201" s="9">
        <f>619.22</f>
        <v>619.22</v>
      </c>
    </row>
    <row r="202" spans="1:17" ht="45" customHeight="1" x14ac:dyDescent="0.25">
      <c r="A202" s="4" t="s">
        <v>20</v>
      </c>
      <c r="B202" s="5" t="s">
        <v>543</v>
      </c>
      <c r="C202" s="4" t="s">
        <v>63</v>
      </c>
      <c r="D202" s="4" t="s">
        <v>107</v>
      </c>
      <c r="E202" s="4" t="s">
        <v>108</v>
      </c>
      <c r="F202" s="6">
        <f>6</f>
        <v>6</v>
      </c>
      <c r="G202" s="4" t="s">
        <v>75</v>
      </c>
      <c r="H202" s="7">
        <v>8.64</v>
      </c>
      <c r="I202" s="7">
        <v>8.64</v>
      </c>
      <c r="J202" s="8" t="s">
        <v>26</v>
      </c>
      <c r="K202" s="9">
        <f>10.86</f>
        <v>10.86</v>
      </c>
      <c r="L202" s="9">
        <f>65.16</f>
        <v>65.16</v>
      </c>
      <c r="M202" s="4"/>
      <c r="N202" s="10">
        <v>1</v>
      </c>
      <c r="O202" s="4" t="s">
        <v>27</v>
      </c>
      <c r="P202" s="11">
        <v>6</v>
      </c>
      <c r="Q202" s="9">
        <f>65.16</f>
        <v>65.16</v>
      </c>
    </row>
    <row r="203" spans="1:17" ht="45" customHeight="1" x14ac:dyDescent="0.25">
      <c r="A203" s="4" t="s">
        <v>20</v>
      </c>
      <c r="B203" s="5" t="s">
        <v>544</v>
      </c>
      <c r="C203" s="4" t="s">
        <v>63</v>
      </c>
      <c r="D203" s="4" t="s">
        <v>110</v>
      </c>
      <c r="E203" s="4" t="s">
        <v>111</v>
      </c>
      <c r="F203" s="6">
        <f>24</f>
        <v>24</v>
      </c>
      <c r="G203" s="4" t="s">
        <v>112</v>
      </c>
      <c r="H203" s="7">
        <v>3.31</v>
      </c>
      <c r="I203" s="7">
        <v>3.31</v>
      </c>
      <c r="J203" s="8" t="s">
        <v>26</v>
      </c>
      <c r="K203" s="9">
        <f>4.16</f>
        <v>4.16</v>
      </c>
      <c r="L203" s="9">
        <f>99.84</f>
        <v>99.84</v>
      </c>
      <c r="M203" s="4"/>
      <c r="N203" s="10">
        <v>1</v>
      </c>
      <c r="O203" s="4" t="s">
        <v>27</v>
      </c>
      <c r="P203" s="11">
        <v>24</v>
      </c>
      <c r="Q203" s="9">
        <f>99.84</f>
        <v>99.84</v>
      </c>
    </row>
    <row r="204" spans="1:17" ht="45" customHeight="1" x14ac:dyDescent="0.25">
      <c r="A204" s="4" t="s">
        <v>20</v>
      </c>
      <c r="B204" s="5" t="s">
        <v>545</v>
      </c>
      <c r="C204" s="4" t="s">
        <v>63</v>
      </c>
      <c r="D204" s="4" t="s">
        <v>114</v>
      </c>
      <c r="E204" s="4" t="s">
        <v>115</v>
      </c>
      <c r="F204" s="6">
        <f>6</f>
        <v>6</v>
      </c>
      <c r="G204" s="4" t="s">
        <v>75</v>
      </c>
      <c r="H204" s="7">
        <v>1.45</v>
      </c>
      <c r="I204" s="7">
        <v>1.45</v>
      </c>
      <c r="J204" s="8" t="s">
        <v>26</v>
      </c>
      <c r="K204" s="9">
        <f>1.82</f>
        <v>1.82</v>
      </c>
      <c r="L204" s="9">
        <f>10.92</f>
        <v>10.92</v>
      </c>
      <c r="M204" s="4"/>
      <c r="N204" s="10">
        <v>1</v>
      </c>
      <c r="O204" s="4" t="s">
        <v>27</v>
      </c>
      <c r="P204" s="11">
        <v>6</v>
      </c>
      <c r="Q204" s="9">
        <f>10.92</f>
        <v>10.92</v>
      </c>
    </row>
    <row r="205" spans="1:17" ht="45" customHeight="1" x14ac:dyDescent="0.25">
      <c r="A205" s="4" t="s">
        <v>20</v>
      </c>
      <c r="B205" s="5" t="s">
        <v>546</v>
      </c>
      <c r="C205" s="4" t="s">
        <v>29</v>
      </c>
      <c r="D205" s="4" t="s">
        <v>547</v>
      </c>
      <c r="E205" s="4" t="s">
        <v>548</v>
      </c>
      <c r="F205" s="6">
        <f>62</f>
        <v>62</v>
      </c>
      <c r="G205" s="4" t="s">
        <v>75</v>
      </c>
      <c r="H205" s="7">
        <v>41.41</v>
      </c>
      <c r="I205" s="7">
        <v>41.41</v>
      </c>
      <c r="J205" s="8" t="s">
        <v>26</v>
      </c>
      <c r="K205" s="9">
        <f>52.05</f>
        <v>52.05</v>
      </c>
      <c r="L205" s="9">
        <f>3227.1</f>
        <v>3227.1</v>
      </c>
      <c r="M205" s="4"/>
      <c r="N205" s="10">
        <v>1</v>
      </c>
      <c r="O205" s="4" t="s">
        <v>27</v>
      </c>
      <c r="P205" s="11">
        <v>62</v>
      </c>
      <c r="Q205" s="9">
        <f>3227.1</f>
        <v>3227.1</v>
      </c>
    </row>
    <row r="206" spans="1:17" ht="45" customHeight="1" x14ac:dyDescent="0.25">
      <c r="A206" s="4" t="s">
        <v>20</v>
      </c>
      <c r="B206" s="5" t="s">
        <v>549</v>
      </c>
      <c r="C206" s="4" t="s">
        <v>63</v>
      </c>
      <c r="D206" s="4" t="s">
        <v>67</v>
      </c>
      <c r="E206" s="4" t="s">
        <v>68</v>
      </c>
      <c r="F206" s="6">
        <f>17</f>
        <v>17</v>
      </c>
      <c r="G206" s="4" t="s">
        <v>25</v>
      </c>
      <c r="H206" s="7">
        <v>87.69</v>
      </c>
      <c r="I206" s="7">
        <v>87.69</v>
      </c>
      <c r="J206" s="8" t="s">
        <v>26</v>
      </c>
      <c r="K206" s="9">
        <f>110.23</f>
        <v>110.23</v>
      </c>
      <c r="L206" s="9">
        <f>1873.91</f>
        <v>1873.91</v>
      </c>
      <c r="M206" s="4"/>
      <c r="N206" s="10">
        <v>1</v>
      </c>
      <c r="O206" s="4" t="s">
        <v>27</v>
      </c>
      <c r="P206" s="11">
        <v>17</v>
      </c>
      <c r="Q206" s="9">
        <f>1873.91</f>
        <v>1873.91</v>
      </c>
    </row>
    <row r="207" spans="1:17" ht="45" customHeight="1" x14ac:dyDescent="0.25">
      <c r="A207" s="4" t="s">
        <v>20</v>
      </c>
      <c r="B207" s="5" t="s">
        <v>550</v>
      </c>
      <c r="C207" s="4" t="s">
        <v>63</v>
      </c>
      <c r="D207" s="4" t="s">
        <v>551</v>
      </c>
      <c r="E207" s="4" t="s">
        <v>552</v>
      </c>
      <c r="F207" s="6">
        <f>16</f>
        <v>16</v>
      </c>
      <c r="G207" s="4" t="s">
        <v>25</v>
      </c>
      <c r="H207" s="7">
        <v>132.32</v>
      </c>
      <c r="I207" s="7">
        <v>132.32</v>
      </c>
      <c r="J207" s="8" t="s">
        <v>26</v>
      </c>
      <c r="K207" s="9">
        <f>166.33</f>
        <v>166.33</v>
      </c>
      <c r="L207" s="9">
        <f>2661.28</f>
        <v>2661.28</v>
      </c>
      <c r="M207" s="4"/>
      <c r="N207" s="10">
        <v>1</v>
      </c>
      <c r="O207" s="4" t="s">
        <v>27</v>
      </c>
      <c r="P207" s="11">
        <v>16</v>
      </c>
      <c r="Q207" s="9">
        <f>2661.28</f>
        <v>2661.28</v>
      </c>
    </row>
    <row r="208" spans="1:17" ht="45" customHeight="1" x14ac:dyDescent="0.25">
      <c r="A208" s="4" t="s">
        <v>20</v>
      </c>
      <c r="B208" s="5" t="s">
        <v>553</v>
      </c>
      <c r="C208" s="4" t="s">
        <v>63</v>
      </c>
      <c r="D208" s="4" t="s">
        <v>70</v>
      </c>
      <c r="E208" s="4" t="s">
        <v>71</v>
      </c>
      <c r="F208" s="6">
        <f>60</f>
        <v>60</v>
      </c>
      <c r="G208" s="4" t="s">
        <v>25</v>
      </c>
      <c r="H208" s="7">
        <v>86.27</v>
      </c>
      <c r="I208" s="7">
        <v>86.27</v>
      </c>
      <c r="J208" s="8" t="s">
        <v>26</v>
      </c>
      <c r="K208" s="9">
        <f>108.44</f>
        <v>108.44</v>
      </c>
      <c r="L208" s="9">
        <f>6506.4</f>
        <v>6506.4</v>
      </c>
      <c r="M208" s="4"/>
      <c r="N208" s="10">
        <v>1</v>
      </c>
      <c r="O208" s="4" t="s">
        <v>27</v>
      </c>
      <c r="P208" s="11">
        <v>60</v>
      </c>
      <c r="Q208" s="9">
        <f>6506.4</f>
        <v>6506.4</v>
      </c>
    </row>
    <row r="209" spans="1:17" ht="45" customHeight="1" x14ac:dyDescent="0.25">
      <c r="A209" s="4" t="s">
        <v>20</v>
      </c>
      <c r="B209" s="5" t="s">
        <v>554</v>
      </c>
      <c r="C209" s="4" t="s">
        <v>29</v>
      </c>
      <c r="D209" s="4" t="s">
        <v>364</v>
      </c>
      <c r="E209" s="4" t="s">
        <v>365</v>
      </c>
      <c r="F209" s="6">
        <f>12</f>
        <v>12</v>
      </c>
      <c r="G209" s="4" t="s">
        <v>75</v>
      </c>
      <c r="H209" s="7">
        <v>706.98</v>
      </c>
      <c r="I209" s="7">
        <v>706.98</v>
      </c>
      <c r="J209" s="8" t="s">
        <v>26</v>
      </c>
      <c r="K209" s="9">
        <f>888.67</f>
        <v>888.67</v>
      </c>
      <c r="L209" s="9">
        <f>10664.04</f>
        <v>10664.04</v>
      </c>
      <c r="M209" s="4"/>
      <c r="N209" s="10">
        <v>1</v>
      </c>
      <c r="O209" s="4" t="s">
        <v>27</v>
      </c>
      <c r="P209" s="11">
        <v>12</v>
      </c>
      <c r="Q209" s="9">
        <f>10664.04</f>
        <v>10664.04</v>
      </c>
    </row>
    <row r="210" spans="1:17" ht="45" customHeight="1" x14ac:dyDescent="0.25">
      <c r="A210" s="4" t="s">
        <v>20</v>
      </c>
      <c r="B210" s="5" t="s">
        <v>555</v>
      </c>
      <c r="C210" s="4" t="s">
        <v>29</v>
      </c>
      <c r="D210" s="4" t="s">
        <v>77</v>
      </c>
      <c r="E210" s="4" t="s">
        <v>78</v>
      </c>
      <c r="F210" s="6">
        <f>887</f>
        <v>887</v>
      </c>
      <c r="G210" s="4" t="s">
        <v>79</v>
      </c>
      <c r="H210" s="7">
        <v>13.28</v>
      </c>
      <c r="I210" s="7">
        <v>13.28</v>
      </c>
      <c r="J210" s="8" t="s">
        <v>26</v>
      </c>
      <c r="K210" s="9">
        <f>16.69</f>
        <v>16.690000000000001</v>
      </c>
      <c r="L210" s="9">
        <f>14804.03</f>
        <v>14804.03</v>
      </c>
      <c r="M210" s="4"/>
      <c r="N210" s="10">
        <v>1</v>
      </c>
      <c r="O210" s="4" t="s">
        <v>27</v>
      </c>
      <c r="P210" s="11">
        <v>887</v>
      </c>
      <c r="Q210" s="9">
        <f>14804.03</f>
        <v>14804.03</v>
      </c>
    </row>
    <row r="211" spans="1:17" ht="45" customHeight="1" x14ac:dyDescent="0.25">
      <c r="A211" s="4" t="s">
        <v>20</v>
      </c>
      <c r="B211" s="5" t="s">
        <v>556</v>
      </c>
      <c r="C211" s="4" t="s">
        <v>63</v>
      </c>
      <c r="D211" s="4" t="s">
        <v>369</v>
      </c>
      <c r="E211" s="4" t="s">
        <v>370</v>
      </c>
      <c r="F211" s="6">
        <f>1</f>
        <v>1</v>
      </c>
      <c r="G211" s="4" t="s">
        <v>75</v>
      </c>
      <c r="H211" s="7">
        <v>514.52</v>
      </c>
      <c r="I211" s="7">
        <v>514.52</v>
      </c>
      <c r="J211" s="8" t="s">
        <v>26</v>
      </c>
      <c r="K211" s="9">
        <f>646.75</f>
        <v>646.75</v>
      </c>
      <c r="L211" s="9">
        <f>646.75</f>
        <v>646.75</v>
      </c>
      <c r="M211" s="4"/>
      <c r="N211" s="10">
        <v>1</v>
      </c>
      <c r="O211" s="4" t="s">
        <v>27</v>
      </c>
      <c r="P211" s="11">
        <v>1</v>
      </c>
      <c r="Q211" s="9">
        <f>646.75</f>
        <v>646.75</v>
      </c>
    </row>
    <row r="212" spans="1:17" ht="45" customHeight="1" x14ac:dyDescent="0.25">
      <c r="A212" s="4" t="s">
        <v>20</v>
      </c>
      <c r="B212" s="5" t="s">
        <v>557</v>
      </c>
      <c r="C212" s="4" t="s">
        <v>63</v>
      </c>
      <c r="D212" s="4" t="s">
        <v>558</v>
      </c>
      <c r="E212" s="4" t="s">
        <v>559</v>
      </c>
      <c r="F212" s="6">
        <f>83</f>
        <v>83</v>
      </c>
      <c r="G212" s="4" t="s">
        <v>79</v>
      </c>
      <c r="H212" s="7">
        <v>12.34</v>
      </c>
      <c r="I212" s="7">
        <v>12.34</v>
      </c>
      <c r="J212" s="8" t="s">
        <v>26</v>
      </c>
      <c r="K212" s="9">
        <f>15.51</f>
        <v>15.51</v>
      </c>
      <c r="L212" s="9">
        <f>1287.33</f>
        <v>1287.33</v>
      </c>
      <c r="M212" s="4"/>
      <c r="N212" s="10">
        <v>1</v>
      </c>
      <c r="O212" s="4" t="s">
        <v>27</v>
      </c>
      <c r="P212" s="11">
        <v>83</v>
      </c>
      <c r="Q212" s="9">
        <f>1287.33</f>
        <v>1287.33</v>
      </c>
    </row>
    <row r="213" spans="1:17" ht="45" customHeight="1" x14ac:dyDescent="0.25">
      <c r="A213" s="4" t="s">
        <v>17</v>
      </c>
      <c r="B213" s="5" t="s">
        <v>205</v>
      </c>
      <c r="C213" s="4"/>
      <c r="D213" s="4"/>
      <c r="E213" s="4" t="s">
        <v>560</v>
      </c>
      <c r="F213" s="6"/>
      <c r="G213" s="4"/>
      <c r="H213" s="7"/>
      <c r="I213" s="7"/>
      <c r="J213" s="8"/>
      <c r="K213" s="9"/>
      <c r="L213" s="9">
        <f>1138100.39</f>
        <v>1138100.3899999999</v>
      </c>
      <c r="M213" s="4"/>
      <c r="N213" s="10"/>
      <c r="O213" s="4"/>
      <c r="P213" s="11"/>
      <c r="Q213" s="9"/>
    </row>
    <row r="214" spans="1:17" ht="45" customHeight="1" x14ac:dyDescent="0.25">
      <c r="A214" s="4" t="s">
        <v>20</v>
      </c>
      <c r="B214" s="5" t="s">
        <v>561</v>
      </c>
      <c r="C214" s="4" t="s">
        <v>29</v>
      </c>
      <c r="D214" s="4" t="s">
        <v>562</v>
      </c>
      <c r="E214" s="4" t="s">
        <v>563</v>
      </c>
      <c r="F214" s="6">
        <f>3</f>
        <v>3</v>
      </c>
      <c r="G214" s="4" t="s">
        <v>46</v>
      </c>
      <c r="H214" s="7">
        <v>68.73</v>
      </c>
      <c r="I214" s="7">
        <v>68.73</v>
      </c>
      <c r="J214" s="8" t="s">
        <v>26</v>
      </c>
      <c r="K214" s="9">
        <f>86.39</f>
        <v>86.39</v>
      </c>
      <c r="L214" s="9">
        <f>259.17</f>
        <v>259.17</v>
      </c>
      <c r="M214" s="4"/>
      <c r="N214" s="10">
        <v>1</v>
      </c>
      <c r="O214" s="4" t="s">
        <v>27</v>
      </c>
      <c r="P214" s="11">
        <v>3</v>
      </c>
      <c r="Q214" s="9">
        <f>259.17</f>
        <v>259.17</v>
      </c>
    </row>
    <row r="215" spans="1:17" ht="45" customHeight="1" x14ac:dyDescent="0.25">
      <c r="A215" s="4" t="s">
        <v>20</v>
      </c>
      <c r="B215" s="5" t="s">
        <v>564</v>
      </c>
      <c r="C215" s="4" t="s">
        <v>29</v>
      </c>
      <c r="D215" s="4" t="s">
        <v>565</v>
      </c>
      <c r="E215" s="4" t="s">
        <v>566</v>
      </c>
      <c r="F215" s="6">
        <f>16</f>
        <v>16</v>
      </c>
      <c r="G215" s="4" t="s">
        <v>46</v>
      </c>
      <c r="H215" s="7">
        <v>51.42</v>
      </c>
      <c r="I215" s="7">
        <v>51.42</v>
      </c>
      <c r="J215" s="8" t="s">
        <v>26</v>
      </c>
      <c r="K215" s="9">
        <f>64.63</f>
        <v>64.63</v>
      </c>
      <c r="L215" s="9">
        <f>1034.08</f>
        <v>1034.08</v>
      </c>
      <c r="M215" s="4"/>
      <c r="N215" s="10">
        <v>1</v>
      </c>
      <c r="O215" s="4" t="s">
        <v>27</v>
      </c>
      <c r="P215" s="11">
        <v>16</v>
      </c>
      <c r="Q215" s="9">
        <f>1034.08</f>
        <v>1034.08</v>
      </c>
    </row>
    <row r="216" spans="1:17" ht="45" customHeight="1" x14ac:dyDescent="0.25">
      <c r="A216" s="4" t="s">
        <v>20</v>
      </c>
      <c r="B216" s="5" t="s">
        <v>567</v>
      </c>
      <c r="C216" s="4" t="s">
        <v>29</v>
      </c>
      <c r="D216" s="4" t="s">
        <v>568</v>
      </c>
      <c r="E216" s="4" t="s">
        <v>569</v>
      </c>
      <c r="F216" s="6">
        <f>2</f>
        <v>2</v>
      </c>
      <c r="G216" s="4" t="s">
        <v>46</v>
      </c>
      <c r="H216" s="7">
        <v>135.57</v>
      </c>
      <c r="I216" s="7">
        <v>135.57</v>
      </c>
      <c r="J216" s="8" t="s">
        <v>26</v>
      </c>
      <c r="K216" s="9">
        <f>170.41</f>
        <v>170.41</v>
      </c>
      <c r="L216" s="9">
        <f>340.82</f>
        <v>340.82</v>
      </c>
      <c r="M216" s="4"/>
      <c r="N216" s="10">
        <v>1</v>
      </c>
      <c r="O216" s="4" t="s">
        <v>27</v>
      </c>
      <c r="P216" s="11">
        <v>2</v>
      </c>
      <c r="Q216" s="9">
        <f>340.82</f>
        <v>340.82</v>
      </c>
    </row>
    <row r="217" spans="1:17" ht="45" customHeight="1" x14ac:dyDescent="0.25">
      <c r="A217" s="4" t="s">
        <v>20</v>
      </c>
      <c r="B217" s="5" t="s">
        <v>570</v>
      </c>
      <c r="C217" s="4" t="s">
        <v>29</v>
      </c>
      <c r="D217" s="4" t="s">
        <v>571</v>
      </c>
      <c r="E217" s="4" t="s">
        <v>572</v>
      </c>
      <c r="F217" s="6">
        <f>1</f>
        <v>1</v>
      </c>
      <c r="G217" s="4" t="s">
        <v>46</v>
      </c>
      <c r="H217" s="7">
        <v>590.29</v>
      </c>
      <c r="I217" s="7">
        <v>590.29</v>
      </c>
      <c r="J217" s="8" t="s">
        <v>26</v>
      </c>
      <c r="K217" s="9">
        <f>741.99</f>
        <v>741.99</v>
      </c>
      <c r="L217" s="9">
        <f>741.99</f>
        <v>741.99</v>
      </c>
      <c r="M217" s="4"/>
      <c r="N217" s="10">
        <v>1</v>
      </c>
      <c r="O217" s="4" t="s">
        <v>27</v>
      </c>
      <c r="P217" s="11">
        <v>1</v>
      </c>
      <c r="Q217" s="9">
        <f>741.99</f>
        <v>741.99</v>
      </c>
    </row>
    <row r="218" spans="1:17" ht="45" customHeight="1" x14ac:dyDescent="0.25">
      <c r="A218" s="4" t="s">
        <v>20</v>
      </c>
      <c r="B218" s="5" t="s">
        <v>573</v>
      </c>
      <c r="C218" s="4" t="s">
        <v>29</v>
      </c>
      <c r="D218" s="4" t="s">
        <v>574</v>
      </c>
      <c r="E218" s="4" t="s">
        <v>575</v>
      </c>
      <c r="F218" s="6">
        <f>10</f>
        <v>10</v>
      </c>
      <c r="G218" s="4" t="s">
        <v>46</v>
      </c>
      <c r="H218" s="7">
        <v>328.05</v>
      </c>
      <c r="I218" s="7">
        <v>328.05</v>
      </c>
      <c r="J218" s="8" t="s">
        <v>26</v>
      </c>
      <c r="K218" s="9">
        <f>412.36</f>
        <v>412.36</v>
      </c>
      <c r="L218" s="9">
        <f>4123.6</f>
        <v>4123.6000000000004</v>
      </c>
      <c r="M218" s="4"/>
      <c r="N218" s="10">
        <v>1</v>
      </c>
      <c r="O218" s="4" t="s">
        <v>27</v>
      </c>
      <c r="P218" s="11">
        <v>10</v>
      </c>
      <c r="Q218" s="9">
        <f>4123.6</f>
        <v>4123.6000000000004</v>
      </c>
    </row>
    <row r="219" spans="1:17" ht="45" customHeight="1" x14ac:dyDescent="0.25">
      <c r="A219" s="4" t="s">
        <v>20</v>
      </c>
      <c r="B219" s="5" t="s">
        <v>576</v>
      </c>
      <c r="C219" s="4" t="s">
        <v>29</v>
      </c>
      <c r="D219" s="4" t="s">
        <v>577</v>
      </c>
      <c r="E219" s="4" t="s">
        <v>578</v>
      </c>
      <c r="F219" s="6">
        <f>9</f>
        <v>9</v>
      </c>
      <c r="G219" s="4" t="s">
        <v>46</v>
      </c>
      <c r="H219" s="7">
        <v>255.25</v>
      </c>
      <c r="I219" s="7">
        <v>255.25</v>
      </c>
      <c r="J219" s="8" t="s">
        <v>26</v>
      </c>
      <c r="K219" s="9">
        <f>320.85</f>
        <v>320.85000000000002</v>
      </c>
      <c r="L219" s="9">
        <f>2887.65</f>
        <v>2887.65</v>
      </c>
      <c r="M219" s="4"/>
      <c r="N219" s="10">
        <v>1</v>
      </c>
      <c r="O219" s="4" t="s">
        <v>27</v>
      </c>
      <c r="P219" s="11">
        <v>9</v>
      </c>
      <c r="Q219" s="9">
        <f>2887.65</f>
        <v>2887.65</v>
      </c>
    </row>
    <row r="220" spans="1:17" ht="45" customHeight="1" x14ac:dyDescent="0.25">
      <c r="A220" s="4" t="s">
        <v>20</v>
      </c>
      <c r="B220" s="5" t="s">
        <v>579</v>
      </c>
      <c r="C220" s="4" t="s">
        <v>29</v>
      </c>
      <c r="D220" s="4" t="s">
        <v>580</v>
      </c>
      <c r="E220" s="4" t="s">
        <v>581</v>
      </c>
      <c r="F220" s="6">
        <f>15</f>
        <v>15</v>
      </c>
      <c r="G220" s="4" t="s">
        <v>46</v>
      </c>
      <c r="H220" s="7">
        <v>41.73</v>
      </c>
      <c r="I220" s="7">
        <v>41.73</v>
      </c>
      <c r="J220" s="8" t="s">
        <v>26</v>
      </c>
      <c r="K220" s="9">
        <f>52.45</f>
        <v>52.45</v>
      </c>
      <c r="L220" s="9">
        <f>786.75</f>
        <v>786.75</v>
      </c>
      <c r="M220" s="4"/>
      <c r="N220" s="10">
        <v>1</v>
      </c>
      <c r="O220" s="4" t="s">
        <v>27</v>
      </c>
      <c r="P220" s="11">
        <v>15</v>
      </c>
      <c r="Q220" s="9">
        <f>786.75</f>
        <v>786.75</v>
      </c>
    </row>
    <row r="221" spans="1:17" ht="45" customHeight="1" x14ac:dyDescent="0.25">
      <c r="A221" s="4" t="s">
        <v>20</v>
      </c>
      <c r="B221" s="5" t="s">
        <v>582</v>
      </c>
      <c r="C221" s="4" t="s">
        <v>29</v>
      </c>
      <c r="D221" s="4" t="s">
        <v>241</v>
      </c>
      <c r="E221" s="4" t="s">
        <v>242</v>
      </c>
      <c r="F221" s="6">
        <f>18</f>
        <v>18</v>
      </c>
      <c r="G221" s="4" t="s">
        <v>46</v>
      </c>
      <c r="H221" s="7">
        <v>93.29</v>
      </c>
      <c r="I221" s="7">
        <v>93.29</v>
      </c>
      <c r="J221" s="8" t="s">
        <v>26</v>
      </c>
      <c r="K221" s="9">
        <f>117.27</f>
        <v>117.27</v>
      </c>
      <c r="L221" s="9">
        <f>2110.86</f>
        <v>2110.86</v>
      </c>
      <c r="M221" s="4"/>
      <c r="N221" s="10">
        <v>1</v>
      </c>
      <c r="O221" s="4" t="s">
        <v>27</v>
      </c>
      <c r="P221" s="11">
        <v>18</v>
      </c>
      <c r="Q221" s="9">
        <f>2110.86</f>
        <v>2110.86</v>
      </c>
    </row>
    <row r="222" spans="1:17" ht="45" customHeight="1" x14ac:dyDescent="0.25">
      <c r="A222" s="4" t="s">
        <v>20</v>
      </c>
      <c r="B222" s="5" t="s">
        <v>583</v>
      </c>
      <c r="C222" s="4" t="s">
        <v>29</v>
      </c>
      <c r="D222" s="4" t="s">
        <v>244</v>
      </c>
      <c r="E222" s="4" t="s">
        <v>245</v>
      </c>
      <c r="F222" s="6">
        <f>3</f>
        <v>3</v>
      </c>
      <c r="G222" s="4" t="s">
        <v>46</v>
      </c>
      <c r="H222" s="7">
        <v>136.38999999999999</v>
      </c>
      <c r="I222" s="7">
        <v>136.38999999999999</v>
      </c>
      <c r="J222" s="8" t="s">
        <v>26</v>
      </c>
      <c r="K222" s="9">
        <f>171.44</f>
        <v>171.44</v>
      </c>
      <c r="L222" s="9">
        <f>514.32</f>
        <v>514.32000000000005</v>
      </c>
      <c r="M222" s="4"/>
      <c r="N222" s="10">
        <v>1</v>
      </c>
      <c r="O222" s="4" t="s">
        <v>27</v>
      </c>
      <c r="P222" s="11">
        <v>3</v>
      </c>
      <c r="Q222" s="9">
        <f>514.32</f>
        <v>514.32000000000005</v>
      </c>
    </row>
    <row r="223" spans="1:17" ht="45" customHeight="1" x14ac:dyDescent="0.25">
      <c r="A223" s="4" t="s">
        <v>20</v>
      </c>
      <c r="B223" s="5" t="s">
        <v>584</v>
      </c>
      <c r="C223" s="4" t="s">
        <v>29</v>
      </c>
      <c r="D223" s="4" t="s">
        <v>585</v>
      </c>
      <c r="E223" s="4" t="s">
        <v>586</v>
      </c>
      <c r="F223" s="6">
        <f>6</f>
        <v>6</v>
      </c>
      <c r="G223" s="4" t="s">
        <v>46</v>
      </c>
      <c r="H223" s="7">
        <v>181.24</v>
      </c>
      <c r="I223" s="7">
        <v>181.24</v>
      </c>
      <c r="J223" s="8" t="s">
        <v>26</v>
      </c>
      <c r="K223" s="9">
        <f>227.82</f>
        <v>227.82</v>
      </c>
      <c r="L223" s="9">
        <f>1366.92</f>
        <v>1366.92</v>
      </c>
      <c r="M223" s="4"/>
      <c r="N223" s="10">
        <v>1</v>
      </c>
      <c r="O223" s="4" t="s">
        <v>27</v>
      </c>
      <c r="P223" s="11">
        <v>6</v>
      </c>
      <c r="Q223" s="9">
        <f>1366.92</f>
        <v>1366.92</v>
      </c>
    </row>
    <row r="224" spans="1:17" ht="45" customHeight="1" x14ac:dyDescent="0.25">
      <c r="A224" s="4" t="s">
        <v>20</v>
      </c>
      <c r="B224" s="5" t="s">
        <v>587</v>
      </c>
      <c r="C224" s="4" t="s">
        <v>29</v>
      </c>
      <c r="D224" s="4" t="s">
        <v>588</v>
      </c>
      <c r="E224" s="4" t="s">
        <v>589</v>
      </c>
      <c r="F224" s="6">
        <f>36</f>
        <v>36</v>
      </c>
      <c r="G224" s="4" t="s">
        <v>46</v>
      </c>
      <c r="H224" s="7">
        <v>223.44</v>
      </c>
      <c r="I224" s="7">
        <v>223.44</v>
      </c>
      <c r="J224" s="8" t="s">
        <v>26</v>
      </c>
      <c r="K224" s="9">
        <f>280.86</f>
        <v>280.86</v>
      </c>
      <c r="L224" s="9">
        <f>10110.96</f>
        <v>10110.959999999999</v>
      </c>
      <c r="M224" s="4"/>
      <c r="N224" s="10">
        <v>1</v>
      </c>
      <c r="O224" s="4" t="s">
        <v>27</v>
      </c>
      <c r="P224" s="11">
        <v>36</v>
      </c>
      <c r="Q224" s="9">
        <f>10110.96</f>
        <v>10110.959999999999</v>
      </c>
    </row>
    <row r="225" spans="1:17" ht="45" customHeight="1" x14ac:dyDescent="0.25">
      <c r="A225" s="4" t="s">
        <v>20</v>
      </c>
      <c r="B225" s="5" t="s">
        <v>590</v>
      </c>
      <c r="C225" s="4" t="s">
        <v>29</v>
      </c>
      <c r="D225" s="4" t="s">
        <v>591</v>
      </c>
      <c r="E225" s="4" t="s">
        <v>592</v>
      </c>
      <c r="F225" s="6">
        <f>30</f>
        <v>30</v>
      </c>
      <c r="G225" s="4" t="s">
        <v>46</v>
      </c>
      <c r="H225" s="7">
        <v>89.6</v>
      </c>
      <c r="I225" s="7">
        <v>89.6</v>
      </c>
      <c r="J225" s="8" t="s">
        <v>26</v>
      </c>
      <c r="K225" s="9">
        <f>112.63</f>
        <v>112.63</v>
      </c>
      <c r="L225" s="9">
        <f>3378.9</f>
        <v>3378.9</v>
      </c>
      <c r="M225" s="4"/>
      <c r="N225" s="10">
        <v>1</v>
      </c>
      <c r="O225" s="4" t="s">
        <v>27</v>
      </c>
      <c r="P225" s="11">
        <v>30</v>
      </c>
      <c r="Q225" s="9">
        <f>3378.9</f>
        <v>3378.9</v>
      </c>
    </row>
    <row r="226" spans="1:17" ht="45" customHeight="1" x14ac:dyDescent="0.25">
      <c r="A226" s="4" t="s">
        <v>20</v>
      </c>
      <c r="B226" s="5" t="s">
        <v>593</v>
      </c>
      <c r="C226" s="4" t="s">
        <v>29</v>
      </c>
      <c r="D226" s="4" t="s">
        <v>594</v>
      </c>
      <c r="E226" s="4" t="s">
        <v>595</v>
      </c>
      <c r="F226" s="6">
        <f>18</f>
        <v>18</v>
      </c>
      <c r="G226" s="4" t="s">
        <v>46</v>
      </c>
      <c r="H226" s="7">
        <v>119</v>
      </c>
      <c r="I226" s="7">
        <v>119</v>
      </c>
      <c r="J226" s="8" t="s">
        <v>26</v>
      </c>
      <c r="K226" s="9">
        <f>149.58</f>
        <v>149.58000000000001</v>
      </c>
      <c r="L226" s="9">
        <f>2692.44</f>
        <v>2692.44</v>
      </c>
      <c r="M226" s="4"/>
      <c r="N226" s="10">
        <v>1</v>
      </c>
      <c r="O226" s="4" t="s">
        <v>27</v>
      </c>
      <c r="P226" s="11">
        <v>18</v>
      </c>
      <c r="Q226" s="9">
        <f>2692.44</f>
        <v>2692.44</v>
      </c>
    </row>
    <row r="227" spans="1:17" ht="45" customHeight="1" x14ac:dyDescent="0.25">
      <c r="A227" s="4" t="s">
        <v>20</v>
      </c>
      <c r="B227" s="5" t="s">
        <v>596</v>
      </c>
      <c r="C227" s="4" t="s">
        <v>29</v>
      </c>
      <c r="D227" s="4" t="s">
        <v>247</v>
      </c>
      <c r="E227" s="4" t="s">
        <v>248</v>
      </c>
      <c r="F227" s="6">
        <f>12</f>
        <v>12</v>
      </c>
      <c r="G227" s="4" t="s">
        <v>46</v>
      </c>
      <c r="H227" s="7">
        <v>206.37</v>
      </c>
      <c r="I227" s="7">
        <v>206.37</v>
      </c>
      <c r="J227" s="8" t="s">
        <v>26</v>
      </c>
      <c r="K227" s="9">
        <f>259.41</f>
        <v>259.41000000000003</v>
      </c>
      <c r="L227" s="9">
        <f>3112.92</f>
        <v>3112.92</v>
      </c>
      <c r="M227" s="4"/>
      <c r="N227" s="10">
        <v>1</v>
      </c>
      <c r="O227" s="4" t="s">
        <v>27</v>
      </c>
      <c r="P227" s="11">
        <v>12</v>
      </c>
      <c r="Q227" s="9">
        <f>3112.92</f>
        <v>3112.92</v>
      </c>
    </row>
    <row r="228" spans="1:17" ht="45" customHeight="1" x14ac:dyDescent="0.25">
      <c r="A228" s="4" t="s">
        <v>20</v>
      </c>
      <c r="B228" s="5" t="s">
        <v>597</v>
      </c>
      <c r="C228" s="4" t="s">
        <v>29</v>
      </c>
      <c r="D228" s="4" t="s">
        <v>598</v>
      </c>
      <c r="E228" s="4" t="s">
        <v>599</v>
      </c>
      <c r="F228" s="6">
        <f>6</f>
        <v>6</v>
      </c>
      <c r="G228" s="4" t="s">
        <v>46</v>
      </c>
      <c r="H228" s="7">
        <v>345.86</v>
      </c>
      <c r="I228" s="7">
        <v>345.86</v>
      </c>
      <c r="J228" s="8" t="s">
        <v>26</v>
      </c>
      <c r="K228" s="9">
        <f>434.75</f>
        <v>434.75</v>
      </c>
      <c r="L228" s="9">
        <f>2608.5</f>
        <v>2608.5</v>
      </c>
      <c r="M228" s="4"/>
      <c r="N228" s="10">
        <v>1</v>
      </c>
      <c r="O228" s="4" t="s">
        <v>27</v>
      </c>
      <c r="P228" s="11">
        <v>6</v>
      </c>
      <c r="Q228" s="9">
        <f>2608.5</f>
        <v>2608.5</v>
      </c>
    </row>
    <row r="229" spans="1:17" ht="45" customHeight="1" x14ac:dyDescent="0.25">
      <c r="A229" s="4" t="s">
        <v>20</v>
      </c>
      <c r="B229" s="5" t="s">
        <v>600</v>
      </c>
      <c r="C229" s="4" t="s">
        <v>29</v>
      </c>
      <c r="D229" s="4" t="s">
        <v>601</v>
      </c>
      <c r="E229" s="4" t="s">
        <v>602</v>
      </c>
      <c r="F229" s="6">
        <f>20</f>
        <v>20</v>
      </c>
      <c r="G229" s="4" t="s">
        <v>46</v>
      </c>
      <c r="H229" s="7">
        <v>12.04</v>
      </c>
      <c r="I229" s="7">
        <v>12.04</v>
      </c>
      <c r="J229" s="8" t="s">
        <v>26</v>
      </c>
      <c r="K229" s="9">
        <f>15.13</f>
        <v>15.13</v>
      </c>
      <c r="L229" s="9">
        <f>302.6</f>
        <v>302.60000000000002</v>
      </c>
      <c r="M229" s="4"/>
      <c r="N229" s="10">
        <v>1</v>
      </c>
      <c r="O229" s="4" t="s">
        <v>27</v>
      </c>
      <c r="P229" s="11">
        <v>20</v>
      </c>
      <c r="Q229" s="9">
        <f>302.6</f>
        <v>302.60000000000002</v>
      </c>
    </row>
    <row r="230" spans="1:17" ht="45" customHeight="1" x14ac:dyDescent="0.25">
      <c r="A230" s="4" t="s">
        <v>20</v>
      </c>
      <c r="B230" s="5" t="s">
        <v>603</v>
      </c>
      <c r="C230" s="4" t="s">
        <v>29</v>
      </c>
      <c r="D230" s="4" t="s">
        <v>604</v>
      </c>
      <c r="E230" s="4" t="s">
        <v>605</v>
      </c>
      <c r="F230" s="6">
        <f>6</f>
        <v>6</v>
      </c>
      <c r="G230" s="4" t="s">
        <v>46</v>
      </c>
      <c r="H230" s="7">
        <v>16.12</v>
      </c>
      <c r="I230" s="7">
        <v>16.12</v>
      </c>
      <c r="J230" s="8" t="s">
        <v>26</v>
      </c>
      <c r="K230" s="9">
        <f>20.26</f>
        <v>20.260000000000002</v>
      </c>
      <c r="L230" s="9">
        <f>121.56</f>
        <v>121.56</v>
      </c>
      <c r="M230" s="4"/>
      <c r="N230" s="10">
        <v>1</v>
      </c>
      <c r="O230" s="4" t="s">
        <v>27</v>
      </c>
      <c r="P230" s="11">
        <v>6</v>
      </c>
      <c r="Q230" s="9">
        <f>121.56</f>
        <v>121.56</v>
      </c>
    </row>
    <row r="231" spans="1:17" ht="45" customHeight="1" x14ac:dyDescent="0.25">
      <c r="A231" s="4" t="s">
        <v>20</v>
      </c>
      <c r="B231" s="5" t="s">
        <v>606</v>
      </c>
      <c r="C231" s="4" t="s">
        <v>29</v>
      </c>
      <c r="D231" s="4" t="s">
        <v>253</v>
      </c>
      <c r="E231" s="4" t="s">
        <v>254</v>
      </c>
      <c r="F231" s="6">
        <f>6</f>
        <v>6</v>
      </c>
      <c r="G231" s="4" t="s">
        <v>46</v>
      </c>
      <c r="H231" s="7">
        <v>52.64</v>
      </c>
      <c r="I231" s="7">
        <v>52.64</v>
      </c>
      <c r="J231" s="8" t="s">
        <v>26</v>
      </c>
      <c r="K231" s="9">
        <f>66.17</f>
        <v>66.17</v>
      </c>
      <c r="L231" s="9">
        <f>397.02</f>
        <v>397.02</v>
      </c>
      <c r="M231" s="4"/>
      <c r="N231" s="10">
        <v>1</v>
      </c>
      <c r="O231" s="4" t="s">
        <v>27</v>
      </c>
      <c r="P231" s="11">
        <v>6</v>
      </c>
      <c r="Q231" s="9">
        <f>397.02</f>
        <v>397.02</v>
      </c>
    </row>
    <row r="232" spans="1:17" ht="45" customHeight="1" x14ac:dyDescent="0.25">
      <c r="A232" s="4" t="s">
        <v>20</v>
      </c>
      <c r="B232" s="5" t="s">
        <v>607</v>
      </c>
      <c r="C232" s="4" t="s">
        <v>29</v>
      </c>
      <c r="D232" s="4" t="s">
        <v>608</v>
      </c>
      <c r="E232" s="4" t="s">
        <v>609</v>
      </c>
      <c r="F232" s="6">
        <f>4</f>
        <v>4</v>
      </c>
      <c r="G232" s="4" t="s">
        <v>46</v>
      </c>
      <c r="H232" s="7">
        <v>193.19</v>
      </c>
      <c r="I232" s="7">
        <v>193.19</v>
      </c>
      <c r="J232" s="8" t="s">
        <v>26</v>
      </c>
      <c r="K232" s="9">
        <f>242.84</f>
        <v>242.84</v>
      </c>
      <c r="L232" s="9">
        <f>971.36</f>
        <v>971.36</v>
      </c>
      <c r="M232" s="4"/>
      <c r="N232" s="10">
        <v>1</v>
      </c>
      <c r="O232" s="4" t="s">
        <v>27</v>
      </c>
      <c r="P232" s="11">
        <v>4</v>
      </c>
      <c r="Q232" s="9">
        <f>971.36</f>
        <v>971.36</v>
      </c>
    </row>
    <row r="233" spans="1:17" ht="45" customHeight="1" x14ac:dyDescent="0.25">
      <c r="A233" s="4" t="s">
        <v>20</v>
      </c>
      <c r="B233" s="5" t="s">
        <v>610</v>
      </c>
      <c r="C233" s="4" t="s">
        <v>29</v>
      </c>
      <c r="D233" s="4" t="s">
        <v>611</v>
      </c>
      <c r="E233" s="4" t="s">
        <v>612</v>
      </c>
      <c r="F233" s="6">
        <f>4</f>
        <v>4</v>
      </c>
      <c r="G233" s="4" t="s">
        <v>46</v>
      </c>
      <c r="H233" s="7">
        <v>8.9600000000000009</v>
      </c>
      <c r="I233" s="7">
        <v>8.9600000000000009</v>
      </c>
      <c r="J233" s="8" t="s">
        <v>26</v>
      </c>
      <c r="K233" s="9">
        <f>11.26</f>
        <v>11.26</v>
      </c>
      <c r="L233" s="9">
        <f>45.04</f>
        <v>45.04</v>
      </c>
      <c r="M233" s="4"/>
      <c r="N233" s="10">
        <v>1</v>
      </c>
      <c r="O233" s="4" t="s">
        <v>27</v>
      </c>
      <c r="P233" s="11">
        <v>4</v>
      </c>
      <c r="Q233" s="9">
        <f>45.04</f>
        <v>45.04</v>
      </c>
    </row>
    <row r="234" spans="1:17" ht="45" customHeight="1" x14ac:dyDescent="0.25">
      <c r="A234" s="4" t="s">
        <v>20</v>
      </c>
      <c r="B234" s="5" t="s">
        <v>613</v>
      </c>
      <c r="C234" s="4" t="s">
        <v>29</v>
      </c>
      <c r="D234" s="4" t="s">
        <v>614</v>
      </c>
      <c r="E234" s="4" t="s">
        <v>615</v>
      </c>
      <c r="F234" s="6">
        <f>4</f>
        <v>4</v>
      </c>
      <c r="G234" s="4" t="s">
        <v>46</v>
      </c>
      <c r="H234" s="7">
        <v>25.78</v>
      </c>
      <c r="I234" s="7">
        <v>25.78</v>
      </c>
      <c r="J234" s="8" t="s">
        <v>26</v>
      </c>
      <c r="K234" s="9">
        <f>32.41</f>
        <v>32.409999999999997</v>
      </c>
      <c r="L234" s="9">
        <f>129.64</f>
        <v>129.63999999999999</v>
      </c>
      <c r="M234" s="4"/>
      <c r="N234" s="10">
        <v>1</v>
      </c>
      <c r="O234" s="4" t="s">
        <v>27</v>
      </c>
      <c r="P234" s="11">
        <v>4</v>
      </c>
      <c r="Q234" s="9">
        <f>129.64</f>
        <v>129.63999999999999</v>
      </c>
    </row>
    <row r="235" spans="1:17" ht="45" customHeight="1" x14ac:dyDescent="0.25">
      <c r="A235" s="4" t="s">
        <v>20</v>
      </c>
      <c r="B235" s="5" t="s">
        <v>616</v>
      </c>
      <c r="C235" s="4" t="s">
        <v>29</v>
      </c>
      <c r="D235" s="4" t="s">
        <v>617</v>
      </c>
      <c r="E235" s="4" t="s">
        <v>618</v>
      </c>
      <c r="F235" s="6">
        <f>2</f>
        <v>2</v>
      </c>
      <c r="G235" s="4" t="s">
        <v>46</v>
      </c>
      <c r="H235" s="7">
        <v>72.94</v>
      </c>
      <c r="I235" s="7">
        <v>72.94</v>
      </c>
      <c r="J235" s="8" t="s">
        <v>26</v>
      </c>
      <c r="K235" s="9">
        <f>91.69</f>
        <v>91.69</v>
      </c>
      <c r="L235" s="9">
        <f>183.38</f>
        <v>183.38</v>
      </c>
      <c r="M235" s="4"/>
      <c r="N235" s="10">
        <v>1</v>
      </c>
      <c r="O235" s="4" t="s">
        <v>27</v>
      </c>
      <c r="P235" s="11">
        <v>2</v>
      </c>
      <c r="Q235" s="9">
        <f>183.38</f>
        <v>183.38</v>
      </c>
    </row>
    <row r="236" spans="1:17" ht="45" customHeight="1" x14ac:dyDescent="0.25">
      <c r="A236" s="4" t="s">
        <v>20</v>
      </c>
      <c r="B236" s="5" t="s">
        <v>619</v>
      </c>
      <c r="C236" s="4" t="s">
        <v>29</v>
      </c>
      <c r="D236" s="4" t="s">
        <v>620</v>
      </c>
      <c r="E236" s="4" t="s">
        <v>621</v>
      </c>
      <c r="F236" s="6">
        <f>10</f>
        <v>10</v>
      </c>
      <c r="G236" s="4" t="s">
        <v>46</v>
      </c>
      <c r="H236" s="7">
        <v>95.47</v>
      </c>
      <c r="I236" s="7">
        <v>95.47</v>
      </c>
      <c r="J236" s="8" t="s">
        <v>26</v>
      </c>
      <c r="K236" s="9">
        <f>120.01</f>
        <v>120.01</v>
      </c>
      <c r="L236" s="9">
        <f>1200.1</f>
        <v>1200.0999999999999</v>
      </c>
      <c r="M236" s="4"/>
      <c r="N236" s="10">
        <v>1</v>
      </c>
      <c r="O236" s="4" t="s">
        <v>27</v>
      </c>
      <c r="P236" s="11">
        <v>10</v>
      </c>
      <c r="Q236" s="9">
        <f>1200.1</f>
        <v>1200.0999999999999</v>
      </c>
    </row>
    <row r="237" spans="1:17" ht="45" customHeight="1" x14ac:dyDescent="0.25">
      <c r="A237" s="4" t="s">
        <v>20</v>
      </c>
      <c r="B237" s="5" t="s">
        <v>622</v>
      </c>
      <c r="C237" s="4" t="s">
        <v>29</v>
      </c>
      <c r="D237" s="4" t="s">
        <v>598</v>
      </c>
      <c r="E237" s="4" t="s">
        <v>599</v>
      </c>
      <c r="F237" s="6">
        <f>4</f>
        <v>4</v>
      </c>
      <c r="G237" s="4" t="s">
        <v>46</v>
      </c>
      <c r="H237" s="7">
        <v>345.86</v>
      </c>
      <c r="I237" s="7">
        <v>345.86</v>
      </c>
      <c r="J237" s="8" t="s">
        <v>26</v>
      </c>
      <c r="K237" s="9">
        <f>434.75</f>
        <v>434.75</v>
      </c>
      <c r="L237" s="9">
        <f>1739</f>
        <v>1739</v>
      </c>
      <c r="M237" s="4"/>
      <c r="N237" s="10">
        <v>1</v>
      </c>
      <c r="O237" s="4" t="s">
        <v>27</v>
      </c>
      <c r="P237" s="11">
        <v>4</v>
      </c>
      <c r="Q237" s="9">
        <f>1739</f>
        <v>1739</v>
      </c>
    </row>
    <row r="238" spans="1:17" ht="45" customHeight="1" x14ac:dyDescent="0.25">
      <c r="A238" s="4" t="s">
        <v>20</v>
      </c>
      <c r="B238" s="5" t="s">
        <v>623</v>
      </c>
      <c r="C238" s="4" t="s">
        <v>29</v>
      </c>
      <c r="D238" s="4" t="s">
        <v>624</v>
      </c>
      <c r="E238" s="4" t="s">
        <v>625</v>
      </c>
      <c r="F238" s="6">
        <f>10</f>
        <v>10</v>
      </c>
      <c r="G238" s="4" t="s">
        <v>46</v>
      </c>
      <c r="H238" s="7">
        <v>30.35</v>
      </c>
      <c r="I238" s="7">
        <v>30.35</v>
      </c>
      <c r="J238" s="8" t="s">
        <v>26</v>
      </c>
      <c r="K238" s="9">
        <f>38.15</f>
        <v>38.15</v>
      </c>
      <c r="L238" s="9">
        <f>381.5</f>
        <v>381.5</v>
      </c>
      <c r="M238" s="4"/>
      <c r="N238" s="10">
        <v>1</v>
      </c>
      <c r="O238" s="4" t="s">
        <v>27</v>
      </c>
      <c r="P238" s="11">
        <v>10</v>
      </c>
      <c r="Q238" s="9">
        <f>381.5</f>
        <v>381.5</v>
      </c>
    </row>
    <row r="239" spans="1:17" ht="45" customHeight="1" x14ac:dyDescent="0.25">
      <c r="A239" s="4" t="s">
        <v>20</v>
      </c>
      <c r="B239" s="5" t="s">
        <v>626</v>
      </c>
      <c r="C239" s="4" t="s">
        <v>29</v>
      </c>
      <c r="D239" s="4" t="s">
        <v>627</v>
      </c>
      <c r="E239" s="4" t="s">
        <v>628</v>
      </c>
      <c r="F239" s="6">
        <f>15</f>
        <v>15</v>
      </c>
      <c r="G239" s="4" t="s">
        <v>46</v>
      </c>
      <c r="H239" s="7">
        <v>34.18</v>
      </c>
      <c r="I239" s="7">
        <v>34.18</v>
      </c>
      <c r="J239" s="8" t="s">
        <v>26</v>
      </c>
      <c r="K239" s="9">
        <f>42.96</f>
        <v>42.96</v>
      </c>
      <c r="L239" s="9">
        <f>644.4</f>
        <v>644.4</v>
      </c>
      <c r="M239" s="4"/>
      <c r="N239" s="10">
        <v>1</v>
      </c>
      <c r="O239" s="4" t="s">
        <v>27</v>
      </c>
      <c r="P239" s="11">
        <v>15</v>
      </c>
      <c r="Q239" s="9">
        <f>644.4</f>
        <v>644.4</v>
      </c>
    </row>
    <row r="240" spans="1:17" ht="45" customHeight="1" x14ac:dyDescent="0.25">
      <c r="A240" s="4" t="s">
        <v>20</v>
      </c>
      <c r="B240" s="5" t="s">
        <v>629</v>
      </c>
      <c r="C240" s="4" t="s">
        <v>29</v>
      </c>
      <c r="D240" s="4" t="s">
        <v>630</v>
      </c>
      <c r="E240" s="4" t="s">
        <v>631</v>
      </c>
      <c r="F240" s="6">
        <f>3</f>
        <v>3</v>
      </c>
      <c r="G240" s="4" t="s">
        <v>46</v>
      </c>
      <c r="H240" s="7">
        <v>40.880000000000003</v>
      </c>
      <c r="I240" s="7">
        <v>40.880000000000003</v>
      </c>
      <c r="J240" s="8" t="s">
        <v>26</v>
      </c>
      <c r="K240" s="9">
        <f>51.39</f>
        <v>51.39</v>
      </c>
      <c r="L240" s="9">
        <f>154.17</f>
        <v>154.16999999999999</v>
      </c>
      <c r="M240" s="4"/>
      <c r="N240" s="10">
        <v>1</v>
      </c>
      <c r="O240" s="4" t="s">
        <v>27</v>
      </c>
      <c r="P240" s="11">
        <v>3</v>
      </c>
      <c r="Q240" s="9">
        <f>154.17</f>
        <v>154.16999999999999</v>
      </c>
    </row>
    <row r="241" spans="1:17" ht="45" customHeight="1" x14ac:dyDescent="0.25">
      <c r="A241" s="4" t="s">
        <v>20</v>
      </c>
      <c r="B241" s="5" t="s">
        <v>632</v>
      </c>
      <c r="C241" s="4" t="s">
        <v>29</v>
      </c>
      <c r="D241" s="4" t="s">
        <v>633</v>
      </c>
      <c r="E241" s="4" t="s">
        <v>634</v>
      </c>
      <c r="F241" s="6">
        <f>3</f>
        <v>3</v>
      </c>
      <c r="G241" s="4" t="s">
        <v>46</v>
      </c>
      <c r="H241" s="7">
        <v>36.020000000000003</v>
      </c>
      <c r="I241" s="7">
        <v>36.020000000000003</v>
      </c>
      <c r="J241" s="8" t="s">
        <v>26</v>
      </c>
      <c r="K241" s="9">
        <f>45.28</f>
        <v>45.28</v>
      </c>
      <c r="L241" s="9">
        <f>135.84</f>
        <v>135.84</v>
      </c>
      <c r="M241" s="4"/>
      <c r="N241" s="10">
        <v>1</v>
      </c>
      <c r="O241" s="4" t="s">
        <v>27</v>
      </c>
      <c r="P241" s="11">
        <v>3</v>
      </c>
      <c r="Q241" s="9">
        <f>135.84</f>
        <v>135.84</v>
      </c>
    </row>
    <row r="242" spans="1:17" ht="45" customHeight="1" x14ac:dyDescent="0.25">
      <c r="A242" s="4" t="s">
        <v>20</v>
      </c>
      <c r="B242" s="5" t="s">
        <v>635</v>
      </c>
      <c r="C242" s="4" t="s">
        <v>29</v>
      </c>
      <c r="D242" s="4" t="s">
        <v>636</v>
      </c>
      <c r="E242" s="4" t="s">
        <v>637</v>
      </c>
      <c r="F242" s="6">
        <f>2</f>
        <v>2</v>
      </c>
      <c r="G242" s="4" t="s">
        <v>46</v>
      </c>
      <c r="H242" s="7">
        <v>49.67</v>
      </c>
      <c r="I242" s="7">
        <v>49.67</v>
      </c>
      <c r="J242" s="8" t="s">
        <v>26</v>
      </c>
      <c r="K242" s="9">
        <f>62.44</f>
        <v>62.44</v>
      </c>
      <c r="L242" s="9">
        <f>124.88</f>
        <v>124.88</v>
      </c>
      <c r="M242" s="4"/>
      <c r="N242" s="10">
        <v>1</v>
      </c>
      <c r="O242" s="4" t="s">
        <v>27</v>
      </c>
      <c r="P242" s="11">
        <v>2</v>
      </c>
      <c r="Q242" s="9">
        <f>124.88</f>
        <v>124.88</v>
      </c>
    </row>
    <row r="243" spans="1:17" ht="45" customHeight="1" x14ac:dyDescent="0.25">
      <c r="A243" s="4" t="s">
        <v>20</v>
      </c>
      <c r="B243" s="5" t="s">
        <v>638</v>
      </c>
      <c r="C243" s="4" t="s">
        <v>29</v>
      </c>
      <c r="D243" s="4" t="s">
        <v>639</v>
      </c>
      <c r="E243" s="4" t="s">
        <v>640</v>
      </c>
      <c r="F243" s="6">
        <f>3</f>
        <v>3</v>
      </c>
      <c r="G243" s="4" t="s">
        <v>46</v>
      </c>
      <c r="H243" s="7">
        <v>45.94</v>
      </c>
      <c r="I243" s="7">
        <v>45.94</v>
      </c>
      <c r="J243" s="8" t="s">
        <v>26</v>
      </c>
      <c r="K243" s="9">
        <f>57.75</f>
        <v>57.75</v>
      </c>
      <c r="L243" s="9">
        <f>173.25</f>
        <v>173.25</v>
      </c>
      <c r="M243" s="4"/>
      <c r="N243" s="10">
        <v>1</v>
      </c>
      <c r="O243" s="4" t="s">
        <v>27</v>
      </c>
      <c r="P243" s="11">
        <v>3</v>
      </c>
      <c r="Q243" s="9">
        <f>173.25</f>
        <v>173.25</v>
      </c>
    </row>
    <row r="244" spans="1:17" ht="45" customHeight="1" x14ac:dyDescent="0.25">
      <c r="A244" s="4" t="s">
        <v>20</v>
      </c>
      <c r="B244" s="5" t="s">
        <v>641</v>
      </c>
      <c r="C244" s="4" t="s">
        <v>29</v>
      </c>
      <c r="D244" s="4" t="s">
        <v>642</v>
      </c>
      <c r="E244" s="4" t="s">
        <v>643</v>
      </c>
      <c r="F244" s="6">
        <f>700</f>
        <v>700</v>
      </c>
      <c r="G244" s="4" t="s">
        <v>96</v>
      </c>
      <c r="H244" s="7">
        <v>4.8899999999999997</v>
      </c>
      <c r="I244" s="7">
        <v>4.8899999999999997</v>
      </c>
      <c r="J244" s="8" t="s">
        <v>26</v>
      </c>
      <c r="K244" s="9">
        <f>6.15</f>
        <v>6.15</v>
      </c>
      <c r="L244" s="9">
        <f>4305</f>
        <v>4305</v>
      </c>
      <c r="M244" s="4"/>
      <c r="N244" s="10">
        <v>1</v>
      </c>
      <c r="O244" s="4" t="s">
        <v>27</v>
      </c>
      <c r="P244" s="11">
        <v>700</v>
      </c>
      <c r="Q244" s="9">
        <f>4305</f>
        <v>4305</v>
      </c>
    </row>
    <row r="245" spans="1:17" ht="45" customHeight="1" x14ac:dyDescent="0.25">
      <c r="A245" s="4" t="s">
        <v>20</v>
      </c>
      <c r="B245" s="5" t="s">
        <v>644</v>
      </c>
      <c r="C245" s="4" t="s">
        <v>29</v>
      </c>
      <c r="D245" s="4" t="s">
        <v>274</v>
      </c>
      <c r="E245" s="4" t="s">
        <v>275</v>
      </c>
      <c r="F245" s="6">
        <f>45</f>
        <v>45</v>
      </c>
      <c r="G245" s="4" t="s">
        <v>96</v>
      </c>
      <c r="H245" s="7">
        <v>25.45</v>
      </c>
      <c r="I245" s="7">
        <v>25.45</v>
      </c>
      <c r="J245" s="8" t="s">
        <v>26</v>
      </c>
      <c r="K245" s="9">
        <f>31.99</f>
        <v>31.99</v>
      </c>
      <c r="L245" s="9">
        <f>1439.55</f>
        <v>1439.55</v>
      </c>
      <c r="M245" s="4"/>
      <c r="N245" s="10">
        <v>1</v>
      </c>
      <c r="O245" s="4" t="s">
        <v>27</v>
      </c>
      <c r="P245" s="11">
        <v>45</v>
      </c>
      <c r="Q245" s="9">
        <f>1439.55</f>
        <v>1439.55</v>
      </c>
    </row>
    <row r="246" spans="1:17" ht="45" customHeight="1" x14ac:dyDescent="0.25">
      <c r="A246" s="4" t="s">
        <v>20</v>
      </c>
      <c r="B246" s="5" t="s">
        <v>645</v>
      </c>
      <c r="C246" s="4" t="s">
        <v>29</v>
      </c>
      <c r="D246" s="4" t="s">
        <v>277</v>
      </c>
      <c r="E246" s="4" t="s">
        <v>278</v>
      </c>
      <c r="F246" s="6">
        <f>25</f>
        <v>25</v>
      </c>
      <c r="G246" s="4" t="s">
        <v>96</v>
      </c>
      <c r="H246" s="7">
        <v>41.71</v>
      </c>
      <c r="I246" s="7">
        <v>41.71</v>
      </c>
      <c r="J246" s="8" t="s">
        <v>26</v>
      </c>
      <c r="K246" s="9">
        <f>52.43</f>
        <v>52.43</v>
      </c>
      <c r="L246" s="9">
        <f>1310.75</f>
        <v>1310.75</v>
      </c>
      <c r="M246" s="4"/>
      <c r="N246" s="10">
        <v>1</v>
      </c>
      <c r="O246" s="4" t="s">
        <v>27</v>
      </c>
      <c r="P246" s="11">
        <v>25</v>
      </c>
      <c r="Q246" s="9">
        <f>1310.75</f>
        <v>1310.75</v>
      </c>
    </row>
    <row r="247" spans="1:17" ht="45" customHeight="1" x14ac:dyDescent="0.25">
      <c r="A247" s="4" t="s">
        <v>20</v>
      </c>
      <c r="B247" s="5" t="s">
        <v>646</v>
      </c>
      <c r="C247" s="4" t="s">
        <v>29</v>
      </c>
      <c r="D247" s="4" t="s">
        <v>647</v>
      </c>
      <c r="E247" s="4" t="s">
        <v>648</v>
      </c>
      <c r="F247" s="6">
        <f>550</f>
        <v>550</v>
      </c>
      <c r="G247" s="4" t="s">
        <v>96</v>
      </c>
      <c r="H247" s="7">
        <v>7.41</v>
      </c>
      <c r="I247" s="7">
        <v>7.41</v>
      </c>
      <c r="J247" s="8" t="s">
        <v>26</v>
      </c>
      <c r="K247" s="9">
        <f>9.31</f>
        <v>9.31</v>
      </c>
      <c r="L247" s="9">
        <f>5120.5</f>
        <v>5120.5</v>
      </c>
      <c r="M247" s="4"/>
      <c r="N247" s="10">
        <v>1</v>
      </c>
      <c r="O247" s="4" t="s">
        <v>27</v>
      </c>
      <c r="P247" s="11">
        <v>550</v>
      </c>
      <c r="Q247" s="9">
        <f>5120.5</f>
        <v>5120.5</v>
      </c>
    </row>
    <row r="248" spans="1:17" ht="45" customHeight="1" x14ac:dyDescent="0.25">
      <c r="A248" s="4" t="s">
        <v>20</v>
      </c>
      <c r="B248" s="5" t="s">
        <v>649</v>
      </c>
      <c r="C248" s="4" t="s">
        <v>29</v>
      </c>
      <c r="D248" s="4" t="s">
        <v>650</v>
      </c>
      <c r="E248" s="4" t="s">
        <v>651</v>
      </c>
      <c r="F248" s="6">
        <f>30</f>
        <v>30</v>
      </c>
      <c r="G248" s="4" t="s">
        <v>96</v>
      </c>
      <c r="H248" s="7">
        <v>14.32</v>
      </c>
      <c r="I248" s="7">
        <v>14.32</v>
      </c>
      <c r="J248" s="8" t="s">
        <v>26</v>
      </c>
      <c r="K248" s="9">
        <f>18</f>
        <v>18</v>
      </c>
      <c r="L248" s="9">
        <f>540</f>
        <v>540</v>
      </c>
      <c r="M248" s="4"/>
      <c r="N248" s="10">
        <v>1</v>
      </c>
      <c r="O248" s="4" t="s">
        <v>27</v>
      </c>
      <c r="P248" s="11">
        <v>30</v>
      </c>
      <c r="Q248" s="9">
        <f>540</f>
        <v>540</v>
      </c>
    </row>
    <row r="249" spans="1:17" ht="45" customHeight="1" x14ac:dyDescent="0.25">
      <c r="A249" s="4" t="s">
        <v>20</v>
      </c>
      <c r="B249" s="5" t="s">
        <v>652</v>
      </c>
      <c r="C249" s="4" t="s">
        <v>29</v>
      </c>
      <c r="D249" s="4" t="s">
        <v>280</v>
      </c>
      <c r="E249" s="4" t="s">
        <v>281</v>
      </c>
      <c r="F249" s="6">
        <f>80</f>
        <v>80</v>
      </c>
      <c r="G249" s="4" t="s">
        <v>96</v>
      </c>
      <c r="H249" s="7">
        <v>19.420000000000002</v>
      </c>
      <c r="I249" s="7">
        <v>19.420000000000002</v>
      </c>
      <c r="J249" s="8" t="s">
        <v>26</v>
      </c>
      <c r="K249" s="9">
        <f>24.41</f>
        <v>24.41</v>
      </c>
      <c r="L249" s="9">
        <f>1952.8</f>
        <v>1952.8</v>
      </c>
      <c r="M249" s="4"/>
      <c r="N249" s="10">
        <v>1</v>
      </c>
      <c r="O249" s="4" t="s">
        <v>27</v>
      </c>
      <c r="P249" s="11">
        <v>80</v>
      </c>
      <c r="Q249" s="9">
        <f>1952.8</f>
        <v>1952.8</v>
      </c>
    </row>
    <row r="250" spans="1:17" ht="45" customHeight="1" x14ac:dyDescent="0.25">
      <c r="A250" s="4" t="s">
        <v>20</v>
      </c>
      <c r="B250" s="5" t="s">
        <v>653</v>
      </c>
      <c r="C250" s="4" t="s">
        <v>29</v>
      </c>
      <c r="D250" s="4" t="s">
        <v>654</v>
      </c>
      <c r="E250" s="4" t="s">
        <v>655</v>
      </c>
      <c r="F250" s="6">
        <f>100</f>
        <v>100</v>
      </c>
      <c r="G250" s="4" t="s">
        <v>96</v>
      </c>
      <c r="H250" s="7">
        <v>79.47</v>
      </c>
      <c r="I250" s="7">
        <v>79.47</v>
      </c>
      <c r="J250" s="8" t="s">
        <v>26</v>
      </c>
      <c r="K250" s="9">
        <f>99.89</f>
        <v>99.89</v>
      </c>
      <c r="L250" s="9">
        <f>9989</f>
        <v>9989</v>
      </c>
      <c r="M250" s="4"/>
      <c r="N250" s="10">
        <v>1</v>
      </c>
      <c r="O250" s="4" t="s">
        <v>27</v>
      </c>
      <c r="P250" s="11">
        <v>100</v>
      </c>
      <c r="Q250" s="9">
        <f>9989</f>
        <v>9989</v>
      </c>
    </row>
    <row r="251" spans="1:17" ht="45" customHeight="1" x14ac:dyDescent="0.25">
      <c r="A251" s="4" t="s">
        <v>20</v>
      </c>
      <c r="B251" s="5" t="s">
        <v>656</v>
      </c>
      <c r="C251" s="4" t="s">
        <v>29</v>
      </c>
      <c r="D251" s="4" t="s">
        <v>657</v>
      </c>
      <c r="E251" s="4" t="s">
        <v>658</v>
      </c>
      <c r="F251" s="6">
        <f>100</f>
        <v>100</v>
      </c>
      <c r="G251" s="4" t="s">
        <v>96</v>
      </c>
      <c r="H251" s="7">
        <v>98.52</v>
      </c>
      <c r="I251" s="7">
        <v>98.52</v>
      </c>
      <c r="J251" s="8" t="s">
        <v>26</v>
      </c>
      <c r="K251" s="9">
        <f>123.84</f>
        <v>123.84</v>
      </c>
      <c r="L251" s="9">
        <f>12384</f>
        <v>12384</v>
      </c>
      <c r="M251" s="4"/>
      <c r="N251" s="10">
        <v>1</v>
      </c>
      <c r="O251" s="4" t="s">
        <v>27</v>
      </c>
      <c r="P251" s="11">
        <v>100</v>
      </c>
      <c r="Q251" s="9">
        <f>12384</f>
        <v>12384</v>
      </c>
    </row>
    <row r="252" spans="1:17" ht="45" customHeight="1" x14ac:dyDescent="0.25">
      <c r="A252" s="4" t="s">
        <v>20</v>
      </c>
      <c r="B252" s="5" t="s">
        <v>659</v>
      </c>
      <c r="C252" s="4" t="s">
        <v>29</v>
      </c>
      <c r="D252" s="4" t="s">
        <v>660</v>
      </c>
      <c r="E252" s="4" t="s">
        <v>661</v>
      </c>
      <c r="F252" s="6">
        <f>330</f>
        <v>330</v>
      </c>
      <c r="G252" s="4" t="s">
        <v>96</v>
      </c>
      <c r="H252" s="7">
        <v>159.13999999999999</v>
      </c>
      <c r="I252" s="7">
        <v>159.13999999999999</v>
      </c>
      <c r="J252" s="8" t="s">
        <v>26</v>
      </c>
      <c r="K252" s="9">
        <f>200.04</f>
        <v>200.04</v>
      </c>
      <c r="L252" s="9">
        <f>66013.2</f>
        <v>66013.2</v>
      </c>
      <c r="M252" s="4"/>
      <c r="N252" s="10">
        <v>1</v>
      </c>
      <c r="O252" s="4" t="s">
        <v>27</v>
      </c>
      <c r="P252" s="11">
        <v>330</v>
      </c>
      <c r="Q252" s="9">
        <f>66013.2</f>
        <v>66013.2</v>
      </c>
    </row>
    <row r="253" spans="1:17" ht="45" customHeight="1" x14ac:dyDescent="0.25">
      <c r="A253" s="4" t="s">
        <v>20</v>
      </c>
      <c r="B253" s="5" t="s">
        <v>662</v>
      </c>
      <c r="C253" s="4" t="s">
        <v>29</v>
      </c>
      <c r="D253" s="4" t="s">
        <v>663</v>
      </c>
      <c r="E253" s="4" t="s">
        <v>664</v>
      </c>
      <c r="F253" s="6">
        <f>300</f>
        <v>300</v>
      </c>
      <c r="G253" s="4" t="s">
        <v>96</v>
      </c>
      <c r="H253" s="7">
        <v>181.39</v>
      </c>
      <c r="I253" s="7">
        <v>181.39</v>
      </c>
      <c r="J253" s="8" t="s">
        <v>26</v>
      </c>
      <c r="K253" s="9">
        <f>228.01</f>
        <v>228.01</v>
      </c>
      <c r="L253" s="9">
        <f>68403</f>
        <v>68403</v>
      </c>
      <c r="M253" s="4"/>
      <c r="N253" s="10">
        <v>1</v>
      </c>
      <c r="O253" s="4" t="s">
        <v>27</v>
      </c>
      <c r="P253" s="11">
        <v>300</v>
      </c>
      <c r="Q253" s="9">
        <f>68403</f>
        <v>68403</v>
      </c>
    </row>
    <row r="254" spans="1:17" ht="45" customHeight="1" x14ac:dyDescent="0.25">
      <c r="A254" s="4" t="s">
        <v>20</v>
      </c>
      <c r="B254" s="5" t="s">
        <v>665</v>
      </c>
      <c r="C254" s="4" t="s">
        <v>29</v>
      </c>
      <c r="D254" s="4" t="s">
        <v>292</v>
      </c>
      <c r="E254" s="4" t="s">
        <v>293</v>
      </c>
      <c r="F254" s="6">
        <f>60</f>
        <v>60</v>
      </c>
      <c r="G254" s="4" t="s">
        <v>96</v>
      </c>
      <c r="H254" s="7">
        <v>9.08</v>
      </c>
      <c r="I254" s="7">
        <v>9.08</v>
      </c>
      <c r="J254" s="8" t="s">
        <v>26</v>
      </c>
      <c r="K254" s="9">
        <f>11.41</f>
        <v>11.41</v>
      </c>
      <c r="L254" s="9">
        <f>684.6</f>
        <v>684.6</v>
      </c>
      <c r="M254" s="4"/>
      <c r="N254" s="10">
        <v>1</v>
      </c>
      <c r="O254" s="4" t="s">
        <v>27</v>
      </c>
      <c r="P254" s="11">
        <v>60</v>
      </c>
      <c r="Q254" s="9">
        <f>684.6</f>
        <v>684.6</v>
      </c>
    </row>
    <row r="255" spans="1:17" ht="45" customHeight="1" x14ac:dyDescent="0.25">
      <c r="A255" s="4" t="s">
        <v>20</v>
      </c>
      <c r="B255" s="5" t="s">
        <v>666</v>
      </c>
      <c r="C255" s="4" t="s">
        <v>29</v>
      </c>
      <c r="D255" s="4" t="s">
        <v>295</v>
      </c>
      <c r="E255" s="4" t="s">
        <v>296</v>
      </c>
      <c r="F255" s="6">
        <f>200</f>
        <v>200</v>
      </c>
      <c r="G255" s="4" t="s">
        <v>96</v>
      </c>
      <c r="H255" s="7">
        <v>57.64</v>
      </c>
      <c r="I255" s="7">
        <v>57.64</v>
      </c>
      <c r="J255" s="8" t="s">
        <v>26</v>
      </c>
      <c r="K255" s="9">
        <f>72.45</f>
        <v>72.45</v>
      </c>
      <c r="L255" s="9">
        <f>14490</f>
        <v>14490</v>
      </c>
      <c r="M255" s="4"/>
      <c r="N255" s="10">
        <v>1</v>
      </c>
      <c r="O255" s="4" t="s">
        <v>27</v>
      </c>
      <c r="P255" s="11">
        <v>200</v>
      </c>
      <c r="Q255" s="9">
        <f>14490</f>
        <v>14490</v>
      </c>
    </row>
    <row r="256" spans="1:17" ht="45" customHeight="1" x14ac:dyDescent="0.25">
      <c r="A256" s="4" t="s">
        <v>20</v>
      </c>
      <c r="B256" s="5" t="s">
        <v>667</v>
      </c>
      <c r="C256" s="4" t="s">
        <v>29</v>
      </c>
      <c r="D256" s="4" t="s">
        <v>668</v>
      </c>
      <c r="E256" s="4" t="s">
        <v>669</v>
      </c>
      <c r="F256" s="6">
        <f>8</f>
        <v>8</v>
      </c>
      <c r="G256" s="4" t="s">
        <v>46</v>
      </c>
      <c r="H256" s="7">
        <v>429.63</v>
      </c>
      <c r="I256" s="7">
        <v>429.63</v>
      </c>
      <c r="J256" s="8" t="s">
        <v>26</v>
      </c>
      <c r="K256" s="9">
        <f>540.04</f>
        <v>540.04</v>
      </c>
      <c r="L256" s="9">
        <f>4320.32</f>
        <v>4320.32</v>
      </c>
      <c r="M256" s="4"/>
      <c r="N256" s="10">
        <v>1</v>
      </c>
      <c r="O256" s="4" t="s">
        <v>27</v>
      </c>
      <c r="P256" s="11">
        <v>8</v>
      </c>
      <c r="Q256" s="9">
        <f>4320.32</f>
        <v>4320.32</v>
      </c>
    </row>
    <row r="257" spans="1:17" ht="45" customHeight="1" x14ac:dyDescent="0.25">
      <c r="A257" s="4" t="s">
        <v>20</v>
      </c>
      <c r="B257" s="5" t="s">
        <v>670</v>
      </c>
      <c r="C257" s="4" t="s">
        <v>29</v>
      </c>
      <c r="D257" s="4" t="s">
        <v>671</v>
      </c>
      <c r="E257" s="4" t="s">
        <v>672</v>
      </c>
      <c r="F257" s="6">
        <f>19</f>
        <v>19</v>
      </c>
      <c r="G257" s="4" t="s">
        <v>46</v>
      </c>
      <c r="H257" s="7">
        <v>54.62</v>
      </c>
      <c r="I257" s="7">
        <v>54.62</v>
      </c>
      <c r="J257" s="8" t="s">
        <v>26</v>
      </c>
      <c r="K257" s="9">
        <f>68.66</f>
        <v>68.66</v>
      </c>
      <c r="L257" s="9">
        <f>1304.54</f>
        <v>1304.54</v>
      </c>
      <c r="M257" s="4"/>
      <c r="N257" s="10">
        <v>1</v>
      </c>
      <c r="O257" s="4" t="s">
        <v>27</v>
      </c>
      <c r="P257" s="11">
        <v>19</v>
      </c>
      <c r="Q257" s="9">
        <f>1304.54</f>
        <v>1304.54</v>
      </c>
    </row>
    <row r="258" spans="1:17" ht="45" customHeight="1" x14ac:dyDescent="0.25">
      <c r="A258" s="4" t="s">
        <v>20</v>
      </c>
      <c r="B258" s="5" t="s">
        <v>673</v>
      </c>
      <c r="C258" s="4" t="s">
        <v>29</v>
      </c>
      <c r="D258" s="4" t="s">
        <v>674</v>
      </c>
      <c r="E258" s="4" t="s">
        <v>675</v>
      </c>
      <c r="F258" s="6">
        <f>50</f>
        <v>50</v>
      </c>
      <c r="G258" s="4" t="s">
        <v>46</v>
      </c>
      <c r="H258" s="7">
        <v>133.13999999999999</v>
      </c>
      <c r="I258" s="7">
        <v>133.13999999999999</v>
      </c>
      <c r="J258" s="8" t="s">
        <v>26</v>
      </c>
      <c r="K258" s="9">
        <f>167.36</f>
        <v>167.36</v>
      </c>
      <c r="L258" s="9">
        <f>8368</f>
        <v>8368</v>
      </c>
      <c r="M258" s="4"/>
      <c r="N258" s="10">
        <v>1</v>
      </c>
      <c r="O258" s="4" t="s">
        <v>27</v>
      </c>
      <c r="P258" s="11">
        <v>50</v>
      </c>
      <c r="Q258" s="9">
        <f>8368</f>
        <v>8368</v>
      </c>
    </row>
    <row r="259" spans="1:17" ht="45" customHeight="1" x14ac:dyDescent="0.25">
      <c r="A259" s="4" t="s">
        <v>20</v>
      </c>
      <c r="B259" s="5" t="s">
        <v>676</v>
      </c>
      <c r="C259" s="4" t="s">
        <v>29</v>
      </c>
      <c r="D259" s="4" t="s">
        <v>677</v>
      </c>
      <c r="E259" s="4" t="s">
        <v>678</v>
      </c>
      <c r="F259" s="6">
        <f>2</f>
        <v>2</v>
      </c>
      <c r="G259" s="4" t="s">
        <v>46</v>
      </c>
      <c r="H259" s="7">
        <v>123.79</v>
      </c>
      <c r="I259" s="7">
        <v>123.79</v>
      </c>
      <c r="J259" s="8" t="s">
        <v>26</v>
      </c>
      <c r="K259" s="9">
        <f>155.6</f>
        <v>155.6</v>
      </c>
      <c r="L259" s="9">
        <f>311.2</f>
        <v>311.2</v>
      </c>
      <c r="M259" s="4"/>
      <c r="N259" s="10">
        <v>1</v>
      </c>
      <c r="O259" s="4" t="s">
        <v>27</v>
      </c>
      <c r="P259" s="11">
        <v>2</v>
      </c>
      <c r="Q259" s="9">
        <f>311.2</f>
        <v>311.2</v>
      </c>
    </row>
    <row r="260" spans="1:17" ht="45" customHeight="1" x14ac:dyDescent="0.25">
      <c r="A260" s="4" t="s">
        <v>20</v>
      </c>
      <c r="B260" s="5" t="s">
        <v>679</v>
      </c>
      <c r="C260" s="4" t="s">
        <v>29</v>
      </c>
      <c r="D260" s="4" t="s">
        <v>680</v>
      </c>
      <c r="E260" s="4" t="s">
        <v>681</v>
      </c>
      <c r="F260" s="6">
        <f>6</f>
        <v>6</v>
      </c>
      <c r="G260" s="4" t="s">
        <v>46</v>
      </c>
      <c r="H260" s="7">
        <v>1040.4000000000001</v>
      </c>
      <c r="I260" s="7">
        <v>1040.4000000000001</v>
      </c>
      <c r="J260" s="8" t="s">
        <v>26</v>
      </c>
      <c r="K260" s="9">
        <f>1307.78</f>
        <v>1307.78</v>
      </c>
      <c r="L260" s="9">
        <f>7846.68</f>
        <v>7846.68</v>
      </c>
      <c r="M260" s="4"/>
      <c r="N260" s="10">
        <v>1</v>
      </c>
      <c r="O260" s="4" t="s">
        <v>27</v>
      </c>
      <c r="P260" s="11">
        <v>6</v>
      </c>
      <c r="Q260" s="9">
        <f>7846.68</f>
        <v>7846.68</v>
      </c>
    </row>
    <row r="261" spans="1:17" ht="45" customHeight="1" x14ac:dyDescent="0.25">
      <c r="A261" s="4" t="s">
        <v>20</v>
      </c>
      <c r="B261" s="5" t="s">
        <v>682</v>
      </c>
      <c r="C261" s="4" t="s">
        <v>29</v>
      </c>
      <c r="D261" s="4" t="s">
        <v>683</v>
      </c>
      <c r="E261" s="4" t="s">
        <v>684</v>
      </c>
      <c r="F261" s="6">
        <f>6</f>
        <v>6</v>
      </c>
      <c r="G261" s="4" t="s">
        <v>46</v>
      </c>
      <c r="H261" s="7">
        <v>850.65</v>
      </c>
      <c r="I261" s="7">
        <v>850.65</v>
      </c>
      <c r="J261" s="8" t="s">
        <v>26</v>
      </c>
      <c r="K261" s="9">
        <f>1069.27</f>
        <v>1069.27</v>
      </c>
      <c r="L261" s="9">
        <f>6415.62</f>
        <v>6415.62</v>
      </c>
      <c r="M261" s="4"/>
      <c r="N261" s="10">
        <v>1</v>
      </c>
      <c r="O261" s="4" t="s">
        <v>27</v>
      </c>
      <c r="P261" s="11">
        <v>6</v>
      </c>
      <c r="Q261" s="9">
        <f>6415.62</f>
        <v>6415.62</v>
      </c>
    </row>
    <row r="262" spans="1:17" ht="45" customHeight="1" x14ac:dyDescent="0.25">
      <c r="A262" s="4" t="s">
        <v>20</v>
      </c>
      <c r="B262" s="5" t="s">
        <v>685</v>
      </c>
      <c r="C262" s="4" t="s">
        <v>29</v>
      </c>
      <c r="D262" s="4" t="s">
        <v>686</v>
      </c>
      <c r="E262" s="4" t="s">
        <v>687</v>
      </c>
      <c r="F262" s="6">
        <f>6</f>
        <v>6</v>
      </c>
      <c r="G262" s="4" t="s">
        <v>46</v>
      </c>
      <c r="H262" s="7">
        <v>170.55</v>
      </c>
      <c r="I262" s="7">
        <v>170.55</v>
      </c>
      <c r="J262" s="8" t="s">
        <v>26</v>
      </c>
      <c r="K262" s="9">
        <f>214.38</f>
        <v>214.38</v>
      </c>
      <c r="L262" s="9">
        <f>1286.28</f>
        <v>1286.28</v>
      </c>
      <c r="M262" s="4"/>
      <c r="N262" s="10">
        <v>1</v>
      </c>
      <c r="O262" s="4" t="s">
        <v>27</v>
      </c>
      <c r="P262" s="11">
        <v>6</v>
      </c>
      <c r="Q262" s="9">
        <f>1286.28</f>
        <v>1286.28</v>
      </c>
    </row>
    <row r="263" spans="1:17" ht="45" customHeight="1" x14ac:dyDescent="0.25">
      <c r="A263" s="4" t="s">
        <v>20</v>
      </c>
      <c r="B263" s="5" t="s">
        <v>688</v>
      </c>
      <c r="C263" s="4" t="s">
        <v>29</v>
      </c>
      <c r="D263" s="4" t="s">
        <v>689</v>
      </c>
      <c r="E263" s="4" t="s">
        <v>690</v>
      </c>
      <c r="F263" s="6">
        <f>4</f>
        <v>4</v>
      </c>
      <c r="G263" s="4" t="s">
        <v>46</v>
      </c>
      <c r="H263" s="7">
        <v>417.14</v>
      </c>
      <c r="I263" s="7">
        <v>417.14</v>
      </c>
      <c r="J263" s="8" t="s">
        <v>26</v>
      </c>
      <c r="K263" s="9">
        <f>524.34</f>
        <v>524.34</v>
      </c>
      <c r="L263" s="9">
        <f>2097.36</f>
        <v>2097.36</v>
      </c>
      <c r="M263" s="4"/>
      <c r="N263" s="10">
        <v>1</v>
      </c>
      <c r="O263" s="4" t="s">
        <v>27</v>
      </c>
      <c r="P263" s="11">
        <v>4</v>
      </c>
      <c r="Q263" s="9">
        <f>2097.36</f>
        <v>2097.36</v>
      </c>
    </row>
    <row r="264" spans="1:17" ht="45" customHeight="1" x14ac:dyDescent="0.25">
      <c r="A264" s="4" t="s">
        <v>20</v>
      </c>
      <c r="B264" s="5" t="s">
        <v>691</v>
      </c>
      <c r="C264" s="4" t="s">
        <v>29</v>
      </c>
      <c r="D264" s="4" t="s">
        <v>692</v>
      </c>
      <c r="E264" s="4" t="s">
        <v>693</v>
      </c>
      <c r="F264" s="6">
        <f>1</f>
        <v>1</v>
      </c>
      <c r="G264" s="4" t="s">
        <v>46</v>
      </c>
      <c r="H264" s="7">
        <v>1021.86</v>
      </c>
      <c r="I264" s="7">
        <v>1021.86</v>
      </c>
      <c r="J264" s="8" t="s">
        <v>26</v>
      </c>
      <c r="K264" s="9">
        <f>1284.48</f>
        <v>1284.48</v>
      </c>
      <c r="L264" s="9">
        <f>1284.48</f>
        <v>1284.48</v>
      </c>
      <c r="M264" s="4"/>
      <c r="N264" s="10">
        <v>1</v>
      </c>
      <c r="O264" s="4" t="s">
        <v>27</v>
      </c>
      <c r="P264" s="11">
        <v>1</v>
      </c>
      <c r="Q264" s="9">
        <f>1284.48</f>
        <v>1284.48</v>
      </c>
    </row>
    <row r="265" spans="1:17" ht="45" customHeight="1" x14ac:dyDescent="0.25">
      <c r="A265" s="4" t="s">
        <v>20</v>
      </c>
      <c r="B265" s="5" t="s">
        <v>694</v>
      </c>
      <c r="C265" s="4" t="s">
        <v>29</v>
      </c>
      <c r="D265" s="4" t="s">
        <v>695</v>
      </c>
      <c r="E265" s="4" t="s">
        <v>696</v>
      </c>
      <c r="F265" s="6">
        <f>1</f>
        <v>1</v>
      </c>
      <c r="G265" s="4" t="s">
        <v>46</v>
      </c>
      <c r="H265" s="7">
        <v>1270.33</v>
      </c>
      <c r="I265" s="7">
        <v>1270.33</v>
      </c>
      <c r="J265" s="8" t="s">
        <v>26</v>
      </c>
      <c r="K265" s="9">
        <f>1596.8</f>
        <v>1596.8</v>
      </c>
      <c r="L265" s="9">
        <f>1596.8</f>
        <v>1596.8</v>
      </c>
      <c r="M265" s="4"/>
      <c r="N265" s="10">
        <v>1</v>
      </c>
      <c r="O265" s="4" t="s">
        <v>27</v>
      </c>
      <c r="P265" s="11">
        <v>1</v>
      </c>
      <c r="Q265" s="9">
        <f>1596.8</f>
        <v>1596.8</v>
      </c>
    </row>
    <row r="266" spans="1:17" ht="45" customHeight="1" x14ac:dyDescent="0.25">
      <c r="A266" s="4" t="s">
        <v>20</v>
      </c>
      <c r="B266" s="5" t="s">
        <v>697</v>
      </c>
      <c r="C266" s="4" t="s">
        <v>29</v>
      </c>
      <c r="D266" s="4" t="s">
        <v>698</v>
      </c>
      <c r="E266" s="4" t="s">
        <v>699</v>
      </c>
      <c r="F266" s="6">
        <f>30</f>
        <v>30</v>
      </c>
      <c r="G266" s="4" t="s">
        <v>96</v>
      </c>
      <c r="H266" s="7">
        <v>104.87</v>
      </c>
      <c r="I266" s="7">
        <v>104.87</v>
      </c>
      <c r="J266" s="8" t="s">
        <v>26</v>
      </c>
      <c r="K266" s="9">
        <f>131.82</f>
        <v>131.82</v>
      </c>
      <c r="L266" s="9">
        <f>3954.6</f>
        <v>3954.6</v>
      </c>
      <c r="M266" s="4"/>
      <c r="N266" s="10">
        <v>1</v>
      </c>
      <c r="O266" s="4" t="s">
        <v>27</v>
      </c>
      <c r="P266" s="11">
        <v>30</v>
      </c>
      <c r="Q266" s="9">
        <f>3954.6</f>
        <v>3954.6</v>
      </c>
    </row>
    <row r="267" spans="1:17" ht="45" customHeight="1" x14ac:dyDescent="0.25">
      <c r="A267" s="4" t="s">
        <v>20</v>
      </c>
      <c r="B267" s="5" t="s">
        <v>700</v>
      </c>
      <c r="C267" s="4" t="s">
        <v>29</v>
      </c>
      <c r="D267" s="4" t="s">
        <v>698</v>
      </c>
      <c r="E267" s="4" t="s">
        <v>699</v>
      </c>
      <c r="F267" s="6">
        <f>40</f>
        <v>40</v>
      </c>
      <c r="G267" s="4" t="s">
        <v>96</v>
      </c>
      <c r="H267" s="7">
        <v>104.87</v>
      </c>
      <c r="I267" s="7">
        <v>104.87</v>
      </c>
      <c r="J267" s="8" t="s">
        <v>26</v>
      </c>
      <c r="K267" s="9">
        <f>131.82</f>
        <v>131.82</v>
      </c>
      <c r="L267" s="9">
        <f>5272.8</f>
        <v>5272.8</v>
      </c>
      <c r="M267" s="4"/>
      <c r="N267" s="10">
        <v>1</v>
      </c>
      <c r="O267" s="4" t="s">
        <v>27</v>
      </c>
      <c r="P267" s="11">
        <v>40</v>
      </c>
      <c r="Q267" s="9">
        <f>5272.8</f>
        <v>5272.8</v>
      </c>
    </row>
    <row r="268" spans="1:17" ht="45" customHeight="1" x14ac:dyDescent="0.25">
      <c r="A268" s="4" t="s">
        <v>20</v>
      </c>
      <c r="B268" s="5" t="s">
        <v>701</v>
      </c>
      <c r="C268" s="4" t="s">
        <v>29</v>
      </c>
      <c r="D268" s="4" t="s">
        <v>702</v>
      </c>
      <c r="E268" s="4" t="s">
        <v>703</v>
      </c>
      <c r="F268" s="6">
        <f>45</f>
        <v>45</v>
      </c>
      <c r="G268" s="4" t="s">
        <v>96</v>
      </c>
      <c r="H268" s="7">
        <v>231.54</v>
      </c>
      <c r="I268" s="7">
        <v>231.54</v>
      </c>
      <c r="J268" s="8" t="s">
        <v>26</v>
      </c>
      <c r="K268" s="9">
        <f>291.05</f>
        <v>291.05</v>
      </c>
      <c r="L268" s="9">
        <f>13097.25</f>
        <v>13097.25</v>
      </c>
      <c r="M268" s="4"/>
      <c r="N268" s="10">
        <v>1</v>
      </c>
      <c r="O268" s="4" t="s">
        <v>27</v>
      </c>
      <c r="P268" s="11">
        <v>45</v>
      </c>
      <c r="Q268" s="9">
        <f>13097.25</f>
        <v>13097.25</v>
      </c>
    </row>
    <row r="269" spans="1:17" ht="45" customHeight="1" x14ac:dyDescent="0.25">
      <c r="A269" s="4" t="s">
        <v>20</v>
      </c>
      <c r="B269" s="5" t="s">
        <v>704</v>
      </c>
      <c r="C269" s="4" t="s">
        <v>29</v>
      </c>
      <c r="D269" s="4" t="s">
        <v>301</v>
      </c>
      <c r="E269" s="4" t="s">
        <v>302</v>
      </c>
      <c r="F269" s="6">
        <f>1</f>
        <v>1</v>
      </c>
      <c r="G269" s="4" t="s">
        <v>46</v>
      </c>
      <c r="H269" s="7">
        <v>442.57</v>
      </c>
      <c r="I269" s="7">
        <v>442.57</v>
      </c>
      <c r="J269" s="8" t="s">
        <v>26</v>
      </c>
      <c r="K269" s="9">
        <f>556.31</f>
        <v>556.30999999999995</v>
      </c>
      <c r="L269" s="9">
        <f>556.31</f>
        <v>556.30999999999995</v>
      </c>
      <c r="M269" s="4"/>
      <c r="N269" s="10">
        <v>1</v>
      </c>
      <c r="O269" s="4" t="s">
        <v>27</v>
      </c>
      <c r="P269" s="11">
        <v>1</v>
      </c>
      <c r="Q269" s="9">
        <f>556.31</f>
        <v>556.30999999999995</v>
      </c>
    </row>
    <row r="270" spans="1:17" ht="45" customHeight="1" x14ac:dyDescent="0.25">
      <c r="A270" s="4" t="s">
        <v>20</v>
      </c>
      <c r="B270" s="5" t="s">
        <v>705</v>
      </c>
      <c r="C270" s="4" t="s">
        <v>29</v>
      </c>
      <c r="D270" s="4" t="s">
        <v>706</v>
      </c>
      <c r="E270" s="4" t="s">
        <v>707</v>
      </c>
      <c r="F270" s="6">
        <f>35</f>
        <v>35</v>
      </c>
      <c r="G270" s="4" t="s">
        <v>46</v>
      </c>
      <c r="H270" s="7">
        <v>29.25</v>
      </c>
      <c r="I270" s="7">
        <v>29.25</v>
      </c>
      <c r="J270" s="8" t="s">
        <v>26</v>
      </c>
      <c r="K270" s="9">
        <f>36.77</f>
        <v>36.770000000000003</v>
      </c>
      <c r="L270" s="9">
        <f>1286.95</f>
        <v>1286.95</v>
      </c>
      <c r="M270" s="4"/>
      <c r="N270" s="10">
        <v>1</v>
      </c>
      <c r="O270" s="4" t="s">
        <v>27</v>
      </c>
      <c r="P270" s="11">
        <v>35</v>
      </c>
      <c r="Q270" s="9">
        <f>1286.95</f>
        <v>1286.95</v>
      </c>
    </row>
    <row r="271" spans="1:17" ht="45" customHeight="1" x14ac:dyDescent="0.25">
      <c r="A271" s="4" t="s">
        <v>20</v>
      </c>
      <c r="B271" s="5" t="s">
        <v>708</v>
      </c>
      <c r="C271" s="4" t="s">
        <v>63</v>
      </c>
      <c r="D271" s="4" t="s">
        <v>709</v>
      </c>
      <c r="E271" s="4" t="s">
        <v>710</v>
      </c>
      <c r="F271" s="6">
        <f>20</f>
        <v>20</v>
      </c>
      <c r="G271" s="4" t="s">
        <v>96</v>
      </c>
      <c r="H271" s="7">
        <v>5.0599999999999996</v>
      </c>
      <c r="I271" s="7">
        <v>5.0599999999999996</v>
      </c>
      <c r="J271" s="8" t="s">
        <v>26</v>
      </c>
      <c r="K271" s="9">
        <f>6.36</f>
        <v>6.36</v>
      </c>
      <c r="L271" s="9">
        <f>127.2</f>
        <v>127.2</v>
      </c>
      <c r="M271" s="4"/>
      <c r="N271" s="10">
        <v>1</v>
      </c>
      <c r="O271" s="4" t="s">
        <v>27</v>
      </c>
      <c r="P271" s="11">
        <v>20</v>
      </c>
      <c r="Q271" s="9">
        <f>127.2</f>
        <v>127.2</v>
      </c>
    </row>
    <row r="272" spans="1:17" ht="45" customHeight="1" x14ac:dyDescent="0.25">
      <c r="A272" s="4" t="s">
        <v>20</v>
      </c>
      <c r="B272" s="5" t="s">
        <v>711</v>
      </c>
      <c r="C272" s="4" t="s">
        <v>63</v>
      </c>
      <c r="D272" s="4" t="s">
        <v>712</v>
      </c>
      <c r="E272" s="4" t="s">
        <v>713</v>
      </c>
      <c r="F272" s="6">
        <f>8</f>
        <v>8</v>
      </c>
      <c r="G272" s="4" t="s">
        <v>46</v>
      </c>
      <c r="H272" s="7">
        <v>57.04</v>
      </c>
      <c r="I272" s="7">
        <v>57.04</v>
      </c>
      <c r="J272" s="8" t="s">
        <v>26</v>
      </c>
      <c r="K272" s="9">
        <f>71.7</f>
        <v>71.7</v>
      </c>
      <c r="L272" s="9">
        <f>573.6</f>
        <v>573.6</v>
      </c>
      <c r="M272" s="4"/>
      <c r="N272" s="10">
        <v>1</v>
      </c>
      <c r="O272" s="4" t="s">
        <v>27</v>
      </c>
      <c r="P272" s="11">
        <v>8</v>
      </c>
      <c r="Q272" s="9">
        <f>573.6</f>
        <v>573.6</v>
      </c>
    </row>
    <row r="273" spans="1:17" ht="45" customHeight="1" x14ac:dyDescent="0.25">
      <c r="A273" s="4" t="s">
        <v>20</v>
      </c>
      <c r="B273" s="5" t="s">
        <v>714</v>
      </c>
      <c r="C273" s="4" t="s">
        <v>63</v>
      </c>
      <c r="D273" s="4" t="s">
        <v>298</v>
      </c>
      <c r="E273" s="4" t="s">
        <v>299</v>
      </c>
      <c r="F273" s="6">
        <f>40</f>
        <v>40</v>
      </c>
      <c r="G273" s="4" t="s">
        <v>46</v>
      </c>
      <c r="H273" s="7">
        <v>18.489999999999998</v>
      </c>
      <c r="I273" s="7">
        <v>18.489999999999998</v>
      </c>
      <c r="J273" s="8" t="s">
        <v>26</v>
      </c>
      <c r="K273" s="9">
        <f>23.24</f>
        <v>23.24</v>
      </c>
      <c r="L273" s="9">
        <f>929.6</f>
        <v>929.6</v>
      </c>
      <c r="M273" s="4"/>
      <c r="N273" s="10">
        <v>1</v>
      </c>
      <c r="O273" s="4" t="s">
        <v>27</v>
      </c>
      <c r="P273" s="11">
        <v>40</v>
      </c>
      <c r="Q273" s="9">
        <f>929.6</f>
        <v>929.6</v>
      </c>
    </row>
    <row r="274" spans="1:17" ht="45" customHeight="1" x14ac:dyDescent="0.25">
      <c r="A274" s="4" t="s">
        <v>20</v>
      </c>
      <c r="B274" s="5" t="s">
        <v>715</v>
      </c>
      <c r="C274" s="4" t="s">
        <v>63</v>
      </c>
      <c r="D274" s="4" t="s">
        <v>716</v>
      </c>
      <c r="E274" s="4" t="s">
        <v>717</v>
      </c>
      <c r="F274" s="6">
        <f>2</f>
        <v>2</v>
      </c>
      <c r="G274" s="4" t="s">
        <v>46</v>
      </c>
      <c r="H274" s="7">
        <v>429.41</v>
      </c>
      <c r="I274" s="7">
        <v>429.41</v>
      </c>
      <c r="J274" s="8" t="s">
        <v>26</v>
      </c>
      <c r="K274" s="9">
        <f>539.77</f>
        <v>539.77</v>
      </c>
      <c r="L274" s="9">
        <f>1079.54</f>
        <v>1079.54</v>
      </c>
      <c r="M274" s="4"/>
      <c r="N274" s="10">
        <v>1</v>
      </c>
      <c r="O274" s="4" t="s">
        <v>27</v>
      </c>
      <c r="P274" s="11">
        <v>2</v>
      </c>
      <c r="Q274" s="9">
        <f>1079.54</f>
        <v>1079.54</v>
      </c>
    </row>
    <row r="275" spans="1:17" ht="45" customHeight="1" x14ac:dyDescent="0.25">
      <c r="A275" s="4" t="s">
        <v>20</v>
      </c>
      <c r="B275" s="5" t="s">
        <v>718</v>
      </c>
      <c r="C275" s="4" t="s">
        <v>29</v>
      </c>
      <c r="D275" s="4" t="s">
        <v>719</v>
      </c>
      <c r="E275" s="4" t="s">
        <v>720</v>
      </c>
      <c r="F275" s="6">
        <f>1</f>
        <v>1</v>
      </c>
      <c r="G275" s="4" t="s">
        <v>46</v>
      </c>
      <c r="H275" s="7">
        <v>50000</v>
      </c>
      <c r="I275" s="7">
        <v>50000</v>
      </c>
      <c r="J275" s="8" t="s">
        <v>122</v>
      </c>
      <c r="K275" s="9">
        <f>59525</f>
        <v>59525</v>
      </c>
      <c r="L275" s="9">
        <f>59525</f>
        <v>59525</v>
      </c>
      <c r="M275" s="4"/>
      <c r="N275" s="10">
        <v>1</v>
      </c>
      <c r="O275" s="4" t="s">
        <v>27</v>
      </c>
      <c r="P275" s="11">
        <v>1</v>
      </c>
      <c r="Q275" s="9">
        <f>59525</f>
        <v>59525</v>
      </c>
    </row>
    <row r="276" spans="1:17" ht="45" customHeight="1" x14ac:dyDescent="0.25">
      <c r="A276" s="4" t="s">
        <v>20</v>
      </c>
      <c r="B276" s="5" t="s">
        <v>721</v>
      </c>
      <c r="C276" s="4" t="s">
        <v>29</v>
      </c>
      <c r="D276" s="4" t="s">
        <v>722</v>
      </c>
      <c r="E276" s="4" t="s">
        <v>723</v>
      </c>
      <c r="F276" s="6">
        <f>10</f>
        <v>10</v>
      </c>
      <c r="G276" s="4" t="s">
        <v>46</v>
      </c>
      <c r="H276" s="7">
        <v>1147.4000000000001</v>
      </c>
      <c r="I276" s="7">
        <v>1147.4000000000001</v>
      </c>
      <c r="J276" s="8" t="s">
        <v>122</v>
      </c>
      <c r="K276" s="9">
        <f>1365.98</f>
        <v>1365.98</v>
      </c>
      <c r="L276" s="9">
        <f>13659.8</f>
        <v>13659.8</v>
      </c>
      <c r="M276" s="4"/>
      <c r="N276" s="10">
        <v>1</v>
      </c>
      <c r="O276" s="4" t="s">
        <v>27</v>
      </c>
      <c r="P276" s="11">
        <v>10</v>
      </c>
      <c r="Q276" s="9">
        <f>13659.8</f>
        <v>13659.8</v>
      </c>
    </row>
    <row r="277" spans="1:17" ht="45" customHeight="1" x14ac:dyDescent="0.25">
      <c r="A277" s="4" t="s">
        <v>20</v>
      </c>
      <c r="B277" s="5" t="s">
        <v>724</v>
      </c>
      <c r="C277" s="4" t="s">
        <v>29</v>
      </c>
      <c r="D277" s="4" t="s">
        <v>725</v>
      </c>
      <c r="E277" s="4" t="s">
        <v>726</v>
      </c>
      <c r="F277" s="6">
        <f>6</f>
        <v>6</v>
      </c>
      <c r="G277" s="4" t="s">
        <v>46</v>
      </c>
      <c r="H277" s="7">
        <v>21.67</v>
      </c>
      <c r="I277" s="7">
        <v>21.67</v>
      </c>
      <c r="J277" s="8" t="s">
        <v>122</v>
      </c>
      <c r="K277" s="9">
        <f>25.8</f>
        <v>25.8</v>
      </c>
      <c r="L277" s="9">
        <f>154.8</f>
        <v>154.80000000000001</v>
      </c>
      <c r="M277" s="4"/>
      <c r="N277" s="10">
        <v>1</v>
      </c>
      <c r="O277" s="4" t="s">
        <v>27</v>
      </c>
      <c r="P277" s="11">
        <v>6</v>
      </c>
      <c r="Q277" s="9">
        <f>154.8</f>
        <v>154.80000000000001</v>
      </c>
    </row>
    <row r="278" spans="1:17" ht="45" customHeight="1" x14ac:dyDescent="0.25">
      <c r="A278" s="4" t="s">
        <v>20</v>
      </c>
      <c r="B278" s="5" t="s">
        <v>727</v>
      </c>
      <c r="C278" s="4" t="s">
        <v>29</v>
      </c>
      <c r="D278" s="4" t="s">
        <v>728</v>
      </c>
      <c r="E278" s="4" t="s">
        <v>729</v>
      </c>
      <c r="F278" s="6">
        <f>2</f>
        <v>2</v>
      </c>
      <c r="G278" s="4" t="s">
        <v>46</v>
      </c>
      <c r="H278" s="7">
        <v>165000</v>
      </c>
      <c r="I278" s="7">
        <v>165000</v>
      </c>
      <c r="J278" s="8" t="s">
        <v>122</v>
      </c>
      <c r="K278" s="9">
        <f>196432.5</f>
        <v>196432.5</v>
      </c>
      <c r="L278" s="9">
        <f>392865</f>
        <v>392865</v>
      </c>
      <c r="M278" s="4"/>
      <c r="N278" s="10">
        <v>1</v>
      </c>
      <c r="O278" s="4" t="s">
        <v>27</v>
      </c>
      <c r="P278" s="11">
        <v>2</v>
      </c>
      <c r="Q278" s="9">
        <f>392865</f>
        <v>392865</v>
      </c>
    </row>
    <row r="279" spans="1:17" ht="45" customHeight="1" x14ac:dyDescent="0.25">
      <c r="A279" s="4" t="s">
        <v>20</v>
      </c>
      <c r="B279" s="5" t="s">
        <v>730</v>
      </c>
      <c r="C279" s="4" t="s">
        <v>29</v>
      </c>
      <c r="D279" s="4" t="s">
        <v>731</v>
      </c>
      <c r="E279" s="4" t="s">
        <v>732</v>
      </c>
      <c r="F279" s="6">
        <f>1</f>
        <v>1</v>
      </c>
      <c r="G279" s="4" t="s">
        <v>46</v>
      </c>
      <c r="H279" s="7">
        <v>59400</v>
      </c>
      <c r="I279" s="7">
        <v>59400</v>
      </c>
      <c r="J279" s="8" t="s">
        <v>122</v>
      </c>
      <c r="K279" s="9">
        <f>70715.7</f>
        <v>70715.7</v>
      </c>
      <c r="L279" s="9">
        <f>70715.7</f>
        <v>70715.7</v>
      </c>
      <c r="M279" s="4"/>
      <c r="N279" s="10">
        <v>1</v>
      </c>
      <c r="O279" s="4" t="s">
        <v>27</v>
      </c>
      <c r="P279" s="11">
        <v>1</v>
      </c>
      <c r="Q279" s="9">
        <f>70715.7</f>
        <v>70715.7</v>
      </c>
    </row>
    <row r="280" spans="1:17" ht="45" customHeight="1" x14ac:dyDescent="0.25">
      <c r="A280" s="4" t="s">
        <v>20</v>
      </c>
      <c r="B280" s="5" t="s">
        <v>733</v>
      </c>
      <c r="C280" s="4" t="s">
        <v>29</v>
      </c>
      <c r="D280" s="4" t="s">
        <v>734</v>
      </c>
      <c r="E280" s="4" t="s">
        <v>735</v>
      </c>
      <c r="F280" s="6">
        <f>1</f>
        <v>1</v>
      </c>
      <c r="G280" s="4" t="s">
        <v>46</v>
      </c>
      <c r="H280" s="7">
        <v>79600</v>
      </c>
      <c r="I280" s="7">
        <v>79600</v>
      </c>
      <c r="J280" s="8" t="s">
        <v>122</v>
      </c>
      <c r="K280" s="9">
        <f>94763.8</f>
        <v>94763.8</v>
      </c>
      <c r="L280" s="9">
        <f>94763.8</f>
        <v>94763.8</v>
      </c>
      <c r="M280" s="4"/>
      <c r="N280" s="10">
        <v>1</v>
      </c>
      <c r="O280" s="4" t="s">
        <v>27</v>
      </c>
      <c r="P280" s="11">
        <v>1</v>
      </c>
      <c r="Q280" s="9">
        <f>94763.8</f>
        <v>94763.8</v>
      </c>
    </row>
    <row r="281" spans="1:17" ht="45" customHeight="1" x14ac:dyDescent="0.25">
      <c r="A281" s="4" t="s">
        <v>20</v>
      </c>
      <c r="B281" s="5" t="s">
        <v>736</v>
      </c>
      <c r="C281" s="4" t="s">
        <v>29</v>
      </c>
      <c r="D281" s="4" t="s">
        <v>737</v>
      </c>
      <c r="E281" s="4" t="s">
        <v>738</v>
      </c>
      <c r="F281" s="6">
        <f>1</f>
        <v>1</v>
      </c>
      <c r="G281" s="4" t="s">
        <v>46</v>
      </c>
      <c r="H281" s="7">
        <v>173200</v>
      </c>
      <c r="I281" s="7">
        <v>173200</v>
      </c>
      <c r="J281" s="8" t="s">
        <v>122</v>
      </c>
      <c r="K281" s="9">
        <f>206194.6</f>
        <v>206194.6</v>
      </c>
      <c r="L281" s="9">
        <f>206194.6</f>
        <v>206194.6</v>
      </c>
      <c r="M281" s="4"/>
      <c r="N281" s="10">
        <v>1</v>
      </c>
      <c r="O281" s="4" t="s">
        <v>27</v>
      </c>
      <c r="P281" s="11">
        <v>1</v>
      </c>
      <c r="Q281" s="9">
        <f>206194.6</f>
        <v>206194.6</v>
      </c>
    </row>
    <row r="282" spans="1:17" ht="45" customHeight="1" x14ac:dyDescent="0.25">
      <c r="A282" s="4" t="s">
        <v>20</v>
      </c>
      <c r="B282" s="5" t="s">
        <v>739</v>
      </c>
      <c r="C282" s="4" t="s">
        <v>29</v>
      </c>
      <c r="D282" s="4" t="s">
        <v>740</v>
      </c>
      <c r="E282" s="4" t="s">
        <v>741</v>
      </c>
      <c r="F282" s="6">
        <f>1</f>
        <v>1</v>
      </c>
      <c r="G282" s="4" t="s">
        <v>46</v>
      </c>
      <c r="H282" s="7">
        <v>5850</v>
      </c>
      <c r="I282" s="7">
        <v>5850</v>
      </c>
      <c r="J282" s="8" t="s">
        <v>122</v>
      </c>
      <c r="K282" s="9">
        <f>6964.43</f>
        <v>6964.43</v>
      </c>
      <c r="L282" s="9">
        <f>6964.43</f>
        <v>6964.43</v>
      </c>
      <c r="M282" s="4"/>
      <c r="N282" s="10">
        <v>1</v>
      </c>
      <c r="O282" s="4" t="s">
        <v>27</v>
      </c>
      <c r="P282" s="11">
        <v>1</v>
      </c>
      <c r="Q282" s="9">
        <f>6964.43</f>
        <v>6964.43</v>
      </c>
    </row>
    <row r="283" spans="1:17" ht="45" customHeight="1" x14ac:dyDescent="0.25">
      <c r="A283" s="4" t="s">
        <v>20</v>
      </c>
      <c r="B283" s="5" t="s">
        <v>742</v>
      </c>
      <c r="C283" s="4" t="s">
        <v>29</v>
      </c>
      <c r="D283" s="4" t="s">
        <v>310</v>
      </c>
      <c r="E283" s="4" t="s">
        <v>311</v>
      </c>
      <c r="F283" s="6">
        <f>1</f>
        <v>1</v>
      </c>
      <c r="G283" s="4" t="s">
        <v>46</v>
      </c>
      <c r="H283" s="7">
        <v>1799.34</v>
      </c>
      <c r="I283" s="7">
        <v>1799.34</v>
      </c>
      <c r="J283" s="8" t="s">
        <v>122</v>
      </c>
      <c r="K283" s="9">
        <f>2142.11</f>
        <v>2142.11</v>
      </c>
      <c r="L283" s="9">
        <f>2142.11</f>
        <v>2142.11</v>
      </c>
      <c r="M283" s="4"/>
      <c r="N283" s="10">
        <v>1</v>
      </c>
      <c r="O283" s="4" t="s">
        <v>27</v>
      </c>
      <c r="P283" s="11">
        <v>1</v>
      </c>
      <c r="Q283" s="9">
        <f>2142.11</f>
        <v>2142.11</v>
      </c>
    </row>
    <row r="284" spans="1:17" ht="45" customHeight="1" x14ac:dyDescent="0.25">
      <c r="A284" s="4" t="s">
        <v>17</v>
      </c>
      <c r="B284" s="5" t="s">
        <v>98</v>
      </c>
      <c r="C284" s="4"/>
      <c r="D284" s="4"/>
      <c r="E284" s="4" t="s">
        <v>743</v>
      </c>
      <c r="F284" s="6"/>
      <c r="G284" s="4"/>
      <c r="H284" s="7"/>
      <c r="I284" s="7"/>
      <c r="J284" s="8"/>
      <c r="K284" s="9"/>
      <c r="L284" s="9">
        <f>565826.46</f>
        <v>565826.46</v>
      </c>
      <c r="M284" s="4"/>
      <c r="N284" s="10"/>
      <c r="O284" s="4"/>
      <c r="P284" s="11"/>
      <c r="Q284" s="9"/>
    </row>
    <row r="285" spans="1:17" ht="45" customHeight="1" x14ac:dyDescent="0.25">
      <c r="A285" s="4" t="s">
        <v>20</v>
      </c>
      <c r="B285" s="5" t="s">
        <v>744</v>
      </c>
      <c r="C285" s="4" t="s">
        <v>29</v>
      </c>
      <c r="D285" s="4" t="s">
        <v>745</v>
      </c>
      <c r="E285" s="4" t="s">
        <v>746</v>
      </c>
      <c r="F285" s="6">
        <f>1323</f>
        <v>1323</v>
      </c>
      <c r="G285" s="4" t="s">
        <v>96</v>
      </c>
      <c r="H285" s="7">
        <v>3.64</v>
      </c>
      <c r="I285" s="7">
        <v>3.64</v>
      </c>
      <c r="J285" s="8" t="s">
        <v>26</v>
      </c>
      <c r="K285" s="9">
        <f>4.58</f>
        <v>4.58</v>
      </c>
      <c r="L285" s="9">
        <f>6059.34</f>
        <v>6059.34</v>
      </c>
      <c r="M285" s="4"/>
      <c r="N285" s="10">
        <v>1</v>
      </c>
      <c r="O285" s="4" t="s">
        <v>27</v>
      </c>
      <c r="P285" s="11">
        <v>1323</v>
      </c>
      <c r="Q285" s="9">
        <f>6059.34</f>
        <v>6059.34</v>
      </c>
    </row>
    <row r="286" spans="1:17" ht="45" customHeight="1" x14ac:dyDescent="0.25">
      <c r="A286" s="4" t="s">
        <v>20</v>
      </c>
      <c r="B286" s="5" t="s">
        <v>747</v>
      </c>
      <c r="C286" s="4" t="s">
        <v>29</v>
      </c>
      <c r="D286" s="4" t="s">
        <v>748</v>
      </c>
      <c r="E286" s="4" t="s">
        <v>749</v>
      </c>
      <c r="F286" s="6">
        <f>13</f>
        <v>13</v>
      </c>
      <c r="G286" s="4" t="s">
        <v>46</v>
      </c>
      <c r="H286" s="7">
        <v>2.79</v>
      </c>
      <c r="I286" s="7">
        <v>2.79</v>
      </c>
      <c r="J286" s="8" t="s">
        <v>26</v>
      </c>
      <c r="K286" s="9">
        <f>3.51</f>
        <v>3.51</v>
      </c>
      <c r="L286" s="9">
        <f>45.63</f>
        <v>45.63</v>
      </c>
      <c r="M286" s="4"/>
      <c r="N286" s="10">
        <v>1</v>
      </c>
      <c r="O286" s="4" t="s">
        <v>27</v>
      </c>
      <c r="P286" s="11">
        <v>13</v>
      </c>
      <c r="Q286" s="9">
        <f>45.63</f>
        <v>45.63</v>
      </c>
    </row>
    <row r="287" spans="1:17" ht="45" customHeight="1" x14ac:dyDescent="0.25">
      <c r="A287" s="4" t="s">
        <v>20</v>
      </c>
      <c r="B287" s="5" t="s">
        <v>750</v>
      </c>
      <c r="C287" s="4" t="s">
        <v>29</v>
      </c>
      <c r="D287" s="4" t="s">
        <v>751</v>
      </c>
      <c r="E287" s="4" t="s">
        <v>752</v>
      </c>
      <c r="F287" s="6">
        <f>66</f>
        <v>66</v>
      </c>
      <c r="G287" s="4" t="s">
        <v>46</v>
      </c>
      <c r="H287" s="7">
        <v>1.27</v>
      </c>
      <c r="I287" s="7">
        <v>1.27</v>
      </c>
      <c r="J287" s="8" t="s">
        <v>26</v>
      </c>
      <c r="K287" s="9">
        <f>1.6</f>
        <v>1.6</v>
      </c>
      <c r="L287" s="9">
        <f>105.6</f>
        <v>105.6</v>
      </c>
      <c r="M287" s="4"/>
      <c r="N287" s="10">
        <v>1</v>
      </c>
      <c r="O287" s="4" t="s">
        <v>27</v>
      </c>
      <c r="P287" s="11">
        <v>66</v>
      </c>
      <c r="Q287" s="9">
        <f>105.6</f>
        <v>105.6</v>
      </c>
    </row>
    <row r="288" spans="1:17" ht="45" customHeight="1" x14ac:dyDescent="0.25">
      <c r="A288" s="4" t="s">
        <v>20</v>
      </c>
      <c r="B288" s="5" t="s">
        <v>753</v>
      </c>
      <c r="C288" s="4" t="s">
        <v>29</v>
      </c>
      <c r="D288" s="4" t="s">
        <v>754</v>
      </c>
      <c r="E288" s="4" t="s">
        <v>755</v>
      </c>
      <c r="F288" s="6">
        <f>108</f>
        <v>108</v>
      </c>
      <c r="G288" s="4" t="s">
        <v>25</v>
      </c>
      <c r="H288" s="7">
        <v>13.48</v>
      </c>
      <c r="I288" s="7">
        <v>13.48</v>
      </c>
      <c r="J288" s="8" t="s">
        <v>26</v>
      </c>
      <c r="K288" s="9">
        <f>16.94</f>
        <v>16.940000000000001</v>
      </c>
      <c r="L288" s="9">
        <f>1829.52</f>
        <v>1829.52</v>
      </c>
      <c r="M288" s="4"/>
      <c r="N288" s="10">
        <v>1</v>
      </c>
      <c r="O288" s="4" t="s">
        <v>27</v>
      </c>
      <c r="P288" s="11">
        <v>108</v>
      </c>
      <c r="Q288" s="9">
        <f>1829.52</f>
        <v>1829.52</v>
      </c>
    </row>
    <row r="289" spans="1:17" ht="45" customHeight="1" x14ac:dyDescent="0.25">
      <c r="A289" s="4" t="s">
        <v>20</v>
      </c>
      <c r="B289" s="5" t="s">
        <v>756</v>
      </c>
      <c r="C289" s="4" t="s">
        <v>29</v>
      </c>
      <c r="D289" s="4" t="s">
        <v>757</v>
      </c>
      <c r="E289" s="4" t="s">
        <v>758</v>
      </c>
      <c r="F289" s="6">
        <f>14</f>
        <v>14</v>
      </c>
      <c r="G289" s="4" t="s">
        <v>25</v>
      </c>
      <c r="H289" s="7">
        <v>4.66</v>
      </c>
      <c r="I289" s="7">
        <v>4.66</v>
      </c>
      <c r="J289" s="8" t="s">
        <v>26</v>
      </c>
      <c r="K289" s="9">
        <f>5.86</f>
        <v>5.86</v>
      </c>
      <c r="L289" s="9">
        <f>82.04</f>
        <v>82.04</v>
      </c>
      <c r="M289" s="4"/>
      <c r="N289" s="10">
        <v>1</v>
      </c>
      <c r="O289" s="4" t="s">
        <v>27</v>
      </c>
      <c r="P289" s="11">
        <v>14</v>
      </c>
      <c r="Q289" s="9">
        <f>82.04</f>
        <v>82.04</v>
      </c>
    </row>
    <row r="290" spans="1:17" ht="45" customHeight="1" x14ac:dyDescent="0.25">
      <c r="A290" s="4" t="s">
        <v>20</v>
      </c>
      <c r="B290" s="5" t="s">
        <v>759</v>
      </c>
      <c r="C290" s="4" t="s">
        <v>29</v>
      </c>
      <c r="D290" s="4" t="s">
        <v>760</v>
      </c>
      <c r="E290" s="4" t="s">
        <v>761</v>
      </c>
      <c r="F290" s="6">
        <f>165</f>
        <v>165</v>
      </c>
      <c r="G290" s="4" t="s">
        <v>46</v>
      </c>
      <c r="H290" s="7">
        <v>6.58</v>
      </c>
      <c r="I290" s="7">
        <v>6.58</v>
      </c>
      <c r="J290" s="8" t="s">
        <v>26</v>
      </c>
      <c r="K290" s="9">
        <f>8.27</f>
        <v>8.27</v>
      </c>
      <c r="L290" s="9">
        <f>1364.55</f>
        <v>1364.55</v>
      </c>
      <c r="M290" s="4"/>
      <c r="N290" s="10">
        <v>1</v>
      </c>
      <c r="O290" s="4" t="s">
        <v>27</v>
      </c>
      <c r="P290" s="11">
        <v>165</v>
      </c>
      <c r="Q290" s="9">
        <f>1364.55</f>
        <v>1364.55</v>
      </c>
    </row>
    <row r="291" spans="1:17" ht="45" customHeight="1" x14ac:dyDescent="0.25">
      <c r="A291" s="4" t="s">
        <v>20</v>
      </c>
      <c r="B291" s="5" t="s">
        <v>762</v>
      </c>
      <c r="C291" s="4" t="s">
        <v>29</v>
      </c>
      <c r="D291" s="4" t="s">
        <v>763</v>
      </c>
      <c r="E291" s="4" t="s">
        <v>764</v>
      </c>
      <c r="F291" s="6">
        <f>475</f>
        <v>475</v>
      </c>
      <c r="G291" s="4" t="s">
        <v>25</v>
      </c>
      <c r="H291" s="7">
        <v>1.27</v>
      </c>
      <c r="I291" s="7">
        <v>1.27</v>
      </c>
      <c r="J291" s="8" t="s">
        <v>26</v>
      </c>
      <c r="K291" s="9">
        <f>1.6</f>
        <v>1.6</v>
      </c>
      <c r="L291" s="9">
        <f>760</f>
        <v>760</v>
      </c>
      <c r="M291" s="4"/>
      <c r="N291" s="10">
        <v>1</v>
      </c>
      <c r="O291" s="4" t="s">
        <v>27</v>
      </c>
      <c r="P291" s="11">
        <v>475</v>
      </c>
      <c r="Q291" s="9">
        <f>760</f>
        <v>760</v>
      </c>
    </row>
    <row r="292" spans="1:17" ht="45" customHeight="1" x14ac:dyDescent="0.25">
      <c r="A292" s="4" t="s">
        <v>20</v>
      </c>
      <c r="B292" s="5" t="s">
        <v>765</v>
      </c>
      <c r="C292" s="4" t="s">
        <v>63</v>
      </c>
      <c r="D292" s="4" t="s">
        <v>766</v>
      </c>
      <c r="E292" s="4" t="s">
        <v>767</v>
      </c>
      <c r="F292" s="6">
        <f>475</f>
        <v>475</v>
      </c>
      <c r="G292" s="4" t="s">
        <v>25</v>
      </c>
      <c r="H292" s="7">
        <v>1.94</v>
      </c>
      <c r="I292" s="7">
        <v>1.94</v>
      </c>
      <c r="J292" s="8" t="s">
        <v>26</v>
      </c>
      <c r="K292" s="9">
        <f>2.44</f>
        <v>2.44</v>
      </c>
      <c r="L292" s="9">
        <f>1159</f>
        <v>1159</v>
      </c>
      <c r="M292" s="4"/>
      <c r="N292" s="10">
        <v>1</v>
      </c>
      <c r="O292" s="4" t="s">
        <v>27</v>
      </c>
      <c r="P292" s="11">
        <v>475</v>
      </c>
      <c r="Q292" s="9">
        <f>1159</f>
        <v>1159</v>
      </c>
    </row>
    <row r="293" spans="1:17" ht="45" customHeight="1" x14ac:dyDescent="0.25">
      <c r="A293" s="4" t="s">
        <v>20</v>
      </c>
      <c r="B293" s="5" t="s">
        <v>768</v>
      </c>
      <c r="C293" s="4" t="s">
        <v>29</v>
      </c>
      <c r="D293" s="4" t="s">
        <v>769</v>
      </c>
      <c r="E293" s="4" t="s">
        <v>770</v>
      </c>
      <c r="F293" s="6">
        <f>2</f>
        <v>2</v>
      </c>
      <c r="G293" s="4" t="s">
        <v>46</v>
      </c>
      <c r="H293" s="7">
        <v>566.28</v>
      </c>
      <c r="I293" s="7">
        <v>566.28</v>
      </c>
      <c r="J293" s="8" t="s">
        <v>26</v>
      </c>
      <c r="K293" s="9">
        <f>711.81</f>
        <v>711.81</v>
      </c>
      <c r="L293" s="9">
        <f>1423.62</f>
        <v>1423.62</v>
      </c>
      <c r="M293" s="4"/>
      <c r="N293" s="10">
        <v>1</v>
      </c>
      <c r="O293" s="4" t="s">
        <v>27</v>
      </c>
      <c r="P293" s="11">
        <v>2</v>
      </c>
      <c r="Q293" s="9">
        <f>1423.62</f>
        <v>1423.62</v>
      </c>
    </row>
    <row r="294" spans="1:17" ht="45" customHeight="1" x14ac:dyDescent="0.25">
      <c r="A294" s="4" t="s">
        <v>20</v>
      </c>
      <c r="B294" s="5" t="s">
        <v>771</v>
      </c>
      <c r="C294" s="4" t="s">
        <v>63</v>
      </c>
      <c r="D294" s="4" t="s">
        <v>213</v>
      </c>
      <c r="E294" s="4" t="s">
        <v>214</v>
      </c>
      <c r="F294" s="6">
        <f>723</f>
        <v>723</v>
      </c>
      <c r="G294" s="4" t="s">
        <v>75</v>
      </c>
      <c r="H294" s="7">
        <v>13.66</v>
      </c>
      <c r="I294" s="7">
        <v>13.66</v>
      </c>
      <c r="J294" s="8" t="s">
        <v>26</v>
      </c>
      <c r="K294" s="9">
        <f>17.17</f>
        <v>17.170000000000002</v>
      </c>
      <c r="L294" s="9">
        <f>12413.91</f>
        <v>12413.91</v>
      </c>
      <c r="M294" s="4"/>
      <c r="N294" s="10">
        <v>1</v>
      </c>
      <c r="O294" s="4" t="s">
        <v>27</v>
      </c>
      <c r="P294" s="11">
        <v>723</v>
      </c>
      <c r="Q294" s="9">
        <f>12413.91</f>
        <v>12413.91</v>
      </c>
    </row>
    <row r="295" spans="1:17" ht="45" customHeight="1" x14ac:dyDescent="0.25">
      <c r="A295" s="4" t="s">
        <v>20</v>
      </c>
      <c r="B295" s="5" t="s">
        <v>772</v>
      </c>
      <c r="C295" s="4" t="s">
        <v>63</v>
      </c>
      <c r="D295" s="4" t="s">
        <v>344</v>
      </c>
      <c r="E295" s="4" t="s">
        <v>345</v>
      </c>
      <c r="F295" s="6">
        <f>8</f>
        <v>8</v>
      </c>
      <c r="G295" s="4" t="s">
        <v>75</v>
      </c>
      <c r="H295" s="7">
        <v>12.37</v>
      </c>
      <c r="I295" s="7">
        <v>12.37</v>
      </c>
      <c r="J295" s="8" t="s">
        <v>26</v>
      </c>
      <c r="K295" s="9">
        <f>15.55</f>
        <v>15.55</v>
      </c>
      <c r="L295" s="9">
        <f>124.4</f>
        <v>124.4</v>
      </c>
      <c r="M295" s="4"/>
      <c r="N295" s="10">
        <v>1</v>
      </c>
      <c r="O295" s="4" t="s">
        <v>27</v>
      </c>
      <c r="P295" s="11">
        <v>8</v>
      </c>
      <c r="Q295" s="9">
        <f>124.4</f>
        <v>124.4</v>
      </c>
    </row>
    <row r="296" spans="1:17" ht="45" customHeight="1" x14ac:dyDescent="0.25">
      <c r="A296" s="4" t="s">
        <v>20</v>
      </c>
      <c r="B296" s="5" t="s">
        <v>773</v>
      </c>
      <c r="C296" s="4" t="s">
        <v>63</v>
      </c>
      <c r="D296" s="4" t="s">
        <v>219</v>
      </c>
      <c r="E296" s="4" t="s">
        <v>220</v>
      </c>
      <c r="F296" s="6">
        <f>510</f>
        <v>510</v>
      </c>
      <c r="G296" s="4" t="s">
        <v>25</v>
      </c>
      <c r="H296" s="7">
        <v>6.38</v>
      </c>
      <c r="I296" s="7">
        <v>6.38</v>
      </c>
      <c r="J296" s="8" t="s">
        <v>26</v>
      </c>
      <c r="K296" s="9">
        <f>8.02</f>
        <v>8.02</v>
      </c>
      <c r="L296" s="9">
        <f>4090.2</f>
        <v>4090.2</v>
      </c>
      <c r="M296" s="4"/>
      <c r="N296" s="10">
        <v>1</v>
      </c>
      <c r="O296" s="4" t="s">
        <v>27</v>
      </c>
      <c r="P296" s="11">
        <v>510</v>
      </c>
      <c r="Q296" s="9">
        <f>4090.2</f>
        <v>4090.2</v>
      </c>
    </row>
    <row r="297" spans="1:17" ht="45" customHeight="1" x14ac:dyDescent="0.25">
      <c r="A297" s="4" t="s">
        <v>20</v>
      </c>
      <c r="B297" s="5" t="s">
        <v>774</v>
      </c>
      <c r="C297" s="4" t="s">
        <v>29</v>
      </c>
      <c r="D297" s="4" t="s">
        <v>216</v>
      </c>
      <c r="E297" s="4" t="s">
        <v>217</v>
      </c>
      <c r="F297" s="6">
        <f>699</f>
        <v>699</v>
      </c>
      <c r="G297" s="4" t="s">
        <v>75</v>
      </c>
      <c r="H297" s="7">
        <v>35.19</v>
      </c>
      <c r="I297" s="7">
        <v>35.19</v>
      </c>
      <c r="J297" s="8" t="s">
        <v>26</v>
      </c>
      <c r="K297" s="9">
        <f>44.23</f>
        <v>44.23</v>
      </c>
      <c r="L297" s="9">
        <f>30916.77</f>
        <v>30916.77</v>
      </c>
      <c r="M297" s="4"/>
      <c r="N297" s="10">
        <v>1</v>
      </c>
      <c r="O297" s="4" t="s">
        <v>27</v>
      </c>
      <c r="P297" s="11">
        <v>699</v>
      </c>
      <c r="Q297" s="9">
        <f>30916.77</f>
        <v>30916.77</v>
      </c>
    </row>
    <row r="298" spans="1:17" ht="45" customHeight="1" x14ac:dyDescent="0.25">
      <c r="A298" s="4" t="s">
        <v>20</v>
      </c>
      <c r="B298" s="5" t="s">
        <v>775</v>
      </c>
      <c r="C298" s="4" t="s">
        <v>63</v>
      </c>
      <c r="D298" s="4" t="s">
        <v>107</v>
      </c>
      <c r="E298" s="4" t="s">
        <v>108</v>
      </c>
      <c r="F298" s="6">
        <f>57</f>
        <v>57</v>
      </c>
      <c r="G298" s="4" t="s">
        <v>75</v>
      </c>
      <c r="H298" s="7">
        <v>8.64</v>
      </c>
      <c r="I298" s="7">
        <v>8.64</v>
      </c>
      <c r="J298" s="8" t="s">
        <v>26</v>
      </c>
      <c r="K298" s="9">
        <f>10.86</f>
        <v>10.86</v>
      </c>
      <c r="L298" s="9">
        <f>619.02</f>
        <v>619.02</v>
      </c>
      <c r="M298" s="4"/>
      <c r="N298" s="10">
        <v>1</v>
      </c>
      <c r="O298" s="4" t="s">
        <v>27</v>
      </c>
      <c r="P298" s="11">
        <v>57</v>
      </c>
      <c r="Q298" s="9">
        <f>619.02</f>
        <v>619.02</v>
      </c>
    </row>
    <row r="299" spans="1:17" ht="45" customHeight="1" x14ac:dyDescent="0.25">
      <c r="A299" s="4" t="s">
        <v>20</v>
      </c>
      <c r="B299" s="5" t="s">
        <v>776</v>
      </c>
      <c r="C299" s="4" t="s">
        <v>63</v>
      </c>
      <c r="D299" s="4" t="s">
        <v>110</v>
      </c>
      <c r="E299" s="4" t="s">
        <v>111</v>
      </c>
      <c r="F299" s="6">
        <f>226</f>
        <v>226</v>
      </c>
      <c r="G299" s="4" t="s">
        <v>112</v>
      </c>
      <c r="H299" s="7">
        <v>3.31</v>
      </c>
      <c r="I299" s="7">
        <v>3.31</v>
      </c>
      <c r="J299" s="8" t="s">
        <v>26</v>
      </c>
      <c r="K299" s="9">
        <f>4.16</f>
        <v>4.16</v>
      </c>
      <c r="L299" s="9">
        <f>940.16</f>
        <v>940.16</v>
      </c>
      <c r="M299" s="4"/>
      <c r="N299" s="10">
        <v>1</v>
      </c>
      <c r="O299" s="4" t="s">
        <v>27</v>
      </c>
      <c r="P299" s="11">
        <v>226</v>
      </c>
      <c r="Q299" s="9">
        <f>940.16</f>
        <v>940.16</v>
      </c>
    </row>
    <row r="300" spans="1:17" ht="45" customHeight="1" x14ac:dyDescent="0.25">
      <c r="A300" s="4" t="s">
        <v>20</v>
      </c>
      <c r="B300" s="5" t="s">
        <v>777</v>
      </c>
      <c r="C300" s="4" t="s">
        <v>63</v>
      </c>
      <c r="D300" s="4" t="s">
        <v>114</v>
      </c>
      <c r="E300" s="4" t="s">
        <v>115</v>
      </c>
      <c r="F300" s="6">
        <f>41</f>
        <v>41</v>
      </c>
      <c r="G300" s="4" t="s">
        <v>75</v>
      </c>
      <c r="H300" s="7">
        <v>1.45</v>
      </c>
      <c r="I300" s="7">
        <v>1.45</v>
      </c>
      <c r="J300" s="8" t="s">
        <v>26</v>
      </c>
      <c r="K300" s="9">
        <f>1.82</f>
        <v>1.82</v>
      </c>
      <c r="L300" s="9">
        <f>74.62</f>
        <v>74.62</v>
      </c>
      <c r="M300" s="4"/>
      <c r="N300" s="10">
        <v>1</v>
      </c>
      <c r="O300" s="4" t="s">
        <v>27</v>
      </c>
      <c r="P300" s="11">
        <v>41</v>
      </c>
      <c r="Q300" s="9">
        <f>74.62</f>
        <v>74.62</v>
      </c>
    </row>
    <row r="301" spans="1:17" ht="45" customHeight="1" x14ac:dyDescent="0.25">
      <c r="A301" s="4" t="s">
        <v>20</v>
      </c>
      <c r="B301" s="5" t="s">
        <v>778</v>
      </c>
      <c r="C301" s="4" t="s">
        <v>29</v>
      </c>
      <c r="D301" s="4" t="s">
        <v>779</v>
      </c>
      <c r="E301" s="4" t="s">
        <v>780</v>
      </c>
      <c r="F301" s="6">
        <f>16</f>
        <v>16</v>
      </c>
      <c r="G301" s="4" t="s">
        <v>75</v>
      </c>
      <c r="H301" s="7">
        <v>4.29</v>
      </c>
      <c r="I301" s="7">
        <v>4.29</v>
      </c>
      <c r="J301" s="8" t="s">
        <v>26</v>
      </c>
      <c r="K301" s="9">
        <f>5.39</f>
        <v>5.39</v>
      </c>
      <c r="L301" s="9">
        <f>86.24</f>
        <v>86.24</v>
      </c>
      <c r="M301" s="4"/>
      <c r="N301" s="10">
        <v>1</v>
      </c>
      <c r="O301" s="4" t="s">
        <v>27</v>
      </c>
      <c r="P301" s="11">
        <v>16</v>
      </c>
      <c r="Q301" s="9">
        <f>86.24</f>
        <v>86.24</v>
      </c>
    </row>
    <row r="302" spans="1:17" ht="45" customHeight="1" x14ac:dyDescent="0.25">
      <c r="A302" s="4" t="s">
        <v>20</v>
      </c>
      <c r="B302" s="5" t="s">
        <v>781</v>
      </c>
      <c r="C302" s="4" t="s">
        <v>63</v>
      </c>
      <c r="D302" s="4" t="s">
        <v>782</v>
      </c>
      <c r="E302" s="4" t="s">
        <v>783</v>
      </c>
      <c r="F302" s="6">
        <f>1742</f>
        <v>1742</v>
      </c>
      <c r="G302" s="4" t="s">
        <v>25</v>
      </c>
      <c r="H302" s="7">
        <v>20.32</v>
      </c>
      <c r="I302" s="7">
        <v>20.32</v>
      </c>
      <c r="J302" s="8" t="s">
        <v>26</v>
      </c>
      <c r="K302" s="9">
        <f>25.54</f>
        <v>25.54</v>
      </c>
      <c r="L302" s="9">
        <f>44490.68</f>
        <v>44490.68</v>
      </c>
      <c r="M302" s="4"/>
      <c r="N302" s="10">
        <v>1</v>
      </c>
      <c r="O302" s="4" t="s">
        <v>27</v>
      </c>
      <c r="P302" s="11">
        <v>1742</v>
      </c>
      <c r="Q302" s="9">
        <f>44490.68</f>
        <v>44490.68</v>
      </c>
    </row>
    <row r="303" spans="1:17" ht="45" customHeight="1" x14ac:dyDescent="0.25">
      <c r="A303" s="4" t="s">
        <v>20</v>
      </c>
      <c r="B303" s="5" t="s">
        <v>784</v>
      </c>
      <c r="C303" s="4" t="s">
        <v>29</v>
      </c>
      <c r="D303" s="4" t="s">
        <v>785</v>
      </c>
      <c r="E303" s="4" t="s">
        <v>786</v>
      </c>
      <c r="F303" s="6">
        <f>0.5</f>
        <v>0.5</v>
      </c>
      <c r="G303" s="4" t="s">
        <v>75</v>
      </c>
      <c r="H303" s="7">
        <v>2907.21</v>
      </c>
      <c r="I303" s="7">
        <v>2907.21</v>
      </c>
      <c r="J303" s="8" t="s">
        <v>26</v>
      </c>
      <c r="K303" s="9">
        <f>3654.36</f>
        <v>3654.36</v>
      </c>
      <c r="L303" s="9">
        <f>1827.18</f>
        <v>1827.18</v>
      </c>
      <c r="M303" s="4"/>
      <c r="N303" s="10">
        <v>1</v>
      </c>
      <c r="O303" s="4" t="s">
        <v>27</v>
      </c>
      <c r="P303" s="11">
        <v>0.5</v>
      </c>
      <c r="Q303" s="9">
        <f>1827.18</f>
        <v>1827.18</v>
      </c>
    </row>
    <row r="304" spans="1:17" ht="45" customHeight="1" x14ac:dyDescent="0.25">
      <c r="A304" s="4" t="s">
        <v>20</v>
      </c>
      <c r="B304" s="5" t="s">
        <v>787</v>
      </c>
      <c r="C304" s="4" t="s">
        <v>29</v>
      </c>
      <c r="D304" s="4" t="s">
        <v>788</v>
      </c>
      <c r="E304" s="4" t="s">
        <v>789</v>
      </c>
      <c r="F304" s="6">
        <f>1.5</f>
        <v>1.5</v>
      </c>
      <c r="G304" s="4" t="s">
        <v>75</v>
      </c>
      <c r="H304" s="7">
        <v>2336.56</v>
      </c>
      <c r="I304" s="7">
        <v>2336.56</v>
      </c>
      <c r="J304" s="8" t="s">
        <v>26</v>
      </c>
      <c r="K304" s="9">
        <f>2937.06</f>
        <v>2937.06</v>
      </c>
      <c r="L304" s="9">
        <f>4405.59</f>
        <v>4405.59</v>
      </c>
      <c r="M304" s="4"/>
      <c r="N304" s="10">
        <v>1</v>
      </c>
      <c r="O304" s="4" t="s">
        <v>27</v>
      </c>
      <c r="P304" s="11">
        <v>1.5</v>
      </c>
      <c r="Q304" s="9">
        <f>4405.59</f>
        <v>4405.59</v>
      </c>
    </row>
    <row r="305" spans="1:17" ht="45" customHeight="1" x14ac:dyDescent="0.25">
      <c r="A305" s="4" t="s">
        <v>20</v>
      </c>
      <c r="B305" s="5" t="s">
        <v>790</v>
      </c>
      <c r="C305" s="4" t="s">
        <v>29</v>
      </c>
      <c r="D305" s="4" t="s">
        <v>791</v>
      </c>
      <c r="E305" s="4" t="s">
        <v>792</v>
      </c>
      <c r="F305" s="6">
        <f>636.88</f>
        <v>636.88</v>
      </c>
      <c r="G305" s="4" t="s">
        <v>96</v>
      </c>
      <c r="H305" s="7">
        <v>15.15</v>
      </c>
      <c r="I305" s="7">
        <v>15.15</v>
      </c>
      <c r="J305" s="8" t="s">
        <v>26</v>
      </c>
      <c r="K305" s="9">
        <f>19.04</f>
        <v>19.04</v>
      </c>
      <c r="L305" s="9">
        <f>12126.2</f>
        <v>12126.2</v>
      </c>
      <c r="M305" s="4"/>
      <c r="N305" s="10">
        <v>1</v>
      </c>
      <c r="O305" s="4" t="s">
        <v>27</v>
      </c>
      <c r="P305" s="11">
        <v>636.88</v>
      </c>
      <c r="Q305" s="9">
        <f>12126.2</f>
        <v>12126.2</v>
      </c>
    </row>
    <row r="306" spans="1:17" ht="45" customHeight="1" x14ac:dyDescent="0.25">
      <c r="A306" s="4" t="s">
        <v>20</v>
      </c>
      <c r="B306" s="5" t="s">
        <v>793</v>
      </c>
      <c r="C306" s="4" t="s">
        <v>22</v>
      </c>
      <c r="D306" s="4" t="s">
        <v>53</v>
      </c>
      <c r="E306" s="4" t="s">
        <v>794</v>
      </c>
      <c r="F306" s="6">
        <f>24.54</f>
        <v>24.54</v>
      </c>
      <c r="G306" s="4" t="s">
        <v>96</v>
      </c>
      <c r="H306" s="7">
        <v>6.1</v>
      </c>
      <c r="I306" s="7">
        <v>6.1</v>
      </c>
      <c r="J306" s="8" t="s">
        <v>26</v>
      </c>
      <c r="K306" s="9">
        <f>7.67</f>
        <v>7.67</v>
      </c>
      <c r="L306" s="9">
        <f>188.22</f>
        <v>188.22</v>
      </c>
      <c r="M306" s="4"/>
      <c r="N306" s="10">
        <v>1</v>
      </c>
      <c r="O306" s="4" t="s">
        <v>27</v>
      </c>
      <c r="P306" s="11">
        <v>24.54</v>
      </c>
      <c r="Q306" s="9">
        <f>188.22</f>
        <v>188.22</v>
      </c>
    </row>
    <row r="307" spans="1:17" ht="45" customHeight="1" x14ac:dyDescent="0.25">
      <c r="A307" s="4" t="s">
        <v>20</v>
      </c>
      <c r="B307" s="5" t="s">
        <v>795</v>
      </c>
      <c r="C307" s="4" t="s">
        <v>29</v>
      </c>
      <c r="D307" s="4" t="s">
        <v>796</v>
      </c>
      <c r="E307" s="4" t="s">
        <v>797</v>
      </c>
      <c r="F307" s="6">
        <f>48</f>
        <v>48</v>
      </c>
      <c r="G307" s="4" t="s">
        <v>75</v>
      </c>
      <c r="H307" s="7">
        <v>275.52999999999997</v>
      </c>
      <c r="I307" s="7">
        <v>275.52999999999997</v>
      </c>
      <c r="J307" s="8" t="s">
        <v>26</v>
      </c>
      <c r="K307" s="9">
        <f>346.34</f>
        <v>346.34</v>
      </c>
      <c r="L307" s="9">
        <f>16624.32</f>
        <v>16624.32</v>
      </c>
      <c r="M307" s="4"/>
      <c r="N307" s="10">
        <v>1</v>
      </c>
      <c r="O307" s="4" t="s">
        <v>27</v>
      </c>
      <c r="P307" s="11">
        <v>48</v>
      </c>
      <c r="Q307" s="9">
        <f>16624.32</f>
        <v>16624.32</v>
      </c>
    </row>
    <row r="308" spans="1:17" ht="45" customHeight="1" x14ac:dyDescent="0.25">
      <c r="A308" s="4" t="s">
        <v>20</v>
      </c>
      <c r="B308" s="5" t="s">
        <v>798</v>
      </c>
      <c r="C308" s="4" t="s">
        <v>63</v>
      </c>
      <c r="D308" s="4" t="s">
        <v>799</v>
      </c>
      <c r="E308" s="4" t="s">
        <v>800</v>
      </c>
      <c r="F308" s="6">
        <f>12</f>
        <v>12</v>
      </c>
      <c r="G308" s="4" t="s">
        <v>75</v>
      </c>
      <c r="H308" s="7">
        <v>2416.21</v>
      </c>
      <c r="I308" s="7">
        <v>2416.21</v>
      </c>
      <c r="J308" s="8" t="s">
        <v>26</v>
      </c>
      <c r="K308" s="9">
        <f>3037.18</f>
        <v>3037.18</v>
      </c>
      <c r="L308" s="9">
        <f>36446.16</f>
        <v>36446.160000000003</v>
      </c>
      <c r="M308" s="4"/>
      <c r="N308" s="10">
        <v>1</v>
      </c>
      <c r="O308" s="4" t="s">
        <v>27</v>
      </c>
      <c r="P308" s="11">
        <v>12</v>
      </c>
      <c r="Q308" s="9">
        <f>36446.16</f>
        <v>36446.160000000003</v>
      </c>
    </row>
    <row r="309" spans="1:17" ht="45" customHeight="1" x14ac:dyDescent="0.25">
      <c r="A309" s="4" t="s">
        <v>20</v>
      </c>
      <c r="B309" s="5" t="s">
        <v>801</v>
      </c>
      <c r="C309" s="4" t="s">
        <v>29</v>
      </c>
      <c r="D309" s="4" t="s">
        <v>802</v>
      </c>
      <c r="E309" s="4" t="s">
        <v>803</v>
      </c>
      <c r="F309" s="6">
        <f>4</f>
        <v>4</v>
      </c>
      <c r="G309" s="4" t="s">
        <v>46</v>
      </c>
      <c r="H309" s="7">
        <v>724.35</v>
      </c>
      <c r="I309" s="7">
        <v>724.35</v>
      </c>
      <c r="J309" s="8" t="s">
        <v>26</v>
      </c>
      <c r="K309" s="9">
        <f>910.51</f>
        <v>910.51</v>
      </c>
      <c r="L309" s="9">
        <f>3642.04</f>
        <v>3642.04</v>
      </c>
      <c r="M309" s="4"/>
      <c r="N309" s="10">
        <v>1</v>
      </c>
      <c r="O309" s="4" t="s">
        <v>27</v>
      </c>
      <c r="P309" s="11">
        <v>4</v>
      </c>
      <c r="Q309" s="9">
        <f>3642.04</f>
        <v>3642.04</v>
      </c>
    </row>
    <row r="310" spans="1:17" ht="45" customHeight="1" x14ac:dyDescent="0.25">
      <c r="A310" s="4" t="s">
        <v>20</v>
      </c>
      <c r="B310" s="5" t="s">
        <v>804</v>
      </c>
      <c r="C310" s="4" t="s">
        <v>22</v>
      </c>
      <c r="D310" s="4" t="s">
        <v>199</v>
      </c>
      <c r="E310" s="4" t="s">
        <v>805</v>
      </c>
      <c r="F310" s="6">
        <f>1</f>
        <v>1</v>
      </c>
      <c r="G310" s="4" t="s">
        <v>46</v>
      </c>
      <c r="H310" s="7">
        <v>28315.85</v>
      </c>
      <c r="I310" s="7">
        <v>28315.85</v>
      </c>
      <c r="J310" s="8" t="s">
        <v>26</v>
      </c>
      <c r="K310" s="9">
        <f>35593.02</f>
        <v>35593.019999999997</v>
      </c>
      <c r="L310" s="9">
        <f>35593.02</f>
        <v>35593.019999999997</v>
      </c>
      <c r="M310" s="4"/>
      <c r="N310" s="10">
        <v>1</v>
      </c>
      <c r="O310" s="4" t="s">
        <v>27</v>
      </c>
      <c r="P310" s="11">
        <v>1</v>
      </c>
      <c r="Q310" s="9">
        <f>35593.02</f>
        <v>35593.019999999997</v>
      </c>
    </row>
    <row r="311" spans="1:17" ht="45" customHeight="1" x14ac:dyDescent="0.25">
      <c r="A311" s="4" t="s">
        <v>20</v>
      </c>
      <c r="B311" s="5" t="s">
        <v>806</v>
      </c>
      <c r="C311" s="4" t="s">
        <v>22</v>
      </c>
      <c r="D311" s="4" t="s">
        <v>807</v>
      </c>
      <c r="E311" s="4" t="s">
        <v>808</v>
      </c>
      <c r="F311" s="6">
        <f>2</f>
        <v>2</v>
      </c>
      <c r="G311" s="4" t="s">
        <v>46</v>
      </c>
      <c r="H311" s="7">
        <v>34743.589999999997</v>
      </c>
      <c r="I311" s="7">
        <v>34743.589999999997</v>
      </c>
      <c r="J311" s="8" t="s">
        <v>26</v>
      </c>
      <c r="K311" s="9">
        <f>43672.69</f>
        <v>43672.69</v>
      </c>
      <c r="L311" s="9">
        <f>87345.38</f>
        <v>87345.38</v>
      </c>
      <c r="M311" s="4"/>
      <c r="N311" s="10">
        <v>1</v>
      </c>
      <c r="O311" s="4" t="s">
        <v>27</v>
      </c>
      <c r="P311" s="11">
        <v>2</v>
      </c>
      <c r="Q311" s="9">
        <f>87345.38</f>
        <v>87345.38</v>
      </c>
    </row>
    <row r="312" spans="1:17" ht="45" customHeight="1" x14ac:dyDescent="0.25">
      <c r="A312" s="4" t="s">
        <v>20</v>
      </c>
      <c r="B312" s="5" t="s">
        <v>809</v>
      </c>
      <c r="C312" s="4" t="s">
        <v>29</v>
      </c>
      <c r="D312" s="4" t="s">
        <v>810</v>
      </c>
      <c r="E312" s="4" t="s">
        <v>811</v>
      </c>
      <c r="F312" s="6">
        <f>1</f>
        <v>1</v>
      </c>
      <c r="G312" s="4" t="s">
        <v>46</v>
      </c>
      <c r="H312" s="7">
        <v>682.88</v>
      </c>
      <c r="I312" s="7">
        <v>682.88</v>
      </c>
      <c r="J312" s="8" t="s">
        <v>122</v>
      </c>
      <c r="K312" s="9">
        <f>812.97</f>
        <v>812.97</v>
      </c>
      <c r="L312" s="9">
        <f>812.97</f>
        <v>812.97</v>
      </c>
      <c r="M312" s="4"/>
      <c r="N312" s="10">
        <v>1</v>
      </c>
      <c r="O312" s="4" t="s">
        <v>27</v>
      </c>
      <c r="P312" s="11">
        <v>1</v>
      </c>
      <c r="Q312" s="9">
        <f>812.97</f>
        <v>812.97</v>
      </c>
    </row>
    <row r="313" spans="1:17" ht="45" customHeight="1" x14ac:dyDescent="0.25">
      <c r="A313" s="4" t="s">
        <v>20</v>
      </c>
      <c r="B313" s="5" t="s">
        <v>812</v>
      </c>
      <c r="C313" s="4" t="s">
        <v>29</v>
      </c>
      <c r="D313" s="4" t="s">
        <v>231</v>
      </c>
      <c r="E313" s="4" t="s">
        <v>232</v>
      </c>
      <c r="F313" s="6">
        <f>2</f>
        <v>2</v>
      </c>
      <c r="G313" s="4" t="s">
        <v>46</v>
      </c>
      <c r="H313" s="7">
        <v>753.2</v>
      </c>
      <c r="I313" s="7">
        <v>753.2</v>
      </c>
      <c r="J313" s="8" t="s">
        <v>122</v>
      </c>
      <c r="K313" s="9">
        <f>896.68</f>
        <v>896.68</v>
      </c>
      <c r="L313" s="9">
        <f>1793.36</f>
        <v>1793.36</v>
      </c>
      <c r="M313" s="4"/>
      <c r="N313" s="10">
        <v>1</v>
      </c>
      <c r="O313" s="4" t="s">
        <v>27</v>
      </c>
      <c r="P313" s="11">
        <v>2</v>
      </c>
      <c r="Q313" s="9">
        <f>1793.36</f>
        <v>1793.36</v>
      </c>
    </row>
    <row r="314" spans="1:17" ht="45" customHeight="1" x14ac:dyDescent="0.25">
      <c r="A314" s="4" t="s">
        <v>20</v>
      </c>
      <c r="B314" s="5" t="s">
        <v>813</v>
      </c>
      <c r="C314" s="4" t="s">
        <v>29</v>
      </c>
      <c r="D314" s="4" t="s">
        <v>814</v>
      </c>
      <c r="E314" s="4" t="s">
        <v>815</v>
      </c>
      <c r="F314" s="6">
        <f>30</f>
        <v>30</v>
      </c>
      <c r="G314" s="4" t="s">
        <v>96</v>
      </c>
      <c r="H314" s="7">
        <v>187.16</v>
      </c>
      <c r="I314" s="7">
        <v>187.16</v>
      </c>
      <c r="J314" s="8" t="s">
        <v>122</v>
      </c>
      <c r="K314" s="9">
        <f>222.81</f>
        <v>222.81</v>
      </c>
      <c r="L314" s="9">
        <f>6684.3</f>
        <v>6684.3</v>
      </c>
      <c r="M314" s="4"/>
      <c r="N314" s="10">
        <v>1</v>
      </c>
      <c r="O314" s="4" t="s">
        <v>27</v>
      </c>
      <c r="P314" s="11">
        <v>30</v>
      </c>
      <c r="Q314" s="9">
        <f>6684.3</f>
        <v>6684.3</v>
      </c>
    </row>
    <row r="315" spans="1:17" ht="45" customHeight="1" x14ac:dyDescent="0.25">
      <c r="A315" s="4" t="s">
        <v>20</v>
      </c>
      <c r="B315" s="5" t="s">
        <v>816</v>
      </c>
      <c r="C315" s="4" t="s">
        <v>29</v>
      </c>
      <c r="D315" s="4" t="s">
        <v>817</v>
      </c>
      <c r="E315" s="4" t="s">
        <v>818</v>
      </c>
      <c r="F315" s="6">
        <f>648</f>
        <v>648</v>
      </c>
      <c r="G315" s="4" t="s">
        <v>96</v>
      </c>
      <c r="H315" s="7">
        <v>157.66</v>
      </c>
      <c r="I315" s="7">
        <v>157.66</v>
      </c>
      <c r="J315" s="8" t="s">
        <v>122</v>
      </c>
      <c r="K315" s="9">
        <f>187.69</f>
        <v>187.69</v>
      </c>
      <c r="L315" s="9">
        <f>121623.12</f>
        <v>121623.12</v>
      </c>
      <c r="M315" s="4"/>
      <c r="N315" s="10">
        <v>1</v>
      </c>
      <c r="O315" s="4" t="s">
        <v>27</v>
      </c>
      <c r="P315" s="11">
        <v>648</v>
      </c>
      <c r="Q315" s="9">
        <f>121623.12</f>
        <v>121623.12</v>
      </c>
    </row>
    <row r="316" spans="1:17" ht="45" customHeight="1" x14ac:dyDescent="0.25">
      <c r="A316" s="4" t="s">
        <v>20</v>
      </c>
      <c r="B316" s="5" t="s">
        <v>819</v>
      </c>
      <c r="C316" s="4" t="s">
        <v>29</v>
      </c>
      <c r="D316" s="4" t="s">
        <v>139</v>
      </c>
      <c r="E316" s="4" t="s">
        <v>140</v>
      </c>
      <c r="F316" s="6">
        <f>3</f>
        <v>3</v>
      </c>
      <c r="G316" s="4" t="s">
        <v>46</v>
      </c>
      <c r="H316" s="7">
        <v>755.79</v>
      </c>
      <c r="I316" s="7">
        <v>755.79</v>
      </c>
      <c r="J316" s="8" t="s">
        <v>122</v>
      </c>
      <c r="K316" s="9">
        <f>899.77</f>
        <v>899.77</v>
      </c>
      <c r="L316" s="9">
        <f>2699.31</f>
        <v>2699.31</v>
      </c>
      <c r="M316" s="4"/>
      <c r="N316" s="10">
        <v>1</v>
      </c>
      <c r="O316" s="4" t="s">
        <v>27</v>
      </c>
      <c r="P316" s="11">
        <v>3</v>
      </c>
      <c r="Q316" s="9">
        <f>2699.31</f>
        <v>2699.31</v>
      </c>
    </row>
    <row r="317" spans="1:17" ht="45" customHeight="1" x14ac:dyDescent="0.25">
      <c r="A317" s="4" t="s">
        <v>20</v>
      </c>
      <c r="B317" s="5" t="s">
        <v>820</v>
      </c>
      <c r="C317" s="4" t="s">
        <v>29</v>
      </c>
      <c r="D317" s="4" t="s">
        <v>169</v>
      </c>
      <c r="E317" s="4" t="s">
        <v>170</v>
      </c>
      <c r="F317" s="6">
        <f>2</f>
        <v>2</v>
      </c>
      <c r="G317" s="4" t="s">
        <v>46</v>
      </c>
      <c r="H317" s="7">
        <v>1592.5</v>
      </c>
      <c r="I317" s="7">
        <v>1592.5</v>
      </c>
      <c r="J317" s="8" t="s">
        <v>122</v>
      </c>
      <c r="K317" s="9">
        <f>1895.87</f>
        <v>1895.87</v>
      </c>
      <c r="L317" s="9">
        <f>3791.74</f>
        <v>3791.74</v>
      </c>
      <c r="M317" s="4"/>
      <c r="N317" s="10">
        <v>1</v>
      </c>
      <c r="O317" s="4" t="s">
        <v>27</v>
      </c>
      <c r="P317" s="11">
        <v>2</v>
      </c>
      <c r="Q317" s="9">
        <f>3791.74</f>
        <v>3791.74</v>
      </c>
    </row>
    <row r="318" spans="1:17" ht="45" customHeight="1" x14ac:dyDescent="0.25">
      <c r="A318" s="4" t="s">
        <v>20</v>
      </c>
      <c r="B318" s="5" t="s">
        <v>821</v>
      </c>
      <c r="C318" s="4" t="s">
        <v>29</v>
      </c>
      <c r="D318" s="4" t="s">
        <v>160</v>
      </c>
      <c r="E318" s="4" t="s">
        <v>161</v>
      </c>
      <c r="F318" s="6">
        <f>2</f>
        <v>2</v>
      </c>
      <c r="G318" s="4" t="s">
        <v>46</v>
      </c>
      <c r="H318" s="7">
        <v>2994.39</v>
      </c>
      <c r="I318" s="7">
        <v>2994.39</v>
      </c>
      <c r="J318" s="8" t="s">
        <v>122</v>
      </c>
      <c r="K318" s="9">
        <f>3564.82</f>
        <v>3564.82</v>
      </c>
      <c r="L318" s="9">
        <f>7129.64</f>
        <v>7129.64</v>
      </c>
      <c r="M318" s="4"/>
      <c r="N318" s="10">
        <v>1</v>
      </c>
      <c r="O318" s="4" t="s">
        <v>27</v>
      </c>
      <c r="P318" s="11">
        <v>2</v>
      </c>
      <c r="Q318" s="9">
        <f>7129.64</f>
        <v>7129.64</v>
      </c>
    </row>
    <row r="319" spans="1:17" ht="45" customHeight="1" x14ac:dyDescent="0.25">
      <c r="A319" s="4" t="s">
        <v>20</v>
      </c>
      <c r="B319" s="5" t="s">
        <v>822</v>
      </c>
      <c r="C319" s="4" t="s">
        <v>29</v>
      </c>
      <c r="D319" s="4" t="s">
        <v>145</v>
      </c>
      <c r="E319" s="4" t="s">
        <v>146</v>
      </c>
      <c r="F319" s="6">
        <f>1</f>
        <v>1</v>
      </c>
      <c r="G319" s="4" t="s">
        <v>46</v>
      </c>
      <c r="H319" s="7">
        <v>4748.5</v>
      </c>
      <c r="I319" s="7">
        <v>4748.5</v>
      </c>
      <c r="J319" s="8" t="s">
        <v>122</v>
      </c>
      <c r="K319" s="9">
        <f>5653.09</f>
        <v>5653.09</v>
      </c>
      <c r="L319" s="9">
        <f>5653.09</f>
        <v>5653.09</v>
      </c>
      <c r="M319" s="4"/>
      <c r="N319" s="10">
        <v>1</v>
      </c>
      <c r="O319" s="4" t="s">
        <v>27</v>
      </c>
      <c r="P319" s="11">
        <v>1</v>
      </c>
      <c r="Q319" s="9">
        <f>5653.09</f>
        <v>5653.09</v>
      </c>
    </row>
    <row r="320" spans="1:17" ht="45" customHeight="1" x14ac:dyDescent="0.25">
      <c r="A320" s="4" t="s">
        <v>20</v>
      </c>
      <c r="B320" s="5" t="s">
        <v>823</v>
      </c>
      <c r="C320" s="4" t="s">
        <v>29</v>
      </c>
      <c r="D320" s="4" t="s">
        <v>166</v>
      </c>
      <c r="E320" s="4" t="s">
        <v>167</v>
      </c>
      <c r="F320" s="6">
        <f>2</f>
        <v>2</v>
      </c>
      <c r="G320" s="4" t="s">
        <v>46</v>
      </c>
      <c r="H320" s="7">
        <v>791.97</v>
      </c>
      <c r="I320" s="7">
        <v>791.97</v>
      </c>
      <c r="J320" s="8" t="s">
        <v>122</v>
      </c>
      <c r="K320" s="9">
        <f>942.84</f>
        <v>942.84</v>
      </c>
      <c r="L320" s="9">
        <f>1885.68</f>
        <v>1885.68</v>
      </c>
      <c r="M320" s="4"/>
      <c r="N320" s="10">
        <v>1</v>
      </c>
      <c r="O320" s="4" t="s">
        <v>27</v>
      </c>
      <c r="P320" s="11">
        <v>2</v>
      </c>
      <c r="Q320" s="9">
        <f>1885.68</f>
        <v>1885.68</v>
      </c>
    </row>
    <row r="321" spans="1:17" ht="45" customHeight="1" x14ac:dyDescent="0.25">
      <c r="A321" s="4" t="s">
        <v>20</v>
      </c>
      <c r="B321" s="5" t="s">
        <v>824</v>
      </c>
      <c r="C321" s="4" t="s">
        <v>29</v>
      </c>
      <c r="D321" s="4" t="s">
        <v>825</v>
      </c>
      <c r="E321" s="4" t="s">
        <v>826</v>
      </c>
      <c r="F321" s="6">
        <f>1</f>
        <v>1</v>
      </c>
      <c r="G321" s="4" t="s">
        <v>46</v>
      </c>
      <c r="H321" s="7">
        <v>239.25</v>
      </c>
      <c r="I321" s="7">
        <v>239.25</v>
      </c>
      <c r="J321" s="8" t="s">
        <v>122</v>
      </c>
      <c r="K321" s="9">
        <f>284.83</f>
        <v>284.83</v>
      </c>
      <c r="L321" s="9">
        <f>284.83</f>
        <v>284.83</v>
      </c>
      <c r="M321" s="4"/>
      <c r="N321" s="10">
        <v>1</v>
      </c>
      <c r="O321" s="4" t="s">
        <v>27</v>
      </c>
      <c r="P321" s="11">
        <v>1</v>
      </c>
      <c r="Q321" s="9">
        <f>284.83</f>
        <v>284.83</v>
      </c>
    </row>
    <row r="322" spans="1:17" ht="45" customHeight="1" x14ac:dyDescent="0.25">
      <c r="A322" s="4" t="s">
        <v>20</v>
      </c>
      <c r="B322" s="5" t="s">
        <v>827</v>
      </c>
      <c r="C322" s="4" t="s">
        <v>29</v>
      </c>
      <c r="D322" s="4" t="s">
        <v>828</v>
      </c>
      <c r="E322" s="4" t="s">
        <v>829</v>
      </c>
      <c r="F322" s="6">
        <f>1.3</f>
        <v>1.3</v>
      </c>
      <c r="G322" s="4" t="s">
        <v>96</v>
      </c>
      <c r="H322" s="7">
        <v>585.02</v>
      </c>
      <c r="I322" s="7">
        <v>585.02</v>
      </c>
      <c r="J322" s="8" t="s">
        <v>122</v>
      </c>
      <c r="K322" s="9">
        <f>696.47</f>
        <v>696.47</v>
      </c>
      <c r="L322" s="9">
        <f>905.41</f>
        <v>905.41</v>
      </c>
      <c r="M322" s="4"/>
      <c r="N322" s="10">
        <v>1</v>
      </c>
      <c r="O322" s="4" t="s">
        <v>27</v>
      </c>
      <c r="P322" s="11">
        <v>1.3</v>
      </c>
      <c r="Q322" s="9">
        <f>905.41</f>
        <v>905.41</v>
      </c>
    </row>
    <row r="323" spans="1:17" ht="45" customHeight="1" x14ac:dyDescent="0.25">
      <c r="A323" s="4" t="s">
        <v>20</v>
      </c>
      <c r="B323" s="5" t="s">
        <v>830</v>
      </c>
      <c r="C323" s="4" t="s">
        <v>63</v>
      </c>
      <c r="D323" s="4" t="s">
        <v>831</v>
      </c>
      <c r="E323" s="4" t="s">
        <v>832</v>
      </c>
      <c r="F323" s="6">
        <f>1</f>
        <v>1</v>
      </c>
      <c r="G323" s="4" t="s">
        <v>46</v>
      </c>
      <c r="H323" s="7">
        <v>567.67999999999995</v>
      </c>
      <c r="I323" s="7">
        <v>567.67999999999995</v>
      </c>
      <c r="J323" s="8" t="s">
        <v>122</v>
      </c>
      <c r="K323" s="9">
        <f>675.82</f>
        <v>675.82</v>
      </c>
      <c r="L323" s="9">
        <f>675.82</f>
        <v>675.82</v>
      </c>
      <c r="M323" s="4"/>
      <c r="N323" s="10">
        <v>1</v>
      </c>
      <c r="O323" s="4" t="s">
        <v>27</v>
      </c>
      <c r="P323" s="11">
        <v>1</v>
      </c>
      <c r="Q323" s="9">
        <f>675.82</f>
        <v>675.82</v>
      </c>
    </row>
    <row r="324" spans="1:17" ht="45" customHeight="1" x14ac:dyDescent="0.25">
      <c r="A324" s="4" t="s">
        <v>20</v>
      </c>
      <c r="B324" s="5" t="s">
        <v>833</v>
      </c>
      <c r="C324" s="4" t="s">
        <v>29</v>
      </c>
      <c r="D324" s="4" t="s">
        <v>127</v>
      </c>
      <c r="E324" s="4" t="s">
        <v>128</v>
      </c>
      <c r="F324" s="6">
        <f>8</f>
        <v>8</v>
      </c>
      <c r="G324" s="4" t="s">
        <v>46</v>
      </c>
      <c r="H324" s="7">
        <v>8.2100000000000009</v>
      </c>
      <c r="I324" s="7">
        <v>8.2100000000000009</v>
      </c>
      <c r="J324" s="8" t="s">
        <v>122</v>
      </c>
      <c r="K324" s="9">
        <f>9.77</f>
        <v>9.77</v>
      </c>
      <c r="L324" s="9">
        <f>78.16</f>
        <v>78.16</v>
      </c>
      <c r="M324" s="4"/>
      <c r="N324" s="10">
        <v>1</v>
      </c>
      <c r="O324" s="4" t="s">
        <v>27</v>
      </c>
      <c r="P324" s="11">
        <v>8</v>
      </c>
      <c r="Q324" s="9">
        <f>78.16</f>
        <v>78.16</v>
      </c>
    </row>
    <row r="325" spans="1:17" ht="45" customHeight="1" x14ac:dyDescent="0.25">
      <c r="A325" s="4" t="s">
        <v>20</v>
      </c>
      <c r="B325" s="5" t="s">
        <v>834</v>
      </c>
      <c r="C325" s="4" t="s">
        <v>29</v>
      </c>
      <c r="D325" s="4" t="s">
        <v>120</v>
      </c>
      <c r="E325" s="4" t="s">
        <v>121</v>
      </c>
      <c r="F325" s="6">
        <f>2</f>
        <v>2</v>
      </c>
      <c r="G325" s="4" t="s">
        <v>46</v>
      </c>
      <c r="H325" s="7">
        <v>3.34</v>
      </c>
      <c r="I325" s="7">
        <v>3.34</v>
      </c>
      <c r="J325" s="8" t="s">
        <v>122</v>
      </c>
      <c r="K325" s="9">
        <f>3.98</f>
        <v>3.98</v>
      </c>
      <c r="L325" s="9">
        <f>7.96</f>
        <v>7.96</v>
      </c>
      <c r="M325" s="4"/>
      <c r="N325" s="10">
        <v>1</v>
      </c>
      <c r="O325" s="4" t="s">
        <v>27</v>
      </c>
      <c r="P325" s="11">
        <v>2</v>
      </c>
      <c r="Q325" s="9">
        <f>7.96</f>
        <v>7.96</v>
      </c>
    </row>
    <row r="326" spans="1:17" ht="45" customHeight="1" x14ac:dyDescent="0.25">
      <c r="A326" s="4" t="s">
        <v>20</v>
      </c>
      <c r="B326" s="5" t="s">
        <v>835</v>
      </c>
      <c r="C326" s="4" t="s">
        <v>29</v>
      </c>
      <c r="D326" s="4" t="s">
        <v>154</v>
      </c>
      <c r="E326" s="4" t="s">
        <v>155</v>
      </c>
      <c r="F326" s="6">
        <f>16</f>
        <v>16</v>
      </c>
      <c r="G326" s="4" t="s">
        <v>46</v>
      </c>
      <c r="H326" s="7">
        <v>3.77</v>
      </c>
      <c r="I326" s="7">
        <v>3.77</v>
      </c>
      <c r="J326" s="8" t="s">
        <v>122</v>
      </c>
      <c r="K326" s="9">
        <f>4.49</f>
        <v>4.49</v>
      </c>
      <c r="L326" s="9">
        <f>71.84</f>
        <v>71.84</v>
      </c>
      <c r="M326" s="4"/>
      <c r="N326" s="10">
        <v>1</v>
      </c>
      <c r="O326" s="4" t="s">
        <v>27</v>
      </c>
      <c r="P326" s="11">
        <v>16</v>
      </c>
      <c r="Q326" s="9">
        <f>71.84</f>
        <v>71.84</v>
      </c>
    </row>
    <row r="327" spans="1:17" ht="45" customHeight="1" x14ac:dyDescent="0.25">
      <c r="A327" s="4" t="s">
        <v>20</v>
      </c>
      <c r="B327" s="5" t="s">
        <v>836</v>
      </c>
      <c r="C327" s="4" t="s">
        <v>29</v>
      </c>
      <c r="D327" s="4" t="s">
        <v>151</v>
      </c>
      <c r="E327" s="4" t="s">
        <v>152</v>
      </c>
      <c r="F327" s="6">
        <f>96</f>
        <v>96</v>
      </c>
      <c r="G327" s="4" t="s">
        <v>46</v>
      </c>
      <c r="H327" s="7">
        <v>9.17</v>
      </c>
      <c r="I327" s="7">
        <v>9.17</v>
      </c>
      <c r="J327" s="8" t="s">
        <v>122</v>
      </c>
      <c r="K327" s="9">
        <f>10.92</f>
        <v>10.92</v>
      </c>
      <c r="L327" s="9">
        <f>1048.32</f>
        <v>1048.32</v>
      </c>
      <c r="M327" s="4"/>
      <c r="N327" s="10">
        <v>1</v>
      </c>
      <c r="O327" s="4" t="s">
        <v>27</v>
      </c>
      <c r="P327" s="11">
        <v>96</v>
      </c>
      <c r="Q327" s="9">
        <f>1048.32</f>
        <v>1048.32</v>
      </c>
    </row>
    <row r="328" spans="1:17" ht="45" customHeight="1" x14ac:dyDescent="0.25">
      <c r="A328" s="4" t="s">
        <v>20</v>
      </c>
      <c r="B328" s="5" t="s">
        <v>837</v>
      </c>
      <c r="C328" s="4" t="s">
        <v>29</v>
      </c>
      <c r="D328" s="4" t="s">
        <v>838</v>
      </c>
      <c r="E328" s="4" t="s">
        <v>839</v>
      </c>
      <c r="F328" s="6">
        <f>4</f>
        <v>4</v>
      </c>
      <c r="G328" s="4" t="s">
        <v>46</v>
      </c>
      <c r="H328" s="7">
        <v>1348.78</v>
      </c>
      <c r="I328" s="7">
        <v>1348.78</v>
      </c>
      <c r="J328" s="8" t="s">
        <v>122</v>
      </c>
      <c r="K328" s="9">
        <f>1605.72</f>
        <v>1605.72</v>
      </c>
      <c r="L328" s="9">
        <f>6422.88</f>
        <v>6422.88</v>
      </c>
      <c r="M328" s="4"/>
      <c r="N328" s="10">
        <v>1</v>
      </c>
      <c r="O328" s="4" t="s">
        <v>27</v>
      </c>
      <c r="P328" s="11">
        <v>4</v>
      </c>
      <c r="Q328" s="9">
        <f>6422.88</f>
        <v>6422.88</v>
      </c>
    </row>
    <row r="329" spans="1:17" ht="45" customHeight="1" x14ac:dyDescent="0.25">
      <c r="A329" s="4" t="s">
        <v>20</v>
      </c>
      <c r="B329" s="5" t="s">
        <v>840</v>
      </c>
      <c r="C329" s="4" t="s">
        <v>29</v>
      </c>
      <c r="D329" s="4" t="s">
        <v>841</v>
      </c>
      <c r="E329" s="4" t="s">
        <v>842</v>
      </c>
      <c r="F329" s="6">
        <f>4</f>
        <v>4</v>
      </c>
      <c r="G329" s="4" t="s">
        <v>46</v>
      </c>
      <c r="H329" s="7">
        <v>1591.43</v>
      </c>
      <c r="I329" s="7">
        <v>1591.43</v>
      </c>
      <c r="J329" s="8" t="s">
        <v>122</v>
      </c>
      <c r="K329" s="9">
        <f>1894.6</f>
        <v>1894.6</v>
      </c>
      <c r="L329" s="9">
        <f>7578.4</f>
        <v>7578.4</v>
      </c>
      <c r="M329" s="4"/>
      <c r="N329" s="10">
        <v>1</v>
      </c>
      <c r="O329" s="4" t="s">
        <v>27</v>
      </c>
      <c r="P329" s="11">
        <v>4</v>
      </c>
      <c r="Q329" s="9">
        <f>7578.4</f>
        <v>7578.4</v>
      </c>
    </row>
    <row r="330" spans="1:17" ht="45" customHeight="1" x14ac:dyDescent="0.25">
      <c r="A330" s="4" t="s">
        <v>20</v>
      </c>
      <c r="B330" s="5" t="s">
        <v>843</v>
      </c>
      <c r="C330" s="4" t="s">
        <v>29</v>
      </c>
      <c r="D330" s="4" t="s">
        <v>844</v>
      </c>
      <c r="E330" s="4" t="s">
        <v>845</v>
      </c>
      <c r="F330" s="6">
        <f>4</f>
        <v>4</v>
      </c>
      <c r="G330" s="4" t="s">
        <v>46</v>
      </c>
      <c r="H330" s="7">
        <v>5724.12</v>
      </c>
      <c r="I330" s="7">
        <v>5724.12</v>
      </c>
      <c r="J330" s="8" t="s">
        <v>122</v>
      </c>
      <c r="K330" s="9">
        <f>6814.56</f>
        <v>6814.56</v>
      </c>
      <c r="L330" s="9">
        <f>27258.24</f>
        <v>27258.240000000002</v>
      </c>
      <c r="M330" s="4"/>
      <c r="N330" s="10">
        <v>1</v>
      </c>
      <c r="O330" s="4" t="s">
        <v>27</v>
      </c>
      <c r="P330" s="11">
        <v>4</v>
      </c>
      <c r="Q330" s="9">
        <f>27258.24</f>
        <v>27258.240000000002</v>
      </c>
    </row>
    <row r="331" spans="1:17" ht="45" customHeight="1" x14ac:dyDescent="0.25">
      <c r="A331" s="4" t="s">
        <v>20</v>
      </c>
      <c r="B331" s="5" t="s">
        <v>846</v>
      </c>
      <c r="C331" s="4" t="s">
        <v>29</v>
      </c>
      <c r="D331" s="4" t="s">
        <v>847</v>
      </c>
      <c r="E331" s="4" t="s">
        <v>848</v>
      </c>
      <c r="F331" s="6">
        <f>8</f>
        <v>8</v>
      </c>
      <c r="G331" s="4" t="s">
        <v>46</v>
      </c>
      <c r="H331" s="7">
        <v>992.28</v>
      </c>
      <c r="I331" s="7">
        <v>992.28</v>
      </c>
      <c r="J331" s="8" t="s">
        <v>122</v>
      </c>
      <c r="K331" s="9">
        <f>1181.31</f>
        <v>1181.31</v>
      </c>
      <c r="L331" s="9">
        <f>9450.48</f>
        <v>9450.48</v>
      </c>
      <c r="M331" s="4"/>
      <c r="N331" s="10">
        <v>1</v>
      </c>
      <c r="O331" s="4" t="s">
        <v>27</v>
      </c>
      <c r="P331" s="11">
        <v>8</v>
      </c>
      <c r="Q331" s="9">
        <f>9450.48</f>
        <v>9450.48</v>
      </c>
    </row>
    <row r="332" spans="1:17" ht="45" customHeight="1" x14ac:dyDescent="0.25">
      <c r="A332" s="4" t="s">
        <v>20</v>
      </c>
      <c r="B332" s="5" t="s">
        <v>849</v>
      </c>
      <c r="C332" s="4" t="s">
        <v>29</v>
      </c>
      <c r="D332" s="4" t="s">
        <v>850</v>
      </c>
      <c r="E332" s="4" t="s">
        <v>851</v>
      </c>
      <c r="F332" s="6">
        <f>8</f>
        <v>8</v>
      </c>
      <c r="G332" s="4" t="s">
        <v>46</v>
      </c>
      <c r="H332" s="7">
        <v>3061.58</v>
      </c>
      <c r="I332" s="7">
        <v>3061.58</v>
      </c>
      <c r="J332" s="8" t="s">
        <v>122</v>
      </c>
      <c r="K332" s="9">
        <f>3644.81</f>
        <v>3644.81</v>
      </c>
      <c r="L332" s="9">
        <f>29158.48</f>
        <v>29158.48</v>
      </c>
      <c r="M332" s="4"/>
      <c r="N332" s="10">
        <v>1</v>
      </c>
      <c r="O332" s="4" t="s">
        <v>27</v>
      </c>
      <c r="P332" s="11">
        <v>8</v>
      </c>
      <c r="Q332" s="9">
        <f>29158.48</f>
        <v>29158.48</v>
      </c>
    </row>
    <row r="333" spans="1:17" ht="45" customHeight="1" x14ac:dyDescent="0.25">
      <c r="A333" s="4" t="s">
        <v>20</v>
      </c>
      <c r="B333" s="5" t="s">
        <v>852</v>
      </c>
      <c r="C333" s="4" t="s">
        <v>29</v>
      </c>
      <c r="D333" s="4" t="s">
        <v>853</v>
      </c>
      <c r="E333" s="4" t="s">
        <v>854</v>
      </c>
      <c r="F333" s="6">
        <f>4</f>
        <v>4</v>
      </c>
      <c r="G333" s="4" t="s">
        <v>46</v>
      </c>
      <c r="H333" s="7">
        <v>1141.55</v>
      </c>
      <c r="I333" s="7">
        <v>1141.55</v>
      </c>
      <c r="J333" s="8" t="s">
        <v>122</v>
      </c>
      <c r="K333" s="9">
        <f>1359.02</f>
        <v>1359.02</v>
      </c>
      <c r="L333" s="9">
        <f>5436.08</f>
        <v>5436.08</v>
      </c>
      <c r="M333" s="4"/>
      <c r="N333" s="10">
        <v>1</v>
      </c>
      <c r="O333" s="4" t="s">
        <v>27</v>
      </c>
      <c r="P333" s="11">
        <v>4</v>
      </c>
      <c r="Q333" s="9">
        <f>5436.08</f>
        <v>5436.08</v>
      </c>
    </row>
    <row r="334" spans="1:17" ht="45" customHeight="1" x14ac:dyDescent="0.25">
      <c r="A334" s="4" t="s">
        <v>20</v>
      </c>
      <c r="B334" s="5" t="s">
        <v>855</v>
      </c>
      <c r="C334" s="4" t="s">
        <v>29</v>
      </c>
      <c r="D334" s="4" t="s">
        <v>856</v>
      </c>
      <c r="E334" s="4" t="s">
        <v>857</v>
      </c>
      <c r="F334" s="6">
        <f>4</f>
        <v>4</v>
      </c>
      <c r="G334" s="4" t="s">
        <v>46</v>
      </c>
      <c r="H334" s="7">
        <v>1823.6</v>
      </c>
      <c r="I334" s="7">
        <v>1823.6</v>
      </c>
      <c r="J334" s="8" t="s">
        <v>122</v>
      </c>
      <c r="K334" s="9">
        <f>2171</f>
        <v>2171</v>
      </c>
      <c r="L334" s="9">
        <f>8684</f>
        <v>8684</v>
      </c>
      <c r="M334" s="4"/>
      <c r="N334" s="10">
        <v>1</v>
      </c>
      <c r="O334" s="4" t="s">
        <v>27</v>
      </c>
      <c r="P334" s="11">
        <v>4</v>
      </c>
      <c r="Q334" s="9">
        <f>8684</f>
        <v>8684</v>
      </c>
    </row>
    <row r="335" spans="1:17" ht="45" customHeight="1" x14ac:dyDescent="0.25">
      <c r="A335" s="4" t="s">
        <v>20</v>
      </c>
      <c r="B335" s="5" t="s">
        <v>858</v>
      </c>
      <c r="C335" s="4" t="s">
        <v>29</v>
      </c>
      <c r="D335" s="4" t="s">
        <v>859</v>
      </c>
      <c r="E335" s="4" t="s">
        <v>860</v>
      </c>
      <c r="F335" s="6">
        <f>36</f>
        <v>36</v>
      </c>
      <c r="G335" s="4" t="s">
        <v>46</v>
      </c>
      <c r="H335" s="7">
        <v>64.209999999999994</v>
      </c>
      <c r="I335" s="7">
        <v>64.209999999999994</v>
      </c>
      <c r="J335" s="8" t="s">
        <v>122</v>
      </c>
      <c r="K335" s="9">
        <f>76.44</f>
        <v>76.44</v>
      </c>
      <c r="L335" s="9">
        <f>2751.84</f>
        <v>2751.84</v>
      </c>
      <c r="M335" s="4"/>
      <c r="N335" s="10">
        <v>1</v>
      </c>
      <c r="O335" s="4" t="s">
        <v>27</v>
      </c>
      <c r="P335" s="11">
        <v>36</v>
      </c>
      <c r="Q335" s="9">
        <f>2751.84</f>
        <v>2751.84</v>
      </c>
    </row>
    <row r="336" spans="1:17" ht="45" customHeight="1" x14ac:dyDescent="0.25">
      <c r="A336" s="4" t="s">
        <v>20</v>
      </c>
      <c r="B336" s="5" t="s">
        <v>861</v>
      </c>
      <c r="C336" s="4" t="s">
        <v>29</v>
      </c>
      <c r="D336" s="4" t="s">
        <v>151</v>
      </c>
      <c r="E336" s="4" t="s">
        <v>152</v>
      </c>
      <c r="F336" s="6">
        <f>432</f>
        <v>432</v>
      </c>
      <c r="G336" s="4" t="s">
        <v>46</v>
      </c>
      <c r="H336" s="7">
        <v>9.17</v>
      </c>
      <c r="I336" s="7">
        <v>9.17</v>
      </c>
      <c r="J336" s="8" t="s">
        <v>122</v>
      </c>
      <c r="K336" s="9">
        <f>10.92</f>
        <v>10.92</v>
      </c>
      <c r="L336" s="9">
        <f>4717.44</f>
        <v>4717.4399999999996</v>
      </c>
      <c r="M336" s="4"/>
      <c r="N336" s="10">
        <v>1</v>
      </c>
      <c r="O336" s="4" t="s">
        <v>27</v>
      </c>
      <c r="P336" s="11">
        <v>432</v>
      </c>
      <c r="Q336" s="9">
        <f>4717.44</f>
        <v>4717.4399999999996</v>
      </c>
    </row>
    <row r="337" spans="1:17" ht="45" customHeight="1" x14ac:dyDescent="0.25">
      <c r="A337" s="4" t="s">
        <v>20</v>
      </c>
      <c r="B337" s="5" t="s">
        <v>862</v>
      </c>
      <c r="C337" s="4" t="s">
        <v>63</v>
      </c>
      <c r="D337" s="4" t="s">
        <v>831</v>
      </c>
      <c r="E337" s="4" t="s">
        <v>832</v>
      </c>
      <c r="F337" s="6">
        <f>2</f>
        <v>2</v>
      </c>
      <c r="G337" s="4" t="s">
        <v>46</v>
      </c>
      <c r="H337" s="7">
        <v>567.67999999999995</v>
      </c>
      <c r="I337" s="7">
        <v>567.67999999999995</v>
      </c>
      <c r="J337" s="8" t="s">
        <v>122</v>
      </c>
      <c r="K337" s="9">
        <f>675.82</f>
        <v>675.82</v>
      </c>
      <c r="L337" s="9">
        <f>1351.64</f>
        <v>1351.64</v>
      </c>
      <c r="M337" s="4"/>
      <c r="N337" s="10">
        <v>1</v>
      </c>
      <c r="O337" s="4" t="s">
        <v>27</v>
      </c>
      <c r="P337" s="11">
        <v>2</v>
      </c>
      <c r="Q337" s="9">
        <f>1351.64</f>
        <v>1351.64</v>
      </c>
    </row>
    <row r="338" spans="1:17" ht="45" customHeight="1" x14ac:dyDescent="0.25">
      <c r="A338" s="4" t="s">
        <v>20</v>
      </c>
      <c r="B338" s="5" t="s">
        <v>863</v>
      </c>
      <c r="C338" s="4" t="s">
        <v>29</v>
      </c>
      <c r="D338" s="4" t="s">
        <v>864</v>
      </c>
      <c r="E338" s="4" t="s">
        <v>865</v>
      </c>
      <c r="F338" s="6">
        <f>2</f>
        <v>2</v>
      </c>
      <c r="G338" s="4" t="s">
        <v>46</v>
      </c>
      <c r="H338" s="7">
        <v>1274.4000000000001</v>
      </c>
      <c r="I338" s="7">
        <v>1274.4000000000001</v>
      </c>
      <c r="J338" s="8" t="s">
        <v>122</v>
      </c>
      <c r="K338" s="9">
        <f>1517.17</f>
        <v>1517.17</v>
      </c>
      <c r="L338" s="9">
        <f>3034.34</f>
        <v>3034.34</v>
      </c>
      <c r="M338" s="4"/>
      <c r="N338" s="10">
        <v>1</v>
      </c>
      <c r="O338" s="4" t="s">
        <v>27</v>
      </c>
      <c r="P338" s="11">
        <v>2</v>
      </c>
      <c r="Q338" s="9">
        <f>3034.34</f>
        <v>3034.34</v>
      </c>
    </row>
    <row r="339" spans="1:17" ht="45" customHeight="1" x14ac:dyDescent="0.25">
      <c r="A339" s="4" t="s">
        <v>20</v>
      </c>
      <c r="B339" s="5" t="s">
        <v>866</v>
      </c>
      <c r="C339" s="4" t="s">
        <v>63</v>
      </c>
      <c r="D339" s="4" t="s">
        <v>867</v>
      </c>
      <c r="E339" s="4" t="s">
        <v>868</v>
      </c>
      <c r="F339" s="6">
        <f>8</f>
        <v>8</v>
      </c>
      <c r="G339" s="4" t="s">
        <v>46</v>
      </c>
      <c r="H339" s="7">
        <v>5.64</v>
      </c>
      <c r="I339" s="7">
        <v>5.64</v>
      </c>
      <c r="J339" s="8" t="s">
        <v>122</v>
      </c>
      <c r="K339" s="9">
        <f>6.71</f>
        <v>6.71</v>
      </c>
      <c r="L339" s="9">
        <f>53.68</f>
        <v>53.68</v>
      </c>
      <c r="M339" s="4"/>
      <c r="N339" s="10">
        <v>1</v>
      </c>
      <c r="O339" s="4" t="s">
        <v>27</v>
      </c>
      <c r="P339" s="11">
        <v>8</v>
      </c>
      <c r="Q339" s="9">
        <f>53.68</f>
        <v>53.68</v>
      </c>
    </row>
    <row r="340" spans="1:17" ht="45" customHeight="1" x14ac:dyDescent="0.25">
      <c r="A340" s="4" t="s">
        <v>17</v>
      </c>
      <c r="B340" s="5" t="s">
        <v>869</v>
      </c>
      <c r="C340" s="4"/>
      <c r="D340" s="4"/>
      <c r="E340" s="4" t="s">
        <v>870</v>
      </c>
      <c r="F340" s="6"/>
      <c r="G340" s="4"/>
      <c r="H340" s="7"/>
      <c r="I340" s="7"/>
      <c r="J340" s="8"/>
      <c r="K340" s="9"/>
      <c r="L340" s="9">
        <f>196408.32</f>
        <v>196408.32000000001</v>
      </c>
      <c r="M340" s="4"/>
      <c r="N340" s="10"/>
      <c r="O340" s="4"/>
      <c r="P340" s="11"/>
      <c r="Q340" s="9"/>
    </row>
    <row r="341" spans="1:17" ht="45" customHeight="1" x14ac:dyDescent="0.25">
      <c r="A341" s="4" t="s">
        <v>20</v>
      </c>
      <c r="B341" s="5" t="s">
        <v>871</v>
      </c>
      <c r="C341" s="4" t="s">
        <v>29</v>
      </c>
      <c r="D341" s="4" t="s">
        <v>872</v>
      </c>
      <c r="E341" s="4" t="s">
        <v>873</v>
      </c>
      <c r="F341" s="6">
        <f>1</f>
        <v>1</v>
      </c>
      <c r="G341" s="4" t="s">
        <v>46</v>
      </c>
      <c r="H341" s="7">
        <v>13973.45</v>
      </c>
      <c r="I341" s="7">
        <v>13973.45</v>
      </c>
      <c r="J341" s="8" t="s">
        <v>26</v>
      </c>
      <c r="K341" s="9">
        <f>17564.63</f>
        <v>17564.63</v>
      </c>
      <c r="L341" s="9">
        <f>17564.63</f>
        <v>17564.63</v>
      </c>
      <c r="M341" s="4"/>
      <c r="N341" s="10">
        <v>1</v>
      </c>
      <c r="O341" s="4" t="s">
        <v>27</v>
      </c>
      <c r="P341" s="11">
        <v>1</v>
      </c>
      <c r="Q341" s="9">
        <f>17564.63</f>
        <v>17564.63</v>
      </c>
    </row>
    <row r="342" spans="1:17" ht="45" customHeight="1" x14ac:dyDescent="0.25">
      <c r="A342" s="4" t="s">
        <v>20</v>
      </c>
      <c r="B342" s="5" t="s">
        <v>874</v>
      </c>
      <c r="C342" s="4" t="s">
        <v>22</v>
      </c>
      <c r="D342" s="4" t="s">
        <v>205</v>
      </c>
      <c r="E342" s="4" t="s">
        <v>875</v>
      </c>
      <c r="F342" s="6">
        <f>1</f>
        <v>1</v>
      </c>
      <c r="G342" s="4" t="s">
        <v>46</v>
      </c>
      <c r="H342" s="7">
        <v>30748.38</v>
      </c>
      <c r="I342" s="7">
        <v>30748.38</v>
      </c>
      <c r="J342" s="8" t="s">
        <v>26</v>
      </c>
      <c r="K342" s="9">
        <f>38650.71</f>
        <v>38650.71</v>
      </c>
      <c r="L342" s="9">
        <f>38650.71</f>
        <v>38650.71</v>
      </c>
      <c r="M342" s="4"/>
      <c r="N342" s="10">
        <v>1</v>
      </c>
      <c r="O342" s="4" t="s">
        <v>27</v>
      </c>
      <c r="P342" s="11">
        <v>1</v>
      </c>
      <c r="Q342" s="9">
        <f>38650.71</f>
        <v>38650.71</v>
      </c>
    </row>
    <row r="343" spans="1:17" ht="45" customHeight="1" x14ac:dyDescent="0.25">
      <c r="A343" s="4" t="s">
        <v>20</v>
      </c>
      <c r="B343" s="5" t="s">
        <v>876</v>
      </c>
      <c r="C343" s="4" t="s">
        <v>29</v>
      </c>
      <c r="D343" s="4" t="s">
        <v>87</v>
      </c>
      <c r="E343" s="4" t="s">
        <v>88</v>
      </c>
      <c r="F343" s="6">
        <f>594</f>
        <v>594</v>
      </c>
      <c r="G343" s="4" t="s">
        <v>79</v>
      </c>
      <c r="H343" s="7">
        <v>4.54</v>
      </c>
      <c r="I343" s="7">
        <v>4.54</v>
      </c>
      <c r="J343" s="8" t="s">
        <v>26</v>
      </c>
      <c r="K343" s="9">
        <f>5.71</f>
        <v>5.71</v>
      </c>
      <c r="L343" s="9">
        <f>3391.74</f>
        <v>3391.74</v>
      </c>
      <c r="M343" s="4"/>
      <c r="N343" s="10">
        <v>1</v>
      </c>
      <c r="O343" s="4" t="s">
        <v>27</v>
      </c>
      <c r="P343" s="11">
        <v>594</v>
      </c>
      <c r="Q343" s="9">
        <f>3391.74</f>
        <v>3391.74</v>
      </c>
    </row>
    <row r="344" spans="1:17" ht="45" customHeight="1" x14ac:dyDescent="0.25">
      <c r="A344" s="4" t="s">
        <v>20</v>
      </c>
      <c r="B344" s="5" t="s">
        <v>877</v>
      </c>
      <c r="C344" s="4" t="s">
        <v>22</v>
      </c>
      <c r="D344" s="4" t="s">
        <v>878</v>
      </c>
      <c r="E344" s="4" t="s">
        <v>879</v>
      </c>
      <c r="F344" s="6">
        <f>24.54</f>
        <v>24.54</v>
      </c>
      <c r="G344" s="4" t="s">
        <v>96</v>
      </c>
      <c r="H344" s="7">
        <v>2912.99</v>
      </c>
      <c r="I344" s="7">
        <v>2912.99</v>
      </c>
      <c r="J344" s="8" t="s">
        <v>26</v>
      </c>
      <c r="K344" s="9">
        <f>3661.63</f>
        <v>3661.63</v>
      </c>
      <c r="L344" s="9">
        <f>89856.4</f>
        <v>89856.4</v>
      </c>
      <c r="M344" s="4"/>
      <c r="N344" s="10">
        <v>1</v>
      </c>
      <c r="O344" s="4" t="s">
        <v>27</v>
      </c>
      <c r="P344" s="11">
        <v>24.54</v>
      </c>
      <c r="Q344" s="9">
        <f>89856.4</f>
        <v>89856.4</v>
      </c>
    </row>
    <row r="345" spans="1:17" ht="45" customHeight="1" x14ac:dyDescent="0.25">
      <c r="A345" s="4" t="s">
        <v>20</v>
      </c>
      <c r="B345" s="5" t="s">
        <v>880</v>
      </c>
      <c r="C345" s="4" t="s">
        <v>29</v>
      </c>
      <c r="D345" s="4" t="s">
        <v>127</v>
      </c>
      <c r="E345" s="4" t="s">
        <v>128</v>
      </c>
      <c r="F345" s="6">
        <f>8</f>
        <v>8</v>
      </c>
      <c r="G345" s="4" t="s">
        <v>46</v>
      </c>
      <c r="H345" s="7">
        <v>8.2100000000000009</v>
      </c>
      <c r="I345" s="7">
        <v>8.2100000000000009</v>
      </c>
      <c r="J345" s="8" t="s">
        <v>122</v>
      </c>
      <c r="K345" s="9">
        <f>9.77</f>
        <v>9.77</v>
      </c>
      <c r="L345" s="9">
        <f>78.16</f>
        <v>78.16</v>
      </c>
      <c r="M345" s="4"/>
      <c r="N345" s="10">
        <v>1</v>
      </c>
      <c r="O345" s="4" t="s">
        <v>27</v>
      </c>
      <c r="P345" s="11">
        <v>8</v>
      </c>
      <c r="Q345" s="9">
        <f>78.16</f>
        <v>78.16</v>
      </c>
    </row>
    <row r="346" spans="1:17" ht="45" customHeight="1" x14ac:dyDescent="0.25">
      <c r="A346" s="4" t="s">
        <v>20</v>
      </c>
      <c r="B346" s="5" t="s">
        <v>881</v>
      </c>
      <c r="C346" s="4" t="s">
        <v>29</v>
      </c>
      <c r="D346" s="4" t="s">
        <v>882</v>
      </c>
      <c r="E346" s="4" t="s">
        <v>883</v>
      </c>
      <c r="F346" s="6">
        <f>2</f>
        <v>2</v>
      </c>
      <c r="G346" s="4" t="s">
        <v>46</v>
      </c>
      <c r="H346" s="7">
        <v>243.19</v>
      </c>
      <c r="I346" s="7">
        <v>243.19</v>
      </c>
      <c r="J346" s="8" t="s">
        <v>122</v>
      </c>
      <c r="K346" s="9">
        <f>289.52</f>
        <v>289.52</v>
      </c>
      <c r="L346" s="9">
        <f>579.04</f>
        <v>579.04</v>
      </c>
      <c r="M346" s="4"/>
      <c r="N346" s="10">
        <v>1</v>
      </c>
      <c r="O346" s="4" t="s">
        <v>27</v>
      </c>
      <c r="P346" s="11">
        <v>2</v>
      </c>
      <c r="Q346" s="9">
        <f>579.04</f>
        <v>579.04</v>
      </c>
    </row>
    <row r="347" spans="1:17" ht="45" customHeight="1" x14ac:dyDescent="0.25">
      <c r="A347" s="4" t="s">
        <v>20</v>
      </c>
      <c r="B347" s="5" t="s">
        <v>884</v>
      </c>
      <c r="C347" s="4" t="s">
        <v>29</v>
      </c>
      <c r="D347" s="4" t="s">
        <v>885</v>
      </c>
      <c r="E347" s="4" t="s">
        <v>886</v>
      </c>
      <c r="F347" s="6">
        <f>1</f>
        <v>1</v>
      </c>
      <c r="G347" s="4" t="s">
        <v>46</v>
      </c>
      <c r="H347" s="7">
        <v>2457.2800000000002</v>
      </c>
      <c r="I347" s="7">
        <v>2457.2800000000002</v>
      </c>
      <c r="J347" s="8" t="s">
        <v>122</v>
      </c>
      <c r="K347" s="9">
        <f>2925.39</f>
        <v>2925.39</v>
      </c>
      <c r="L347" s="9">
        <f>2925.39</f>
        <v>2925.39</v>
      </c>
      <c r="M347" s="4"/>
      <c r="N347" s="10">
        <v>1</v>
      </c>
      <c r="O347" s="4" t="s">
        <v>27</v>
      </c>
      <c r="P347" s="11">
        <v>1</v>
      </c>
      <c r="Q347" s="9">
        <f>2925.39</f>
        <v>2925.39</v>
      </c>
    </row>
    <row r="348" spans="1:17" ht="45" customHeight="1" x14ac:dyDescent="0.25">
      <c r="A348" s="4" t="s">
        <v>20</v>
      </c>
      <c r="B348" s="5" t="s">
        <v>887</v>
      </c>
      <c r="C348" s="4" t="s">
        <v>29</v>
      </c>
      <c r="D348" s="4" t="s">
        <v>139</v>
      </c>
      <c r="E348" s="4" t="s">
        <v>140</v>
      </c>
      <c r="F348" s="6">
        <f>2</f>
        <v>2</v>
      </c>
      <c r="G348" s="4" t="s">
        <v>46</v>
      </c>
      <c r="H348" s="7">
        <v>755.79</v>
      </c>
      <c r="I348" s="7">
        <v>755.79</v>
      </c>
      <c r="J348" s="8" t="s">
        <v>122</v>
      </c>
      <c r="K348" s="9">
        <f>899.77</f>
        <v>899.77</v>
      </c>
      <c r="L348" s="9">
        <f>1799.54</f>
        <v>1799.54</v>
      </c>
      <c r="M348" s="4"/>
      <c r="N348" s="10">
        <v>1</v>
      </c>
      <c r="O348" s="4" t="s">
        <v>27</v>
      </c>
      <c r="P348" s="11">
        <v>2</v>
      </c>
      <c r="Q348" s="9">
        <f>1799.54</f>
        <v>1799.54</v>
      </c>
    </row>
    <row r="349" spans="1:17" ht="45" customHeight="1" x14ac:dyDescent="0.25">
      <c r="A349" s="4" t="s">
        <v>20</v>
      </c>
      <c r="B349" s="5" t="s">
        <v>888</v>
      </c>
      <c r="C349" s="4" t="s">
        <v>29</v>
      </c>
      <c r="D349" s="4" t="s">
        <v>434</v>
      </c>
      <c r="E349" s="4" t="s">
        <v>435</v>
      </c>
      <c r="F349" s="6">
        <f>1</f>
        <v>1</v>
      </c>
      <c r="G349" s="4" t="s">
        <v>46</v>
      </c>
      <c r="H349" s="7">
        <v>3573.48</v>
      </c>
      <c r="I349" s="7">
        <v>3573.48</v>
      </c>
      <c r="J349" s="8" t="s">
        <v>122</v>
      </c>
      <c r="K349" s="9">
        <f>4254.23</f>
        <v>4254.2299999999996</v>
      </c>
      <c r="L349" s="9">
        <f>4254.23</f>
        <v>4254.2299999999996</v>
      </c>
      <c r="M349" s="4"/>
      <c r="N349" s="10">
        <v>1</v>
      </c>
      <c r="O349" s="4" t="s">
        <v>27</v>
      </c>
      <c r="P349" s="11">
        <v>1</v>
      </c>
      <c r="Q349" s="9">
        <f>4254.23</f>
        <v>4254.2299999999996</v>
      </c>
    </row>
    <row r="350" spans="1:17" ht="45" customHeight="1" x14ac:dyDescent="0.25">
      <c r="A350" s="4" t="s">
        <v>20</v>
      </c>
      <c r="B350" s="5" t="s">
        <v>889</v>
      </c>
      <c r="C350" s="4" t="s">
        <v>29</v>
      </c>
      <c r="D350" s="4" t="s">
        <v>145</v>
      </c>
      <c r="E350" s="4" t="s">
        <v>146</v>
      </c>
      <c r="F350" s="6">
        <f>2</f>
        <v>2</v>
      </c>
      <c r="G350" s="4" t="s">
        <v>46</v>
      </c>
      <c r="H350" s="7">
        <v>4748.5</v>
      </c>
      <c r="I350" s="7">
        <v>4748.5</v>
      </c>
      <c r="J350" s="8" t="s">
        <v>122</v>
      </c>
      <c r="K350" s="9">
        <f>5653.09</f>
        <v>5653.09</v>
      </c>
      <c r="L350" s="9">
        <f>11306.18</f>
        <v>11306.18</v>
      </c>
      <c r="M350" s="4"/>
      <c r="N350" s="10">
        <v>1</v>
      </c>
      <c r="O350" s="4" t="s">
        <v>27</v>
      </c>
      <c r="P350" s="11">
        <v>2</v>
      </c>
      <c r="Q350" s="9">
        <f>11306.18</f>
        <v>11306.18</v>
      </c>
    </row>
    <row r="351" spans="1:17" ht="45" customHeight="1" x14ac:dyDescent="0.25">
      <c r="A351" s="4" t="s">
        <v>20</v>
      </c>
      <c r="B351" s="5" t="s">
        <v>890</v>
      </c>
      <c r="C351" s="4" t="s">
        <v>29</v>
      </c>
      <c r="D351" s="4" t="s">
        <v>151</v>
      </c>
      <c r="E351" s="4" t="s">
        <v>152</v>
      </c>
      <c r="F351" s="6">
        <f>96</f>
        <v>96</v>
      </c>
      <c r="G351" s="4" t="s">
        <v>46</v>
      </c>
      <c r="H351" s="7">
        <v>9.17</v>
      </c>
      <c r="I351" s="7">
        <v>9.17</v>
      </c>
      <c r="J351" s="8" t="s">
        <v>122</v>
      </c>
      <c r="K351" s="9">
        <f>10.92</f>
        <v>10.92</v>
      </c>
      <c r="L351" s="9">
        <f>1048.32</f>
        <v>1048.32</v>
      </c>
      <c r="M351" s="4"/>
      <c r="N351" s="10">
        <v>1</v>
      </c>
      <c r="O351" s="4" t="s">
        <v>27</v>
      </c>
      <c r="P351" s="11">
        <v>96</v>
      </c>
      <c r="Q351" s="9">
        <f>1048.32</f>
        <v>1048.32</v>
      </c>
    </row>
    <row r="352" spans="1:17" ht="45" customHeight="1" x14ac:dyDescent="0.25">
      <c r="A352" s="4" t="s">
        <v>20</v>
      </c>
      <c r="B352" s="5" t="s">
        <v>891</v>
      </c>
      <c r="C352" s="4" t="s">
        <v>29</v>
      </c>
      <c r="D352" s="4" t="s">
        <v>160</v>
      </c>
      <c r="E352" s="4" t="s">
        <v>161</v>
      </c>
      <c r="F352" s="6">
        <f>2</f>
        <v>2</v>
      </c>
      <c r="G352" s="4" t="s">
        <v>46</v>
      </c>
      <c r="H352" s="7">
        <v>2994.39</v>
      </c>
      <c r="I352" s="7">
        <v>2994.39</v>
      </c>
      <c r="J352" s="8" t="s">
        <v>122</v>
      </c>
      <c r="K352" s="9">
        <f>3564.82</f>
        <v>3564.82</v>
      </c>
      <c r="L352" s="9">
        <f>7129.64</f>
        <v>7129.64</v>
      </c>
      <c r="M352" s="4"/>
      <c r="N352" s="10">
        <v>1</v>
      </c>
      <c r="O352" s="4" t="s">
        <v>27</v>
      </c>
      <c r="P352" s="11">
        <v>2</v>
      </c>
      <c r="Q352" s="9">
        <f>7129.64</f>
        <v>7129.64</v>
      </c>
    </row>
    <row r="353" spans="1:17" ht="45" customHeight="1" x14ac:dyDescent="0.25">
      <c r="A353" s="4" t="s">
        <v>20</v>
      </c>
      <c r="B353" s="5" t="s">
        <v>892</v>
      </c>
      <c r="C353" s="4" t="s">
        <v>63</v>
      </c>
      <c r="D353" s="4" t="s">
        <v>831</v>
      </c>
      <c r="E353" s="4" t="s">
        <v>832</v>
      </c>
      <c r="F353" s="6">
        <f>1</f>
        <v>1</v>
      </c>
      <c r="G353" s="4" t="s">
        <v>46</v>
      </c>
      <c r="H353" s="7">
        <v>567.67999999999995</v>
      </c>
      <c r="I353" s="7">
        <v>567.67999999999995</v>
      </c>
      <c r="J353" s="8" t="s">
        <v>122</v>
      </c>
      <c r="K353" s="9">
        <f>675.82</f>
        <v>675.82</v>
      </c>
      <c r="L353" s="9">
        <f>675.82</f>
        <v>675.82</v>
      </c>
      <c r="M353" s="4"/>
      <c r="N353" s="10">
        <v>1</v>
      </c>
      <c r="O353" s="4" t="s">
        <v>27</v>
      </c>
      <c r="P353" s="11">
        <v>1</v>
      </c>
      <c r="Q353" s="9">
        <f>675.82</f>
        <v>675.82</v>
      </c>
    </row>
    <row r="354" spans="1:17" ht="45" customHeight="1" x14ac:dyDescent="0.25">
      <c r="A354" s="4" t="s">
        <v>20</v>
      </c>
      <c r="B354" s="5" t="s">
        <v>893</v>
      </c>
      <c r="C354" s="4" t="s">
        <v>29</v>
      </c>
      <c r="D354" s="4" t="s">
        <v>864</v>
      </c>
      <c r="E354" s="4" t="s">
        <v>865</v>
      </c>
      <c r="F354" s="6">
        <f>2</f>
        <v>2</v>
      </c>
      <c r="G354" s="4" t="s">
        <v>46</v>
      </c>
      <c r="H354" s="7">
        <v>1274.4000000000001</v>
      </c>
      <c r="I354" s="7">
        <v>1274.4000000000001</v>
      </c>
      <c r="J354" s="8" t="s">
        <v>122</v>
      </c>
      <c r="K354" s="9">
        <f>1517.17</f>
        <v>1517.17</v>
      </c>
      <c r="L354" s="9">
        <f>3034.34</f>
        <v>3034.34</v>
      </c>
      <c r="M354" s="4"/>
      <c r="N354" s="10">
        <v>1</v>
      </c>
      <c r="O354" s="4" t="s">
        <v>27</v>
      </c>
      <c r="P354" s="11">
        <v>2</v>
      </c>
      <c r="Q354" s="9">
        <f>3034.34</f>
        <v>3034.34</v>
      </c>
    </row>
    <row r="355" spans="1:17" ht="45" customHeight="1" x14ac:dyDescent="0.25">
      <c r="A355" s="4" t="s">
        <v>20</v>
      </c>
      <c r="B355" s="5" t="s">
        <v>894</v>
      </c>
      <c r="C355" s="4" t="s">
        <v>29</v>
      </c>
      <c r="D355" s="4" t="s">
        <v>895</v>
      </c>
      <c r="E355" s="4" t="s">
        <v>896</v>
      </c>
      <c r="F355" s="6">
        <f>24.54</f>
        <v>24.54</v>
      </c>
      <c r="G355" s="4" t="s">
        <v>96</v>
      </c>
      <c r="H355" s="7">
        <v>483.12</v>
      </c>
      <c r="I355" s="7">
        <v>483.12</v>
      </c>
      <c r="J355" s="8" t="s">
        <v>122</v>
      </c>
      <c r="K355" s="9">
        <f>575.15</f>
        <v>575.15</v>
      </c>
      <c r="L355" s="9">
        <f>14114.18</f>
        <v>14114.18</v>
      </c>
      <c r="M355" s="4"/>
      <c r="N355" s="10">
        <v>1</v>
      </c>
      <c r="O355" s="4" t="s">
        <v>27</v>
      </c>
      <c r="P355" s="11">
        <v>24.54</v>
      </c>
      <c r="Q355" s="9">
        <f>14114.18</f>
        <v>14114.18</v>
      </c>
    </row>
    <row r="356" spans="1:17" ht="45" customHeight="1" x14ac:dyDescent="0.25">
      <c r="A356" s="4" t="s">
        <v>17</v>
      </c>
      <c r="B356" s="5" t="s">
        <v>897</v>
      </c>
      <c r="C356" s="4"/>
      <c r="D356" s="4"/>
      <c r="E356" s="4" t="s">
        <v>898</v>
      </c>
      <c r="F356" s="6"/>
      <c r="G356" s="4"/>
      <c r="H356" s="7"/>
      <c r="I356" s="7"/>
      <c r="J356" s="8"/>
      <c r="K356" s="9"/>
      <c r="L356" s="9">
        <f>931026</f>
        <v>931026</v>
      </c>
      <c r="M356" s="4"/>
      <c r="N356" s="10"/>
      <c r="O356" s="4"/>
      <c r="P356" s="11"/>
      <c r="Q356" s="9"/>
    </row>
    <row r="357" spans="1:17" ht="45" customHeight="1" x14ac:dyDescent="0.25">
      <c r="A357" s="4" t="s">
        <v>20</v>
      </c>
      <c r="B357" s="5" t="s">
        <v>899</v>
      </c>
      <c r="C357" s="4" t="s">
        <v>63</v>
      </c>
      <c r="D357" s="4" t="s">
        <v>900</v>
      </c>
      <c r="E357" s="4" t="s">
        <v>901</v>
      </c>
      <c r="F357" s="6">
        <f>54</f>
        <v>54</v>
      </c>
      <c r="G357" s="4" t="s">
        <v>25</v>
      </c>
      <c r="H357" s="7">
        <v>4.53</v>
      </c>
      <c r="I357" s="7">
        <v>4.53</v>
      </c>
      <c r="J357" s="8" t="s">
        <v>26</v>
      </c>
      <c r="K357" s="9">
        <f>5.69</f>
        <v>5.69</v>
      </c>
      <c r="L357" s="9">
        <f>307.26</f>
        <v>307.26</v>
      </c>
      <c r="M357" s="4"/>
      <c r="N357" s="10">
        <v>1</v>
      </c>
      <c r="O357" s="4" t="s">
        <v>27</v>
      </c>
      <c r="P357" s="11">
        <v>54</v>
      </c>
      <c r="Q357" s="9">
        <f>307.26</f>
        <v>307.26</v>
      </c>
    </row>
    <row r="358" spans="1:17" ht="45" customHeight="1" x14ac:dyDescent="0.25">
      <c r="A358" s="4" t="s">
        <v>20</v>
      </c>
      <c r="B358" s="5" t="s">
        <v>902</v>
      </c>
      <c r="C358" s="4" t="s">
        <v>63</v>
      </c>
      <c r="D358" s="4" t="s">
        <v>903</v>
      </c>
      <c r="E358" s="4" t="s">
        <v>904</v>
      </c>
      <c r="F358" s="6">
        <f>12.5</f>
        <v>12.5</v>
      </c>
      <c r="G358" s="4" t="s">
        <v>75</v>
      </c>
      <c r="H358" s="7">
        <v>51.55</v>
      </c>
      <c r="I358" s="7">
        <v>51.55</v>
      </c>
      <c r="J358" s="8" t="s">
        <v>26</v>
      </c>
      <c r="K358" s="9">
        <f>64.8</f>
        <v>64.8</v>
      </c>
      <c r="L358" s="9">
        <f>810</f>
        <v>810</v>
      </c>
      <c r="M358" s="4"/>
      <c r="N358" s="10">
        <v>1</v>
      </c>
      <c r="O358" s="4" t="s">
        <v>27</v>
      </c>
      <c r="P358" s="11">
        <v>12.5</v>
      </c>
      <c r="Q358" s="9">
        <f>810</f>
        <v>810</v>
      </c>
    </row>
    <row r="359" spans="1:17" ht="45" customHeight="1" x14ac:dyDescent="0.25">
      <c r="A359" s="4" t="s">
        <v>20</v>
      </c>
      <c r="B359" s="5" t="s">
        <v>905</v>
      </c>
      <c r="C359" s="4" t="s">
        <v>63</v>
      </c>
      <c r="D359" s="4" t="s">
        <v>906</v>
      </c>
      <c r="E359" s="4" t="s">
        <v>907</v>
      </c>
      <c r="F359" s="6">
        <f>2.5</f>
        <v>2.5</v>
      </c>
      <c r="G359" s="4" t="s">
        <v>25</v>
      </c>
      <c r="H359" s="7">
        <v>24.62</v>
      </c>
      <c r="I359" s="7">
        <v>24.62</v>
      </c>
      <c r="J359" s="8" t="s">
        <v>26</v>
      </c>
      <c r="K359" s="9">
        <f>30.95</f>
        <v>30.95</v>
      </c>
      <c r="L359" s="9">
        <f>77.38</f>
        <v>77.38</v>
      </c>
      <c r="M359" s="4"/>
      <c r="N359" s="10">
        <v>1</v>
      </c>
      <c r="O359" s="4" t="s">
        <v>27</v>
      </c>
      <c r="P359" s="11">
        <v>2.5</v>
      </c>
      <c r="Q359" s="9">
        <f>77.38</f>
        <v>77.38</v>
      </c>
    </row>
    <row r="360" spans="1:17" ht="45" customHeight="1" x14ac:dyDescent="0.25">
      <c r="A360" s="4" t="s">
        <v>20</v>
      </c>
      <c r="B360" s="5" t="s">
        <v>908</v>
      </c>
      <c r="C360" s="4" t="s">
        <v>29</v>
      </c>
      <c r="D360" s="4" t="s">
        <v>60</v>
      </c>
      <c r="E360" s="4" t="s">
        <v>61</v>
      </c>
      <c r="F360" s="6">
        <f>168</f>
        <v>168</v>
      </c>
      <c r="G360" s="4" t="s">
        <v>25</v>
      </c>
      <c r="H360" s="7">
        <v>5.8</v>
      </c>
      <c r="I360" s="7">
        <v>5.8</v>
      </c>
      <c r="J360" s="8" t="s">
        <v>26</v>
      </c>
      <c r="K360" s="9">
        <f>7.29</f>
        <v>7.29</v>
      </c>
      <c r="L360" s="9">
        <f>1224.72</f>
        <v>1224.72</v>
      </c>
      <c r="M360" s="4"/>
      <c r="N360" s="10">
        <v>1</v>
      </c>
      <c r="O360" s="4" t="s">
        <v>27</v>
      </c>
      <c r="P360" s="11">
        <v>168</v>
      </c>
      <c r="Q360" s="9">
        <f>1224.72</f>
        <v>1224.72</v>
      </c>
    </row>
    <row r="361" spans="1:17" ht="45" customHeight="1" x14ac:dyDescent="0.25">
      <c r="A361" s="4" t="s">
        <v>20</v>
      </c>
      <c r="B361" s="5" t="s">
        <v>909</v>
      </c>
      <c r="C361" s="4" t="s">
        <v>63</v>
      </c>
      <c r="D361" s="4" t="s">
        <v>322</v>
      </c>
      <c r="E361" s="4" t="s">
        <v>323</v>
      </c>
      <c r="F361" s="6">
        <f>13</f>
        <v>13</v>
      </c>
      <c r="G361" s="4" t="s">
        <v>25</v>
      </c>
      <c r="H361" s="7">
        <v>9.6300000000000008</v>
      </c>
      <c r="I361" s="7">
        <v>9.6300000000000008</v>
      </c>
      <c r="J361" s="8" t="s">
        <v>26</v>
      </c>
      <c r="K361" s="9">
        <f>12.1</f>
        <v>12.1</v>
      </c>
      <c r="L361" s="9">
        <f>157.3</f>
        <v>157.30000000000001</v>
      </c>
      <c r="M361" s="4"/>
      <c r="N361" s="10">
        <v>1</v>
      </c>
      <c r="O361" s="4" t="s">
        <v>27</v>
      </c>
      <c r="P361" s="11">
        <v>13</v>
      </c>
      <c r="Q361" s="9">
        <f>157.3</f>
        <v>157.30000000000001</v>
      </c>
    </row>
    <row r="362" spans="1:17" ht="45" customHeight="1" x14ac:dyDescent="0.25">
      <c r="A362" s="4" t="s">
        <v>20</v>
      </c>
      <c r="B362" s="5" t="s">
        <v>910</v>
      </c>
      <c r="C362" s="4" t="s">
        <v>29</v>
      </c>
      <c r="D362" s="4" t="s">
        <v>337</v>
      </c>
      <c r="E362" s="4" t="s">
        <v>338</v>
      </c>
      <c r="F362" s="6">
        <f>9.5</f>
        <v>9.5</v>
      </c>
      <c r="G362" s="4" t="s">
        <v>25</v>
      </c>
      <c r="H362" s="7">
        <v>403.69</v>
      </c>
      <c r="I362" s="7">
        <v>403.69</v>
      </c>
      <c r="J362" s="8" t="s">
        <v>26</v>
      </c>
      <c r="K362" s="9">
        <f>507.44</f>
        <v>507.44</v>
      </c>
      <c r="L362" s="9">
        <f>4820.68</f>
        <v>4820.68</v>
      </c>
      <c r="M362" s="4"/>
      <c r="N362" s="10">
        <v>1</v>
      </c>
      <c r="O362" s="4" t="s">
        <v>27</v>
      </c>
      <c r="P362" s="11">
        <v>9.5</v>
      </c>
      <c r="Q362" s="9">
        <f>4820.68</f>
        <v>4820.68</v>
      </c>
    </row>
    <row r="363" spans="1:17" ht="45" customHeight="1" x14ac:dyDescent="0.25">
      <c r="A363" s="4" t="s">
        <v>20</v>
      </c>
      <c r="B363" s="5" t="s">
        <v>911</v>
      </c>
      <c r="C363" s="4" t="s">
        <v>22</v>
      </c>
      <c r="D363" s="4" t="s">
        <v>912</v>
      </c>
      <c r="E363" s="4" t="s">
        <v>913</v>
      </c>
      <c r="F363" s="6">
        <f>10</f>
        <v>10</v>
      </c>
      <c r="G363" s="4" t="s">
        <v>25</v>
      </c>
      <c r="H363" s="7">
        <v>191.88</v>
      </c>
      <c r="I363" s="7">
        <v>191.88</v>
      </c>
      <c r="J363" s="8" t="s">
        <v>26</v>
      </c>
      <c r="K363" s="9">
        <f>241.19</f>
        <v>241.19</v>
      </c>
      <c r="L363" s="9">
        <f>2411.9</f>
        <v>2411.9</v>
      </c>
      <c r="M363" s="4"/>
      <c r="N363" s="10">
        <v>1</v>
      </c>
      <c r="O363" s="4" t="s">
        <v>27</v>
      </c>
      <c r="P363" s="11">
        <v>10</v>
      </c>
      <c r="Q363" s="9">
        <f>2411.9</f>
        <v>2411.9</v>
      </c>
    </row>
    <row r="364" spans="1:17" ht="45" customHeight="1" x14ac:dyDescent="0.25">
      <c r="A364" s="4" t="s">
        <v>20</v>
      </c>
      <c r="B364" s="5" t="s">
        <v>914</v>
      </c>
      <c r="C364" s="4" t="s">
        <v>63</v>
      </c>
      <c r="D364" s="4" t="s">
        <v>328</v>
      </c>
      <c r="E364" s="4" t="s">
        <v>329</v>
      </c>
      <c r="F364" s="6">
        <f>13</f>
        <v>13</v>
      </c>
      <c r="G364" s="4" t="s">
        <v>25</v>
      </c>
      <c r="H364" s="7">
        <v>11.95</v>
      </c>
      <c r="I364" s="7">
        <v>11.95</v>
      </c>
      <c r="J364" s="8" t="s">
        <v>26</v>
      </c>
      <c r="K364" s="9">
        <f>15.02</f>
        <v>15.02</v>
      </c>
      <c r="L364" s="9">
        <f>195.26</f>
        <v>195.26</v>
      </c>
      <c r="M364" s="4"/>
      <c r="N364" s="10">
        <v>1</v>
      </c>
      <c r="O364" s="4" t="s">
        <v>27</v>
      </c>
      <c r="P364" s="11">
        <v>13</v>
      </c>
      <c r="Q364" s="9">
        <f>195.26</f>
        <v>195.26</v>
      </c>
    </row>
    <row r="365" spans="1:17" ht="45" customHeight="1" x14ac:dyDescent="0.25">
      <c r="A365" s="4" t="s">
        <v>20</v>
      </c>
      <c r="B365" s="5" t="s">
        <v>915</v>
      </c>
      <c r="C365" s="4" t="s">
        <v>63</v>
      </c>
      <c r="D365" s="4" t="s">
        <v>319</v>
      </c>
      <c r="E365" s="4" t="s">
        <v>320</v>
      </c>
      <c r="F365" s="6">
        <f>13</f>
        <v>13</v>
      </c>
      <c r="G365" s="4" t="s">
        <v>25</v>
      </c>
      <c r="H365" s="7">
        <v>5.09</v>
      </c>
      <c r="I365" s="7">
        <v>5.09</v>
      </c>
      <c r="J365" s="8" t="s">
        <v>26</v>
      </c>
      <c r="K365" s="9">
        <f>6.4</f>
        <v>6.4</v>
      </c>
      <c r="L365" s="9">
        <f>83.2</f>
        <v>83.2</v>
      </c>
      <c r="M365" s="4"/>
      <c r="N365" s="10">
        <v>1</v>
      </c>
      <c r="O365" s="4" t="s">
        <v>27</v>
      </c>
      <c r="P365" s="11">
        <v>13</v>
      </c>
      <c r="Q365" s="9">
        <f>83.2</f>
        <v>83.2</v>
      </c>
    </row>
    <row r="366" spans="1:17" ht="45" customHeight="1" x14ac:dyDescent="0.25">
      <c r="A366" s="4" t="s">
        <v>20</v>
      </c>
      <c r="B366" s="5" t="s">
        <v>916</v>
      </c>
      <c r="C366" s="4" t="s">
        <v>29</v>
      </c>
      <c r="D366" s="4" t="s">
        <v>917</v>
      </c>
      <c r="E366" s="4" t="s">
        <v>918</v>
      </c>
      <c r="F366" s="6">
        <f>14.5</f>
        <v>14.5</v>
      </c>
      <c r="G366" s="4" t="s">
        <v>75</v>
      </c>
      <c r="H366" s="7">
        <v>321.02</v>
      </c>
      <c r="I366" s="7">
        <v>321.02</v>
      </c>
      <c r="J366" s="8" t="s">
        <v>26</v>
      </c>
      <c r="K366" s="9">
        <f>403.52</f>
        <v>403.52</v>
      </c>
      <c r="L366" s="9">
        <f>5851.04</f>
        <v>5851.04</v>
      </c>
      <c r="M366" s="4"/>
      <c r="N366" s="10">
        <v>1</v>
      </c>
      <c r="O366" s="4" t="s">
        <v>27</v>
      </c>
      <c r="P366" s="11">
        <v>14.5</v>
      </c>
      <c r="Q366" s="9">
        <f>5851.04</f>
        <v>5851.04</v>
      </c>
    </row>
    <row r="367" spans="1:17" ht="45" customHeight="1" x14ac:dyDescent="0.25">
      <c r="A367" s="4" t="s">
        <v>20</v>
      </c>
      <c r="B367" s="5" t="s">
        <v>919</v>
      </c>
      <c r="C367" s="4" t="s">
        <v>63</v>
      </c>
      <c r="D367" s="4" t="s">
        <v>520</v>
      </c>
      <c r="E367" s="4" t="s">
        <v>521</v>
      </c>
      <c r="F367" s="6">
        <f>12.5</f>
        <v>12.5</v>
      </c>
      <c r="G367" s="4" t="s">
        <v>25</v>
      </c>
      <c r="H367" s="7">
        <v>93.84</v>
      </c>
      <c r="I367" s="7">
        <v>93.84</v>
      </c>
      <c r="J367" s="8" t="s">
        <v>26</v>
      </c>
      <c r="K367" s="9">
        <f>117.96</f>
        <v>117.96</v>
      </c>
      <c r="L367" s="9">
        <f>1474.5</f>
        <v>1474.5</v>
      </c>
      <c r="M367" s="4"/>
      <c r="N367" s="10">
        <v>1</v>
      </c>
      <c r="O367" s="4" t="s">
        <v>27</v>
      </c>
      <c r="P367" s="11">
        <v>12.5</v>
      </c>
      <c r="Q367" s="9">
        <f>1474.5</f>
        <v>1474.5</v>
      </c>
    </row>
    <row r="368" spans="1:17" ht="45" customHeight="1" x14ac:dyDescent="0.25">
      <c r="A368" s="4" t="s">
        <v>20</v>
      </c>
      <c r="B368" s="5" t="s">
        <v>920</v>
      </c>
      <c r="C368" s="4" t="s">
        <v>63</v>
      </c>
      <c r="D368" s="4" t="s">
        <v>921</v>
      </c>
      <c r="E368" s="4" t="s">
        <v>922</v>
      </c>
      <c r="F368" s="6">
        <f>488</f>
        <v>488</v>
      </c>
      <c r="G368" s="4" t="s">
        <v>75</v>
      </c>
      <c r="H368" s="7">
        <v>13.8</v>
      </c>
      <c r="I368" s="7">
        <v>13.8</v>
      </c>
      <c r="J368" s="8" t="s">
        <v>26</v>
      </c>
      <c r="K368" s="9">
        <f>17.35</f>
        <v>17.350000000000001</v>
      </c>
      <c r="L368" s="9">
        <f>8466.8</f>
        <v>8466.7999999999993</v>
      </c>
      <c r="M368" s="4"/>
      <c r="N368" s="10">
        <v>1</v>
      </c>
      <c r="O368" s="4" t="s">
        <v>27</v>
      </c>
      <c r="P368" s="11">
        <v>488</v>
      </c>
      <c r="Q368" s="9">
        <f>8466.8</f>
        <v>8466.7999999999993</v>
      </c>
    </row>
    <row r="369" spans="1:17" ht="45" customHeight="1" x14ac:dyDescent="0.25">
      <c r="A369" s="4" t="s">
        <v>20</v>
      </c>
      <c r="B369" s="5" t="s">
        <v>923</v>
      </c>
      <c r="C369" s="4" t="s">
        <v>63</v>
      </c>
      <c r="D369" s="4" t="s">
        <v>924</v>
      </c>
      <c r="E369" s="4" t="s">
        <v>925</v>
      </c>
      <c r="F369" s="6">
        <f>66.5</f>
        <v>66.5</v>
      </c>
      <c r="G369" s="4" t="s">
        <v>75</v>
      </c>
      <c r="H369" s="7">
        <v>28.02</v>
      </c>
      <c r="I369" s="7">
        <v>28.02</v>
      </c>
      <c r="J369" s="8" t="s">
        <v>26</v>
      </c>
      <c r="K369" s="9">
        <f>35.22</f>
        <v>35.22</v>
      </c>
      <c r="L369" s="9">
        <f>2342.13</f>
        <v>2342.13</v>
      </c>
      <c r="M369" s="4"/>
      <c r="N369" s="10">
        <v>1</v>
      </c>
      <c r="O369" s="4" t="s">
        <v>27</v>
      </c>
      <c r="P369" s="11">
        <v>66.5</v>
      </c>
      <c r="Q369" s="9">
        <f>2342.13</f>
        <v>2342.13</v>
      </c>
    </row>
    <row r="370" spans="1:17" ht="45" customHeight="1" x14ac:dyDescent="0.25">
      <c r="A370" s="4" t="s">
        <v>20</v>
      </c>
      <c r="B370" s="5" t="s">
        <v>926</v>
      </c>
      <c r="C370" s="4" t="s">
        <v>63</v>
      </c>
      <c r="D370" s="4" t="s">
        <v>107</v>
      </c>
      <c r="E370" s="4" t="s">
        <v>108</v>
      </c>
      <c r="F370" s="6">
        <f>569</f>
        <v>569</v>
      </c>
      <c r="G370" s="4" t="s">
        <v>75</v>
      </c>
      <c r="H370" s="7">
        <v>8.64</v>
      </c>
      <c r="I370" s="7">
        <v>8.64</v>
      </c>
      <c r="J370" s="8" t="s">
        <v>26</v>
      </c>
      <c r="K370" s="9">
        <f>10.86</f>
        <v>10.86</v>
      </c>
      <c r="L370" s="9">
        <f>6179.34</f>
        <v>6179.34</v>
      </c>
      <c r="M370" s="4"/>
      <c r="N370" s="10">
        <v>1</v>
      </c>
      <c r="O370" s="4" t="s">
        <v>27</v>
      </c>
      <c r="P370" s="11">
        <v>569</v>
      </c>
      <c r="Q370" s="9">
        <f>6179.34</f>
        <v>6179.34</v>
      </c>
    </row>
    <row r="371" spans="1:17" ht="45" customHeight="1" x14ac:dyDescent="0.25">
      <c r="A371" s="4" t="s">
        <v>20</v>
      </c>
      <c r="B371" s="5" t="s">
        <v>927</v>
      </c>
      <c r="C371" s="4" t="s">
        <v>63</v>
      </c>
      <c r="D371" s="4" t="s">
        <v>114</v>
      </c>
      <c r="E371" s="4" t="s">
        <v>115</v>
      </c>
      <c r="F371" s="6">
        <f>585</f>
        <v>585</v>
      </c>
      <c r="G371" s="4" t="s">
        <v>75</v>
      </c>
      <c r="H371" s="7">
        <v>1.45</v>
      </c>
      <c r="I371" s="7">
        <v>1.45</v>
      </c>
      <c r="J371" s="8" t="s">
        <v>26</v>
      </c>
      <c r="K371" s="9">
        <f>1.82</f>
        <v>1.82</v>
      </c>
      <c r="L371" s="9">
        <f>1064.7</f>
        <v>1064.7</v>
      </c>
      <c r="M371" s="4"/>
      <c r="N371" s="10">
        <v>1</v>
      </c>
      <c r="O371" s="4" t="s">
        <v>27</v>
      </c>
      <c r="P371" s="11">
        <v>585</v>
      </c>
      <c r="Q371" s="9">
        <f>1064.7</f>
        <v>1064.7</v>
      </c>
    </row>
    <row r="372" spans="1:17" ht="45" customHeight="1" x14ac:dyDescent="0.25">
      <c r="A372" s="4" t="s">
        <v>20</v>
      </c>
      <c r="B372" s="5" t="s">
        <v>928</v>
      </c>
      <c r="C372" s="4" t="s">
        <v>63</v>
      </c>
      <c r="D372" s="4" t="s">
        <v>110</v>
      </c>
      <c r="E372" s="4" t="s">
        <v>111</v>
      </c>
      <c r="F372" s="6">
        <f>2340</f>
        <v>2340</v>
      </c>
      <c r="G372" s="4" t="s">
        <v>112</v>
      </c>
      <c r="H372" s="7">
        <v>3.31</v>
      </c>
      <c r="I372" s="7">
        <v>3.31</v>
      </c>
      <c r="J372" s="8" t="s">
        <v>26</v>
      </c>
      <c r="K372" s="9">
        <f>4.16</f>
        <v>4.16</v>
      </c>
      <c r="L372" s="9">
        <f>9734.4</f>
        <v>9734.4</v>
      </c>
      <c r="M372" s="4"/>
      <c r="N372" s="10">
        <v>1</v>
      </c>
      <c r="O372" s="4" t="s">
        <v>27</v>
      </c>
      <c r="P372" s="11">
        <v>2340</v>
      </c>
      <c r="Q372" s="9">
        <f>9734.4</f>
        <v>9734.4</v>
      </c>
    </row>
    <row r="373" spans="1:17" ht="45" customHeight="1" x14ac:dyDescent="0.25">
      <c r="A373" s="4" t="s">
        <v>20</v>
      </c>
      <c r="B373" s="5" t="s">
        <v>929</v>
      </c>
      <c r="C373" s="4" t="s">
        <v>29</v>
      </c>
      <c r="D373" s="4" t="s">
        <v>930</v>
      </c>
      <c r="E373" s="4" t="s">
        <v>931</v>
      </c>
      <c r="F373" s="6">
        <f>204</f>
        <v>204</v>
      </c>
      <c r="G373" s="4" t="s">
        <v>25</v>
      </c>
      <c r="H373" s="7">
        <v>58.37</v>
      </c>
      <c r="I373" s="7">
        <v>58.37</v>
      </c>
      <c r="J373" s="8" t="s">
        <v>26</v>
      </c>
      <c r="K373" s="9">
        <f>73.37</f>
        <v>73.37</v>
      </c>
      <c r="L373" s="9">
        <f>14967.48</f>
        <v>14967.48</v>
      </c>
      <c r="M373" s="4"/>
      <c r="N373" s="10">
        <v>1</v>
      </c>
      <c r="O373" s="4" t="s">
        <v>27</v>
      </c>
      <c r="P373" s="11">
        <v>204</v>
      </c>
      <c r="Q373" s="9">
        <f>14967.48</f>
        <v>14967.48</v>
      </c>
    </row>
    <row r="374" spans="1:17" ht="45" customHeight="1" x14ac:dyDescent="0.25">
      <c r="A374" s="4" t="s">
        <v>20</v>
      </c>
      <c r="B374" s="5" t="s">
        <v>932</v>
      </c>
      <c r="C374" s="4" t="s">
        <v>63</v>
      </c>
      <c r="D374" s="4" t="s">
        <v>933</v>
      </c>
      <c r="E374" s="4" t="s">
        <v>934</v>
      </c>
      <c r="F374" s="6">
        <f>567</f>
        <v>567</v>
      </c>
      <c r="G374" s="4" t="s">
        <v>75</v>
      </c>
      <c r="H374" s="7">
        <v>17.690000000000001</v>
      </c>
      <c r="I374" s="7">
        <v>17.690000000000001</v>
      </c>
      <c r="J374" s="8" t="s">
        <v>26</v>
      </c>
      <c r="K374" s="9">
        <f>22.24</f>
        <v>22.24</v>
      </c>
      <c r="L374" s="9">
        <f>12610.08</f>
        <v>12610.08</v>
      </c>
      <c r="M374" s="4"/>
      <c r="N374" s="10">
        <v>1</v>
      </c>
      <c r="O374" s="4" t="s">
        <v>27</v>
      </c>
      <c r="P374" s="11">
        <v>567</v>
      </c>
      <c r="Q374" s="9">
        <f>12610.08</f>
        <v>12610.08</v>
      </c>
    </row>
    <row r="375" spans="1:17" ht="45" customHeight="1" x14ac:dyDescent="0.25">
      <c r="A375" s="4" t="s">
        <v>20</v>
      </c>
      <c r="B375" s="5" t="s">
        <v>935</v>
      </c>
      <c r="C375" s="4" t="s">
        <v>29</v>
      </c>
      <c r="D375" s="4" t="s">
        <v>936</v>
      </c>
      <c r="E375" s="4" t="s">
        <v>937</v>
      </c>
      <c r="F375" s="6">
        <f>19.5</f>
        <v>19.5</v>
      </c>
      <c r="G375" s="4" t="s">
        <v>75</v>
      </c>
      <c r="H375" s="7">
        <v>255.74</v>
      </c>
      <c r="I375" s="7">
        <v>255.74</v>
      </c>
      <c r="J375" s="8" t="s">
        <v>26</v>
      </c>
      <c r="K375" s="9">
        <f>321.47</f>
        <v>321.47000000000003</v>
      </c>
      <c r="L375" s="9">
        <f>6268.67</f>
        <v>6268.67</v>
      </c>
      <c r="M375" s="4"/>
      <c r="N375" s="10">
        <v>1</v>
      </c>
      <c r="O375" s="4" t="s">
        <v>27</v>
      </c>
      <c r="P375" s="11">
        <v>19.5</v>
      </c>
      <c r="Q375" s="9">
        <f>6268.67</f>
        <v>6268.67</v>
      </c>
    </row>
    <row r="376" spans="1:17" ht="45" customHeight="1" x14ac:dyDescent="0.25">
      <c r="A376" s="4" t="s">
        <v>20</v>
      </c>
      <c r="B376" s="5" t="s">
        <v>938</v>
      </c>
      <c r="C376" s="4" t="s">
        <v>29</v>
      </c>
      <c r="D376" s="4" t="s">
        <v>939</v>
      </c>
      <c r="E376" s="4" t="s">
        <v>940</v>
      </c>
      <c r="F376" s="6">
        <f>150</f>
        <v>150</v>
      </c>
      <c r="G376" s="4" t="s">
        <v>25</v>
      </c>
      <c r="H376" s="7">
        <v>5.0599999999999996</v>
      </c>
      <c r="I376" s="7">
        <v>5.0599999999999996</v>
      </c>
      <c r="J376" s="8" t="s">
        <v>26</v>
      </c>
      <c r="K376" s="9">
        <f>6.36</f>
        <v>6.36</v>
      </c>
      <c r="L376" s="9">
        <f>954</f>
        <v>954</v>
      </c>
      <c r="M376" s="4"/>
      <c r="N376" s="10">
        <v>1</v>
      </c>
      <c r="O376" s="4" t="s">
        <v>27</v>
      </c>
      <c r="P376" s="11">
        <v>150</v>
      </c>
      <c r="Q376" s="9">
        <f>954</f>
        <v>954</v>
      </c>
    </row>
    <row r="377" spans="1:17" ht="45" customHeight="1" x14ac:dyDescent="0.25">
      <c r="A377" s="4" t="s">
        <v>20</v>
      </c>
      <c r="B377" s="5" t="s">
        <v>941</v>
      </c>
      <c r="C377" s="4" t="s">
        <v>22</v>
      </c>
      <c r="D377" s="4" t="s">
        <v>942</v>
      </c>
      <c r="E377" s="4" t="s">
        <v>943</v>
      </c>
      <c r="F377" s="6">
        <f>6</f>
        <v>6</v>
      </c>
      <c r="G377" s="4" t="s">
        <v>46</v>
      </c>
      <c r="H377" s="7">
        <v>4.3</v>
      </c>
      <c r="I377" s="7">
        <v>4.3</v>
      </c>
      <c r="J377" s="8" t="s">
        <v>26</v>
      </c>
      <c r="K377" s="9">
        <f>5.41</f>
        <v>5.41</v>
      </c>
      <c r="L377" s="9">
        <f>32.46</f>
        <v>32.46</v>
      </c>
      <c r="M377" s="4"/>
      <c r="N377" s="10">
        <v>1</v>
      </c>
      <c r="O377" s="4" t="s">
        <v>27</v>
      </c>
      <c r="P377" s="11">
        <v>6</v>
      </c>
      <c r="Q377" s="9">
        <f>32.46</f>
        <v>32.46</v>
      </c>
    </row>
    <row r="378" spans="1:17" ht="45" customHeight="1" x14ac:dyDescent="0.25">
      <c r="A378" s="4" t="s">
        <v>20</v>
      </c>
      <c r="B378" s="5" t="s">
        <v>944</v>
      </c>
      <c r="C378" s="4" t="s">
        <v>63</v>
      </c>
      <c r="D378" s="4" t="s">
        <v>945</v>
      </c>
      <c r="E378" s="4" t="s">
        <v>946</v>
      </c>
      <c r="F378" s="6">
        <f>723</f>
        <v>723</v>
      </c>
      <c r="G378" s="4" t="s">
        <v>25</v>
      </c>
      <c r="H378" s="7">
        <v>71.48</v>
      </c>
      <c r="I378" s="7">
        <v>71.48</v>
      </c>
      <c r="J378" s="8" t="s">
        <v>26</v>
      </c>
      <c r="K378" s="9">
        <f>89.85</f>
        <v>89.85</v>
      </c>
      <c r="L378" s="9">
        <f>64961.55</f>
        <v>64961.55</v>
      </c>
      <c r="M378" s="4"/>
      <c r="N378" s="10">
        <v>1</v>
      </c>
      <c r="O378" s="4" t="s">
        <v>27</v>
      </c>
      <c r="P378" s="11">
        <v>723</v>
      </c>
      <c r="Q378" s="9">
        <f>64961.55</f>
        <v>64961.55</v>
      </c>
    </row>
    <row r="379" spans="1:17" ht="45" customHeight="1" x14ac:dyDescent="0.25">
      <c r="A379" s="4" t="s">
        <v>20</v>
      </c>
      <c r="B379" s="5" t="s">
        <v>947</v>
      </c>
      <c r="C379" s="4" t="s">
        <v>29</v>
      </c>
      <c r="D379" s="4" t="s">
        <v>73</v>
      </c>
      <c r="E379" s="4" t="s">
        <v>74</v>
      </c>
      <c r="F379" s="6">
        <f>203</f>
        <v>203</v>
      </c>
      <c r="G379" s="4" t="s">
        <v>75</v>
      </c>
      <c r="H379" s="7">
        <v>844.67</v>
      </c>
      <c r="I379" s="7">
        <v>844.67</v>
      </c>
      <c r="J379" s="8" t="s">
        <v>26</v>
      </c>
      <c r="K379" s="9">
        <f>1061.75</f>
        <v>1061.75</v>
      </c>
      <c r="L379" s="9">
        <f>215535.25</f>
        <v>215535.25</v>
      </c>
      <c r="M379" s="4"/>
      <c r="N379" s="10">
        <v>1</v>
      </c>
      <c r="O379" s="4" t="s">
        <v>27</v>
      </c>
      <c r="P379" s="11">
        <v>203</v>
      </c>
      <c r="Q379" s="9">
        <f>215535.25</f>
        <v>215535.25</v>
      </c>
    </row>
    <row r="380" spans="1:17" ht="45" customHeight="1" x14ac:dyDescent="0.25">
      <c r="A380" s="4" t="s">
        <v>20</v>
      </c>
      <c r="B380" s="5" t="s">
        <v>948</v>
      </c>
      <c r="C380" s="4" t="s">
        <v>63</v>
      </c>
      <c r="D380" s="4" t="s">
        <v>369</v>
      </c>
      <c r="E380" s="4" t="s">
        <v>370</v>
      </c>
      <c r="F380" s="6">
        <f>8.5</f>
        <v>8.5</v>
      </c>
      <c r="G380" s="4" t="s">
        <v>75</v>
      </c>
      <c r="H380" s="7">
        <v>514.52</v>
      </c>
      <c r="I380" s="7">
        <v>514.52</v>
      </c>
      <c r="J380" s="8" t="s">
        <v>26</v>
      </c>
      <c r="K380" s="9">
        <f>646.75</f>
        <v>646.75</v>
      </c>
      <c r="L380" s="9">
        <f>5497.38</f>
        <v>5497.38</v>
      </c>
      <c r="M380" s="4"/>
      <c r="N380" s="10">
        <v>1</v>
      </c>
      <c r="O380" s="4" t="s">
        <v>27</v>
      </c>
      <c r="P380" s="11">
        <v>8.5</v>
      </c>
      <c r="Q380" s="9">
        <f>5497.38</f>
        <v>5497.38</v>
      </c>
    </row>
    <row r="381" spans="1:17" ht="45" customHeight="1" x14ac:dyDescent="0.25">
      <c r="A381" s="4" t="s">
        <v>20</v>
      </c>
      <c r="B381" s="5" t="s">
        <v>949</v>
      </c>
      <c r="C381" s="4" t="s">
        <v>63</v>
      </c>
      <c r="D381" s="4" t="s">
        <v>372</v>
      </c>
      <c r="E381" s="4" t="s">
        <v>373</v>
      </c>
      <c r="F381" s="6">
        <f>8.5</f>
        <v>8.5</v>
      </c>
      <c r="G381" s="4" t="s">
        <v>75</v>
      </c>
      <c r="H381" s="7">
        <v>41.05</v>
      </c>
      <c r="I381" s="7">
        <v>41.05</v>
      </c>
      <c r="J381" s="8" t="s">
        <v>26</v>
      </c>
      <c r="K381" s="9">
        <f>51.6</f>
        <v>51.6</v>
      </c>
      <c r="L381" s="9">
        <f>438.6</f>
        <v>438.6</v>
      </c>
      <c r="M381" s="4"/>
      <c r="N381" s="10">
        <v>1</v>
      </c>
      <c r="O381" s="4" t="s">
        <v>27</v>
      </c>
      <c r="P381" s="11">
        <v>8.5</v>
      </c>
      <c r="Q381" s="9">
        <f>438.6</f>
        <v>438.6</v>
      </c>
    </row>
    <row r="382" spans="1:17" ht="45" customHeight="1" x14ac:dyDescent="0.25">
      <c r="A382" s="4" t="s">
        <v>20</v>
      </c>
      <c r="B382" s="5" t="s">
        <v>950</v>
      </c>
      <c r="C382" s="4" t="s">
        <v>29</v>
      </c>
      <c r="D382" s="4" t="s">
        <v>77</v>
      </c>
      <c r="E382" s="4" t="s">
        <v>78</v>
      </c>
      <c r="F382" s="6">
        <f>27100</f>
        <v>27100</v>
      </c>
      <c r="G382" s="4" t="s">
        <v>79</v>
      </c>
      <c r="H382" s="7">
        <v>13.28</v>
      </c>
      <c r="I382" s="7">
        <v>13.28</v>
      </c>
      <c r="J382" s="8" t="s">
        <v>26</v>
      </c>
      <c r="K382" s="9">
        <f>16.69</f>
        <v>16.690000000000001</v>
      </c>
      <c r="L382" s="9">
        <f>452299</f>
        <v>452299</v>
      </c>
      <c r="M382" s="4"/>
      <c r="N382" s="10">
        <v>1</v>
      </c>
      <c r="O382" s="4" t="s">
        <v>27</v>
      </c>
      <c r="P382" s="11">
        <v>27100</v>
      </c>
      <c r="Q382" s="9">
        <f>452299</f>
        <v>452299</v>
      </c>
    </row>
    <row r="383" spans="1:17" ht="45" customHeight="1" x14ac:dyDescent="0.25">
      <c r="A383" s="4" t="s">
        <v>20</v>
      </c>
      <c r="B383" s="5" t="s">
        <v>951</v>
      </c>
      <c r="C383" s="4" t="s">
        <v>29</v>
      </c>
      <c r="D383" s="4" t="s">
        <v>952</v>
      </c>
      <c r="E383" s="4" t="s">
        <v>953</v>
      </c>
      <c r="F383" s="6">
        <f>3</f>
        <v>3</v>
      </c>
      <c r="G383" s="4" t="s">
        <v>46</v>
      </c>
      <c r="H383" s="7">
        <v>1358.27</v>
      </c>
      <c r="I383" s="7">
        <v>1358.27</v>
      </c>
      <c r="J383" s="8" t="s">
        <v>26</v>
      </c>
      <c r="K383" s="9">
        <f>1707.35</f>
        <v>1707.35</v>
      </c>
      <c r="L383" s="9">
        <f>5122.05</f>
        <v>5122.05</v>
      </c>
      <c r="M383" s="4"/>
      <c r="N383" s="10">
        <v>1</v>
      </c>
      <c r="O383" s="4" t="s">
        <v>27</v>
      </c>
      <c r="P383" s="11">
        <v>3</v>
      </c>
      <c r="Q383" s="9">
        <f>5122.05</f>
        <v>5122.05</v>
      </c>
    </row>
    <row r="384" spans="1:17" ht="45" customHeight="1" x14ac:dyDescent="0.25">
      <c r="A384" s="4" t="s">
        <v>20</v>
      </c>
      <c r="B384" s="5" t="s">
        <v>954</v>
      </c>
      <c r="C384" s="4" t="s">
        <v>29</v>
      </c>
      <c r="D384" s="4" t="s">
        <v>955</v>
      </c>
      <c r="E384" s="4" t="s">
        <v>956</v>
      </c>
      <c r="F384" s="6">
        <f>6</f>
        <v>6</v>
      </c>
      <c r="G384" s="4" t="s">
        <v>96</v>
      </c>
      <c r="H384" s="7">
        <v>610.19000000000005</v>
      </c>
      <c r="I384" s="7">
        <v>610.19000000000005</v>
      </c>
      <c r="J384" s="8" t="s">
        <v>26</v>
      </c>
      <c r="K384" s="9">
        <f>767.01</f>
        <v>767.01</v>
      </c>
      <c r="L384" s="9">
        <f>4602.06</f>
        <v>4602.0600000000004</v>
      </c>
      <c r="M384" s="4"/>
      <c r="N384" s="10">
        <v>1</v>
      </c>
      <c r="O384" s="4" t="s">
        <v>27</v>
      </c>
      <c r="P384" s="11">
        <v>6</v>
      </c>
      <c r="Q384" s="9">
        <f>4602.06</f>
        <v>4602.0600000000004</v>
      </c>
    </row>
    <row r="385" spans="1:17" ht="45" customHeight="1" x14ac:dyDescent="0.25">
      <c r="A385" s="4" t="s">
        <v>20</v>
      </c>
      <c r="B385" s="5" t="s">
        <v>957</v>
      </c>
      <c r="C385" s="4" t="s">
        <v>63</v>
      </c>
      <c r="D385" s="4" t="s">
        <v>958</v>
      </c>
      <c r="E385" s="4" t="s">
        <v>959</v>
      </c>
      <c r="F385" s="6">
        <f>10</f>
        <v>10</v>
      </c>
      <c r="G385" s="4" t="s">
        <v>96</v>
      </c>
      <c r="H385" s="7">
        <v>3.27</v>
      </c>
      <c r="I385" s="7">
        <v>3.27</v>
      </c>
      <c r="J385" s="8" t="s">
        <v>26</v>
      </c>
      <c r="K385" s="9">
        <f>4.11</f>
        <v>4.1100000000000003</v>
      </c>
      <c r="L385" s="9">
        <f>41.1</f>
        <v>41.1</v>
      </c>
      <c r="M385" s="4"/>
      <c r="N385" s="10">
        <v>1</v>
      </c>
      <c r="O385" s="4" t="s">
        <v>27</v>
      </c>
      <c r="P385" s="11">
        <v>10</v>
      </c>
      <c r="Q385" s="9">
        <f>41.1</f>
        <v>41.1</v>
      </c>
    </row>
    <row r="386" spans="1:17" ht="45" customHeight="1" x14ac:dyDescent="0.25">
      <c r="A386" s="4" t="s">
        <v>20</v>
      </c>
      <c r="B386" s="5" t="s">
        <v>960</v>
      </c>
      <c r="C386" s="4" t="s">
        <v>63</v>
      </c>
      <c r="D386" s="4" t="s">
        <v>961</v>
      </c>
      <c r="E386" s="4" t="s">
        <v>962</v>
      </c>
      <c r="F386" s="6">
        <f>10</f>
        <v>10</v>
      </c>
      <c r="G386" s="4" t="s">
        <v>96</v>
      </c>
      <c r="H386" s="7">
        <v>5.69</v>
      </c>
      <c r="I386" s="7">
        <v>5.69</v>
      </c>
      <c r="J386" s="8" t="s">
        <v>26</v>
      </c>
      <c r="K386" s="9">
        <f>7.15</f>
        <v>7.15</v>
      </c>
      <c r="L386" s="9">
        <f>71.5</f>
        <v>71.5</v>
      </c>
      <c r="M386" s="4"/>
      <c r="N386" s="10">
        <v>1</v>
      </c>
      <c r="O386" s="4" t="s">
        <v>27</v>
      </c>
      <c r="P386" s="11">
        <v>10</v>
      </c>
      <c r="Q386" s="9">
        <f>71.5</f>
        <v>71.5</v>
      </c>
    </row>
    <row r="387" spans="1:17" ht="45" customHeight="1" x14ac:dyDescent="0.25">
      <c r="A387" s="4" t="s">
        <v>20</v>
      </c>
      <c r="B387" s="5" t="s">
        <v>963</v>
      </c>
      <c r="C387" s="4" t="s">
        <v>29</v>
      </c>
      <c r="D387" s="4" t="s">
        <v>87</v>
      </c>
      <c r="E387" s="4" t="s">
        <v>88</v>
      </c>
      <c r="F387" s="6">
        <f>2172</f>
        <v>2172</v>
      </c>
      <c r="G387" s="4" t="s">
        <v>79</v>
      </c>
      <c r="H387" s="7">
        <v>4.54</v>
      </c>
      <c r="I387" s="7">
        <v>4.54</v>
      </c>
      <c r="J387" s="8" t="s">
        <v>26</v>
      </c>
      <c r="K387" s="9">
        <f>5.71</f>
        <v>5.71</v>
      </c>
      <c r="L387" s="9">
        <f>12402.12</f>
        <v>12402.12</v>
      </c>
      <c r="M387" s="4"/>
      <c r="N387" s="10">
        <v>1</v>
      </c>
      <c r="O387" s="4" t="s">
        <v>27</v>
      </c>
      <c r="P387" s="11">
        <v>2172</v>
      </c>
      <c r="Q387" s="9">
        <f>12402.12</f>
        <v>12402.12</v>
      </c>
    </row>
    <row r="388" spans="1:17" ht="45" customHeight="1" x14ac:dyDescent="0.25">
      <c r="A388" s="4" t="s">
        <v>20</v>
      </c>
      <c r="B388" s="5" t="s">
        <v>964</v>
      </c>
      <c r="C388" s="4" t="s">
        <v>29</v>
      </c>
      <c r="D388" s="4" t="s">
        <v>965</v>
      </c>
      <c r="E388" s="4" t="s">
        <v>966</v>
      </c>
      <c r="F388" s="6">
        <f>2.5</f>
        <v>2.5</v>
      </c>
      <c r="G388" s="4" t="s">
        <v>96</v>
      </c>
      <c r="H388" s="7">
        <v>77.56</v>
      </c>
      <c r="I388" s="7">
        <v>77.56</v>
      </c>
      <c r="J388" s="8" t="s">
        <v>26</v>
      </c>
      <c r="K388" s="9">
        <f>97.49</f>
        <v>97.49</v>
      </c>
      <c r="L388" s="9">
        <f>243.73</f>
        <v>243.73</v>
      </c>
      <c r="M388" s="4"/>
      <c r="N388" s="10">
        <v>1</v>
      </c>
      <c r="O388" s="4" t="s">
        <v>27</v>
      </c>
      <c r="P388" s="11">
        <v>2.5</v>
      </c>
      <c r="Q388" s="9">
        <f>243.73</f>
        <v>243.73</v>
      </c>
    </row>
    <row r="389" spans="1:17" ht="45" customHeight="1" x14ac:dyDescent="0.25">
      <c r="A389" s="4" t="s">
        <v>20</v>
      </c>
      <c r="B389" s="5" t="s">
        <v>967</v>
      </c>
      <c r="C389" s="4" t="s">
        <v>29</v>
      </c>
      <c r="D389" s="4" t="s">
        <v>386</v>
      </c>
      <c r="E389" s="4" t="s">
        <v>387</v>
      </c>
      <c r="F389" s="6">
        <f>11.5</f>
        <v>11.5</v>
      </c>
      <c r="G389" s="4" t="s">
        <v>25</v>
      </c>
      <c r="H389" s="7">
        <v>29.4</v>
      </c>
      <c r="I389" s="7">
        <v>29.4</v>
      </c>
      <c r="J389" s="8" t="s">
        <v>26</v>
      </c>
      <c r="K389" s="9">
        <f>36.96</f>
        <v>36.96</v>
      </c>
      <c r="L389" s="9">
        <f>425.04</f>
        <v>425.04</v>
      </c>
      <c r="M389" s="4"/>
      <c r="N389" s="10">
        <v>1</v>
      </c>
      <c r="O389" s="4" t="s">
        <v>27</v>
      </c>
      <c r="P389" s="11">
        <v>11.5</v>
      </c>
      <c r="Q389" s="9">
        <f>425.04</f>
        <v>425.04</v>
      </c>
    </row>
    <row r="390" spans="1:17" ht="45" customHeight="1" x14ac:dyDescent="0.25">
      <c r="A390" s="4" t="s">
        <v>20</v>
      </c>
      <c r="B390" s="5" t="s">
        <v>968</v>
      </c>
      <c r="C390" s="4" t="s">
        <v>22</v>
      </c>
      <c r="D390" s="4" t="s">
        <v>207</v>
      </c>
      <c r="E390" s="4" t="s">
        <v>969</v>
      </c>
      <c r="F390" s="6">
        <f>2</f>
        <v>2</v>
      </c>
      <c r="G390" s="4" t="s">
        <v>46</v>
      </c>
      <c r="H390" s="7">
        <v>73.8</v>
      </c>
      <c r="I390" s="7">
        <v>73.8</v>
      </c>
      <c r="J390" s="8" t="s">
        <v>26</v>
      </c>
      <c r="K390" s="9">
        <f>92.77</f>
        <v>92.77</v>
      </c>
      <c r="L390" s="9">
        <f>185.54</f>
        <v>185.54</v>
      </c>
      <c r="M390" s="4"/>
      <c r="N390" s="10">
        <v>1</v>
      </c>
      <c r="O390" s="4" t="s">
        <v>27</v>
      </c>
      <c r="P390" s="11">
        <v>2</v>
      </c>
      <c r="Q390" s="9">
        <f>185.54</f>
        <v>185.54</v>
      </c>
    </row>
    <row r="391" spans="1:17" ht="45" customHeight="1" x14ac:dyDescent="0.25">
      <c r="A391" s="4" t="s">
        <v>20</v>
      </c>
      <c r="B391" s="5" t="s">
        <v>970</v>
      </c>
      <c r="C391" s="4" t="s">
        <v>22</v>
      </c>
      <c r="D391" s="4" t="s">
        <v>971</v>
      </c>
      <c r="E391" s="4" t="s">
        <v>972</v>
      </c>
      <c r="F391" s="6">
        <f>1.5</f>
        <v>1.5</v>
      </c>
      <c r="G391" s="4" t="s">
        <v>25</v>
      </c>
      <c r="H391" s="7">
        <v>1599.87</v>
      </c>
      <c r="I391" s="7">
        <v>1599.87</v>
      </c>
      <c r="J391" s="8" t="s">
        <v>26</v>
      </c>
      <c r="K391" s="9">
        <f>2011.04</f>
        <v>2011.04</v>
      </c>
      <c r="L391" s="9">
        <f>3016.56</f>
        <v>3016.56</v>
      </c>
      <c r="M391" s="4"/>
      <c r="N391" s="10">
        <v>1</v>
      </c>
      <c r="O391" s="4" t="s">
        <v>27</v>
      </c>
      <c r="P391" s="11">
        <v>1.5</v>
      </c>
      <c r="Q391" s="9">
        <f>3016.56</f>
        <v>3016.56</v>
      </c>
    </row>
    <row r="392" spans="1:17" ht="45" customHeight="1" x14ac:dyDescent="0.25">
      <c r="A392" s="4" t="s">
        <v>20</v>
      </c>
      <c r="B392" s="5" t="s">
        <v>973</v>
      </c>
      <c r="C392" s="4" t="s">
        <v>22</v>
      </c>
      <c r="D392" s="4" t="s">
        <v>57</v>
      </c>
      <c r="E392" s="4" t="s">
        <v>974</v>
      </c>
      <c r="F392" s="6">
        <f>1</f>
        <v>1</v>
      </c>
      <c r="G392" s="4" t="s">
        <v>46</v>
      </c>
      <c r="H392" s="7">
        <v>45.24</v>
      </c>
      <c r="I392" s="7">
        <v>45.24</v>
      </c>
      <c r="J392" s="8" t="s">
        <v>26</v>
      </c>
      <c r="K392" s="9">
        <f>56.87</f>
        <v>56.87</v>
      </c>
      <c r="L392" s="9">
        <f>56.87</f>
        <v>56.87</v>
      </c>
      <c r="M392" s="4"/>
      <c r="N392" s="10">
        <v>1</v>
      </c>
      <c r="O392" s="4" t="s">
        <v>27</v>
      </c>
      <c r="P392" s="11">
        <v>1</v>
      </c>
      <c r="Q392" s="9">
        <f>56.87</f>
        <v>56.87</v>
      </c>
    </row>
    <row r="393" spans="1:17" ht="45" customHeight="1" x14ac:dyDescent="0.25">
      <c r="A393" s="4" t="s">
        <v>20</v>
      </c>
      <c r="B393" s="5" t="s">
        <v>975</v>
      </c>
      <c r="C393" s="4" t="s">
        <v>29</v>
      </c>
      <c r="D393" s="4" t="s">
        <v>120</v>
      </c>
      <c r="E393" s="4" t="s">
        <v>121</v>
      </c>
      <c r="F393" s="6">
        <f>12</f>
        <v>12</v>
      </c>
      <c r="G393" s="4" t="s">
        <v>46</v>
      </c>
      <c r="H393" s="7">
        <v>3.34</v>
      </c>
      <c r="I393" s="7">
        <v>3.34</v>
      </c>
      <c r="J393" s="8" t="s">
        <v>122</v>
      </c>
      <c r="K393" s="9">
        <f>3.98</f>
        <v>3.98</v>
      </c>
      <c r="L393" s="9">
        <f>47.76</f>
        <v>47.76</v>
      </c>
      <c r="M393" s="4"/>
      <c r="N393" s="10">
        <v>1</v>
      </c>
      <c r="O393" s="4" t="s">
        <v>27</v>
      </c>
      <c r="P393" s="11">
        <v>12</v>
      </c>
      <c r="Q393" s="9">
        <f>47.76</f>
        <v>47.76</v>
      </c>
    </row>
    <row r="394" spans="1:17" ht="45" customHeight="1" x14ac:dyDescent="0.25">
      <c r="A394" s="4" t="s">
        <v>20</v>
      </c>
      <c r="B394" s="5" t="s">
        <v>976</v>
      </c>
      <c r="C394" s="4" t="s">
        <v>29</v>
      </c>
      <c r="D394" s="4" t="s">
        <v>127</v>
      </c>
      <c r="E394" s="4" t="s">
        <v>128</v>
      </c>
      <c r="F394" s="6">
        <f>10</f>
        <v>10</v>
      </c>
      <c r="G394" s="4" t="s">
        <v>46</v>
      </c>
      <c r="H394" s="7">
        <v>8.2100000000000009</v>
      </c>
      <c r="I394" s="7">
        <v>8.2100000000000009</v>
      </c>
      <c r="J394" s="8" t="s">
        <v>122</v>
      </c>
      <c r="K394" s="9">
        <f>9.77</f>
        <v>9.77</v>
      </c>
      <c r="L394" s="9">
        <f>97.7</f>
        <v>97.7</v>
      </c>
      <c r="M394" s="4"/>
      <c r="N394" s="10">
        <v>1</v>
      </c>
      <c r="O394" s="4" t="s">
        <v>27</v>
      </c>
      <c r="P394" s="11">
        <v>10</v>
      </c>
      <c r="Q394" s="9">
        <f>97.7</f>
        <v>97.7</v>
      </c>
    </row>
    <row r="395" spans="1:17" ht="45" customHeight="1" x14ac:dyDescent="0.25">
      <c r="A395" s="4" t="s">
        <v>20</v>
      </c>
      <c r="B395" s="5" t="s">
        <v>977</v>
      </c>
      <c r="C395" s="4" t="s">
        <v>29</v>
      </c>
      <c r="D395" s="4" t="s">
        <v>401</v>
      </c>
      <c r="E395" s="4" t="s">
        <v>402</v>
      </c>
      <c r="F395" s="6">
        <f>6</f>
        <v>6</v>
      </c>
      <c r="G395" s="4" t="s">
        <v>46</v>
      </c>
      <c r="H395" s="7">
        <v>12.47</v>
      </c>
      <c r="I395" s="7">
        <v>12.47</v>
      </c>
      <c r="J395" s="8" t="s">
        <v>122</v>
      </c>
      <c r="K395" s="9">
        <f>14.85</f>
        <v>14.85</v>
      </c>
      <c r="L395" s="9">
        <f>89.1</f>
        <v>89.1</v>
      </c>
      <c r="M395" s="4"/>
      <c r="N395" s="10">
        <v>1</v>
      </c>
      <c r="O395" s="4" t="s">
        <v>27</v>
      </c>
      <c r="P395" s="11">
        <v>6</v>
      </c>
      <c r="Q395" s="9">
        <f>89.1</f>
        <v>89.1</v>
      </c>
    </row>
    <row r="396" spans="1:17" ht="45" customHeight="1" x14ac:dyDescent="0.25">
      <c r="A396" s="4" t="s">
        <v>20</v>
      </c>
      <c r="B396" s="5" t="s">
        <v>978</v>
      </c>
      <c r="C396" s="4" t="s">
        <v>29</v>
      </c>
      <c r="D396" s="4" t="s">
        <v>885</v>
      </c>
      <c r="E396" s="4" t="s">
        <v>886</v>
      </c>
      <c r="F396" s="6">
        <f>1</f>
        <v>1</v>
      </c>
      <c r="G396" s="4" t="s">
        <v>46</v>
      </c>
      <c r="H396" s="7">
        <v>2457.2800000000002</v>
      </c>
      <c r="I396" s="7">
        <v>2457.2800000000002</v>
      </c>
      <c r="J396" s="8" t="s">
        <v>122</v>
      </c>
      <c r="K396" s="9">
        <f>2925.39</f>
        <v>2925.39</v>
      </c>
      <c r="L396" s="9">
        <f>2925.39</f>
        <v>2925.39</v>
      </c>
      <c r="M396" s="4"/>
      <c r="N396" s="10">
        <v>1</v>
      </c>
      <c r="O396" s="4" t="s">
        <v>27</v>
      </c>
      <c r="P396" s="11">
        <v>1</v>
      </c>
      <c r="Q396" s="9">
        <f>2925.39</f>
        <v>2925.39</v>
      </c>
    </row>
    <row r="397" spans="1:17" ht="45" customHeight="1" x14ac:dyDescent="0.25">
      <c r="A397" s="4" t="s">
        <v>20</v>
      </c>
      <c r="B397" s="5" t="s">
        <v>979</v>
      </c>
      <c r="C397" s="4" t="s">
        <v>29</v>
      </c>
      <c r="D397" s="4" t="s">
        <v>408</v>
      </c>
      <c r="E397" s="4" t="s">
        <v>409</v>
      </c>
      <c r="F397" s="6">
        <f>1</f>
        <v>1</v>
      </c>
      <c r="G397" s="4" t="s">
        <v>46</v>
      </c>
      <c r="H397" s="7">
        <v>1105.28</v>
      </c>
      <c r="I397" s="7">
        <v>1105.28</v>
      </c>
      <c r="J397" s="8" t="s">
        <v>122</v>
      </c>
      <c r="K397" s="9">
        <f>1315.84</f>
        <v>1315.84</v>
      </c>
      <c r="L397" s="9">
        <f>1315.84</f>
        <v>1315.84</v>
      </c>
      <c r="M397" s="4"/>
      <c r="N397" s="10">
        <v>1</v>
      </c>
      <c r="O397" s="4" t="s">
        <v>27</v>
      </c>
      <c r="P397" s="11">
        <v>1</v>
      </c>
      <c r="Q397" s="9">
        <f>1315.84</f>
        <v>1315.84</v>
      </c>
    </row>
    <row r="398" spans="1:17" ht="45" customHeight="1" x14ac:dyDescent="0.25">
      <c r="A398" s="4" t="s">
        <v>20</v>
      </c>
      <c r="B398" s="5" t="s">
        <v>980</v>
      </c>
      <c r="C398" s="4" t="s">
        <v>29</v>
      </c>
      <c r="D398" s="4" t="s">
        <v>411</v>
      </c>
      <c r="E398" s="4" t="s">
        <v>412</v>
      </c>
      <c r="F398" s="6">
        <f>12</f>
        <v>12</v>
      </c>
      <c r="G398" s="4" t="s">
        <v>46</v>
      </c>
      <c r="H398" s="7">
        <v>222.22</v>
      </c>
      <c r="I398" s="7">
        <v>222.22</v>
      </c>
      <c r="J398" s="8" t="s">
        <v>122</v>
      </c>
      <c r="K398" s="9">
        <f>264.55</f>
        <v>264.55</v>
      </c>
      <c r="L398" s="9">
        <f>3174.6</f>
        <v>3174.6</v>
      </c>
      <c r="M398" s="4"/>
      <c r="N398" s="10">
        <v>1</v>
      </c>
      <c r="O398" s="4" t="s">
        <v>27</v>
      </c>
      <c r="P398" s="11">
        <v>12</v>
      </c>
      <c r="Q398" s="9">
        <f>3174.6</f>
        <v>3174.6</v>
      </c>
    </row>
    <row r="399" spans="1:17" ht="45" customHeight="1" x14ac:dyDescent="0.25">
      <c r="A399" s="4" t="s">
        <v>20</v>
      </c>
      <c r="B399" s="5" t="s">
        <v>981</v>
      </c>
      <c r="C399" s="4" t="s">
        <v>29</v>
      </c>
      <c r="D399" s="4" t="s">
        <v>136</v>
      </c>
      <c r="E399" s="4" t="s">
        <v>137</v>
      </c>
      <c r="F399" s="6">
        <f>1</f>
        <v>1</v>
      </c>
      <c r="G399" s="4" t="s">
        <v>46</v>
      </c>
      <c r="H399" s="7">
        <v>1528.67</v>
      </c>
      <c r="I399" s="7">
        <v>1528.67</v>
      </c>
      <c r="J399" s="8" t="s">
        <v>122</v>
      </c>
      <c r="K399" s="9">
        <f>1819.88</f>
        <v>1819.88</v>
      </c>
      <c r="L399" s="9">
        <f>1819.88</f>
        <v>1819.88</v>
      </c>
      <c r="M399" s="4"/>
      <c r="N399" s="10">
        <v>1</v>
      </c>
      <c r="O399" s="4" t="s">
        <v>27</v>
      </c>
      <c r="P399" s="11">
        <v>1</v>
      </c>
      <c r="Q399" s="9">
        <f>1819.88</f>
        <v>1819.88</v>
      </c>
    </row>
    <row r="400" spans="1:17" ht="45" customHeight="1" x14ac:dyDescent="0.25">
      <c r="A400" s="4" t="s">
        <v>20</v>
      </c>
      <c r="B400" s="5" t="s">
        <v>982</v>
      </c>
      <c r="C400" s="4" t="s">
        <v>29</v>
      </c>
      <c r="D400" s="4" t="s">
        <v>983</v>
      </c>
      <c r="E400" s="4" t="s">
        <v>984</v>
      </c>
      <c r="F400" s="6">
        <f>6</f>
        <v>6</v>
      </c>
      <c r="G400" s="4" t="s">
        <v>46</v>
      </c>
      <c r="H400" s="7">
        <v>325</v>
      </c>
      <c r="I400" s="7">
        <v>325</v>
      </c>
      <c r="J400" s="8" t="s">
        <v>122</v>
      </c>
      <c r="K400" s="9">
        <f>386.91</f>
        <v>386.91</v>
      </c>
      <c r="L400" s="9">
        <f>2321.46</f>
        <v>2321.46</v>
      </c>
      <c r="M400" s="4"/>
      <c r="N400" s="10">
        <v>1</v>
      </c>
      <c r="O400" s="4" t="s">
        <v>27</v>
      </c>
      <c r="P400" s="11">
        <v>6</v>
      </c>
      <c r="Q400" s="9">
        <f>2321.46</f>
        <v>2321.46</v>
      </c>
    </row>
    <row r="401" spans="1:17" ht="45" customHeight="1" x14ac:dyDescent="0.25">
      <c r="A401" s="4" t="s">
        <v>20</v>
      </c>
      <c r="B401" s="5" t="s">
        <v>985</v>
      </c>
      <c r="C401" s="4" t="s">
        <v>29</v>
      </c>
      <c r="D401" s="4" t="s">
        <v>421</v>
      </c>
      <c r="E401" s="4" t="s">
        <v>422</v>
      </c>
      <c r="F401" s="6">
        <f>5</f>
        <v>5</v>
      </c>
      <c r="G401" s="4" t="s">
        <v>46</v>
      </c>
      <c r="H401" s="7">
        <v>2513.59</v>
      </c>
      <c r="I401" s="7">
        <v>2513.59</v>
      </c>
      <c r="J401" s="8" t="s">
        <v>122</v>
      </c>
      <c r="K401" s="9">
        <f>2992.43</f>
        <v>2992.43</v>
      </c>
      <c r="L401" s="9">
        <f>14962.15</f>
        <v>14962.15</v>
      </c>
      <c r="M401" s="4"/>
      <c r="N401" s="10">
        <v>1</v>
      </c>
      <c r="O401" s="4" t="s">
        <v>27</v>
      </c>
      <c r="P401" s="11">
        <v>5</v>
      </c>
      <c r="Q401" s="9">
        <f>14962.15</f>
        <v>14962.15</v>
      </c>
    </row>
    <row r="402" spans="1:17" ht="45" customHeight="1" x14ac:dyDescent="0.25">
      <c r="A402" s="4" t="s">
        <v>20</v>
      </c>
      <c r="B402" s="5" t="s">
        <v>986</v>
      </c>
      <c r="C402" s="4" t="s">
        <v>29</v>
      </c>
      <c r="D402" s="4" t="s">
        <v>987</v>
      </c>
      <c r="E402" s="4" t="s">
        <v>988</v>
      </c>
      <c r="F402" s="6">
        <f>1</f>
        <v>1</v>
      </c>
      <c r="G402" s="4" t="s">
        <v>46</v>
      </c>
      <c r="H402" s="7">
        <v>1929.24</v>
      </c>
      <c r="I402" s="7">
        <v>1929.24</v>
      </c>
      <c r="J402" s="8" t="s">
        <v>122</v>
      </c>
      <c r="K402" s="9">
        <f>2296.76</f>
        <v>2296.7600000000002</v>
      </c>
      <c r="L402" s="9">
        <f>2296.76</f>
        <v>2296.7600000000002</v>
      </c>
      <c r="M402" s="4"/>
      <c r="N402" s="10">
        <v>1</v>
      </c>
      <c r="O402" s="4" t="s">
        <v>27</v>
      </c>
      <c r="P402" s="11">
        <v>1</v>
      </c>
      <c r="Q402" s="9">
        <f>2296.76</f>
        <v>2296.7600000000002</v>
      </c>
    </row>
    <row r="403" spans="1:17" ht="45" customHeight="1" x14ac:dyDescent="0.25">
      <c r="A403" s="4" t="s">
        <v>20</v>
      </c>
      <c r="B403" s="5" t="s">
        <v>989</v>
      </c>
      <c r="C403" s="4" t="s">
        <v>29</v>
      </c>
      <c r="D403" s="4" t="s">
        <v>990</v>
      </c>
      <c r="E403" s="4" t="s">
        <v>991</v>
      </c>
      <c r="F403" s="6">
        <f>3</f>
        <v>3</v>
      </c>
      <c r="G403" s="4" t="s">
        <v>46</v>
      </c>
      <c r="H403" s="7">
        <v>227</v>
      </c>
      <c r="I403" s="7">
        <v>227</v>
      </c>
      <c r="J403" s="8" t="s">
        <v>122</v>
      </c>
      <c r="K403" s="9">
        <f>270.24</f>
        <v>270.24</v>
      </c>
      <c r="L403" s="9">
        <f>810.72</f>
        <v>810.72</v>
      </c>
      <c r="M403" s="4"/>
      <c r="N403" s="10">
        <v>1</v>
      </c>
      <c r="O403" s="4" t="s">
        <v>27</v>
      </c>
      <c r="P403" s="11">
        <v>3</v>
      </c>
      <c r="Q403" s="9">
        <f>810.72</f>
        <v>810.72</v>
      </c>
    </row>
    <row r="404" spans="1:17" ht="45" customHeight="1" x14ac:dyDescent="0.25">
      <c r="A404" s="4" t="s">
        <v>20</v>
      </c>
      <c r="B404" s="5" t="s">
        <v>992</v>
      </c>
      <c r="C404" s="4" t="s">
        <v>29</v>
      </c>
      <c r="D404" s="4" t="s">
        <v>993</v>
      </c>
      <c r="E404" s="4" t="s">
        <v>994</v>
      </c>
      <c r="F404" s="6">
        <f>3</f>
        <v>3</v>
      </c>
      <c r="G404" s="4" t="s">
        <v>46</v>
      </c>
      <c r="H404" s="7">
        <v>625.1</v>
      </c>
      <c r="I404" s="7">
        <v>625.1</v>
      </c>
      <c r="J404" s="8" t="s">
        <v>122</v>
      </c>
      <c r="K404" s="9">
        <f>744.18</f>
        <v>744.18</v>
      </c>
      <c r="L404" s="9">
        <f>2232.54</f>
        <v>2232.54</v>
      </c>
      <c r="M404" s="4"/>
      <c r="N404" s="10">
        <v>1</v>
      </c>
      <c r="O404" s="4" t="s">
        <v>27</v>
      </c>
      <c r="P404" s="11">
        <v>3</v>
      </c>
      <c r="Q404" s="9">
        <f>2232.54</f>
        <v>2232.54</v>
      </c>
    </row>
    <row r="405" spans="1:17" ht="45" customHeight="1" x14ac:dyDescent="0.25">
      <c r="A405" s="4" t="s">
        <v>20</v>
      </c>
      <c r="B405" s="5" t="s">
        <v>995</v>
      </c>
      <c r="C405" s="4" t="s">
        <v>29</v>
      </c>
      <c r="D405" s="4" t="s">
        <v>996</v>
      </c>
      <c r="E405" s="4" t="s">
        <v>997</v>
      </c>
      <c r="F405" s="6">
        <f>1</f>
        <v>1</v>
      </c>
      <c r="G405" s="4" t="s">
        <v>46</v>
      </c>
      <c r="H405" s="7">
        <v>1574.08</v>
      </c>
      <c r="I405" s="7">
        <v>1574.08</v>
      </c>
      <c r="J405" s="8" t="s">
        <v>122</v>
      </c>
      <c r="K405" s="9">
        <f>1873.94</f>
        <v>1873.94</v>
      </c>
      <c r="L405" s="9">
        <f>1873.94</f>
        <v>1873.94</v>
      </c>
      <c r="M405" s="4"/>
      <c r="N405" s="10">
        <v>1</v>
      </c>
      <c r="O405" s="4" t="s">
        <v>27</v>
      </c>
      <c r="P405" s="11">
        <v>1</v>
      </c>
      <c r="Q405" s="9">
        <f>1873.94</f>
        <v>1873.94</v>
      </c>
    </row>
    <row r="406" spans="1:17" ht="45" customHeight="1" x14ac:dyDescent="0.25">
      <c r="A406" s="4" t="s">
        <v>20</v>
      </c>
      <c r="B406" s="5" t="s">
        <v>998</v>
      </c>
      <c r="C406" s="4" t="s">
        <v>29</v>
      </c>
      <c r="D406" s="4" t="s">
        <v>151</v>
      </c>
      <c r="E406" s="4" t="s">
        <v>152</v>
      </c>
      <c r="F406" s="6">
        <f>192</f>
        <v>192</v>
      </c>
      <c r="G406" s="4" t="s">
        <v>46</v>
      </c>
      <c r="H406" s="7">
        <v>9.17</v>
      </c>
      <c r="I406" s="7">
        <v>9.17</v>
      </c>
      <c r="J406" s="8" t="s">
        <v>122</v>
      </c>
      <c r="K406" s="9">
        <f>10.92</f>
        <v>10.92</v>
      </c>
      <c r="L406" s="9">
        <f>2096.64</f>
        <v>2096.64</v>
      </c>
      <c r="M406" s="4"/>
      <c r="N406" s="10">
        <v>1</v>
      </c>
      <c r="O406" s="4" t="s">
        <v>27</v>
      </c>
      <c r="P406" s="11">
        <v>192</v>
      </c>
      <c r="Q406" s="9">
        <f>2096.64</f>
        <v>2096.64</v>
      </c>
    </row>
    <row r="407" spans="1:17" ht="45" customHeight="1" x14ac:dyDescent="0.25">
      <c r="A407" s="4" t="s">
        <v>20</v>
      </c>
      <c r="B407" s="5" t="s">
        <v>999</v>
      </c>
      <c r="C407" s="4" t="s">
        <v>29</v>
      </c>
      <c r="D407" s="4" t="s">
        <v>154</v>
      </c>
      <c r="E407" s="4" t="s">
        <v>155</v>
      </c>
      <c r="F407" s="6">
        <f>96</f>
        <v>96</v>
      </c>
      <c r="G407" s="4" t="s">
        <v>46</v>
      </c>
      <c r="H407" s="7">
        <v>3.77</v>
      </c>
      <c r="I407" s="7">
        <v>3.77</v>
      </c>
      <c r="J407" s="8" t="s">
        <v>122</v>
      </c>
      <c r="K407" s="9">
        <f>4.49</f>
        <v>4.49</v>
      </c>
      <c r="L407" s="9">
        <f>431.04</f>
        <v>431.04</v>
      </c>
      <c r="M407" s="4"/>
      <c r="N407" s="10">
        <v>1</v>
      </c>
      <c r="O407" s="4" t="s">
        <v>27</v>
      </c>
      <c r="P407" s="11">
        <v>96</v>
      </c>
      <c r="Q407" s="9">
        <f>431.04</f>
        <v>431.04</v>
      </c>
    </row>
    <row r="408" spans="1:17" ht="45" customHeight="1" x14ac:dyDescent="0.25">
      <c r="A408" s="4" t="s">
        <v>20</v>
      </c>
      <c r="B408" s="5" t="s">
        <v>1000</v>
      </c>
      <c r="C408" s="4" t="s">
        <v>29</v>
      </c>
      <c r="D408" s="4" t="s">
        <v>160</v>
      </c>
      <c r="E408" s="4" t="s">
        <v>161</v>
      </c>
      <c r="F408" s="6">
        <f>2</f>
        <v>2</v>
      </c>
      <c r="G408" s="4" t="s">
        <v>46</v>
      </c>
      <c r="H408" s="7">
        <v>2994.39</v>
      </c>
      <c r="I408" s="7">
        <v>2994.39</v>
      </c>
      <c r="J408" s="8" t="s">
        <v>122</v>
      </c>
      <c r="K408" s="9">
        <f>3564.82</f>
        <v>3564.82</v>
      </c>
      <c r="L408" s="9">
        <f>7129.64</f>
        <v>7129.64</v>
      </c>
      <c r="M408" s="4"/>
      <c r="N408" s="10">
        <v>1</v>
      </c>
      <c r="O408" s="4" t="s">
        <v>27</v>
      </c>
      <c r="P408" s="11">
        <v>2</v>
      </c>
      <c r="Q408" s="9">
        <f>7129.64</f>
        <v>7129.64</v>
      </c>
    </row>
    <row r="409" spans="1:17" ht="45" customHeight="1" x14ac:dyDescent="0.25">
      <c r="A409" s="4" t="s">
        <v>20</v>
      </c>
      <c r="B409" s="5" t="s">
        <v>1001</v>
      </c>
      <c r="C409" s="4" t="s">
        <v>29</v>
      </c>
      <c r="D409" s="4" t="s">
        <v>1002</v>
      </c>
      <c r="E409" s="4" t="s">
        <v>1003</v>
      </c>
      <c r="F409" s="6">
        <f>1</f>
        <v>1</v>
      </c>
      <c r="G409" s="4" t="s">
        <v>46</v>
      </c>
      <c r="H409" s="7">
        <v>3281.78</v>
      </c>
      <c r="I409" s="7">
        <v>3281.78</v>
      </c>
      <c r="J409" s="8" t="s">
        <v>122</v>
      </c>
      <c r="K409" s="9">
        <f>3906.96</f>
        <v>3906.96</v>
      </c>
      <c r="L409" s="9">
        <f>3906.96</f>
        <v>3906.96</v>
      </c>
      <c r="M409" s="4"/>
      <c r="N409" s="10">
        <v>1</v>
      </c>
      <c r="O409" s="4" t="s">
        <v>27</v>
      </c>
      <c r="P409" s="11">
        <v>1</v>
      </c>
      <c r="Q409" s="9">
        <f>3906.96</f>
        <v>3906.96</v>
      </c>
    </row>
    <row r="410" spans="1:17" ht="45" customHeight="1" x14ac:dyDescent="0.25">
      <c r="A410" s="4" t="s">
        <v>20</v>
      </c>
      <c r="B410" s="5" t="s">
        <v>1004</v>
      </c>
      <c r="C410" s="4" t="s">
        <v>29</v>
      </c>
      <c r="D410" s="4" t="s">
        <v>1005</v>
      </c>
      <c r="E410" s="4" t="s">
        <v>1006</v>
      </c>
      <c r="F410" s="6">
        <f>1</f>
        <v>1</v>
      </c>
      <c r="G410" s="4" t="s">
        <v>46</v>
      </c>
      <c r="H410" s="7">
        <v>3988.64</v>
      </c>
      <c r="I410" s="7">
        <v>3988.64</v>
      </c>
      <c r="J410" s="8" t="s">
        <v>122</v>
      </c>
      <c r="K410" s="9">
        <f>4748.48</f>
        <v>4748.4799999999996</v>
      </c>
      <c r="L410" s="9">
        <f>4748.48</f>
        <v>4748.4799999999996</v>
      </c>
      <c r="M410" s="4"/>
      <c r="N410" s="10">
        <v>1</v>
      </c>
      <c r="O410" s="4" t="s">
        <v>27</v>
      </c>
      <c r="P410" s="11">
        <v>1</v>
      </c>
      <c r="Q410" s="9">
        <f>4748.48</f>
        <v>4748.4799999999996</v>
      </c>
    </row>
    <row r="411" spans="1:17" ht="45" customHeight="1" x14ac:dyDescent="0.25">
      <c r="A411" s="4" t="s">
        <v>20</v>
      </c>
      <c r="B411" s="5" t="s">
        <v>1007</v>
      </c>
      <c r="C411" s="4" t="s">
        <v>29</v>
      </c>
      <c r="D411" s="4" t="s">
        <v>1008</v>
      </c>
      <c r="E411" s="4" t="s">
        <v>1009</v>
      </c>
      <c r="F411" s="6">
        <f>1</f>
        <v>1</v>
      </c>
      <c r="G411" s="4" t="s">
        <v>46</v>
      </c>
      <c r="H411" s="7">
        <v>2012.85</v>
      </c>
      <c r="I411" s="7">
        <v>2012.85</v>
      </c>
      <c r="J411" s="8" t="s">
        <v>122</v>
      </c>
      <c r="K411" s="9">
        <f>2396.3</f>
        <v>2396.3000000000002</v>
      </c>
      <c r="L411" s="9">
        <f>2396.3</f>
        <v>2396.3000000000002</v>
      </c>
      <c r="M411" s="4"/>
      <c r="N411" s="10">
        <v>1</v>
      </c>
      <c r="O411" s="4" t="s">
        <v>27</v>
      </c>
      <c r="P411" s="11">
        <v>1</v>
      </c>
      <c r="Q411" s="9">
        <f>2396.3</f>
        <v>2396.3000000000002</v>
      </c>
    </row>
    <row r="412" spans="1:17" ht="45" customHeight="1" x14ac:dyDescent="0.25">
      <c r="A412" s="4" t="s">
        <v>20</v>
      </c>
      <c r="B412" s="5" t="s">
        <v>1010</v>
      </c>
      <c r="C412" s="4" t="s">
        <v>29</v>
      </c>
      <c r="D412" s="4" t="s">
        <v>1011</v>
      </c>
      <c r="E412" s="4" t="s">
        <v>1012</v>
      </c>
      <c r="F412" s="6">
        <f>1</f>
        <v>1</v>
      </c>
      <c r="G412" s="4" t="s">
        <v>46</v>
      </c>
      <c r="H412" s="7">
        <v>2512.7800000000002</v>
      </c>
      <c r="I412" s="7">
        <v>2512.7800000000002</v>
      </c>
      <c r="J412" s="8" t="s">
        <v>122</v>
      </c>
      <c r="K412" s="9">
        <f>2991.46</f>
        <v>2991.46</v>
      </c>
      <c r="L412" s="9">
        <f>2991.46</f>
        <v>2991.46</v>
      </c>
      <c r="M412" s="4"/>
      <c r="N412" s="10">
        <v>1</v>
      </c>
      <c r="O412" s="4" t="s">
        <v>27</v>
      </c>
      <c r="P412" s="11">
        <v>1</v>
      </c>
      <c r="Q412" s="9">
        <f>2991.46</f>
        <v>2991.46</v>
      </c>
    </row>
    <row r="413" spans="1:17" ht="45" customHeight="1" x14ac:dyDescent="0.25">
      <c r="A413" s="4" t="s">
        <v>20</v>
      </c>
      <c r="B413" s="5" t="s">
        <v>1013</v>
      </c>
      <c r="C413" s="4" t="s">
        <v>29</v>
      </c>
      <c r="D413" s="4" t="s">
        <v>1014</v>
      </c>
      <c r="E413" s="4" t="s">
        <v>1015</v>
      </c>
      <c r="F413" s="6">
        <f>1</f>
        <v>1</v>
      </c>
      <c r="G413" s="4" t="s">
        <v>46</v>
      </c>
      <c r="H413" s="7">
        <v>2580.6999999999998</v>
      </c>
      <c r="I413" s="7">
        <v>2580.6999999999998</v>
      </c>
      <c r="J413" s="8" t="s">
        <v>122</v>
      </c>
      <c r="K413" s="9">
        <f>3072.32</f>
        <v>3072.32</v>
      </c>
      <c r="L413" s="9">
        <f>3072.32</f>
        <v>3072.32</v>
      </c>
      <c r="M413" s="4"/>
      <c r="N413" s="10">
        <v>1</v>
      </c>
      <c r="O413" s="4" t="s">
        <v>27</v>
      </c>
      <c r="P413" s="11">
        <v>1</v>
      </c>
      <c r="Q413" s="9">
        <f>3072.32</f>
        <v>3072.32</v>
      </c>
    </row>
    <row r="414" spans="1:17" ht="45" customHeight="1" x14ac:dyDescent="0.25">
      <c r="A414" s="4" t="s">
        <v>20</v>
      </c>
      <c r="B414" s="5" t="s">
        <v>1016</v>
      </c>
      <c r="C414" s="4" t="s">
        <v>29</v>
      </c>
      <c r="D414" s="4" t="s">
        <v>1017</v>
      </c>
      <c r="E414" s="4" t="s">
        <v>1018</v>
      </c>
      <c r="F414" s="6">
        <f>1</f>
        <v>1</v>
      </c>
      <c r="G414" s="4" t="s">
        <v>46</v>
      </c>
      <c r="H414" s="7">
        <v>3017.85</v>
      </c>
      <c r="I414" s="7">
        <v>3017.85</v>
      </c>
      <c r="J414" s="8" t="s">
        <v>122</v>
      </c>
      <c r="K414" s="9">
        <f>3592.75</f>
        <v>3592.75</v>
      </c>
      <c r="L414" s="9">
        <f>3592.75</f>
        <v>3592.75</v>
      </c>
      <c r="M414" s="4"/>
      <c r="N414" s="10">
        <v>1</v>
      </c>
      <c r="O414" s="4" t="s">
        <v>27</v>
      </c>
      <c r="P414" s="11">
        <v>1</v>
      </c>
      <c r="Q414" s="9">
        <f>3592.75</f>
        <v>3592.75</v>
      </c>
    </row>
    <row r="415" spans="1:17" ht="45" customHeight="1" x14ac:dyDescent="0.25">
      <c r="A415" s="4" t="s">
        <v>20</v>
      </c>
      <c r="B415" s="5" t="s">
        <v>1019</v>
      </c>
      <c r="C415" s="4" t="s">
        <v>63</v>
      </c>
      <c r="D415" s="4" t="s">
        <v>1020</v>
      </c>
      <c r="E415" s="4" t="s">
        <v>1021</v>
      </c>
      <c r="F415" s="6">
        <f>30</f>
        <v>30</v>
      </c>
      <c r="G415" s="4" t="s">
        <v>96</v>
      </c>
      <c r="H415" s="7">
        <v>65.19</v>
      </c>
      <c r="I415" s="7">
        <v>65.19</v>
      </c>
      <c r="J415" s="8" t="s">
        <v>122</v>
      </c>
      <c r="K415" s="9">
        <f>77.61</f>
        <v>77.61</v>
      </c>
      <c r="L415" s="9">
        <f>2328.3</f>
        <v>2328.3000000000002</v>
      </c>
      <c r="M415" s="4"/>
      <c r="N415" s="10">
        <v>1</v>
      </c>
      <c r="O415" s="4" t="s">
        <v>27</v>
      </c>
      <c r="P415" s="11">
        <v>30</v>
      </c>
      <c r="Q415" s="9">
        <f>2328.3</f>
        <v>2328.3000000000002</v>
      </c>
    </row>
    <row r="416" spans="1:17" ht="45" customHeight="1" x14ac:dyDescent="0.25">
      <c r="A416" s="4" t="s">
        <v>20</v>
      </c>
      <c r="B416" s="5" t="s">
        <v>1022</v>
      </c>
      <c r="C416" s="4" t="s">
        <v>63</v>
      </c>
      <c r="D416" s="4" t="s">
        <v>1023</v>
      </c>
      <c r="E416" s="4" t="s">
        <v>1024</v>
      </c>
      <c r="F416" s="6">
        <f>10</f>
        <v>10</v>
      </c>
      <c r="G416" s="4" t="s">
        <v>96</v>
      </c>
      <c r="H416" s="7">
        <v>44.84</v>
      </c>
      <c r="I416" s="7">
        <v>44.84</v>
      </c>
      <c r="J416" s="8" t="s">
        <v>122</v>
      </c>
      <c r="K416" s="9">
        <f>53.38</f>
        <v>53.38</v>
      </c>
      <c r="L416" s="9">
        <f>533.8</f>
        <v>533.79999999999995</v>
      </c>
      <c r="M416" s="4"/>
      <c r="N416" s="10">
        <v>1</v>
      </c>
      <c r="O416" s="4" t="s">
        <v>27</v>
      </c>
      <c r="P416" s="11">
        <v>10</v>
      </c>
      <c r="Q416" s="9">
        <f>533.8</f>
        <v>533.79999999999995</v>
      </c>
    </row>
    <row r="417" spans="1:17" ht="45" customHeight="1" x14ac:dyDescent="0.25">
      <c r="A417" s="4" t="s">
        <v>20</v>
      </c>
      <c r="B417" s="5" t="s">
        <v>1025</v>
      </c>
      <c r="C417" s="4" t="s">
        <v>63</v>
      </c>
      <c r="D417" s="4" t="s">
        <v>237</v>
      </c>
      <c r="E417" s="4" t="s">
        <v>238</v>
      </c>
      <c r="F417" s="6">
        <f>10</f>
        <v>10</v>
      </c>
      <c r="G417" s="4" t="s">
        <v>96</v>
      </c>
      <c r="H417" s="7">
        <v>360.05</v>
      </c>
      <c r="I417" s="7">
        <v>360.05</v>
      </c>
      <c r="J417" s="8" t="s">
        <v>122</v>
      </c>
      <c r="K417" s="9">
        <f>428.64</f>
        <v>428.64</v>
      </c>
      <c r="L417" s="9">
        <f>4286.4</f>
        <v>4286.3999999999996</v>
      </c>
      <c r="M417" s="4"/>
      <c r="N417" s="10">
        <v>1</v>
      </c>
      <c r="O417" s="4" t="s">
        <v>27</v>
      </c>
      <c r="P417" s="11">
        <v>10</v>
      </c>
      <c r="Q417" s="9">
        <f>4286.4</f>
        <v>4286.3999999999996</v>
      </c>
    </row>
    <row r="418" spans="1:17" ht="45" customHeight="1" x14ac:dyDescent="0.25">
      <c r="A418" s="4" t="s">
        <v>20</v>
      </c>
      <c r="B418" s="5" t="s">
        <v>1026</v>
      </c>
      <c r="C418" s="4" t="s">
        <v>29</v>
      </c>
      <c r="D418" s="4" t="s">
        <v>1027</v>
      </c>
      <c r="E418" s="4" t="s">
        <v>1028</v>
      </c>
      <c r="F418" s="6">
        <f>2</f>
        <v>2</v>
      </c>
      <c r="G418" s="4" t="s">
        <v>46</v>
      </c>
      <c r="H418" s="7">
        <v>1597.6</v>
      </c>
      <c r="I418" s="7">
        <v>1597.6</v>
      </c>
      <c r="J418" s="8" t="s">
        <v>122</v>
      </c>
      <c r="K418" s="9">
        <f>1901.94</f>
        <v>1901.94</v>
      </c>
      <c r="L418" s="9">
        <f>3803.88</f>
        <v>3803.88</v>
      </c>
      <c r="M418" s="4"/>
      <c r="N418" s="10">
        <v>1</v>
      </c>
      <c r="O418" s="4" t="s">
        <v>27</v>
      </c>
      <c r="P418" s="11">
        <v>2</v>
      </c>
      <c r="Q418" s="9">
        <f>3803.88</f>
        <v>3803.88</v>
      </c>
    </row>
    <row r="419" spans="1:17" ht="45" customHeight="1" x14ac:dyDescent="0.25">
      <c r="A419" s="4" t="s">
        <v>20</v>
      </c>
      <c r="B419" s="5" t="s">
        <v>1029</v>
      </c>
      <c r="C419" s="4" t="s">
        <v>29</v>
      </c>
      <c r="D419" s="4" t="s">
        <v>1030</v>
      </c>
      <c r="E419" s="4" t="s">
        <v>1031</v>
      </c>
      <c r="F419" s="6">
        <f>2</f>
        <v>2</v>
      </c>
      <c r="G419" s="4" t="s">
        <v>46</v>
      </c>
      <c r="H419" s="7">
        <v>4539.5</v>
      </c>
      <c r="I419" s="7">
        <v>4539.5</v>
      </c>
      <c r="J419" s="8" t="s">
        <v>122</v>
      </c>
      <c r="K419" s="9">
        <f>5404.27</f>
        <v>5404.27</v>
      </c>
      <c r="L419" s="9">
        <f>10808.54</f>
        <v>10808.54</v>
      </c>
      <c r="M419" s="4"/>
      <c r="N419" s="10">
        <v>1</v>
      </c>
      <c r="O419" s="4" t="s">
        <v>27</v>
      </c>
      <c r="P419" s="11">
        <v>2</v>
      </c>
      <c r="Q419" s="9">
        <f>10808.54</f>
        <v>10808.54</v>
      </c>
    </row>
    <row r="420" spans="1:17" ht="45" customHeight="1" x14ac:dyDescent="0.25">
      <c r="A420" s="4" t="s">
        <v>17</v>
      </c>
      <c r="B420" s="5" t="s">
        <v>392</v>
      </c>
      <c r="C420" s="4"/>
      <c r="D420" s="4"/>
      <c r="E420" s="4" t="s">
        <v>1032</v>
      </c>
      <c r="F420" s="6"/>
      <c r="G420" s="4"/>
      <c r="H420" s="7"/>
      <c r="I420" s="7"/>
      <c r="J420" s="8"/>
      <c r="K420" s="9"/>
      <c r="L420" s="9">
        <f>357407.71</f>
        <v>357407.71</v>
      </c>
      <c r="M420" s="4"/>
      <c r="N420" s="10"/>
      <c r="O420" s="4"/>
      <c r="P420" s="11"/>
      <c r="Q420" s="9"/>
    </row>
    <row r="421" spans="1:17" ht="45" customHeight="1" x14ac:dyDescent="0.25">
      <c r="A421" s="4" t="s">
        <v>20</v>
      </c>
      <c r="B421" s="5" t="s">
        <v>1033</v>
      </c>
      <c r="C421" s="4" t="s">
        <v>29</v>
      </c>
      <c r="D421" s="4" t="s">
        <v>60</v>
      </c>
      <c r="E421" s="4" t="s">
        <v>61</v>
      </c>
      <c r="F421" s="6">
        <f>21</f>
        <v>21</v>
      </c>
      <c r="G421" s="4" t="s">
        <v>25</v>
      </c>
      <c r="H421" s="7">
        <v>5.8</v>
      </c>
      <c r="I421" s="7">
        <v>5.8</v>
      </c>
      <c r="J421" s="8" t="s">
        <v>26</v>
      </c>
      <c r="K421" s="9">
        <f>7.29</f>
        <v>7.29</v>
      </c>
      <c r="L421" s="9">
        <f>153.09</f>
        <v>153.09</v>
      </c>
      <c r="M421" s="4"/>
      <c r="N421" s="10">
        <v>1</v>
      </c>
      <c r="O421" s="4" t="s">
        <v>27</v>
      </c>
      <c r="P421" s="11">
        <v>21</v>
      </c>
      <c r="Q421" s="9">
        <f>153.09</f>
        <v>153.09</v>
      </c>
    </row>
    <row r="422" spans="1:17" ht="45" customHeight="1" x14ac:dyDescent="0.25">
      <c r="A422" s="4" t="s">
        <v>20</v>
      </c>
      <c r="B422" s="5" t="s">
        <v>1034</v>
      </c>
      <c r="C422" s="4" t="s">
        <v>63</v>
      </c>
      <c r="D422" s="4" t="s">
        <v>520</v>
      </c>
      <c r="E422" s="4" t="s">
        <v>521</v>
      </c>
      <c r="F422" s="6">
        <f>1.2</f>
        <v>1.2</v>
      </c>
      <c r="G422" s="4" t="s">
        <v>25</v>
      </c>
      <c r="H422" s="7">
        <v>93.84</v>
      </c>
      <c r="I422" s="7">
        <v>93.84</v>
      </c>
      <c r="J422" s="8" t="s">
        <v>26</v>
      </c>
      <c r="K422" s="9">
        <f>117.96</f>
        <v>117.96</v>
      </c>
      <c r="L422" s="9">
        <f>141.55</f>
        <v>141.55000000000001</v>
      </c>
      <c r="M422" s="4"/>
      <c r="N422" s="10">
        <v>1</v>
      </c>
      <c r="O422" s="4" t="s">
        <v>27</v>
      </c>
      <c r="P422" s="11">
        <v>1.2</v>
      </c>
      <c r="Q422" s="9">
        <f>141.55</f>
        <v>141.55000000000001</v>
      </c>
    </row>
    <row r="423" spans="1:17" ht="45" customHeight="1" x14ac:dyDescent="0.25">
      <c r="A423" s="4" t="s">
        <v>20</v>
      </c>
      <c r="B423" s="5" t="s">
        <v>1035</v>
      </c>
      <c r="C423" s="4" t="s">
        <v>63</v>
      </c>
      <c r="D423" s="4" t="s">
        <v>319</v>
      </c>
      <c r="E423" s="4" t="s">
        <v>320</v>
      </c>
      <c r="F423" s="6">
        <f>1.5</f>
        <v>1.5</v>
      </c>
      <c r="G423" s="4" t="s">
        <v>25</v>
      </c>
      <c r="H423" s="7">
        <v>5.09</v>
      </c>
      <c r="I423" s="7">
        <v>5.09</v>
      </c>
      <c r="J423" s="8" t="s">
        <v>26</v>
      </c>
      <c r="K423" s="9">
        <f>6.4</f>
        <v>6.4</v>
      </c>
      <c r="L423" s="9">
        <f>9.6</f>
        <v>9.6</v>
      </c>
      <c r="M423" s="4"/>
      <c r="N423" s="10">
        <v>1</v>
      </c>
      <c r="O423" s="4" t="s">
        <v>27</v>
      </c>
      <c r="P423" s="11">
        <v>1.5</v>
      </c>
      <c r="Q423" s="9">
        <f>9.6</f>
        <v>9.6</v>
      </c>
    </row>
    <row r="424" spans="1:17" ht="45" customHeight="1" x14ac:dyDescent="0.25">
      <c r="A424" s="4" t="s">
        <v>20</v>
      </c>
      <c r="B424" s="5" t="s">
        <v>1036</v>
      </c>
      <c r="C424" s="4" t="s">
        <v>63</v>
      </c>
      <c r="D424" s="4" t="s">
        <v>328</v>
      </c>
      <c r="E424" s="4" t="s">
        <v>329</v>
      </c>
      <c r="F424" s="6">
        <f>1.5</f>
        <v>1.5</v>
      </c>
      <c r="G424" s="4" t="s">
        <v>25</v>
      </c>
      <c r="H424" s="7">
        <v>11.95</v>
      </c>
      <c r="I424" s="7">
        <v>11.95</v>
      </c>
      <c r="J424" s="8" t="s">
        <v>26</v>
      </c>
      <c r="K424" s="9">
        <f>15.02</f>
        <v>15.02</v>
      </c>
      <c r="L424" s="9">
        <f>22.53</f>
        <v>22.53</v>
      </c>
      <c r="M424" s="4"/>
      <c r="N424" s="10">
        <v>1</v>
      </c>
      <c r="O424" s="4" t="s">
        <v>27</v>
      </c>
      <c r="P424" s="11">
        <v>1.5</v>
      </c>
      <c r="Q424" s="9">
        <f>22.53</f>
        <v>22.53</v>
      </c>
    </row>
    <row r="425" spans="1:17" ht="45" customHeight="1" x14ac:dyDescent="0.25">
      <c r="A425" s="4" t="s">
        <v>20</v>
      </c>
      <c r="B425" s="5" t="s">
        <v>1037</v>
      </c>
      <c r="C425" s="4" t="s">
        <v>63</v>
      </c>
      <c r="D425" s="4" t="s">
        <v>322</v>
      </c>
      <c r="E425" s="4" t="s">
        <v>323</v>
      </c>
      <c r="F425" s="6">
        <f>1.5</f>
        <v>1.5</v>
      </c>
      <c r="G425" s="4" t="s">
        <v>25</v>
      </c>
      <c r="H425" s="7">
        <v>9.6300000000000008</v>
      </c>
      <c r="I425" s="7">
        <v>9.6300000000000008</v>
      </c>
      <c r="J425" s="8" t="s">
        <v>26</v>
      </c>
      <c r="K425" s="9">
        <f>12.1</f>
        <v>12.1</v>
      </c>
      <c r="L425" s="9">
        <f>18.15</f>
        <v>18.149999999999999</v>
      </c>
      <c r="M425" s="4"/>
      <c r="N425" s="10">
        <v>1</v>
      </c>
      <c r="O425" s="4" t="s">
        <v>27</v>
      </c>
      <c r="P425" s="11">
        <v>1.5</v>
      </c>
      <c r="Q425" s="9">
        <f>18.15</f>
        <v>18.149999999999999</v>
      </c>
    </row>
    <row r="426" spans="1:17" ht="45" customHeight="1" x14ac:dyDescent="0.25">
      <c r="A426" s="4" t="s">
        <v>20</v>
      </c>
      <c r="B426" s="5" t="s">
        <v>1038</v>
      </c>
      <c r="C426" s="4" t="s">
        <v>63</v>
      </c>
      <c r="D426" s="4" t="s">
        <v>921</v>
      </c>
      <c r="E426" s="4" t="s">
        <v>922</v>
      </c>
      <c r="F426" s="6">
        <f>29.4</f>
        <v>29.4</v>
      </c>
      <c r="G426" s="4" t="s">
        <v>75</v>
      </c>
      <c r="H426" s="7">
        <v>13.8</v>
      </c>
      <c r="I426" s="7">
        <v>13.8</v>
      </c>
      <c r="J426" s="8" t="s">
        <v>26</v>
      </c>
      <c r="K426" s="9">
        <f>17.35</f>
        <v>17.350000000000001</v>
      </c>
      <c r="L426" s="9">
        <f>510.09</f>
        <v>510.09</v>
      </c>
      <c r="M426" s="4"/>
      <c r="N426" s="10">
        <v>1</v>
      </c>
      <c r="O426" s="4" t="s">
        <v>27</v>
      </c>
      <c r="P426" s="11">
        <v>29.4</v>
      </c>
      <c r="Q426" s="9">
        <f>510.09</f>
        <v>510.09</v>
      </c>
    </row>
    <row r="427" spans="1:17" ht="45" customHeight="1" x14ac:dyDescent="0.25">
      <c r="A427" s="4" t="s">
        <v>20</v>
      </c>
      <c r="B427" s="5" t="s">
        <v>1039</v>
      </c>
      <c r="C427" s="4" t="s">
        <v>63</v>
      </c>
      <c r="D427" s="4" t="s">
        <v>1040</v>
      </c>
      <c r="E427" s="4" t="s">
        <v>1041</v>
      </c>
      <c r="F427" s="6">
        <f>11</f>
        <v>11</v>
      </c>
      <c r="G427" s="4" t="s">
        <v>75</v>
      </c>
      <c r="H427" s="7">
        <v>21.06</v>
      </c>
      <c r="I427" s="7">
        <v>21.06</v>
      </c>
      <c r="J427" s="8" t="s">
        <v>26</v>
      </c>
      <c r="K427" s="9">
        <f>26.47</f>
        <v>26.47</v>
      </c>
      <c r="L427" s="9">
        <f>291.17</f>
        <v>291.17</v>
      </c>
      <c r="M427" s="4"/>
      <c r="N427" s="10">
        <v>1</v>
      </c>
      <c r="O427" s="4" t="s">
        <v>27</v>
      </c>
      <c r="P427" s="11">
        <v>11</v>
      </c>
      <c r="Q427" s="9">
        <f>291.17</f>
        <v>291.17</v>
      </c>
    </row>
    <row r="428" spans="1:17" ht="45" customHeight="1" x14ac:dyDescent="0.25">
      <c r="A428" s="4" t="s">
        <v>20</v>
      </c>
      <c r="B428" s="5" t="s">
        <v>1042</v>
      </c>
      <c r="C428" s="4" t="s">
        <v>63</v>
      </c>
      <c r="D428" s="4" t="s">
        <v>107</v>
      </c>
      <c r="E428" s="4" t="s">
        <v>108</v>
      </c>
      <c r="F428" s="6">
        <f>24.3</f>
        <v>24.3</v>
      </c>
      <c r="G428" s="4" t="s">
        <v>75</v>
      </c>
      <c r="H428" s="7">
        <v>8.64</v>
      </c>
      <c r="I428" s="7">
        <v>8.64</v>
      </c>
      <c r="J428" s="8" t="s">
        <v>26</v>
      </c>
      <c r="K428" s="9">
        <f>10.86</f>
        <v>10.86</v>
      </c>
      <c r="L428" s="9">
        <f>263.9</f>
        <v>263.89999999999998</v>
      </c>
      <c r="M428" s="4"/>
      <c r="N428" s="10">
        <v>1</v>
      </c>
      <c r="O428" s="4" t="s">
        <v>27</v>
      </c>
      <c r="P428" s="11">
        <v>24.3</v>
      </c>
      <c r="Q428" s="9">
        <f>263.9</f>
        <v>263.89999999999998</v>
      </c>
    </row>
    <row r="429" spans="1:17" ht="45" customHeight="1" x14ac:dyDescent="0.25">
      <c r="A429" s="4" t="s">
        <v>20</v>
      </c>
      <c r="B429" s="5" t="s">
        <v>1043</v>
      </c>
      <c r="C429" s="4" t="s">
        <v>63</v>
      </c>
      <c r="D429" s="4" t="s">
        <v>110</v>
      </c>
      <c r="E429" s="4" t="s">
        <v>111</v>
      </c>
      <c r="F429" s="6">
        <f>97.2</f>
        <v>97.2</v>
      </c>
      <c r="G429" s="4" t="s">
        <v>112</v>
      </c>
      <c r="H429" s="7">
        <v>3.31</v>
      </c>
      <c r="I429" s="7">
        <v>3.31</v>
      </c>
      <c r="J429" s="8" t="s">
        <v>26</v>
      </c>
      <c r="K429" s="9">
        <f>4.16</f>
        <v>4.16</v>
      </c>
      <c r="L429" s="9">
        <f>404.35</f>
        <v>404.35</v>
      </c>
      <c r="M429" s="4"/>
      <c r="N429" s="10">
        <v>1</v>
      </c>
      <c r="O429" s="4" t="s">
        <v>27</v>
      </c>
      <c r="P429" s="11">
        <v>97.2</v>
      </c>
      <c r="Q429" s="9">
        <f>404.35</f>
        <v>404.35</v>
      </c>
    </row>
    <row r="430" spans="1:17" ht="45" customHeight="1" x14ac:dyDescent="0.25">
      <c r="A430" s="4" t="s">
        <v>20</v>
      </c>
      <c r="B430" s="5" t="s">
        <v>1044</v>
      </c>
      <c r="C430" s="4" t="s">
        <v>63</v>
      </c>
      <c r="D430" s="4" t="s">
        <v>114</v>
      </c>
      <c r="E430" s="4" t="s">
        <v>115</v>
      </c>
      <c r="F430" s="6">
        <f>24.3</f>
        <v>24.3</v>
      </c>
      <c r="G430" s="4" t="s">
        <v>75</v>
      </c>
      <c r="H430" s="7">
        <v>1.45</v>
      </c>
      <c r="I430" s="7">
        <v>1.45</v>
      </c>
      <c r="J430" s="8" t="s">
        <v>26</v>
      </c>
      <c r="K430" s="9">
        <f>1.82</f>
        <v>1.82</v>
      </c>
      <c r="L430" s="9">
        <f>44.23</f>
        <v>44.23</v>
      </c>
      <c r="M430" s="4"/>
      <c r="N430" s="10">
        <v>1</v>
      </c>
      <c r="O430" s="4" t="s">
        <v>27</v>
      </c>
      <c r="P430" s="11">
        <v>24.3</v>
      </c>
      <c r="Q430" s="9">
        <f>44.23</f>
        <v>44.23</v>
      </c>
    </row>
    <row r="431" spans="1:17" ht="45" customHeight="1" x14ac:dyDescent="0.25">
      <c r="A431" s="4" t="s">
        <v>20</v>
      </c>
      <c r="B431" s="5" t="s">
        <v>1045</v>
      </c>
      <c r="C431" s="4" t="s">
        <v>63</v>
      </c>
      <c r="D431" s="4" t="s">
        <v>1046</v>
      </c>
      <c r="E431" s="4" t="s">
        <v>1047</v>
      </c>
      <c r="F431" s="6">
        <f>18</f>
        <v>18</v>
      </c>
      <c r="G431" s="4" t="s">
        <v>25</v>
      </c>
      <c r="H431" s="7">
        <v>76.83</v>
      </c>
      <c r="I431" s="7">
        <v>76.83</v>
      </c>
      <c r="J431" s="8" t="s">
        <v>26</v>
      </c>
      <c r="K431" s="9">
        <f>96.58</f>
        <v>96.58</v>
      </c>
      <c r="L431" s="9">
        <f>1738.44</f>
        <v>1738.44</v>
      </c>
      <c r="M431" s="4"/>
      <c r="N431" s="10">
        <v>1</v>
      </c>
      <c r="O431" s="4" t="s">
        <v>27</v>
      </c>
      <c r="P431" s="11">
        <v>18</v>
      </c>
      <c r="Q431" s="9">
        <f>1738.44</f>
        <v>1738.44</v>
      </c>
    </row>
    <row r="432" spans="1:17" ht="45" customHeight="1" x14ac:dyDescent="0.25">
      <c r="A432" s="4" t="s">
        <v>20</v>
      </c>
      <c r="B432" s="5" t="s">
        <v>1048</v>
      </c>
      <c r="C432" s="4" t="s">
        <v>63</v>
      </c>
      <c r="D432" s="4" t="s">
        <v>945</v>
      </c>
      <c r="E432" s="4" t="s">
        <v>946</v>
      </c>
      <c r="F432" s="6">
        <f>1.14</f>
        <v>1.1399999999999999</v>
      </c>
      <c r="G432" s="4" t="s">
        <v>25</v>
      </c>
      <c r="H432" s="7">
        <v>71.48</v>
      </c>
      <c r="I432" s="7">
        <v>71.48</v>
      </c>
      <c r="J432" s="8" t="s">
        <v>26</v>
      </c>
      <c r="K432" s="9">
        <f>89.85</f>
        <v>89.85</v>
      </c>
      <c r="L432" s="9">
        <f>102.43</f>
        <v>102.43</v>
      </c>
      <c r="M432" s="4"/>
      <c r="N432" s="10">
        <v>1</v>
      </c>
      <c r="O432" s="4" t="s">
        <v>27</v>
      </c>
      <c r="P432" s="11">
        <v>1.1399999999999999</v>
      </c>
      <c r="Q432" s="9">
        <f>102.43</f>
        <v>102.43</v>
      </c>
    </row>
    <row r="433" spans="1:17" ht="45" customHeight="1" x14ac:dyDescent="0.25">
      <c r="A433" s="4" t="s">
        <v>20</v>
      </c>
      <c r="B433" s="5" t="s">
        <v>1049</v>
      </c>
      <c r="C433" s="4" t="s">
        <v>29</v>
      </c>
      <c r="D433" s="4" t="s">
        <v>77</v>
      </c>
      <c r="E433" s="4" t="s">
        <v>78</v>
      </c>
      <c r="F433" s="6">
        <f>1334</f>
        <v>1334</v>
      </c>
      <c r="G433" s="4" t="s">
        <v>79</v>
      </c>
      <c r="H433" s="7">
        <v>13.28</v>
      </c>
      <c r="I433" s="7">
        <v>13.28</v>
      </c>
      <c r="J433" s="8" t="s">
        <v>26</v>
      </c>
      <c r="K433" s="9">
        <f>16.69</f>
        <v>16.690000000000001</v>
      </c>
      <c r="L433" s="9">
        <f>22264.46</f>
        <v>22264.46</v>
      </c>
      <c r="M433" s="4"/>
      <c r="N433" s="10">
        <v>1</v>
      </c>
      <c r="O433" s="4" t="s">
        <v>27</v>
      </c>
      <c r="P433" s="11">
        <v>1334</v>
      </c>
      <c r="Q433" s="9">
        <f>22264.46</f>
        <v>22264.46</v>
      </c>
    </row>
    <row r="434" spans="1:17" ht="45" customHeight="1" x14ac:dyDescent="0.25">
      <c r="A434" s="4" t="s">
        <v>20</v>
      </c>
      <c r="B434" s="5" t="s">
        <v>1050</v>
      </c>
      <c r="C434" s="4" t="s">
        <v>63</v>
      </c>
      <c r="D434" s="4" t="s">
        <v>1051</v>
      </c>
      <c r="E434" s="4" t="s">
        <v>1052</v>
      </c>
      <c r="F434" s="6">
        <f>21</f>
        <v>21</v>
      </c>
      <c r="G434" s="4" t="s">
        <v>75</v>
      </c>
      <c r="H434" s="7">
        <v>558.66999999999996</v>
      </c>
      <c r="I434" s="7">
        <v>558.66999999999996</v>
      </c>
      <c r="J434" s="8" t="s">
        <v>26</v>
      </c>
      <c r="K434" s="9">
        <f>702.25</f>
        <v>702.25</v>
      </c>
      <c r="L434" s="9">
        <f>14747.25</f>
        <v>14747.25</v>
      </c>
      <c r="M434" s="4"/>
      <c r="N434" s="10">
        <v>1</v>
      </c>
      <c r="O434" s="4" t="s">
        <v>27</v>
      </c>
      <c r="P434" s="11">
        <v>21</v>
      </c>
      <c r="Q434" s="9">
        <f>14747.25</f>
        <v>14747.25</v>
      </c>
    </row>
    <row r="435" spans="1:17" ht="45" customHeight="1" x14ac:dyDescent="0.25">
      <c r="A435" s="4" t="s">
        <v>20</v>
      </c>
      <c r="B435" s="5" t="s">
        <v>1053</v>
      </c>
      <c r="C435" s="4" t="s">
        <v>63</v>
      </c>
      <c r="D435" s="4" t="s">
        <v>369</v>
      </c>
      <c r="E435" s="4" t="s">
        <v>370</v>
      </c>
      <c r="F435" s="6">
        <f>1.2</f>
        <v>1.2</v>
      </c>
      <c r="G435" s="4" t="s">
        <v>75</v>
      </c>
      <c r="H435" s="7">
        <v>514.52</v>
      </c>
      <c r="I435" s="7">
        <v>514.52</v>
      </c>
      <c r="J435" s="8" t="s">
        <v>26</v>
      </c>
      <c r="K435" s="9">
        <f>646.75</f>
        <v>646.75</v>
      </c>
      <c r="L435" s="9">
        <f>776.1</f>
        <v>776.1</v>
      </c>
      <c r="M435" s="4"/>
      <c r="N435" s="10">
        <v>1</v>
      </c>
      <c r="O435" s="4" t="s">
        <v>27</v>
      </c>
      <c r="P435" s="11">
        <v>1.2</v>
      </c>
      <c r="Q435" s="9">
        <f>776.1</f>
        <v>776.1</v>
      </c>
    </row>
    <row r="436" spans="1:17" ht="45" customHeight="1" x14ac:dyDescent="0.25">
      <c r="A436" s="4" t="s">
        <v>20</v>
      </c>
      <c r="B436" s="5" t="s">
        <v>1054</v>
      </c>
      <c r="C436" s="4" t="s">
        <v>63</v>
      </c>
      <c r="D436" s="4" t="s">
        <v>372</v>
      </c>
      <c r="E436" s="4" t="s">
        <v>373</v>
      </c>
      <c r="F436" s="6">
        <f>22.2</f>
        <v>22.2</v>
      </c>
      <c r="G436" s="4" t="s">
        <v>75</v>
      </c>
      <c r="H436" s="7">
        <v>41.05</v>
      </c>
      <c r="I436" s="7">
        <v>41.05</v>
      </c>
      <c r="J436" s="8" t="s">
        <v>26</v>
      </c>
      <c r="K436" s="9">
        <f>51.6</f>
        <v>51.6</v>
      </c>
      <c r="L436" s="9">
        <f>1145.52</f>
        <v>1145.52</v>
      </c>
      <c r="M436" s="4"/>
      <c r="N436" s="10">
        <v>1</v>
      </c>
      <c r="O436" s="4" t="s">
        <v>27</v>
      </c>
      <c r="P436" s="11">
        <v>22.2</v>
      </c>
      <c r="Q436" s="9">
        <f>1145.52</f>
        <v>1145.52</v>
      </c>
    </row>
    <row r="437" spans="1:17" ht="45" customHeight="1" x14ac:dyDescent="0.25">
      <c r="A437" s="4" t="s">
        <v>20</v>
      </c>
      <c r="B437" s="5" t="s">
        <v>1055</v>
      </c>
      <c r="C437" s="4" t="s">
        <v>29</v>
      </c>
      <c r="D437" s="4" t="s">
        <v>87</v>
      </c>
      <c r="E437" s="4" t="s">
        <v>88</v>
      </c>
      <c r="F437" s="6">
        <f>1850</f>
        <v>1850</v>
      </c>
      <c r="G437" s="4" t="s">
        <v>79</v>
      </c>
      <c r="H437" s="7">
        <v>4.54</v>
      </c>
      <c r="I437" s="7">
        <v>4.54</v>
      </c>
      <c r="J437" s="8" t="s">
        <v>26</v>
      </c>
      <c r="K437" s="9">
        <f>5.71</f>
        <v>5.71</v>
      </c>
      <c r="L437" s="9">
        <f>10563.5</f>
        <v>10563.5</v>
      </c>
      <c r="M437" s="4"/>
      <c r="N437" s="10">
        <v>1</v>
      </c>
      <c r="O437" s="4" t="s">
        <v>27</v>
      </c>
      <c r="P437" s="11">
        <v>1850</v>
      </c>
      <c r="Q437" s="9">
        <f>10563.5</f>
        <v>10563.5</v>
      </c>
    </row>
    <row r="438" spans="1:17" ht="45" customHeight="1" x14ac:dyDescent="0.25">
      <c r="A438" s="4" t="s">
        <v>20</v>
      </c>
      <c r="B438" s="5" t="s">
        <v>1056</v>
      </c>
      <c r="C438" s="4" t="s">
        <v>29</v>
      </c>
      <c r="D438" s="4" t="s">
        <v>386</v>
      </c>
      <c r="E438" s="4" t="s">
        <v>387</v>
      </c>
      <c r="F438" s="6">
        <f>21.5</f>
        <v>21.5</v>
      </c>
      <c r="G438" s="4" t="s">
        <v>25</v>
      </c>
      <c r="H438" s="7">
        <v>29.4</v>
      </c>
      <c r="I438" s="7">
        <v>29.4</v>
      </c>
      <c r="J438" s="8" t="s">
        <v>26</v>
      </c>
      <c r="K438" s="9">
        <f>36.96</f>
        <v>36.96</v>
      </c>
      <c r="L438" s="9">
        <f>794.64</f>
        <v>794.64</v>
      </c>
      <c r="M438" s="4"/>
      <c r="N438" s="10">
        <v>1</v>
      </c>
      <c r="O438" s="4" t="s">
        <v>27</v>
      </c>
      <c r="P438" s="11">
        <v>21.5</v>
      </c>
      <c r="Q438" s="9">
        <f>794.64</f>
        <v>794.64</v>
      </c>
    </row>
    <row r="439" spans="1:17" ht="45" customHeight="1" x14ac:dyDescent="0.25">
      <c r="A439" s="4" t="s">
        <v>20</v>
      </c>
      <c r="B439" s="5" t="s">
        <v>1057</v>
      </c>
      <c r="C439" s="4" t="s">
        <v>29</v>
      </c>
      <c r="D439" s="4" t="s">
        <v>337</v>
      </c>
      <c r="E439" s="4" t="s">
        <v>338</v>
      </c>
      <c r="F439" s="6">
        <f>0.32</f>
        <v>0.32</v>
      </c>
      <c r="G439" s="4" t="s">
        <v>25</v>
      </c>
      <c r="H439" s="7">
        <v>403.69</v>
      </c>
      <c r="I439" s="7">
        <v>403.69</v>
      </c>
      <c r="J439" s="8" t="s">
        <v>26</v>
      </c>
      <c r="K439" s="9">
        <f>507.44</f>
        <v>507.44</v>
      </c>
      <c r="L439" s="9">
        <f>162.38</f>
        <v>162.38</v>
      </c>
      <c r="M439" s="4"/>
      <c r="N439" s="10">
        <v>1</v>
      </c>
      <c r="O439" s="4" t="s">
        <v>27</v>
      </c>
      <c r="P439" s="11">
        <v>0.32</v>
      </c>
      <c r="Q439" s="9">
        <f>162.38</f>
        <v>162.38</v>
      </c>
    </row>
    <row r="440" spans="1:17" ht="45" customHeight="1" x14ac:dyDescent="0.25">
      <c r="A440" s="4" t="s">
        <v>20</v>
      </c>
      <c r="B440" s="5" t="s">
        <v>1058</v>
      </c>
      <c r="C440" s="4" t="s">
        <v>22</v>
      </c>
      <c r="D440" s="4" t="s">
        <v>1059</v>
      </c>
      <c r="E440" s="4" t="s">
        <v>1060</v>
      </c>
      <c r="F440" s="6">
        <f>2</f>
        <v>2</v>
      </c>
      <c r="G440" s="4" t="s">
        <v>46</v>
      </c>
      <c r="H440" s="7">
        <v>4081.09</v>
      </c>
      <c r="I440" s="7">
        <v>4081.09</v>
      </c>
      <c r="J440" s="8" t="s">
        <v>26</v>
      </c>
      <c r="K440" s="9">
        <f>5129.93</f>
        <v>5129.93</v>
      </c>
      <c r="L440" s="9">
        <f>10259.86</f>
        <v>10259.86</v>
      </c>
      <c r="M440" s="4"/>
      <c r="N440" s="10">
        <v>1</v>
      </c>
      <c r="O440" s="4" t="s">
        <v>27</v>
      </c>
      <c r="P440" s="11">
        <v>2</v>
      </c>
      <c r="Q440" s="9">
        <f>10259.86</f>
        <v>10259.86</v>
      </c>
    </row>
    <row r="441" spans="1:17" ht="45" customHeight="1" x14ac:dyDescent="0.25">
      <c r="A441" s="4" t="s">
        <v>20</v>
      </c>
      <c r="B441" s="5" t="s">
        <v>1061</v>
      </c>
      <c r="C441" s="4" t="s">
        <v>29</v>
      </c>
      <c r="D441" s="4" t="s">
        <v>1062</v>
      </c>
      <c r="E441" s="4" t="s">
        <v>1063</v>
      </c>
      <c r="F441" s="6">
        <f>2</f>
        <v>2</v>
      </c>
      <c r="G441" s="4" t="s">
        <v>46</v>
      </c>
      <c r="H441" s="7">
        <v>38.14</v>
      </c>
      <c r="I441" s="7">
        <v>38.14</v>
      </c>
      <c r="J441" s="8" t="s">
        <v>122</v>
      </c>
      <c r="K441" s="9">
        <f>45.41</f>
        <v>45.41</v>
      </c>
      <c r="L441" s="9">
        <f>90.82</f>
        <v>90.82</v>
      </c>
      <c r="M441" s="4"/>
      <c r="N441" s="10">
        <v>1</v>
      </c>
      <c r="O441" s="4" t="s">
        <v>27</v>
      </c>
      <c r="P441" s="11">
        <v>2</v>
      </c>
      <c r="Q441" s="9">
        <f>90.82</f>
        <v>90.82</v>
      </c>
    </row>
    <row r="442" spans="1:17" ht="45" customHeight="1" x14ac:dyDescent="0.25">
      <c r="A442" s="4" t="s">
        <v>20</v>
      </c>
      <c r="B442" s="5" t="s">
        <v>1064</v>
      </c>
      <c r="C442" s="4" t="s">
        <v>29</v>
      </c>
      <c r="D442" s="4" t="s">
        <v>120</v>
      </c>
      <c r="E442" s="4" t="s">
        <v>121</v>
      </c>
      <c r="F442" s="6">
        <f>28</f>
        <v>28</v>
      </c>
      <c r="G442" s="4" t="s">
        <v>46</v>
      </c>
      <c r="H442" s="7">
        <v>3.34</v>
      </c>
      <c r="I442" s="7">
        <v>3.34</v>
      </c>
      <c r="J442" s="8" t="s">
        <v>122</v>
      </c>
      <c r="K442" s="9">
        <f>3.98</f>
        <v>3.98</v>
      </c>
      <c r="L442" s="9">
        <f>111.44</f>
        <v>111.44</v>
      </c>
      <c r="M442" s="4"/>
      <c r="N442" s="10">
        <v>1</v>
      </c>
      <c r="O442" s="4" t="s">
        <v>27</v>
      </c>
      <c r="P442" s="11">
        <v>28</v>
      </c>
      <c r="Q442" s="9">
        <f>111.44</f>
        <v>111.44</v>
      </c>
    </row>
    <row r="443" spans="1:17" ht="45" customHeight="1" x14ac:dyDescent="0.25">
      <c r="A443" s="4" t="s">
        <v>20</v>
      </c>
      <c r="B443" s="5" t="s">
        <v>1065</v>
      </c>
      <c r="C443" s="4" t="s">
        <v>29</v>
      </c>
      <c r="D443" s="4" t="s">
        <v>396</v>
      </c>
      <c r="E443" s="4" t="s">
        <v>397</v>
      </c>
      <c r="F443" s="6">
        <f>11</f>
        <v>11</v>
      </c>
      <c r="G443" s="4" t="s">
        <v>46</v>
      </c>
      <c r="H443" s="7">
        <v>5.33</v>
      </c>
      <c r="I443" s="7">
        <v>5.33</v>
      </c>
      <c r="J443" s="8" t="s">
        <v>122</v>
      </c>
      <c r="K443" s="9">
        <f>6.35</f>
        <v>6.35</v>
      </c>
      <c r="L443" s="9">
        <f>69.85</f>
        <v>69.849999999999994</v>
      </c>
      <c r="M443" s="4"/>
      <c r="N443" s="10">
        <v>1</v>
      </c>
      <c r="O443" s="4" t="s">
        <v>27</v>
      </c>
      <c r="P443" s="11">
        <v>11</v>
      </c>
      <c r="Q443" s="9">
        <f>69.85</f>
        <v>69.849999999999994</v>
      </c>
    </row>
    <row r="444" spans="1:17" ht="45" customHeight="1" x14ac:dyDescent="0.25">
      <c r="A444" s="4" t="s">
        <v>20</v>
      </c>
      <c r="B444" s="5" t="s">
        <v>1066</v>
      </c>
      <c r="C444" s="4" t="s">
        <v>29</v>
      </c>
      <c r="D444" s="4" t="s">
        <v>133</v>
      </c>
      <c r="E444" s="4" t="s">
        <v>134</v>
      </c>
      <c r="F444" s="6">
        <f>2</f>
        <v>2</v>
      </c>
      <c r="G444" s="4" t="s">
        <v>46</v>
      </c>
      <c r="H444" s="7">
        <v>288.58999999999997</v>
      </c>
      <c r="I444" s="7">
        <v>288.58999999999997</v>
      </c>
      <c r="J444" s="8" t="s">
        <v>122</v>
      </c>
      <c r="K444" s="9">
        <f>343.57</f>
        <v>343.57</v>
      </c>
      <c r="L444" s="9">
        <f>687.14</f>
        <v>687.14</v>
      </c>
      <c r="M444" s="4"/>
      <c r="N444" s="10">
        <v>1</v>
      </c>
      <c r="O444" s="4" t="s">
        <v>27</v>
      </c>
      <c r="P444" s="11">
        <v>2</v>
      </c>
      <c r="Q444" s="9">
        <f>687.14</f>
        <v>687.14</v>
      </c>
    </row>
    <row r="445" spans="1:17" ht="45" customHeight="1" x14ac:dyDescent="0.25">
      <c r="A445" s="4" t="s">
        <v>20</v>
      </c>
      <c r="B445" s="5" t="s">
        <v>1067</v>
      </c>
      <c r="C445" s="4" t="s">
        <v>29</v>
      </c>
      <c r="D445" s="4" t="s">
        <v>1068</v>
      </c>
      <c r="E445" s="4" t="s">
        <v>1069</v>
      </c>
      <c r="F445" s="6">
        <f>2</f>
        <v>2</v>
      </c>
      <c r="G445" s="4" t="s">
        <v>46</v>
      </c>
      <c r="H445" s="7">
        <v>552.55999999999995</v>
      </c>
      <c r="I445" s="7">
        <v>552.55999999999995</v>
      </c>
      <c r="J445" s="8" t="s">
        <v>122</v>
      </c>
      <c r="K445" s="9">
        <f>657.82</f>
        <v>657.82</v>
      </c>
      <c r="L445" s="9">
        <f>1315.64</f>
        <v>1315.64</v>
      </c>
      <c r="M445" s="4"/>
      <c r="N445" s="10">
        <v>1</v>
      </c>
      <c r="O445" s="4" t="s">
        <v>27</v>
      </c>
      <c r="P445" s="11">
        <v>2</v>
      </c>
      <c r="Q445" s="9">
        <f>1315.64</f>
        <v>1315.64</v>
      </c>
    </row>
    <row r="446" spans="1:17" ht="45" customHeight="1" x14ac:dyDescent="0.25">
      <c r="A446" s="4" t="s">
        <v>20</v>
      </c>
      <c r="B446" s="5" t="s">
        <v>1070</v>
      </c>
      <c r="C446" s="4" t="s">
        <v>29</v>
      </c>
      <c r="D446" s="4" t="s">
        <v>1071</v>
      </c>
      <c r="E446" s="4" t="s">
        <v>1072</v>
      </c>
      <c r="F446" s="6">
        <f>3</f>
        <v>3</v>
      </c>
      <c r="G446" s="4" t="s">
        <v>46</v>
      </c>
      <c r="H446" s="7">
        <v>214.64</v>
      </c>
      <c r="I446" s="7">
        <v>214.64</v>
      </c>
      <c r="J446" s="8" t="s">
        <v>122</v>
      </c>
      <c r="K446" s="9">
        <f>255.53</f>
        <v>255.53</v>
      </c>
      <c r="L446" s="9">
        <f>766.59</f>
        <v>766.59</v>
      </c>
      <c r="M446" s="4"/>
      <c r="N446" s="10">
        <v>1</v>
      </c>
      <c r="O446" s="4" t="s">
        <v>27</v>
      </c>
      <c r="P446" s="11">
        <v>3</v>
      </c>
      <c r="Q446" s="9">
        <f>766.59</f>
        <v>766.59</v>
      </c>
    </row>
    <row r="447" spans="1:17" ht="45" customHeight="1" x14ac:dyDescent="0.25">
      <c r="A447" s="4" t="s">
        <v>20</v>
      </c>
      <c r="B447" s="5" t="s">
        <v>1073</v>
      </c>
      <c r="C447" s="4" t="s">
        <v>29</v>
      </c>
      <c r="D447" s="4" t="s">
        <v>1074</v>
      </c>
      <c r="E447" s="4" t="s">
        <v>1075</v>
      </c>
      <c r="F447" s="6">
        <f>1</f>
        <v>1</v>
      </c>
      <c r="G447" s="4" t="s">
        <v>46</v>
      </c>
      <c r="H447" s="7">
        <v>382.72</v>
      </c>
      <c r="I447" s="7">
        <v>382.72</v>
      </c>
      <c r="J447" s="8" t="s">
        <v>122</v>
      </c>
      <c r="K447" s="9">
        <f>455.63</f>
        <v>455.63</v>
      </c>
      <c r="L447" s="9">
        <f>455.63</f>
        <v>455.63</v>
      </c>
      <c r="M447" s="4"/>
      <c r="N447" s="10">
        <v>1</v>
      </c>
      <c r="O447" s="4" t="s">
        <v>27</v>
      </c>
      <c r="P447" s="11">
        <v>1</v>
      </c>
      <c r="Q447" s="9">
        <f>455.63</f>
        <v>455.63</v>
      </c>
    </row>
    <row r="448" spans="1:17" ht="45" customHeight="1" x14ac:dyDescent="0.25">
      <c r="A448" s="4" t="s">
        <v>20</v>
      </c>
      <c r="B448" s="5" t="s">
        <v>1076</v>
      </c>
      <c r="C448" s="4" t="s">
        <v>29</v>
      </c>
      <c r="D448" s="4" t="s">
        <v>411</v>
      </c>
      <c r="E448" s="4" t="s">
        <v>412</v>
      </c>
      <c r="F448" s="6">
        <f>5</f>
        <v>5</v>
      </c>
      <c r="G448" s="4" t="s">
        <v>46</v>
      </c>
      <c r="H448" s="7">
        <v>222.22</v>
      </c>
      <c r="I448" s="7">
        <v>222.22</v>
      </c>
      <c r="J448" s="8" t="s">
        <v>122</v>
      </c>
      <c r="K448" s="9">
        <f>264.55</f>
        <v>264.55</v>
      </c>
      <c r="L448" s="9">
        <f>1322.75</f>
        <v>1322.75</v>
      </c>
      <c r="M448" s="4"/>
      <c r="N448" s="10">
        <v>1</v>
      </c>
      <c r="O448" s="4" t="s">
        <v>27</v>
      </c>
      <c r="P448" s="11">
        <v>5</v>
      </c>
      <c r="Q448" s="9">
        <f>1322.75</f>
        <v>1322.75</v>
      </c>
    </row>
    <row r="449" spans="1:17" ht="45" customHeight="1" x14ac:dyDescent="0.25">
      <c r="A449" s="4" t="s">
        <v>20</v>
      </c>
      <c r="B449" s="5" t="s">
        <v>1077</v>
      </c>
      <c r="C449" s="4" t="s">
        <v>29</v>
      </c>
      <c r="D449" s="4" t="s">
        <v>1078</v>
      </c>
      <c r="E449" s="4" t="s">
        <v>1079</v>
      </c>
      <c r="F449" s="6">
        <f>2</f>
        <v>2</v>
      </c>
      <c r="G449" s="4" t="s">
        <v>46</v>
      </c>
      <c r="H449" s="7">
        <v>353.1</v>
      </c>
      <c r="I449" s="7">
        <v>353.1</v>
      </c>
      <c r="J449" s="8" t="s">
        <v>122</v>
      </c>
      <c r="K449" s="9">
        <f>420.37</f>
        <v>420.37</v>
      </c>
      <c r="L449" s="9">
        <f>840.74</f>
        <v>840.74</v>
      </c>
      <c r="M449" s="4"/>
      <c r="N449" s="10">
        <v>1</v>
      </c>
      <c r="O449" s="4" t="s">
        <v>27</v>
      </c>
      <c r="P449" s="11">
        <v>2</v>
      </c>
      <c r="Q449" s="9">
        <f>840.74</f>
        <v>840.74</v>
      </c>
    </row>
    <row r="450" spans="1:17" ht="45" customHeight="1" x14ac:dyDescent="0.25">
      <c r="A450" s="4" t="s">
        <v>20</v>
      </c>
      <c r="B450" s="5" t="s">
        <v>1080</v>
      </c>
      <c r="C450" s="4" t="s">
        <v>29</v>
      </c>
      <c r="D450" s="4" t="s">
        <v>1081</v>
      </c>
      <c r="E450" s="4" t="s">
        <v>1082</v>
      </c>
      <c r="F450" s="6">
        <f>3</f>
        <v>3</v>
      </c>
      <c r="G450" s="4" t="s">
        <v>46</v>
      </c>
      <c r="H450" s="7">
        <v>325.60000000000002</v>
      </c>
      <c r="I450" s="7">
        <v>325.60000000000002</v>
      </c>
      <c r="J450" s="8" t="s">
        <v>122</v>
      </c>
      <c r="K450" s="9">
        <f>387.63</f>
        <v>387.63</v>
      </c>
      <c r="L450" s="9">
        <f>1162.89</f>
        <v>1162.8900000000001</v>
      </c>
      <c r="M450" s="4"/>
      <c r="N450" s="10">
        <v>1</v>
      </c>
      <c r="O450" s="4" t="s">
        <v>27</v>
      </c>
      <c r="P450" s="11">
        <v>3</v>
      </c>
      <c r="Q450" s="9">
        <f>1162.89</f>
        <v>1162.8900000000001</v>
      </c>
    </row>
    <row r="451" spans="1:17" ht="45" customHeight="1" x14ac:dyDescent="0.25">
      <c r="A451" s="4" t="s">
        <v>20</v>
      </c>
      <c r="B451" s="5" t="s">
        <v>1083</v>
      </c>
      <c r="C451" s="4" t="s">
        <v>29</v>
      </c>
      <c r="D451" s="4" t="s">
        <v>1084</v>
      </c>
      <c r="E451" s="4" t="s">
        <v>1085</v>
      </c>
      <c r="F451" s="6">
        <f>1</f>
        <v>1</v>
      </c>
      <c r="G451" s="4" t="s">
        <v>46</v>
      </c>
      <c r="H451" s="7">
        <v>515.11</v>
      </c>
      <c r="I451" s="7">
        <v>515.11</v>
      </c>
      <c r="J451" s="8" t="s">
        <v>122</v>
      </c>
      <c r="K451" s="9">
        <f>613.24</f>
        <v>613.24</v>
      </c>
      <c r="L451" s="9">
        <f>613.24</f>
        <v>613.24</v>
      </c>
      <c r="M451" s="4"/>
      <c r="N451" s="10">
        <v>1</v>
      </c>
      <c r="O451" s="4" t="s">
        <v>27</v>
      </c>
      <c r="P451" s="11">
        <v>1</v>
      </c>
      <c r="Q451" s="9">
        <f>613.24</f>
        <v>613.24</v>
      </c>
    </row>
    <row r="452" spans="1:17" ht="45" customHeight="1" x14ac:dyDescent="0.25">
      <c r="A452" s="4" t="s">
        <v>20</v>
      </c>
      <c r="B452" s="5" t="s">
        <v>1086</v>
      </c>
      <c r="C452" s="4" t="s">
        <v>29</v>
      </c>
      <c r="D452" s="4" t="s">
        <v>424</v>
      </c>
      <c r="E452" s="4" t="s">
        <v>425</v>
      </c>
      <c r="F452" s="6">
        <f>1</f>
        <v>1</v>
      </c>
      <c r="G452" s="4" t="s">
        <v>46</v>
      </c>
      <c r="H452" s="7">
        <v>340.5</v>
      </c>
      <c r="I452" s="7">
        <v>340.5</v>
      </c>
      <c r="J452" s="8" t="s">
        <v>122</v>
      </c>
      <c r="K452" s="9">
        <f>405.37</f>
        <v>405.37</v>
      </c>
      <c r="L452" s="9">
        <f>405.37</f>
        <v>405.37</v>
      </c>
      <c r="M452" s="4"/>
      <c r="N452" s="10">
        <v>1</v>
      </c>
      <c r="O452" s="4" t="s">
        <v>27</v>
      </c>
      <c r="P452" s="11">
        <v>1</v>
      </c>
      <c r="Q452" s="9">
        <f>405.37</f>
        <v>405.37</v>
      </c>
    </row>
    <row r="453" spans="1:17" ht="45" customHeight="1" x14ac:dyDescent="0.25">
      <c r="A453" s="4" t="s">
        <v>20</v>
      </c>
      <c r="B453" s="5" t="s">
        <v>1087</v>
      </c>
      <c r="C453" s="4" t="s">
        <v>29</v>
      </c>
      <c r="D453" s="4" t="s">
        <v>1088</v>
      </c>
      <c r="E453" s="4" t="s">
        <v>1089</v>
      </c>
      <c r="F453" s="6">
        <f>1</f>
        <v>1</v>
      </c>
      <c r="G453" s="4" t="s">
        <v>46</v>
      </c>
      <c r="H453" s="7">
        <v>368.55</v>
      </c>
      <c r="I453" s="7">
        <v>368.55</v>
      </c>
      <c r="J453" s="8" t="s">
        <v>122</v>
      </c>
      <c r="K453" s="9">
        <f>438.76</f>
        <v>438.76</v>
      </c>
      <c r="L453" s="9">
        <f>438.76</f>
        <v>438.76</v>
      </c>
      <c r="M453" s="4"/>
      <c r="N453" s="10">
        <v>1</v>
      </c>
      <c r="O453" s="4" t="s">
        <v>27</v>
      </c>
      <c r="P453" s="11">
        <v>1</v>
      </c>
      <c r="Q453" s="9">
        <f>438.76</f>
        <v>438.76</v>
      </c>
    </row>
    <row r="454" spans="1:17" ht="45" customHeight="1" x14ac:dyDescent="0.25">
      <c r="A454" s="4" t="s">
        <v>20</v>
      </c>
      <c r="B454" s="5" t="s">
        <v>1090</v>
      </c>
      <c r="C454" s="4" t="s">
        <v>29</v>
      </c>
      <c r="D454" s="4" t="s">
        <v>151</v>
      </c>
      <c r="E454" s="4" t="s">
        <v>152</v>
      </c>
      <c r="F454" s="6">
        <f>88</f>
        <v>88</v>
      </c>
      <c r="G454" s="4" t="s">
        <v>46</v>
      </c>
      <c r="H454" s="7">
        <v>9.17</v>
      </c>
      <c r="I454" s="7">
        <v>9.17</v>
      </c>
      <c r="J454" s="8" t="s">
        <v>122</v>
      </c>
      <c r="K454" s="9">
        <f>10.92</f>
        <v>10.92</v>
      </c>
      <c r="L454" s="9">
        <f>960.96</f>
        <v>960.96</v>
      </c>
      <c r="M454" s="4"/>
      <c r="N454" s="10">
        <v>1</v>
      </c>
      <c r="O454" s="4" t="s">
        <v>27</v>
      </c>
      <c r="P454" s="11">
        <v>88</v>
      </c>
      <c r="Q454" s="9">
        <f>960.96</f>
        <v>960.96</v>
      </c>
    </row>
    <row r="455" spans="1:17" ht="45" customHeight="1" x14ac:dyDescent="0.25">
      <c r="A455" s="4" t="s">
        <v>20</v>
      </c>
      <c r="B455" s="5" t="s">
        <v>1091</v>
      </c>
      <c r="C455" s="4" t="s">
        <v>29</v>
      </c>
      <c r="D455" s="4" t="s">
        <v>154</v>
      </c>
      <c r="E455" s="4" t="s">
        <v>155</v>
      </c>
      <c r="F455" s="6">
        <f>224</f>
        <v>224</v>
      </c>
      <c r="G455" s="4" t="s">
        <v>46</v>
      </c>
      <c r="H455" s="7">
        <v>3.77</v>
      </c>
      <c r="I455" s="7">
        <v>3.77</v>
      </c>
      <c r="J455" s="8" t="s">
        <v>122</v>
      </c>
      <c r="K455" s="9">
        <f>4.49</f>
        <v>4.49</v>
      </c>
      <c r="L455" s="9">
        <f>1005.76</f>
        <v>1005.76</v>
      </c>
      <c r="M455" s="4"/>
      <c r="N455" s="10">
        <v>1</v>
      </c>
      <c r="O455" s="4" t="s">
        <v>27</v>
      </c>
      <c r="P455" s="11">
        <v>224</v>
      </c>
      <c r="Q455" s="9">
        <f>1005.76</f>
        <v>1005.76</v>
      </c>
    </row>
    <row r="456" spans="1:17" ht="45" customHeight="1" x14ac:dyDescent="0.25">
      <c r="A456" s="4" t="s">
        <v>20</v>
      </c>
      <c r="B456" s="5" t="s">
        <v>1092</v>
      </c>
      <c r="C456" s="4" t="s">
        <v>29</v>
      </c>
      <c r="D456" s="4" t="s">
        <v>166</v>
      </c>
      <c r="E456" s="4" t="s">
        <v>167</v>
      </c>
      <c r="F456" s="6">
        <f>2</f>
        <v>2</v>
      </c>
      <c r="G456" s="4" t="s">
        <v>46</v>
      </c>
      <c r="H456" s="7">
        <v>791.97</v>
      </c>
      <c r="I456" s="7">
        <v>791.97</v>
      </c>
      <c r="J456" s="8" t="s">
        <v>122</v>
      </c>
      <c r="K456" s="9">
        <f>942.84</f>
        <v>942.84</v>
      </c>
      <c r="L456" s="9">
        <f>1885.68</f>
        <v>1885.68</v>
      </c>
      <c r="M456" s="4"/>
      <c r="N456" s="10">
        <v>1</v>
      </c>
      <c r="O456" s="4" t="s">
        <v>27</v>
      </c>
      <c r="P456" s="11">
        <v>2</v>
      </c>
      <c r="Q456" s="9">
        <f>1885.68</f>
        <v>1885.68</v>
      </c>
    </row>
    <row r="457" spans="1:17" ht="45" customHeight="1" x14ac:dyDescent="0.25">
      <c r="A457" s="4" t="s">
        <v>20</v>
      </c>
      <c r="B457" s="5" t="s">
        <v>1093</v>
      </c>
      <c r="C457" s="4" t="s">
        <v>196</v>
      </c>
      <c r="D457" s="4" t="s">
        <v>897</v>
      </c>
      <c r="E457" s="4" t="s">
        <v>1094</v>
      </c>
      <c r="F457" s="6">
        <f>1</f>
        <v>1</v>
      </c>
      <c r="G457" s="4" t="s">
        <v>46</v>
      </c>
      <c r="H457" s="7">
        <v>182505</v>
      </c>
      <c r="I457" s="7">
        <v>182505</v>
      </c>
      <c r="J457" s="8" t="s">
        <v>122</v>
      </c>
      <c r="K457" s="9">
        <f>217272.2</f>
        <v>217272.2</v>
      </c>
      <c r="L457" s="9">
        <f>217272.2</f>
        <v>217272.2</v>
      </c>
      <c r="M457" s="4"/>
      <c r="N457" s="10">
        <v>1</v>
      </c>
      <c r="O457" s="4" t="s">
        <v>27</v>
      </c>
      <c r="P457" s="11">
        <v>1</v>
      </c>
      <c r="Q457" s="9">
        <f>217272.2</f>
        <v>217272.2</v>
      </c>
    </row>
    <row r="458" spans="1:17" ht="45" customHeight="1" x14ac:dyDescent="0.25">
      <c r="A458" s="4" t="s">
        <v>20</v>
      </c>
      <c r="B458" s="5" t="s">
        <v>1095</v>
      </c>
      <c r="C458" s="4" t="s">
        <v>29</v>
      </c>
      <c r="D458" s="4" t="s">
        <v>1096</v>
      </c>
      <c r="E458" s="4" t="s">
        <v>1097</v>
      </c>
      <c r="F458" s="6">
        <f>3</f>
        <v>3</v>
      </c>
      <c r="G458" s="4" t="s">
        <v>46</v>
      </c>
      <c r="H458" s="7">
        <v>1079.01</v>
      </c>
      <c r="I458" s="7">
        <v>1079.01</v>
      </c>
      <c r="J458" s="8" t="s">
        <v>122</v>
      </c>
      <c r="K458" s="9">
        <f>1284.56</f>
        <v>1284.56</v>
      </c>
      <c r="L458" s="9">
        <f>3853.68</f>
        <v>3853.68</v>
      </c>
      <c r="M458" s="4"/>
      <c r="N458" s="10">
        <v>1</v>
      </c>
      <c r="O458" s="4" t="s">
        <v>27</v>
      </c>
      <c r="P458" s="11">
        <v>3</v>
      </c>
      <c r="Q458" s="9">
        <f>3853.68</f>
        <v>3853.68</v>
      </c>
    </row>
    <row r="459" spans="1:17" ht="45" customHeight="1" x14ac:dyDescent="0.25">
      <c r="A459" s="4" t="s">
        <v>20</v>
      </c>
      <c r="B459" s="5" t="s">
        <v>1098</v>
      </c>
      <c r="C459" s="4" t="s">
        <v>29</v>
      </c>
      <c r="D459" s="4" t="s">
        <v>1099</v>
      </c>
      <c r="E459" s="4" t="s">
        <v>1100</v>
      </c>
      <c r="F459" s="6">
        <f>3</f>
        <v>3</v>
      </c>
      <c r="G459" s="4" t="s">
        <v>46</v>
      </c>
      <c r="H459" s="7">
        <v>2889.03</v>
      </c>
      <c r="I459" s="7">
        <v>2889.03</v>
      </c>
      <c r="J459" s="8" t="s">
        <v>122</v>
      </c>
      <c r="K459" s="9">
        <f>3439.39</f>
        <v>3439.39</v>
      </c>
      <c r="L459" s="9">
        <f>10318.17</f>
        <v>10318.17</v>
      </c>
      <c r="M459" s="4"/>
      <c r="N459" s="10">
        <v>1</v>
      </c>
      <c r="O459" s="4" t="s">
        <v>27</v>
      </c>
      <c r="P459" s="11">
        <v>3</v>
      </c>
      <c r="Q459" s="9">
        <f>10318.17</f>
        <v>10318.17</v>
      </c>
    </row>
    <row r="460" spans="1:17" ht="45" customHeight="1" x14ac:dyDescent="0.25">
      <c r="A460" s="4" t="s">
        <v>20</v>
      </c>
      <c r="B460" s="5" t="s">
        <v>1101</v>
      </c>
      <c r="C460" s="4" t="s">
        <v>29</v>
      </c>
      <c r="D460" s="4" t="s">
        <v>1102</v>
      </c>
      <c r="E460" s="4" t="s">
        <v>1103</v>
      </c>
      <c r="F460" s="6">
        <f>1</f>
        <v>1</v>
      </c>
      <c r="G460" s="4" t="s">
        <v>46</v>
      </c>
      <c r="H460" s="7">
        <v>2669.41</v>
      </c>
      <c r="I460" s="7">
        <v>2669.41</v>
      </c>
      <c r="J460" s="8" t="s">
        <v>122</v>
      </c>
      <c r="K460" s="9">
        <f>3177.93</f>
        <v>3177.93</v>
      </c>
      <c r="L460" s="9">
        <f>3177.93</f>
        <v>3177.93</v>
      </c>
      <c r="M460" s="4"/>
      <c r="N460" s="10">
        <v>1</v>
      </c>
      <c r="O460" s="4" t="s">
        <v>27</v>
      </c>
      <c r="P460" s="11">
        <v>1</v>
      </c>
      <c r="Q460" s="9">
        <f>3177.93</f>
        <v>3177.93</v>
      </c>
    </row>
    <row r="461" spans="1:17" ht="45" customHeight="1" x14ac:dyDescent="0.25">
      <c r="A461" s="4" t="s">
        <v>20</v>
      </c>
      <c r="B461" s="5" t="s">
        <v>1104</v>
      </c>
      <c r="C461" s="4" t="s">
        <v>29</v>
      </c>
      <c r="D461" s="4" t="s">
        <v>1105</v>
      </c>
      <c r="E461" s="4" t="s">
        <v>1106</v>
      </c>
      <c r="F461" s="6">
        <f>1</f>
        <v>1</v>
      </c>
      <c r="G461" s="4" t="s">
        <v>46</v>
      </c>
      <c r="H461" s="7">
        <v>3598.68</v>
      </c>
      <c r="I461" s="7">
        <v>3598.68</v>
      </c>
      <c r="J461" s="8" t="s">
        <v>122</v>
      </c>
      <c r="K461" s="9">
        <f>4284.23</f>
        <v>4284.2299999999996</v>
      </c>
      <c r="L461" s="9">
        <f>4284.23</f>
        <v>4284.2299999999996</v>
      </c>
      <c r="M461" s="4"/>
      <c r="N461" s="10">
        <v>1</v>
      </c>
      <c r="O461" s="4" t="s">
        <v>27</v>
      </c>
      <c r="P461" s="11">
        <v>1</v>
      </c>
      <c r="Q461" s="9">
        <f>4284.23</f>
        <v>4284.2299999999996</v>
      </c>
    </row>
    <row r="462" spans="1:17" ht="45" customHeight="1" x14ac:dyDescent="0.25">
      <c r="A462" s="4" t="s">
        <v>20</v>
      </c>
      <c r="B462" s="5" t="s">
        <v>1107</v>
      </c>
      <c r="C462" s="4" t="s">
        <v>29</v>
      </c>
      <c r="D462" s="4" t="s">
        <v>1108</v>
      </c>
      <c r="E462" s="4" t="s">
        <v>1109</v>
      </c>
      <c r="F462" s="6">
        <f>2</f>
        <v>2</v>
      </c>
      <c r="G462" s="4" t="s">
        <v>46</v>
      </c>
      <c r="H462" s="7">
        <v>2693.19</v>
      </c>
      <c r="I462" s="7">
        <v>2693.19</v>
      </c>
      <c r="J462" s="8" t="s">
        <v>122</v>
      </c>
      <c r="K462" s="9">
        <f>3206.24</f>
        <v>3206.24</v>
      </c>
      <c r="L462" s="9">
        <f>6412.48</f>
        <v>6412.48</v>
      </c>
      <c r="M462" s="4"/>
      <c r="N462" s="10">
        <v>1</v>
      </c>
      <c r="O462" s="4" t="s">
        <v>27</v>
      </c>
      <c r="P462" s="11">
        <v>2</v>
      </c>
      <c r="Q462" s="9">
        <f>6412.48</f>
        <v>6412.48</v>
      </c>
    </row>
    <row r="463" spans="1:17" ht="45" customHeight="1" x14ac:dyDescent="0.25">
      <c r="A463" s="4" t="s">
        <v>20</v>
      </c>
      <c r="B463" s="5" t="s">
        <v>1110</v>
      </c>
      <c r="C463" s="4" t="s">
        <v>29</v>
      </c>
      <c r="D463" s="4" t="s">
        <v>1108</v>
      </c>
      <c r="E463" s="4" t="s">
        <v>1109</v>
      </c>
      <c r="F463" s="6">
        <f>1</f>
        <v>1</v>
      </c>
      <c r="G463" s="4" t="s">
        <v>46</v>
      </c>
      <c r="H463" s="7">
        <v>2693.19</v>
      </c>
      <c r="I463" s="7">
        <v>2693.19</v>
      </c>
      <c r="J463" s="8" t="s">
        <v>122</v>
      </c>
      <c r="K463" s="9">
        <f>3206.24</f>
        <v>3206.24</v>
      </c>
      <c r="L463" s="9">
        <f>3206.24</f>
        <v>3206.24</v>
      </c>
      <c r="M463" s="4"/>
      <c r="N463" s="10">
        <v>1</v>
      </c>
      <c r="O463" s="4" t="s">
        <v>27</v>
      </c>
      <c r="P463" s="11">
        <v>1</v>
      </c>
      <c r="Q463" s="9">
        <f>3206.24</f>
        <v>3206.24</v>
      </c>
    </row>
    <row r="464" spans="1:17" ht="45" customHeight="1" x14ac:dyDescent="0.25">
      <c r="A464" s="4" t="s">
        <v>20</v>
      </c>
      <c r="B464" s="5" t="s">
        <v>1111</v>
      </c>
      <c r="C464" s="4" t="s">
        <v>29</v>
      </c>
      <c r="D464" s="4" t="s">
        <v>1108</v>
      </c>
      <c r="E464" s="4" t="s">
        <v>1109</v>
      </c>
      <c r="F464" s="6">
        <f>1</f>
        <v>1</v>
      </c>
      <c r="G464" s="4" t="s">
        <v>46</v>
      </c>
      <c r="H464" s="7">
        <v>2693.19</v>
      </c>
      <c r="I464" s="7">
        <v>2693.19</v>
      </c>
      <c r="J464" s="8" t="s">
        <v>122</v>
      </c>
      <c r="K464" s="9">
        <f>3206.24</f>
        <v>3206.24</v>
      </c>
      <c r="L464" s="9">
        <f>3206.24</f>
        <v>3206.24</v>
      </c>
      <c r="M464" s="4"/>
      <c r="N464" s="10">
        <v>1</v>
      </c>
      <c r="O464" s="4" t="s">
        <v>27</v>
      </c>
      <c r="P464" s="11">
        <v>1</v>
      </c>
      <c r="Q464" s="9">
        <f>3206.24</f>
        <v>3206.24</v>
      </c>
    </row>
    <row r="465" spans="1:17" ht="45" customHeight="1" x14ac:dyDescent="0.25">
      <c r="A465" s="4" t="s">
        <v>20</v>
      </c>
      <c r="B465" s="5" t="s">
        <v>1112</v>
      </c>
      <c r="C465" s="4" t="s">
        <v>29</v>
      </c>
      <c r="D465" s="4" t="s">
        <v>1113</v>
      </c>
      <c r="E465" s="4" t="s">
        <v>1114</v>
      </c>
      <c r="F465" s="6">
        <f>3</f>
        <v>3</v>
      </c>
      <c r="G465" s="4" t="s">
        <v>46</v>
      </c>
      <c r="H465" s="7">
        <v>3413.56</v>
      </c>
      <c r="I465" s="7">
        <v>3413.56</v>
      </c>
      <c r="J465" s="8" t="s">
        <v>122</v>
      </c>
      <c r="K465" s="9">
        <f>4063.84</f>
        <v>4063.84</v>
      </c>
      <c r="L465" s="9">
        <f>12191.52</f>
        <v>12191.52</v>
      </c>
      <c r="M465" s="4"/>
      <c r="N465" s="10">
        <v>1</v>
      </c>
      <c r="O465" s="4" t="s">
        <v>27</v>
      </c>
      <c r="P465" s="11">
        <v>3</v>
      </c>
      <c r="Q465" s="9">
        <f>12191.52</f>
        <v>12191.52</v>
      </c>
    </row>
    <row r="466" spans="1:17" ht="45" customHeight="1" x14ac:dyDescent="0.25">
      <c r="A466" s="4" t="s">
        <v>20</v>
      </c>
      <c r="B466" s="5" t="s">
        <v>1115</v>
      </c>
      <c r="C466" s="4" t="s">
        <v>29</v>
      </c>
      <c r="D466" s="4" t="s">
        <v>1116</v>
      </c>
      <c r="E466" s="4" t="s">
        <v>1117</v>
      </c>
      <c r="F466" s="6">
        <f>1</f>
        <v>1</v>
      </c>
      <c r="G466" s="4" t="s">
        <v>46</v>
      </c>
      <c r="H466" s="7">
        <v>2952.62</v>
      </c>
      <c r="I466" s="7">
        <v>2952.62</v>
      </c>
      <c r="J466" s="8" t="s">
        <v>122</v>
      </c>
      <c r="K466" s="9">
        <f>3515.09</f>
        <v>3515.09</v>
      </c>
      <c r="L466" s="9">
        <f>3515.09</f>
        <v>3515.09</v>
      </c>
      <c r="M466" s="4"/>
      <c r="N466" s="10">
        <v>1</v>
      </c>
      <c r="O466" s="4" t="s">
        <v>27</v>
      </c>
      <c r="P466" s="11">
        <v>1</v>
      </c>
      <c r="Q466" s="9">
        <f>3515.09</f>
        <v>3515.09</v>
      </c>
    </row>
    <row r="467" spans="1:17" ht="45" customHeight="1" x14ac:dyDescent="0.25">
      <c r="A467" s="4" t="s">
        <v>20</v>
      </c>
      <c r="B467" s="5" t="s">
        <v>1118</v>
      </c>
      <c r="C467" s="4" t="s">
        <v>29</v>
      </c>
      <c r="D467" s="4" t="s">
        <v>1119</v>
      </c>
      <c r="E467" s="4" t="s">
        <v>1120</v>
      </c>
      <c r="F467" s="6">
        <f>1</f>
        <v>1</v>
      </c>
      <c r="G467" s="4" t="s">
        <v>46</v>
      </c>
      <c r="H467" s="7">
        <v>4169.74</v>
      </c>
      <c r="I467" s="7">
        <v>4169.74</v>
      </c>
      <c r="J467" s="8" t="s">
        <v>122</v>
      </c>
      <c r="K467" s="9">
        <f>4964.08</f>
        <v>4964.08</v>
      </c>
      <c r="L467" s="9">
        <f>4964.08</f>
        <v>4964.08</v>
      </c>
      <c r="M467" s="4"/>
      <c r="N467" s="10">
        <v>1</v>
      </c>
      <c r="O467" s="4" t="s">
        <v>27</v>
      </c>
      <c r="P467" s="11">
        <v>1</v>
      </c>
      <c r="Q467" s="9">
        <f>4964.08</f>
        <v>4964.08</v>
      </c>
    </row>
    <row r="468" spans="1:17" ht="45" customHeight="1" x14ac:dyDescent="0.25">
      <c r="A468" s="4" t="s">
        <v>20</v>
      </c>
      <c r="B468" s="5" t="s">
        <v>1121</v>
      </c>
      <c r="C468" s="4" t="s">
        <v>29</v>
      </c>
      <c r="D468" s="4" t="s">
        <v>1105</v>
      </c>
      <c r="E468" s="4" t="s">
        <v>1106</v>
      </c>
      <c r="F468" s="6">
        <f>1</f>
        <v>1</v>
      </c>
      <c r="G468" s="4" t="s">
        <v>46</v>
      </c>
      <c r="H468" s="7">
        <v>3598.68</v>
      </c>
      <c r="I468" s="7">
        <v>3598.68</v>
      </c>
      <c r="J468" s="8" t="s">
        <v>122</v>
      </c>
      <c r="K468" s="9">
        <f>4284.23</f>
        <v>4284.2299999999996</v>
      </c>
      <c r="L468" s="9">
        <f>4284.23</f>
        <v>4284.2299999999996</v>
      </c>
      <c r="M468" s="4"/>
      <c r="N468" s="10">
        <v>1</v>
      </c>
      <c r="O468" s="4" t="s">
        <v>27</v>
      </c>
      <c r="P468" s="11">
        <v>1</v>
      </c>
      <c r="Q468" s="9">
        <f>4284.23</f>
        <v>4284.2299999999996</v>
      </c>
    </row>
    <row r="469" spans="1:17" ht="45" customHeight="1" x14ac:dyDescent="0.25">
      <c r="A469" s="4" t="s">
        <v>20</v>
      </c>
      <c r="B469" s="5" t="s">
        <v>1122</v>
      </c>
      <c r="C469" s="4" t="s">
        <v>29</v>
      </c>
      <c r="D469" s="4" t="s">
        <v>1123</v>
      </c>
      <c r="E469" s="4" t="s">
        <v>1124</v>
      </c>
      <c r="F469" s="6">
        <f>1</f>
        <v>1</v>
      </c>
      <c r="G469" s="4" t="s">
        <v>46</v>
      </c>
      <c r="H469" s="7">
        <v>1138.68</v>
      </c>
      <c r="I469" s="7">
        <v>1138.68</v>
      </c>
      <c r="J469" s="8" t="s">
        <v>122</v>
      </c>
      <c r="K469" s="9">
        <f>1355.6</f>
        <v>1355.6</v>
      </c>
      <c r="L469" s="9">
        <f>1355.6</f>
        <v>1355.6</v>
      </c>
      <c r="M469" s="4"/>
      <c r="N469" s="10">
        <v>1</v>
      </c>
      <c r="O469" s="4" t="s">
        <v>27</v>
      </c>
      <c r="P469" s="11">
        <v>1</v>
      </c>
      <c r="Q469" s="9">
        <f>1355.6</f>
        <v>1355.6</v>
      </c>
    </row>
    <row r="470" spans="1:17" ht="45" customHeight="1" x14ac:dyDescent="0.25">
      <c r="A470" s="4" t="s">
        <v>20</v>
      </c>
      <c r="B470" s="5" t="s">
        <v>1125</v>
      </c>
      <c r="C470" s="4" t="s">
        <v>29</v>
      </c>
      <c r="D470" s="4" t="s">
        <v>1126</v>
      </c>
      <c r="E470" s="4" t="s">
        <v>1127</v>
      </c>
      <c r="F470" s="6">
        <f>2</f>
        <v>2</v>
      </c>
      <c r="G470" s="4" t="s">
        <v>46</v>
      </c>
      <c r="H470" s="7">
        <v>824.52</v>
      </c>
      <c r="I470" s="7">
        <v>824.52</v>
      </c>
      <c r="J470" s="8" t="s">
        <v>122</v>
      </c>
      <c r="K470" s="9">
        <f>981.59</f>
        <v>981.59</v>
      </c>
      <c r="L470" s="9">
        <f>1963.18</f>
        <v>1963.18</v>
      </c>
      <c r="M470" s="4"/>
      <c r="N470" s="10">
        <v>1</v>
      </c>
      <c r="O470" s="4" t="s">
        <v>27</v>
      </c>
      <c r="P470" s="11">
        <v>2</v>
      </c>
      <c r="Q470" s="9">
        <f>1963.18</f>
        <v>1963.18</v>
      </c>
    </row>
    <row r="471" spans="1:17" ht="45" customHeight="1" x14ac:dyDescent="0.25">
      <c r="A471" s="4" t="s">
        <v>20</v>
      </c>
      <c r="B471" s="5" t="s">
        <v>1128</v>
      </c>
      <c r="C471" s="4" t="s">
        <v>29</v>
      </c>
      <c r="D471" s="4" t="s">
        <v>828</v>
      </c>
      <c r="E471" s="4" t="s">
        <v>829</v>
      </c>
      <c r="F471" s="6">
        <f>0.5</f>
        <v>0.5</v>
      </c>
      <c r="G471" s="4" t="s">
        <v>96</v>
      </c>
      <c r="H471" s="7">
        <v>585.02</v>
      </c>
      <c r="I471" s="7">
        <v>585.02</v>
      </c>
      <c r="J471" s="8" t="s">
        <v>122</v>
      </c>
      <c r="K471" s="9">
        <f>696.47</f>
        <v>696.47</v>
      </c>
      <c r="L471" s="9">
        <f>348.24</f>
        <v>348.24</v>
      </c>
      <c r="M471" s="4"/>
      <c r="N471" s="10">
        <v>1</v>
      </c>
      <c r="O471" s="4" t="s">
        <v>27</v>
      </c>
      <c r="P471" s="11">
        <v>0.5</v>
      </c>
      <c r="Q471" s="9">
        <f>348.24</f>
        <v>348.24</v>
      </c>
    </row>
    <row r="472" spans="1:17" ht="45" customHeight="1" x14ac:dyDescent="0.25">
      <c r="A472" s="4" t="s">
        <v>20</v>
      </c>
      <c r="B472" s="5" t="s">
        <v>1129</v>
      </c>
      <c r="C472" s="4" t="s">
        <v>29</v>
      </c>
      <c r="D472" s="4" t="s">
        <v>1130</v>
      </c>
      <c r="E472" s="4" t="s">
        <v>1131</v>
      </c>
      <c r="F472" s="6">
        <f>0.6</f>
        <v>0.6</v>
      </c>
      <c r="G472" s="4" t="s">
        <v>96</v>
      </c>
      <c r="H472" s="7">
        <v>711.32</v>
      </c>
      <c r="I472" s="7">
        <v>711.32</v>
      </c>
      <c r="J472" s="8" t="s">
        <v>122</v>
      </c>
      <c r="K472" s="9">
        <f>846.83</f>
        <v>846.83</v>
      </c>
      <c r="L472" s="9">
        <f>508.1</f>
        <v>508.1</v>
      </c>
      <c r="M472" s="4"/>
      <c r="N472" s="10">
        <v>1</v>
      </c>
      <c r="O472" s="4" t="s">
        <v>27</v>
      </c>
      <c r="P472" s="11">
        <v>0.6</v>
      </c>
      <c r="Q472" s="9">
        <f>508.1</f>
        <v>508.1</v>
      </c>
    </row>
    <row r="473" spans="1:17" ht="45" customHeight="1" x14ac:dyDescent="0.25">
      <c r="A473" s="4" t="s">
        <v>17</v>
      </c>
      <c r="B473" s="5" t="s">
        <v>389</v>
      </c>
      <c r="C473" s="4"/>
      <c r="D473" s="4"/>
      <c r="E473" s="4" t="s">
        <v>1132</v>
      </c>
      <c r="F473" s="6"/>
      <c r="G473" s="4"/>
      <c r="H473" s="7"/>
      <c r="I473" s="7"/>
      <c r="J473" s="8"/>
      <c r="K473" s="9"/>
      <c r="L473" s="9">
        <f>71291.87</f>
        <v>71291.87</v>
      </c>
      <c r="M473" s="4"/>
      <c r="N473" s="10"/>
      <c r="O473" s="4"/>
      <c r="P473" s="11"/>
      <c r="Q473" s="9"/>
    </row>
    <row r="474" spans="1:17" ht="45" customHeight="1" x14ac:dyDescent="0.25">
      <c r="A474" s="4" t="s">
        <v>20</v>
      </c>
      <c r="B474" s="5" t="s">
        <v>1133</v>
      </c>
      <c r="C474" s="4" t="s">
        <v>63</v>
      </c>
      <c r="D474" s="4" t="s">
        <v>210</v>
      </c>
      <c r="E474" s="4" t="s">
        <v>211</v>
      </c>
      <c r="F474" s="6">
        <f>3</f>
        <v>3</v>
      </c>
      <c r="G474" s="4" t="s">
        <v>75</v>
      </c>
      <c r="H474" s="7">
        <v>82.75</v>
      </c>
      <c r="I474" s="7">
        <v>82.75</v>
      </c>
      <c r="J474" s="8" t="s">
        <v>26</v>
      </c>
      <c r="K474" s="9">
        <f>104.02</f>
        <v>104.02</v>
      </c>
      <c r="L474" s="9">
        <f>312.06</f>
        <v>312.06</v>
      </c>
      <c r="M474" s="4"/>
      <c r="N474" s="10">
        <v>1</v>
      </c>
      <c r="O474" s="4" t="s">
        <v>27</v>
      </c>
      <c r="P474" s="11">
        <v>3</v>
      </c>
      <c r="Q474" s="9">
        <f>312.06</f>
        <v>312.06</v>
      </c>
    </row>
    <row r="475" spans="1:17" ht="45" customHeight="1" x14ac:dyDescent="0.25">
      <c r="A475" s="4" t="s">
        <v>20</v>
      </c>
      <c r="B475" s="5" t="s">
        <v>1134</v>
      </c>
      <c r="C475" s="4" t="s">
        <v>63</v>
      </c>
      <c r="D475" s="4" t="s">
        <v>213</v>
      </c>
      <c r="E475" s="4" t="s">
        <v>214</v>
      </c>
      <c r="F475" s="6">
        <f>51</f>
        <v>51</v>
      </c>
      <c r="G475" s="4" t="s">
        <v>75</v>
      </c>
      <c r="H475" s="7">
        <v>13.66</v>
      </c>
      <c r="I475" s="7">
        <v>13.66</v>
      </c>
      <c r="J475" s="8" t="s">
        <v>26</v>
      </c>
      <c r="K475" s="9">
        <f>17.17</f>
        <v>17.170000000000002</v>
      </c>
      <c r="L475" s="9">
        <f>875.67</f>
        <v>875.67</v>
      </c>
      <c r="M475" s="4"/>
      <c r="N475" s="10">
        <v>1</v>
      </c>
      <c r="O475" s="4" t="s">
        <v>27</v>
      </c>
      <c r="P475" s="11">
        <v>51</v>
      </c>
      <c r="Q475" s="9">
        <f>875.67</f>
        <v>875.67</v>
      </c>
    </row>
    <row r="476" spans="1:17" ht="45" customHeight="1" x14ac:dyDescent="0.25">
      <c r="A476" s="4" t="s">
        <v>20</v>
      </c>
      <c r="B476" s="5" t="s">
        <v>1135</v>
      </c>
      <c r="C476" s="4" t="s">
        <v>29</v>
      </c>
      <c r="D476" s="4" t="s">
        <v>216</v>
      </c>
      <c r="E476" s="4" t="s">
        <v>217</v>
      </c>
      <c r="F476" s="6">
        <f>51</f>
        <v>51</v>
      </c>
      <c r="G476" s="4" t="s">
        <v>75</v>
      </c>
      <c r="H476" s="7">
        <v>35.19</v>
      </c>
      <c r="I476" s="7">
        <v>35.19</v>
      </c>
      <c r="J476" s="8" t="s">
        <v>26</v>
      </c>
      <c r="K476" s="9">
        <f>44.23</f>
        <v>44.23</v>
      </c>
      <c r="L476" s="9">
        <f>2255.73</f>
        <v>2255.73</v>
      </c>
      <c r="M476" s="4"/>
      <c r="N476" s="10">
        <v>1</v>
      </c>
      <c r="O476" s="4" t="s">
        <v>27</v>
      </c>
      <c r="P476" s="11">
        <v>51</v>
      </c>
      <c r="Q476" s="9">
        <f>2255.73</f>
        <v>2255.73</v>
      </c>
    </row>
    <row r="477" spans="1:17" ht="45" customHeight="1" x14ac:dyDescent="0.25">
      <c r="A477" s="4" t="s">
        <v>20</v>
      </c>
      <c r="B477" s="5" t="s">
        <v>1136</v>
      </c>
      <c r="C477" s="4" t="s">
        <v>63</v>
      </c>
      <c r="D477" s="4" t="s">
        <v>219</v>
      </c>
      <c r="E477" s="4" t="s">
        <v>220</v>
      </c>
      <c r="F477" s="6">
        <f>54</f>
        <v>54</v>
      </c>
      <c r="G477" s="4" t="s">
        <v>25</v>
      </c>
      <c r="H477" s="7">
        <v>6.38</v>
      </c>
      <c r="I477" s="7">
        <v>6.38</v>
      </c>
      <c r="J477" s="8" t="s">
        <v>26</v>
      </c>
      <c r="K477" s="9">
        <f>8.02</f>
        <v>8.02</v>
      </c>
      <c r="L477" s="9">
        <f>433.08</f>
        <v>433.08</v>
      </c>
      <c r="M477" s="4"/>
      <c r="N477" s="10">
        <v>1</v>
      </c>
      <c r="O477" s="4" t="s">
        <v>27</v>
      </c>
      <c r="P477" s="11">
        <v>54</v>
      </c>
      <c r="Q477" s="9">
        <f>433.08</f>
        <v>433.08</v>
      </c>
    </row>
    <row r="478" spans="1:17" ht="45" customHeight="1" x14ac:dyDescent="0.25">
      <c r="A478" s="4" t="s">
        <v>20</v>
      </c>
      <c r="B478" s="5" t="s">
        <v>1137</v>
      </c>
      <c r="C478" s="4" t="s">
        <v>63</v>
      </c>
      <c r="D478" s="4" t="s">
        <v>107</v>
      </c>
      <c r="E478" s="4" t="s">
        <v>108</v>
      </c>
      <c r="F478" s="6">
        <f>4</f>
        <v>4</v>
      </c>
      <c r="G478" s="4" t="s">
        <v>75</v>
      </c>
      <c r="H478" s="7">
        <v>8.64</v>
      </c>
      <c r="I478" s="7">
        <v>8.64</v>
      </c>
      <c r="J478" s="8" t="s">
        <v>26</v>
      </c>
      <c r="K478" s="9">
        <f>10.86</f>
        <v>10.86</v>
      </c>
      <c r="L478" s="9">
        <f>43.44</f>
        <v>43.44</v>
      </c>
      <c r="M478" s="4"/>
      <c r="N478" s="10">
        <v>1</v>
      </c>
      <c r="O478" s="4" t="s">
        <v>27</v>
      </c>
      <c r="P478" s="11">
        <v>4</v>
      </c>
      <c r="Q478" s="9">
        <f>43.44</f>
        <v>43.44</v>
      </c>
    </row>
    <row r="479" spans="1:17" ht="45" customHeight="1" x14ac:dyDescent="0.25">
      <c r="A479" s="4" t="s">
        <v>20</v>
      </c>
      <c r="B479" s="5" t="s">
        <v>1138</v>
      </c>
      <c r="C479" s="4" t="s">
        <v>63</v>
      </c>
      <c r="D479" s="4" t="s">
        <v>110</v>
      </c>
      <c r="E479" s="4" t="s">
        <v>111</v>
      </c>
      <c r="F479" s="6">
        <f>16</f>
        <v>16</v>
      </c>
      <c r="G479" s="4" t="s">
        <v>112</v>
      </c>
      <c r="H479" s="7">
        <v>3.31</v>
      </c>
      <c r="I479" s="7">
        <v>3.31</v>
      </c>
      <c r="J479" s="8" t="s">
        <v>26</v>
      </c>
      <c r="K479" s="9">
        <f>4.16</f>
        <v>4.16</v>
      </c>
      <c r="L479" s="9">
        <f>66.56</f>
        <v>66.56</v>
      </c>
      <c r="M479" s="4"/>
      <c r="N479" s="10">
        <v>1</v>
      </c>
      <c r="O479" s="4" t="s">
        <v>27</v>
      </c>
      <c r="P479" s="11">
        <v>16</v>
      </c>
      <c r="Q479" s="9">
        <f>66.56</f>
        <v>66.56</v>
      </c>
    </row>
    <row r="480" spans="1:17" ht="45" customHeight="1" x14ac:dyDescent="0.25">
      <c r="A480" s="4" t="s">
        <v>20</v>
      </c>
      <c r="B480" s="5" t="s">
        <v>1139</v>
      </c>
      <c r="C480" s="4" t="s">
        <v>63</v>
      </c>
      <c r="D480" s="4" t="s">
        <v>114</v>
      </c>
      <c r="E480" s="4" t="s">
        <v>115</v>
      </c>
      <c r="F480" s="6">
        <f>4</f>
        <v>4</v>
      </c>
      <c r="G480" s="4" t="s">
        <v>75</v>
      </c>
      <c r="H480" s="7">
        <v>1.45</v>
      </c>
      <c r="I480" s="7">
        <v>1.45</v>
      </c>
      <c r="J480" s="8" t="s">
        <v>26</v>
      </c>
      <c r="K480" s="9">
        <f>1.82</f>
        <v>1.82</v>
      </c>
      <c r="L480" s="9">
        <f>7.28</f>
        <v>7.28</v>
      </c>
      <c r="M480" s="4"/>
      <c r="N480" s="10">
        <v>1</v>
      </c>
      <c r="O480" s="4" t="s">
        <v>27</v>
      </c>
      <c r="P480" s="11">
        <v>4</v>
      </c>
      <c r="Q480" s="9">
        <f>7.28</f>
        <v>7.28</v>
      </c>
    </row>
    <row r="481" spans="1:17" ht="45" customHeight="1" x14ac:dyDescent="0.25">
      <c r="A481" s="4" t="s">
        <v>20</v>
      </c>
      <c r="B481" s="5" t="s">
        <v>1140</v>
      </c>
      <c r="C481" s="4" t="s">
        <v>63</v>
      </c>
      <c r="D481" s="4" t="s">
        <v>1141</v>
      </c>
      <c r="E481" s="4" t="s">
        <v>1142</v>
      </c>
      <c r="F481" s="6">
        <f>7</f>
        <v>7</v>
      </c>
      <c r="G481" s="4" t="s">
        <v>96</v>
      </c>
      <c r="H481" s="7">
        <v>5.8</v>
      </c>
      <c r="I481" s="7">
        <v>5.8</v>
      </c>
      <c r="J481" s="8" t="s">
        <v>26</v>
      </c>
      <c r="K481" s="9">
        <f>7.29</f>
        <v>7.29</v>
      </c>
      <c r="L481" s="9">
        <f>51.03</f>
        <v>51.03</v>
      </c>
      <c r="M481" s="4"/>
      <c r="N481" s="10">
        <v>1</v>
      </c>
      <c r="O481" s="4" t="s">
        <v>27</v>
      </c>
      <c r="P481" s="11">
        <v>7</v>
      </c>
      <c r="Q481" s="9">
        <f>51.03</f>
        <v>51.03</v>
      </c>
    </row>
    <row r="482" spans="1:17" ht="45" customHeight="1" x14ac:dyDescent="0.25">
      <c r="A482" s="4" t="s">
        <v>20</v>
      </c>
      <c r="B482" s="5" t="s">
        <v>1143</v>
      </c>
      <c r="C482" s="4" t="s">
        <v>63</v>
      </c>
      <c r="D482" s="4" t="s">
        <v>225</v>
      </c>
      <c r="E482" s="4" t="s">
        <v>226</v>
      </c>
      <c r="F482" s="6">
        <f>10</f>
        <v>10</v>
      </c>
      <c r="G482" s="4" t="s">
        <v>96</v>
      </c>
      <c r="H482" s="7">
        <v>11.39</v>
      </c>
      <c r="I482" s="7">
        <v>11.39</v>
      </c>
      <c r="J482" s="8" t="s">
        <v>26</v>
      </c>
      <c r="K482" s="9">
        <f>14.32</f>
        <v>14.32</v>
      </c>
      <c r="L482" s="9">
        <f>143.2</f>
        <v>143.19999999999999</v>
      </c>
      <c r="M482" s="4"/>
      <c r="N482" s="10">
        <v>1</v>
      </c>
      <c r="O482" s="4" t="s">
        <v>27</v>
      </c>
      <c r="P482" s="11">
        <v>10</v>
      </c>
      <c r="Q482" s="9">
        <f>143.2</f>
        <v>143.19999999999999</v>
      </c>
    </row>
    <row r="483" spans="1:17" ht="45" customHeight="1" x14ac:dyDescent="0.25">
      <c r="A483" s="4" t="s">
        <v>20</v>
      </c>
      <c r="B483" s="5" t="s">
        <v>1144</v>
      </c>
      <c r="C483" s="4" t="s">
        <v>63</v>
      </c>
      <c r="D483" s="4" t="s">
        <v>1145</v>
      </c>
      <c r="E483" s="4" t="s">
        <v>1146</v>
      </c>
      <c r="F483" s="6">
        <f>11.6</f>
        <v>11.6</v>
      </c>
      <c r="G483" s="4" t="s">
        <v>96</v>
      </c>
      <c r="H483" s="7">
        <v>13.26</v>
      </c>
      <c r="I483" s="7">
        <v>13.26</v>
      </c>
      <c r="J483" s="8" t="s">
        <v>26</v>
      </c>
      <c r="K483" s="9">
        <f>16.67</f>
        <v>16.670000000000002</v>
      </c>
      <c r="L483" s="9">
        <f>193.37</f>
        <v>193.37</v>
      </c>
      <c r="M483" s="4"/>
      <c r="N483" s="10">
        <v>1</v>
      </c>
      <c r="O483" s="4" t="s">
        <v>27</v>
      </c>
      <c r="P483" s="11">
        <v>11.6</v>
      </c>
      <c r="Q483" s="9">
        <f>193.37</f>
        <v>193.37</v>
      </c>
    </row>
    <row r="484" spans="1:17" ht="45" customHeight="1" x14ac:dyDescent="0.25">
      <c r="A484" s="4" t="s">
        <v>20</v>
      </c>
      <c r="B484" s="5" t="s">
        <v>1147</v>
      </c>
      <c r="C484" s="4" t="s">
        <v>29</v>
      </c>
      <c r="D484" s="4" t="s">
        <v>1148</v>
      </c>
      <c r="E484" s="4" t="s">
        <v>1149</v>
      </c>
      <c r="F484" s="6">
        <f>10</f>
        <v>10</v>
      </c>
      <c r="G484" s="4" t="s">
        <v>96</v>
      </c>
      <c r="H484" s="7">
        <v>7.4</v>
      </c>
      <c r="I484" s="7">
        <v>7.4</v>
      </c>
      <c r="J484" s="8" t="s">
        <v>26</v>
      </c>
      <c r="K484" s="9">
        <f>9.3</f>
        <v>9.3000000000000007</v>
      </c>
      <c r="L484" s="9">
        <f>93</f>
        <v>93</v>
      </c>
      <c r="M484" s="4"/>
      <c r="N484" s="10">
        <v>1</v>
      </c>
      <c r="O484" s="4" t="s">
        <v>27</v>
      </c>
      <c r="P484" s="11">
        <v>10</v>
      </c>
      <c r="Q484" s="9">
        <f>93</f>
        <v>93</v>
      </c>
    </row>
    <row r="485" spans="1:17" ht="45" customHeight="1" x14ac:dyDescent="0.25">
      <c r="A485" s="4" t="s">
        <v>20</v>
      </c>
      <c r="B485" s="5" t="s">
        <v>1150</v>
      </c>
      <c r="C485" s="4" t="s">
        <v>29</v>
      </c>
      <c r="D485" s="4" t="s">
        <v>228</v>
      </c>
      <c r="E485" s="4" t="s">
        <v>229</v>
      </c>
      <c r="F485" s="6">
        <f>29</f>
        <v>29</v>
      </c>
      <c r="G485" s="4" t="s">
        <v>96</v>
      </c>
      <c r="H485" s="7">
        <v>15.35</v>
      </c>
      <c r="I485" s="7">
        <v>15.35</v>
      </c>
      <c r="J485" s="8" t="s">
        <v>26</v>
      </c>
      <c r="K485" s="9">
        <f>19.29</f>
        <v>19.29</v>
      </c>
      <c r="L485" s="9">
        <f>559.41</f>
        <v>559.41</v>
      </c>
      <c r="M485" s="4"/>
      <c r="N485" s="10">
        <v>1</v>
      </c>
      <c r="O485" s="4" t="s">
        <v>27</v>
      </c>
      <c r="P485" s="11">
        <v>29</v>
      </c>
      <c r="Q485" s="9">
        <f>559.41</f>
        <v>559.41</v>
      </c>
    </row>
    <row r="486" spans="1:17" ht="45" customHeight="1" x14ac:dyDescent="0.25">
      <c r="A486" s="4" t="s">
        <v>20</v>
      </c>
      <c r="B486" s="5" t="s">
        <v>1151</v>
      </c>
      <c r="C486" s="4" t="s">
        <v>29</v>
      </c>
      <c r="D486" s="4" t="s">
        <v>87</v>
      </c>
      <c r="E486" s="4" t="s">
        <v>88</v>
      </c>
      <c r="F486" s="6">
        <f>163</f>
        <v>163</v>
      </c>
      <c r="G486" s="4" t="s">
        <v>79</v>
      </c>
      <c r="H486" s="7">
        <v>4.54</v>
      </c>
      <c r="I486" s="7">
        <v>4.54</v>
      </c>
      <c r="J486" s="8" t="s">
        <v>26</v>
      </c>
      <c r="K486" s="9">
        <f>5.71</f>
        <v>5.71</v>
      </c>
      <c r="L486" s="9">
        <f>930.73</f>
        <v>930.73</v>
      </c>
      <c r="M486" s="4"/>
      <c r="N486" s="10">
        <v>1</v>
      </c>
      <c r="O486" s="4" t="s">
        <v>27</v>
      </c>
      <c r="P486" s="11">
        <v>163</v>
      </c>
      <c r="Q486" s="9">
        <f>930.73</f>
        <v>930.73</v>
      </c>
    </row>
    <row r="487" spans="1:17" ht="45" customHeight="1" x14ac:dyDescent="0.25">
      <c r="A487" s="4" t="s">
        <v>20</v>
      </c>
      <c r="B487" s="5" t="s">
        <v>1152</v>
      </c>
      <c r="C487" s="4" t="s">
        <v>29</v>
      </c>
      <c r="D487" s="4" t="s">
        <v>401</v>
      </c>
      <c r="E487" s="4" t="s">
        <v>402</v>
      </c>
      <c r="F487" s="6">
        <f>4</f>
        <v>4</v>
      </c>
      <c r="G487" s="4" t="s">
        <v>46</v>
      </c>
      <c r="H487" s="7">
        <v>12.47</v>
      </c>
      <c r="I487" s="7">
        <v>12.47</v>
      </c>
      <c r="J487" s="8" t="s">
        <v>122</v>
      </c>
      <c r="K487" s="9">
        <f>14.85</f>
        <v>14.85</v>
      </c>
      <c r="L487" s="9">
        <f>59.4</f>
        <v>59.4</v>
      </c>
      <c r="M487" s="4"/>
      <c r="N487" s="10">
        <v>1</v>
      </c>
      <c r="O487" s="4" t="s">
        <v>27</v>
      </c>
      <c r="P487" s="11">
        <v>4</v>
      </c>
      <c r="Q487" s="9">
        <f>59.4</f>
        <v>59.4</v>
      </c>
    </row>
    <row r="488" spans="1:17" ht="45" customHeight="1" x14ac:dyDescent="0.25">
      <c r="A488" s="4" t="s">
        <v>20</v>
      </c>
      <c r="B488" s="5" t="s">
        <v>1153</v>
      </c>
      <c r="C488" s="4" t="s">
        <v>29</v>
      </c>
      <c r="D488" s="4" t="s">
        <v>1071</v>
      </c>
      <c r="E488" s="4" t="s">
        <v>1072</v>
      </c>
      <c r="F488" s="6">
        <f>1</f>
        <v>1</v>
      </c>
      <c r="G488" s="4" t="s">
        <v>46</v>
      </c>
      <c r="H488" s="7">
        <v>214.64</v>
      </c>
      <c r="I488" s="7">
        <v>214.64</v>
      </c>
      <c r="J488" s="8" t="s">
        <v>122</v>
      </c>
      <c r="K488" s="9">
        <f>255.53</f>
        <v>255.53</v>
      </c>
      <c r="L488" s="9">
        <f>255.53</f>
        <v>255.53</v>
      </c>
      <c r="M488" s="4"/>
      <c r="N488" s="10">
        <v>1</v>
      </c>
      <c r="O488" s="4" t="s">
        <v>27</v>
      </c>
      <c r="P488" s="11">
        <v>1</v>
      </c>
      <c r="Q488" s="9">
        <f>255.53</f>
        <v>255.53</v>
      </c>
    </row>
    <row r="489" spans="1:17" ht="45" customHeight="1" x14ac:dyDescent="0.25">
      <c r="A489" s="4" t="s">
        <v>20</v>
      </c>
      <c r="B489" s="5" t="s">
        <v>1154</v>
      </c>
      <c r="C489" s="4" t="s">
        <v>29</v>
      </c>
      <c r="D489" s="4" t="s">
        <v>1155</v>
      </c>
      <c r="E489" s="4" t="s">
        <v>1156</v>
      </c>
      <c r="F489" s="6">
        <f>1</f>
        <v>1</v>
      </c>
      <c r="G489" s="4" t="s">
        <v>46</v>
      </c>
      <c r="H489" s="7">
        <v>502.27</v>
      </c>
      <c r="I489" s="7">
        <v>502.27</v>
      </c>
      <c r="J489" s="8" t="s">
        <v>122</v>
      </c>
      <c r="K489" s="9">
        <f>597.95</f>
        <v>597.95000000000005</v>
      </c>
      <c r="L489" s="9">
        <f>597.95</f>
        <v>597.95000000000005</v>
      </c>
      <c r="M489" s="4"/>
      <c r="N489" s="10">
        <v>1</v>
      </c>
      <c r="O489" s="4" t="s">
        <v>27</v>
      </c>
      <c r="P489" s="11">
        <v>1</v>
      </c>
      <c r="Q489" s="9">
        <f>597.95</f>
        <v>597.95000000000005</v>
      </c>
    </row>
    <row r="490" spans="1:17" ht="45" customHeight="1" x14ac:dyDescent="0.25">
      <c r="A490" s="4" t="s">
        <v>20</v>
      </c>
      <c r="B490" s="5" t="s">
        <v>1157</v>
      </c>
      <c r="C490" s="4" t="s">
        <v>29</v>
      </c>
      <c r="D490" s="4" t="s">
        <v>408</v>
      </c>
      <c r="E490" s="4" t="s">
        <v>409</v>
      </c>
      <c r="F490" s="6">
        <f>2</f>
        <v>2</v>
      </c>
      <c r="G490" s="4" t="s">
        <v>46</v>
      </c>
      <c r="H490" s="7">
        <v>1105.28</v>
      </c>
      <c r="I490" s="7">
        <v>1105.28</v>
      </c>
      <c r="J490" s="8" t="s">
        <v>122</v>
      </c>
      <c r="K490" s="9">
        <f>1315.84</f>
        <v>1315.84</v>
      </c>
      <c r="L490" s="9">
        <f>2631.68</f>
        <v>2631.68</v>
      </c>
      <c r="M490" s="4"/>
      <c r="N490" s="10">
        <v>1</v>
      </c>
      <c r="O490" s="4" t="s">
        <v>27</v>
      </c>
      <c r="P490" s="11">
        <v>2</v>
      </c>
      <c r="Q490" s="9">
        <f>2631.68</f>
        <v>2631.68</v>
      </c>
    </row>
    <row r="491" spans="1:17" ht="45" customHeight="1" x14ac:dyDescent="0.25">
      <c r="A491" s="4" t="s">
        <v>20</v>
      </c>
      <c r="B491" s="5" t="s">
        <v>1158</v>
      </c>
      <c r="C491" s="4" t="s">
        <v>29</v>
      </c>
      <c r="D491" s="4" t="s">
        <v>151</v>
      </c>
      <c r="E491" s="4" t="s">
        <v>152</v>
      </c>
      <c r="F491" s="6">
        <f>18</f>
        <v>18</v>
      </c>
      <c r="G491" s="4" t="s">
        <v>46</v>
      </c>
      <c r="H491" s="7">
        <v>9.17</v>
      </c>
      <c r="I491" s="7">
        <v>9.17</v>
      </c>
      <c r="J491" s="8" t="s">
        <v>122</v>
      </c>
      <c r="K491" s="9">
        <f>10.92</f>
        <v>10.92</v>
      </c>
      <c r="L491" s="9">
        <f>196.56</f>
        <v>196.56</v>
      </c>
      <c r="M491" s="4"/>
      <c r="N491" s="10">
        <v>1</v>
      </c>
      <c r="O491" s="4" t="s">
        <v>27</v>
      </c>
      <c r="P491" s="11">
        <v>18</v>
      </c>
      <c r="Q491" s="9">
        <f>196.56</f>
        <v>196.56</v>
      </c>
    </row>
    <row r="492" spans="1:17" ht="45" customHeight="1" x14ac:dyDescent="0.25">
      <c r="A492" s="4" t="s">
        <v>20</v>
      </c>
      <c r="B492" s="5" t="s">
        <v>1159</v>
      </c>
      <c r="C492" s="4" t="s">
        <v>29</v>
      </c>
      <c r="D492" s="4" t="s">
        <v>456</v>
      </c>
      <c r="E492" s="4" t="s">
        <v>457</v>
      </c>
      <c r="F492" s="6">
        <f>1</f>
        <v>1</v>
      </c>
      <c r="G492" s="4" t="s">
        <v>46</v>
      </c>
      <c r="H492" s="7">
        <v>6109.06</v>
      </c>
      <c r="I492" s="7">
        <v>6109.06</v>
      </c>
      <c r="J492" s="8" t="s">
        <v>122</v>
      </c>
      <c r="K492" s="9">
        <f>7272.84</f>
        <v>7272.84</v>
      </c>
      <c r="L492" s="9">
        <f>7272.84</f>
        <v>7272.84</v>
      </c>
      <c r="M492" s="4"/>
      <c r="N492" s="10">
        <v>1</v>
      </c>
      <c r="O492" s="4" t="s">
        <v>27</v>
      </c>
      <c r="P492" s="11">
        <v>1</v>
      </c>
      <c r="Q492" s="9">
        <f>7272.84</f>
        <v>7272.84</v>
      </c>
    </row>
    <row r="493" spans="1:17" ht="45" customHeight="1" x14ac:dyDescent="0.25">
      <c r="A493" s="4" t="s">
        <v>20</v>
      </c>
      <c r="B493" s="5" t="s">
        <v>1160</v>
      </c>
      <c r="C493" s="4" t="s">
        <v>29</v>
      </c>
      <c r="D493" s="4" t="s">
        <v>1161</v>
      </c>
      <c r="E493" s="4" t="s">
        <v>1162</v>
      </c>
      <c r="F493" s="6">
        <f>1</f>
        <v>1</v>
      </c>
      <c r="G493" s="4" t="s">
        <v>46</v>
      </c>
      <c r="H493" s="7">
        <v>8010.09</v>
      </c>
      <c r="I493" s="7">
        <v>8010.09</v>
      </c>
      <c r="J493" s="8" t="s">
        <v>122</v>
      </c>
      <c r="K493" s="9">
        <f>9536.01</f>
        <v>9536.01</v>
      </c>
      <c r="L493" s="9">
        <f>9536.01</f>
        <v>9536.01</v>
      </c>
      <c r="M493" s="4"/>
      <c r="N493" s="10">
        <v>1</v>
      </c>
      <c r="O493" s="4" t="s">
        <v>27</v>
      </c>
      <c r="P493" s="11">
        <v>1</v>
      </c>
      <c r="Q493" s="9">
        <f>9536.01</f>
        <v>9536.01</v>
      </c>
    </row>
    <row r="494" spans="1:17" ht="45" customHeight="1" x14ac:dyDescent="0.25">
      <c r="A494" s="4" t="s">
        <v>20</v>
      </c>
      <c r="B494" s="5" t="s">
        <v>1163</v>
      </c>
      <c r="C494" s="4" t="s">
        <v>29</v>
      </c>
      <c r="D494" s="4" t="s">
        <v>1164</v>
      </c>
      <c r="E494" s="4" t="s">
        <v>1165</v>
      </c>
      <c r="F494" s="6">
        <f>12</f>
        <v>12</v>
      </c>
      <c r="G494" s="4" t="s">
        <v>96</v>
      </c>
      <c r="H494" s="7">
        <v>269.51</v>
      </c>
      <c r="I494" s="7">
        <v>269.51</v>
      </c>
      <c r="J494" s="8" t="s">
        <v>122</v>
      </c>
      <c r="K494" s="9">
        <f>320.85</f>
        <v>320.85000000000002</v>
      </c>
      <c r="L494" s="9">
        <f>3850.2</f>
        <v>3850.2</v>
      </c>
      <c r="M494" s="4"/>
      <c r="N494" s="10">
        <v>1</v>
      </c>
      <c r="O494" s="4" t="s">
        <v>27</v>
      </c>
      <c r="P494" s="11">
        <v>12</v>
      </c>
      <c r="Q494" s="9">
        <f>3850.2</f>
        <v>3850.2</v>
      </c>
    </row>
    <row r="495" spans="1:17" ht="45" customHeight="1" x14ac:dyDescent="0.25">
      <c r="A495" s="4" t="s">
        <v>20</v>
      </c>
      <c r="B495" s="5" t="s">
        <v>1166</v>
      </c>
      <c r="C495" s="4" t="s">
        <v>29</v>
      </c>
      <c r="D495" s="4" t="s">
        <v>234</v>
      </c>
      <c r="E495" s="4" t="s">
        <v>235</v>
      </c>
      <c r="F495" s="6">
        <f>12</f>
        <v>12</v>
      </c>
      <c r="G495" s="4" t="s">
        <v>96</v>
      </c>
      <c r="H495" s="7">
        <v>480.35</v>
      </c>
      <c r="I495" s="7">
        <v>480.35</v>
      </c>
      <c r="J495" s="8" t="s">
        <v>122</v>
      </c>
      <c r="K495" s="9">
        <f>571.86</f>
        <v>571.86</v>
      </c>
      <c r="L495" s="9">
        <f>6862.32</f>
        <v>6862.32</v>
      </c>
      <c r="M495" s="4"/>
      <c r="N495" s="10">
        <v>1</v>
      </c>
      <c r="O495" s="4" t="s">
        <v>27</v>
      </c>
      <c r="P495" s="11">
        <v>12</v>
      </c>
      <c r="Q495" s="9">
        <f>6862.32</f>
        <v>6862.32</v>
      </c>
    </row>
    <row r="496" spans="1:17" ht="45" customHeight="1" x14ac:dyDescent="0.25">
      <c r="A496" s="4" t="s">
        <v>20</v>
      </c>
      <c r="B496" s="5" t="s">
        <v>1167</v>
      </c>
      <c r="C496" s="4" t="s">
        <v>29</v>
      </c>
      <c r="D496" s="4" t="s">
        <v>1161</v>
      </c>
      <c r="E496" s="4" t="s">
        <v>1162</v>
      </c>
      <c r="F496" s="6">
        <f>2</f>
        <v>2</v>
      </c>
      <c r="G496" s="4" t="s">
        <v>46</v>
      </c>
      <c r="H496" s="7">
        <v>8010.09</v>
      </c>
      <c r="I496" s="7">
        <v>8010.09</v>
      </c>
      <c r="J496" s="8" t="s">
        <v>122</v>
      </c>
      <c r="K496" s="9">
        <f>9536.01</f>
        <v>9536.01</v>
      </c>
      <c r="L496" s="9">
        <f>19072.02</f>
        <v>19072.02</v>
      </c>
      <c r="M496" s="4"/>
      <c r="N496" s="10">
        <v>1</v>
      </c>
      <c r="O496" s="4" t="s">
        <v>27</v>
      </c>
      <c r="P496" s="11">
        <v>2</v>
      </c>
      <c r="Q496" s="9">
        <f>19072.02</f>
        <v>19072.02</v>
      </c>
    </row>
    <row r="497" spans="1:17" ht="45" customHeight="1" x14ac:dyDescent="0.25">
      <c r="A497" s="4" t="s">
        <v>20</v>
      </c>
      <c r="B497" s="5" t="s">
        <v>1168</v>
      </c>
      <c r="C497" s="4" t="s">
        <v>63</v>
      </c>
      <c r="D497" s="4" t="s">
        <v>1169</v>
      </c>
      <c r="E497" s="4" t="s">
        <v>1170</v>
      </c>
      <c r="F497" s="6">
        <f>12</f>
        <v>12</v>
      </c>
      <c r="G497" s="4" t="s">
        <v>96</v>
      </c>
      <c r="H497" s="7">
        <v>149.35</v>
      </c>
      <c r="I497" s="7">
        <v>149.35</v>
      </c>
      <c r="J497" s="8" t="s">
        <v>122</v>
      </c>
      <c r="K497" s="9">
        <f>177.8</f>
        <v>177.8</v>
      </c>
      <c r="L497" s="9">
        <f>2133.6</f>
        <v>2133.6</v>
      </c>
      <c r="M497" s="4"/>
      <c r="N497" s="10">
        <v>1</v>
      </c>
      <c r="O497" s="4" t="s">
        <v>27</v>
      </c>
      <c r="P497" s="11">
        <v>12</v>
      </c>
      <c r="Q497" s="9">
        <f>2133.6</f>
        <v>2133.6</v>
      </c>
    </row>
    <row r="498" spans="1:17" ht="45" customHeight="1" x14ac:dyDescent="0.25">
      <c r="A498" s="4" t="s">
        <v>20</v>
      </c>
      <c r="B498" s="5" t="s">
        <v>1171</v>
      </c>
      <c r="C498" s="4" t="s">
        <v>63</v>
      </c>
      <c r="D498" s="4" t="s">
        <v>237</v>
      </c>
      <c r="E498" s="4" t="s">
        <v>238</v>
      </c>
      <c r="F498" s="6">
        <f>30</f>
        <v>30</v>
      </c>
      <c r="G498" s="4" t="s">
        <v>96</v>
      </c>
      <c r="H498" s="7">
        <v>360.05</v>
      </c>
      <c r="I498" s="7">
        <v>360.05</v>
      </c>
      <c r="J498" s="8" t="s">
        <v>122</v>
      </c>
      <c r="K498" s="9">
        <f>428.64</f>
        <v>428.64</v>
      </c>
      <c r="L498" s="9">
        <f>12859.2</f>
        <v>12859.2</v>
      </c>
      <c r="M498" s="4"/>
      <c r="N498" s="10">
        <v>1</v>
      </c>
      <c r="O498" s="4" t="s">
        <v>27</v>
      </c>
      <c r="P498" s="11">
        <v>30</v>
      </c>
      <c r="Q498" s="9">
        <f>12859.2</f>
        <v>12859.2</v>
      </c>
    </row>
    <row r="499" spans="1:17" ht="45" customHeight="1" x14ac:dyDescent="0.25">
      <c r="A499" s="4" t="s">
        <v>17</v>
      </c>
      <c r="B499" s="5" t="s">
        <v>539</v>
      </c>
      <c r="C499" s="4"/>
      <c r="D499" s="4"/>
      <c r="E499" s="4" t="s">
        <v>1172</v>
      </c>
      <c r="F499" s="6"/>
      <c r="G499" s="4"/>
      <c r="H499" s="7"/>
      <c r="I499" s="7"/>
      <c r="J499" s="8"/>
      <c r="K499" s="9"/>
      <c r="L499" s="9">
        <f>75593.15</f>
        <v>75593.149999999994</v>
      </c>
      <c r="M499" s="4"/>
      <c r="N499" s="10"/>
      <c r="O499" s="4"/>
      <c r="P499" s="11"/>
      <c r="Q499" s="9"/>
    </row>
    <row r="500" spans="1:17" ht="45" customHeight="1" x14ac:dyDescent="0.25">
      <c r="A500" s="4" t="s">
        <v>20</v>
      </c>
      <c r="B500" s="5" t="s">
        <v>1173</v>
      </c>
      <c r="C500" s="4" t="s">
        <v>63</v>
      </c>
      <c r="D500" s="4" t="s">
        <v>712</v>
      </c>
      <c r="E500" s="4" t="s">
        <v>713</v>
      </c>
      <c r="F500" s="6">
        <f>4</f>
        <v>4</v>
      </c>
      <c r="G500" s="4" t="s">
        <v>46</v>
      </c>
      <c r="H500" s="7">
        <v>57.04</v>
      </c>
      <c r="I500" s="7">
        <v>57.04</v>
      </c>
      <c r="J500" s="8" t="s">
        <v>26</v>
      </c>
      <c r="K500" s="9">
        <f>71.7</f>
        <v>71.7</v>
      </c>
      <c r="L500" s="9">
        <f>286.8</f>
        <v>286.8</v>
      </c>
      <c r="M500" s="4"/>
      <c r="N500" s="10">
        <v>1</v>
      </c>
      <c r="O500" s="4" t="s">
        <v>27</v>
      </c>
      <c r="P500" s="11">
        <v>4</v>
      </c>
      <c r="Q500" s="9">
        <f>286.8</f>
        <v>286.8</v>
      </c>
    </row>
    <row r="501" spans="1:17" ht="45" customHeight="1" x14ac:dyDescent="0.25">
      <c r="A501" s="4" t="s">
        <v>20</v>
      </c>
      <c r="B501" s="5" t="s">
        <v>1174</v>
      </c>
      <c r="C501" s="4" t="s">
        <v>63</v>
      </c>
      <c r="D501" s="4" t="s">
        <v>709</v>
      </c>
      <c r="E501" s="4" t="s">
        <v>710</v>
      </c>
      <c r="F501" s="6">
        <f>20</f>
        <v>20</v>
      </c>
      <c r="G501" s="4" t="s">
        <v>96</v>
      </c>
      <c r="H501" s="7">
        <v>5.0599999999999996</v>
      </c>
      <c r="I501" s="7">
        <v>5.0599999999999996</v>
      </c>
      <c r="J501" s="8" t="s">
        <v>26</v>
      </c>
      <c r="K501" s="9">
        <f>6.36</f>
        <v>6.36</v>
      </c>
      <c r="L501" s="9">
        <f>127.2</f>
        <v>127.2</v>
      </c>
      <c r="M501" s="4"/>
      <c r="N501" s="10">
        <v>1</v>
      </c>
      <c r="O501" s="4" t="s">
        <v>27</v>
      </c>
      <c r="P501" s="11">
        <v>20</v>
      </c>
      <c r="Q501" s="9">
        <f>127.2</f>
        <v>127.2</v>
      </c>
    </row>
    <row r="502" spans="1:17" ht="45" customHeight="1" x14ac:dyDescent="0.25">
      <c r="A502" s="4" t="s">
        <v>20</v>
      </c>
      <c r="B502" s="5" t="s">
        <v>1175</v>
      </c>
      <c r="C502" s="4" t="s">
        <v>63</v>
      </c>
      <c r="D502" s="4" t="s">
        <v>298</v>
      </c>
      <c r="E502" s="4" t="s">
        <v>299</v>
      </c>
      <c r="F502" s="6">
        <f>10</f>
        <v>10</v>
      </c>
      <c r="G502" s="4" t="s">
        <v>46</v>
      </c>
      <c r="H502" s="7">
        <v>18.489999999999998</v>
      </c>
      <c r="I502" s="7">
        <v>18.489999999999998</v>
      </c>
      <c r="J502" s="8" t="s">
        <v>26</v>
      </c>
      <c r="K502" s="9">
        <f>23.24</f>
        <v>23.24</v>
      </c>
      <c r="L502" s="9">
        <f>232.4</f>
        <v>232.4</v>
      </c>
      <c r="M502" s="4"/>
      <c r="N502" s="10">
        <v>1</v>
      </c>
      <c r="O502" s="4" t="s">
        <v>27</v>
      </c>
      <c r="P502" s="11">
        <v>10</v>
      </c>
      <c r="Q502" s="9">
        <f>232.4</f>
        <v>232.4</v>
      </c>
    </row>
    <row r="503" spans="1:17" ht="45" customHeight="1" x14ac:dyDescent="0.25">
      <c r="A503" s="4" t="s">
        <v>20</v>
      </c>
      <c r="B503" s="5" t="s">
        <v>1176</v>
      </c>
      <c r="C503" s="4" t="s">
        <v>29</v>
      </c>
      <c r="D503" s="4" t="s">
        <v>295</v>
      </c>
      <c r="E503" s="4" t="s">
        <v>296</v>
      </c>
      <c r="F503" s="6">
        <f>100</f>
        <v>100</v>
      </c>
      <c r="G503" s="4" t="s">
        <v>96</v>
      </c>
      <c r="H503" s="7">
        <v>57.64</v>
      </c>
      <c r="I503" s="7">
        <v>57.64</v>
      </c>
      <c r="J503" s="8" t="s">
        <v>26</v>
      </c>
      <c r="K503" s="9">
        <f>72.45</f>
        <v>72.45</v>
      </c>
      <c r="L503" s="9">
        <f>7245</f>
        <v>7245</v>
      </c>
      <c r="M503" s="4"/>
      <c r="N503" s="10">
        <v>1</v>
      </c>
      <c r="O503" s="4" t="s">
        <v>27</v>
      </c>
      <c r="P503" s="11">
        <v>100</v>
      </c>
      <c r="Q503" s="9">
        <f>7245</f>
        <v>7245</v>
      </c>
    </row>
    <row r="504" spans="1:17" ht="45" customHeight="1" x14ac:dyDescent="0.25">
      <c r="A504" s="4" t="s">
        <v>20</v>
      </c>
      <c r="B504" s="5" t="s">
        <v>1177</v>
      </c>
      <c r="C504" s="4" t="s">
        <v>29</v>
      </c>
      <c r="D504" s="4" t="s">
        <v>292</v>
      </c>
      <c r="E504" s="4" t="s">
        <v>293</v>
      </c>
      <c r="F504" s="6">
        <f>100</f>
        <v>100</v>
      </c>
      <c r="G504" s="4" t="s">
        <v>96</v>
      </c>
      <c r="H504" s="7">
        <v>9.08</v>
      </c>
      <c r="I504" s="7">
        <v>9.08</v>
      </c>
      <c r="J504" s="8" t="s">
        <v>26</v>
      </c>
      <c r="K504" s="9">
        <f>11.41</f>
        <v>11.41</v>
      </c>
      <c r="L504" s="9">
        <f>1141</f>
        <v>1141</v>
      </c>
      <c r="M504" s="4"/>
      <c r="N504" s="10">
        <v>1</v>
      </c>
      <c r="O504" s="4" t="s">
        <v>27</v>
      </c>
      <c r="P504" s="11">
        <v>100</v>
      </c>
      <c r="Q504" s="9">
        <f>1141</f>
        <v>1141</v>
      </c>
    </row>
    <row r="505" spans="1:17" ht="45" customHeight="1" x14ac:dyDescent="0.25">
      <c r="A505" s="4" t="s">
        <v>20</v>
      </c>
      <c r="B505" s="5" t="s">
        <v>1178</v>
      </c>
      <c r="C505" s="4" t="s">
        <v>29</v>
      </c>
      <c r="D505" s="4" t="s">
        <v>668</v>
      </c>
      <c r="E505" s="4" t="s">
        <v>669</v>
      </c>
      <c r="F505" s="6">
        <f>4</f>
        <v>4</v>
      </c>
      <c r="G505" s="4" t="s">
        <v>46</v>
      </c>
      <c r="H505" s="7">
        <v>429.63</v>
      </c>
      <c r="I505" s="7">
        <v>429.63</v>
      </c>
      <c r="J505" s="8" t="s">
        <v>26</v>
      </c>
      <c r="K505" s="9">
        <f>540.04</f>
        <v>540.04</v>
      </c>
      <c r="L505" s="9">
        <f>2160.16</f>
        <v>2160.16</v>
      </c>
      <c r="M505" s="4"/>
      <c r="N505" s="10">
        <v>1</v>
      </c>
      <c r="O505" s="4" t="s">
        <v>27</v>
      </c>
      <c r="P505" s="11">
        <v>4</v>
      </c>
      <c r="Q505" s="9">
        <f>2160.16</f>
        <v>2160.16</v>
      </c>
    </row>
    <row r="506" spans="1:17" ht="45" customHeight="1" x14ac:dyDescent="0.25">
      <c r="A506" s="4" t="s">
        <v>20</v>
      </c>
      <c r="B506" s="5" t="s">
        <v>1179</v>
      </c>
      <c r="C506" s="4" t="s">
        <v>29</v>
      </c>
      <c r="D506" s="4" t="s">
        <v>594</v>
      </c>
      <c r="E506" s="4" t="s">
        <v>595</v>
      </c>
      <c r="F506" s="6">
        <f>30</f>
        <v>30</v>
      </c>
      <c r="G506" s="4" t="s">
        <v>46</v>
      </c>
      <c r="H506" s="7">
        <v>119</v>
      </c>
      <c r="I506" s="7">
        <v>119</v>
      </c>
      <c r="J506" s="8" t="s">
        <v>26</v>
      </c>
      <c r="K506" s="9">
        <f>149.58</f>
        <v>149.58000000000001</v>
      </c>
      <c r="L506" s="9">
        <f>4487.4</f>
        <v>4487.3999999999996</v>
      </c>
      <c r="M506" s="4"/>
      <c r="N506" s="10">
        <v>1</v>
      </c>
      <c r="O506" s="4" t="s">
        <v>27</v>
      </c>
      <c r="P506" s="11">
        <v>30</v>
      </c>
      <c r="Q506" s="9">
        <f>4487.4</f>
        <v>4487.3999999999996</v>
      </c>
    </row>
    <row r="507" spans="1:17" ht="45" customHeight="1" x14ac:dyDescent="0.25">
      <c r="A507" s="4" t="s">
        <v>20</v>
      </c>
      <c r="B507" s="5" t="s">
        <v>1180</v>
      </c>
      <c r="C507" s="4" t="s">
        <v>29</v>
      </c>
      <c r="D507" s="4" t="s">
        <v>580</v>
      </c>
      <c r="E507" s="4" t="s">
        <v>581</v>
      </c>
      <c r="F507" s="6">
        <f>9</f>
        <v>9</v>
      </c>
      <c r="G507" s="4" t="s">
        <v>46</v>
      </c>
      <c r="H507" s="7">
        <v>41.73</v>
      </c>
      <c r="I507" s="7">
        <v>41.73</v>
      </c>
      <c r="J507" s="8" t="s">
        <v>26</v>
      </c>
      <c r="K507" s="9">
        <f>52.45</f>
        <v>52.45</v>
      </c>
      <c r="L507" s="9">
        <f>472.05</f>
        <v>472.05</v>
      </c>
      <c r="M507" s="4"/>
      <c r="N507" s="10">
        <v>1</v>
      </c>
      <c r="O507" s="4" t="s">
        <v>27</v>
      </c>
      <c r="P507" s="11">
        <v>9</v>
      </c>
      <c r="Q507" s="9">
        <f>472.05</f>
        <v>472.05</v>
      </c>
    </row>
    <row r="508" spans="1:17" ht="45" customHeight="1" x14ac:dyDescent="0.25">
      <c r="A508" s="4" t="s">
        <v>20</v>
      </c>
      <c r="B508" s="5" t="s">
        <v>1181</v>
      </c>
      <c r="C508" s="4" t="s">
        <v>29</v>
      </c>
      <c r="D508" s="4" t="s">
        <v>604</v>
      </c>
      <c r="E508" s="4" t="s">
        <v>605</v>
      </c>
      <c r="F508" s="6">
        <f>2</f>
        <v>2</v>
      </c>
      <c r="G508" s="4" t="s">
        <v>46</v>
      </c>
      <c r="H508" s="7">
        <v>16.12</v>
      </c>
      <c r="I508" s="7">
        <v>16.12</v>
      </c>
      <c r="J508" s="8" t="s">
        <v>26</v>
      </c>
      <c r="K508" s="9">
        <f>20.26</f>
        <v>20.260000000000002</v>
      </c>
      <c r="L508" s="9">
        <f>40.52</f>
        <v>40.520000000000003</v>
      </c>
      <c r="M508" s="4"/>
      <c r="N508" s="10">
        <v>1</v>
      </c>
      <c r="O508" s="4" t="s">
        <v>27</v>
      </c>
      <c r="P508" s="11">
        <v>2</v>
      </c>
      <c r="Q508" s="9">
        <f>40.52</f>
        <v>40.520000000000003</v>
      </c>
    </row>
    <row r="509" spans="1:17" ht="45" customHeight="1" x14ac:dyDescent="0.25">
      <c r="A509" s="4" t="s">
        <v>20</v>
      </c>
      <c r="B509" s="5" t="s">
        <v>1182</v>
      </c>
      <c r="C509" s="4" t="s">
        <v>29</v>
      </c>
      <c r="D509" s="4" t="s">
        <v>611</v>
      </c>
      <c r="E509" s="4" t="s">
        <v>612</v>
      </c>
      <c r="F509" s="6">
        <f>2</f>
        <v>2</v>
      </c>
      <c r="G509" s="4" t="s">
        <v>46</v>
      </c>
      <c r="H509" s="7">
        <v>8.9600000000000009</v>
      </c>
      <c r="I509" s="7">
        <v>8.9600000000000009</v>
      </c>
      <c r="J509" s="8" t="s">
        <v>26</v>
      </c>
      <c r="K509" s="9">
        <f>11.26</f>
        <v>11.26</v>
      </c>
      <c r="L509" s="9">
        <f>22.52</f>
        <v>22.52</v>
      </c>
      <c r="M509" s="4"/>
      <c r="N509" s="10">
        <v>1</v>
      </c>
      <c r="O509" s="4" t="s">
        <v>27</v>
      </c>
      <c r="P509" s="11">
        <v>2</v>
      </c>
      <c r="Q509" s="9">
        <f>22.52</f>
        <v>22.52</v>
      </c>
    </row>
    <row r="510" spans="1:17" ht="45" customHeight="1" x14ac:dyDescent="0.25">
      <c r="A510" s="4" t="s">
        <v>20</v>
      </c>
      <c r="B510" s="5" t="s">
        <v>1183</v>
      </c>
      <c r="C510" s="4" t="s">
        <v>29</v>
      </c>
      <c r="D510" s="4" t="s">
        <v>674</v>
      </c>
      <c r="E510" s="4" t="s">
        <v>675</v>
      </c>
      <c r="F510" s="6">
        <f>20</f>
        <v>20</v>
      </c>
      <c r="G510" s="4" t="s">
        <v>46</v>
      </c>
      <c r="H510" s="7">
        <v>133.13999999999999</v>
      </c>
      <c r="I510" s="7">
        <v>133.13999999999999</v>
      </c>
      <c r="J510" s="8" t="s">
        <v>26</v>
      </c>
      <c r="K510" s="9">
        <f>167.36</f>
        <v>167.36</v>
      </c>
      <c r="L510" s="9">
        <f>3347.2</f>
        <v>3347.2</v>
      </c>
      <c r="M510" s="4"/>
      <c r="N510" s="10">
        <v>1</v>
      </c>
      <c r="O510" s="4" t="s">
        <v>27</v>
      </c>
      <c r="P510" s="11">
        <v>20</v>
      </c>
      <c r="Q510" s="9">
        <f>3347.2</f>
        <v>3347.2</v>
      </c>
    </row>
    <row r="511" spans="1:17" ht="45" customHeight="1" x14ac:dyDescent="0.25">
      <c r="A511" s="4" t="s">
        <v>20</v>
      </c>
      <c r="B511" s="5" t="s">
        <v>1184</v>
      </c>
      <c r="C511" s="4" t="s">
        <v>29</v>
      </c>
      <c r="D511" s="4" t="s">
        <v>725</v>
      </c>
      <c r="E511" s="4" t="s">
        <v>726</v>
      </c>
      <c r="F511" s="6">
        <f>3</f>
        <v>3</v>
      </c>
      <c r="G511" s="4" t="s">
        <v>46</v>
      </c>
      <c r="H511" s="7">
        <v>21.67</v>
      </c>
      <c r="I511" s="7">
        <v>21.67</v>
      </c>
      <c r="J511" s="8" t="s">
        <v>122</v>
      </c>
      <c r="K511" s="9">
        <f>25.8</f>
        <v>25.8</v>
      </c>
      <c r="L511" s="9">
        <f>77.4</f>
        <v>77.400000000000006</v>
      </c>
      <c r="M511" s="4"/>
      <c r="N511" s="10">
        <v>1</v>
      </c>
      <c r="O511" s="4" t="s">
        <v>27</v>
      </c>
      <c r="P511" s="11">
        <v>3</v>
      </c>
      <c r="Q511" s="9">
        <f>77.4</f>
        <v>77.400000000000006</v>
      </c>
    </row>
    <row r="512" spans="1:17" ht="45" customHeight="1" x14ac:dyDescent="0.25">
      <c r="A512" s="4" t="s">
        <v>20</v>
      </c>
      <c r="B512" s="5" t="s">
        <v>1185</v>
      </c>
      <c r="C512" s="4" t="s">
        <v>29</v>
      </c>
      <c r="D512" s="4" t="s">
        <v>1186</v>
      </c>
      <c r="E512" s="4" t="s">
        <v>1187</v>
      </c>
      <c r="F512" s="6">
        <f>1</f>
        <v>1</v>
      </c>
      <c r="G512" s="4" t="s">
        <v>46</v>
      </c>
      <c r="H512" s="7">
        <v>47000</v>
      </c>
      <c r="I512" s="7">
        <v>47000</v>
      </c>
      <c r="J512" s="8" t="s">
        <v>122</v>
      </c>
      <c r="K512" s="9">
        <f>55953.5</f>
        <v>55953.5</v>
      </c>
      <c r="L512" s="9">
        <f>55953.5</f>
        <v>55953.5</v>
      </c>
      <c r="M512" s="4"/>
      <c r="N512" s="10">
        <v>1</v>
      </c>
      <c r="O512" s="4" t="s">
        <v>27</v>
      </c>
      <c r="P512" s="11">
        <v>1</v>
      </c>
      <c r="Q512" s="9">
        <f>55953.5</f>
        <v>55953.5</v>
      </c>
    </row>
    <row r="513" spans="1:17" ht="45" customHeight="1" x14ac:dyDescent="0.25">
      <c r="A513" s="4" t="s">
        <v>17</v>
      </c>
      <c r="B513" s="5" t="s">
        <v>942</v>
      </c>
      <c r="C513" s="4"/>
      <c r="D513" s="4"/>
      <c r="E513" s="4" t="s">
        <v>1188</v>
      </c>
      <c r="F513" s="6"/>
      <c r="G513" s="4"/>
      <c r="H513" s="7"/>
      <c r="I513" s="7"/>
      <c r="J513" s="8"/>
      <c r="K513" s="9"/>
      <c r="L513" s="9">
        <f>865283.83</f>
        <v>865283.83</v>
      </c>
      <c r="M513" s="4"/>
      <c r="N513" s="10"/>
      <c r="O513" s="4"/>
      <c r="P513" s="11"/>
      <c r="Q513" s="9"/>
    </row>
    <row r="514" spans="1:17" ht="45" customHeight="1" x14ac:dyDescent="0.25">
      <c r="A514" s="4" t="s">
        <v>20</v>
      </c>
      <c r="B514" s="5" t="s">
        <v>1189</v>
      </c>
      <c r="C514" s="4" t="s">
        <v>29</v>
      </c>
      <c r="D514" s="4" t="s">
        <v>745</v>
      </c>
      <c r="E514" s="4" t="s">
        <v>746</v>
      </c>
      <c r="F514" s="6">
        <f>3774</f>
        <v>3774</v>
      </c>
      <c r="G514" s="4" t="s">
        <v>96</v>
      </c>
      <c r="H514" s="7">
        <v>3.64</v>
      </c>
      <c r="I514" s="7">
        <v>3.64</v>
      </c>
      <c r="J514" s="8" t="s">
        <v>26</v>
      </c>
      <c r="K514" s="9">
        <f>4.58</f>
        <v>4.58</v>
      </c>
      <c r="L514" s="9">
        <f>17284.92</f>
        <v>17284.919999999998</v>
      </c>
      <c r="M514" s="4"/>
      <c r="N514" s="10">
        <v>1</v>
      </c>
      <c r="O514" s="4" t="s">
        <v>27</v>
      </c>
      <c r="P514" s="11">
        <v>3774</v>
      </c>
      <c r="Q514" s="9">
        <f>17284.92</f>
        <v>17284.919999999998</v>
      </c>
    </row>
    <row r="515" spans="1:17" ht="45" customHeight="1" x14ac:dyDescent="0.25">
      <c r="A515" s="4" t="s">
        <v>20</v>
      </c>
      <c r="B515" s="5" t="s">
        <v>1190</v>
      </c>
      <c r="C515" s="4" t="s">
        <v>29</v>
      </c>
      <c r="D515" s="4" t="s">
        <v>748</v>
      </c>
      <c r="E515" s="4" t="s">
        <v>749</v>
      </c>
      <c r="F515" s="6">
        <f>38</f>
        <v>38</v>
      </c>
      <c r="G515" s="4" t="s">
        <v>46</v>
      </c>
      <c r="H515" s="7">
        <v>2.79</v>
      </c>
      <c r="I515" s="7">
        <v>2.79</v>
      </c>
      <c r="J515" s="8" t="s">
        <v>26</v>
      </c>
      <c r="K515" s="9">
        <f>3.51</f>
        <v>3.51</v>
      </c>
      <c r="L515" s="9">
        <f>133.38</f>
        <v>133.38</v>
      </c>
      <c r="M515" s="4"/>
      <c r="N515" s="10">
        <v>1</v>
      </c>
      <c r="O515" s="4" t="s">
        <v>27</v>
      </c>
      <c r="P515" s="11">
        <v>38</v>
      </c>
      <c r="Q515" s="9">
        <f>133.38</f>
        <v>133.38</v>
      </c>
    </row>
    <row r="516" spans="1:17" ht="45" customHeight="1" x14ac:dyDescent="0.25">
      <c r="A516" s="4" t="s">
        <v>20</v>
      </c>
      <c r="B516" s="5" t="s">
        <v>1191</v>
      </c>
      <c r="C516" s="4" t="s">
        <v>29</v>
      </c>
      <c r="D516" s="4" t="s">
        <v>751</v>
      </c>
      <c r="E516" s="4" t="s">
        <v>752</v>
      </c>
      <c r="F516" s="6">
        <f>189</f>
        <v>189</v>
      </c>
      <c r="G516" s="4" t="s">
        <v>46</v>
      </c>
      <c r="H516" s="7">
        <v>1.27</v>
      </c>
      <c r="I516" s="7">
        <v>1.27</v>
      </c>
      <c r="J516" s="8" t="s">
        <v>26</v>
      </c>
      <c r="K516" s="9">
        <f>1.6</f>
        <v>1.6</v>
      </c>
      <c r="L516" s="9">
        <f>302.4</f>
        <v>302.39999999999998</v>
      </c>
      <c r="M516" s="4"/>
      <c r="N516" s="10">
        <v>1</v>
      </c>
      <c r="O516" s="4" t="s">
        <v>27</v>
      </c>
      <c r="P516" s="11">
        <v>189</v>
      </c>
      <c r="Q516" s="9">
        <f>302.4</f>
        <v>302.39999999999998</v>
      </c>
    </row>
    <row r="517" spans="1:17" ht="45" customHeight="1" x14ac:dyDescent="0.25">
      <c r="A517" s="4" t="s">
        <v>20</v>
      </c>
      <c r="B517" s="5" t="s">
        <v>1192</v>
      </c>
      <c r="C517" s="4" t="s">
        <v>29</v>
      </c>
      <c r="D517" s="4" t="s">
        <v>754</v>
      </c>
      <c r="E517" s="4" t="s">
        <v>755</v>
      </c>
      <c r="F517" s="6">
        <f>312</f>
        <v>312</v>
      </c>
      <c r="G517" s="4" t="s">
        <v>25</v>
      </c>
      <c r="H517" s="7">
        <v>13.48</v>
      </c>
      <c r="I517" s="7">
        <v>13.48</v>
      </c>
      <c r="J517" s="8" t="s">
        <v>26</v>
      </c>
      <c r="K517" s="9">
        <f>16.94</f>
        <v>16.940000000000001</v>
      </c>
      <c r="L517" s="9">
        <f>5285.28</f>
        <v>5285.28</v>
      </c>
      <c r="M517" s="4"/>
      <c r="N517" s="10">
        <v>1</v>
      </c>
      <c r="O517" s="4" t="s">
        <v>27</v>
      </c>
      <c r="P517" s="11">
        <v>312</v>
      </c>
      <c r="Q517" s="9">
        <f>5285.28</f>
        <v>5285.28</v>
      </c>
    </row>
    <row r="518" spans="1:17" ht="45" customHeight="1" x14ac:dyDescent="0.25">
      <c r="A518" s="4" t="s">
        <v>20</v>
      </c>
      <c r="B518" s="5" t="s">
        <v>1193</v>
      </c>
      <c r="C518" s="4" t="s">
        <v>29</v>
      </c>
      <c r="D518" s="4" t="s">
        <v>757</v>
      </c>
      <c r="E518" s="4" t="s">
        <v>758</v>
      </c>
      <c r="F518" s="6">
        <f>38</f>
        <v>38</v>
      </c>
      <c r="G518" s="4" t="s">
        <v>25</v>
      </c>
      <c r="H518" s="7">
        <v>4.66</v>
      </c>
      <c r="I518" s="7">
        <v>4.66</v>
      </c>
      <c r="J518" s="8" t="s">
        <v>26</v>
      </c>
      <c r="K518" s="9">
        <f>5.86</f>
        <v>5.86</v>
      </c>
      <c r="L518" s="9">
        <f>222.68</f>
        <v>222.68</v>
      </c>
      <c r="M518" s="4"/>
      <c r="N518" s="10">
        <v>1</v>
      </c>
      <c r="O518" s="4" t="s">
        <v>27</v>
      </c>
      <c r="P518" s="11">
        <v>38</v>
      </c>
      <c r="Q518" s="9">
        <f>222.68</f>
        <v>222.68</v>
      </c>
    </row>
    <row r="519" spans="1:17" ht="45" customHeight="1" x14ac:dyDescent="0.25">
      <c r="A519" s="4" t="s">
        <v>20</v>
      </c>
      <c r="B519" s="5" t="s">
        <v>1194</v>
      </c>
      <c r="C519" s="4" t="s">
        <v>29</v>
      </c>
      <c r="D519" s="4" t="s">
        <v>760</v>
      </c>
      <c r="E519" s="4" t="s">
        <v>761</v>
      </c>
      <c r="F519" s="6">
        <f>472</f>
        <v>472</v>
      </c>
      <c r="G519" s="4" t="s">
        <v>46</v>
      </c>
      <c r="H519" s="7">
        <v>6.58</v>
      </c>
      <c r="I519" s="7">
        <v>6.58</v>
      </c>
      <c r="J519" s="8" t="s">
        <v>26</v>
      </c>
      <c r="K519" s="9">
        <f>8.27</f>
        <v>8.27</v>
      </c>
      <c r="L519" s="9">
        <f>3903.44</f>
        <v>3903.44</v>
      </c>
      <c r="M519" s="4"/>
      <c r="N519" s="10">
        <v>1</v>
      </c>
      <c r="O519" s="4" t="s">
        <v>27</v>
      </c>
      <c r="P519" s="11">
        <v>472</v>
      </c>
      <c r="Q519" s="9">
        <f>3903.44</f>
        <v>3903.44</v>
      </c>
    </row>
    <row r="520" spans="1:17" ht="45" customHeight="1" x14ac:dyDescent="0.25">
      <c r="A520" s="4" t="s">
        <v>20</v>
      </c>
      <c r="B520" s="5" t="s">
        <v>1195</v>
      </c>
      <c r="C520" s="4" t="s">
        <v>29</v>
      </c>
      <c r="D520" s="4" t="s">
        <v>763</v>
      </c>
      <c r="E520" s="4" t="s">
        <v>764</v>
      </c>
      <c r="F520" s="6">
        <f>3397</f>
        <v>3397</v>
      </c>
      <c r="G520" s="4" t="s">
        <v>25</v>
      </c>
      <c r="H520" s="7">
        <v>1.27</v>
      </c>
      <c r="I520" s="7">
        <v>1.27</v>
      </c>
      <c r="J520" s="8" t="s">
        <v>26</v>
      </c>
      <c r="K520" s="9">
        <f>1.6</f>
        <v>1.6</v>
      </c>
      <c r="L520" s="9">
        <f>5435.2</f>
        <v>5435.2</v>
      </c>
      <c r="M520" s="4"/>
      <c r="N520" s="10">
        <v>1</v>
      </c>
      <c r="O520" s="4" t="s">
        <v>27</v>
      </c>
      <c r="P520" s="11">
        <v>3397</v>
      </c>
      <c r="Q520" s="9">
        <f>5435.2</f>
        <v>5435.2</v>
      </c>
    </row>
    <row r="521" spans="1:17" ht="45" customHeight="1" x14ac:dyDescent="0.25">
      <c r="A521" s="4" t="s">
        <v>20</v>
      </c>
      <c r="B521" s="5" t="s">
        <v>1196</v>
      </c>
      <c r="C521" s="4" t="s">
        <v>63</v>
      </c>
      <c r="D521" s="4" t="s">
        <v>766</v>
      </c>
      <c r="E521" s="4" t="s">
        <v>767</v>
      </c>
      <c r="F521" s="6">
        <f>3397</f>
        <v>3397</v>
      </c>
      <c r="G521" s="4" t="s">
        <v>25</v>
      </c>
      <c r="H521" s="7">
        <v>1.94</v>
      </c>
      <c r="I521" s="7">
        <v>1.94</v>
      </c>
      <c r="J521" s="8" t="s">
        <v>26</v>
      </c>
      <c r="K521" s="9">
        <f>2.44</f>
        <v>2.44</v>
      </c>
      <c r="L521" s="9">
        <f>8288.68</f>
        <v>8288.68</v>
      </c>
      <c r="M521" s="4"/>
      <c r="N521" s="10">
        <v>1</v>
      </c>
      <c r="O521" s="4" t="s">
        <v>27</v>
      </c>
      <c r="P521" s="11">
        <v>3397</v>
      </c>
      <c r="Q521" s="9">
        <f>8288.68</f>
        <v>8288.68</v>
      </c>
    </row>
    <row r="522" spans="1:17" ht="45" customHeight="1" x14ac:dyDescent="0.25">
      <c r="A522" s="4" t="s">
        <v>20</v>
      </c>
      <c r="B522" s="5" t="s">
        <v>1197</v>
      </c>
      <c r="C522" s="4" t="s">
        <v>29</v>
      </c>
      <c r="D522" s="4" t="s">
        <v>769</v>
      </c>
      <c r="E522" s="4" t="s">
        <v>770</v>
      </c>
      <c r="F522" s="6">
        <f>4</f>
        <v>4</v>
      </c>
      <c r="G522" s="4" t="s">
        <v>46</v>
      </c>
      <c r="H522" s="7">
        <v>566.28</v>
      </c>
      <c r="I522" s="7">
        <v>566.28</v>
      </c>
      <c r="J522" s="8" t="s">
        <v>26</v>
      </c>
      <c r="K522" s="9">
        <f>711.81</f>
        <v>711.81</v>
      </c>
      <c r="L522" s="9">
        <f>2847.24</f>
        <v>2847.24</v>
      </c>
      <c r="M522" s="4"/>
      <c r="N522" s="10">
        <v>1</v>
      </c>
      <c r="O522" s="4" t="s">
        <v>27</v>
      </c>
      <c r="P522" s="11">
        <v>4</v>
      </c>
      <c r="Q522" s="9">
        <f>2847.24</f>
        <v>2847.24</v>
      </c>
    </row>
    <row r="523" spans="1:17" ht="45" customHeight="1" x14ac:dyDescent="0.25">
      <c r="A523" s="4" t="s">
        <v>20</v>
      </c>
      <c r="B523" s="5" t="s">
        <v>1198</v>
      </c>
      <c r="C523" s="4" t="s">
        <v>63</v>
      </c>
      <c r="D523" s="4" t="s">
        <v>213</v>
      </c>
      <c r="E523" s="4" t="s">
        <v>214</v>
      </c>
      <c r="F523" s="6">
        <f>2093</f>
        <v>2093</v>
      </c>
      <c r="G523" s="4" t="s">
        <v>75</v>
      </c>
      <c r="H523" s="7">
        <v>13.66</v>
      </c>
      <c r="I523" s="7">
        <v>13.66</v>
      </c>
      <c r="J523" s="8" t="s">
        <v>26</v>
      </c>
      <c r="K523" s="9">
        <f>17.17</f>
        <v>17.170000000000002</v>
      </c>
      <c r="L523" s="9">
        <f>35936.81</f>
        <v>35936.81</v>
      </c>
      <c r="M523" s="4"/>
      <c r="N523" s="10">
        <v>1</v>
      </c>
      <c r="O523" s="4" t="s">
        <v>27</v>
      </c>
      <c r="P523" s="11">
        <v>2093</v>
      </c>
      <c r="Q523" s="9">
        <f>35936.81</f>
        <v>35936.81</v>
      </c>
    </row>
    <row r="524" spans="1:17" ht="45" customHeight="1" x14ac:dyDescent="0.25">
      <c r="A524" s="4" t="s">
        <v>20</v>
      </c>
      <c r="B524" s="5" t="s">
        <v>1199</v>
      </c>
      <c r="C524" s="4" t="s">
        <v>63</v>
      </c>
      <c r="D524" s="4" t="s">
        <v>344</v>
      </c>
      <c r="E524" s="4" t="s">
        <v>345</v>
      </c>
      <c r="F524" s="6">
        <f>36</f>
        <v>36</v>
      </c>
      <c r="G524" s="4" t="s">
        <v>75</v>
      </c>
      <c r="H524" s="7">
        <v>12.37</v>
      </c>
      <c r="I524" s="7">
        <v>12.37</v>
      </c>
      <c r="J524" s="8" t="s">
        <v>26</v>
      </c>
      <c r="K524" s="9">
        <f>15.55</f>
        <v>15.55</v>
      </c>
      <c r="L524" s="9">
        <f>559.8</f>
        <v>559.79999999999995</v>
      </c>
      <c r="M524" s="4"/>
      <c r="N524" s="10">
        <v>1</v>
      </c>
      <c r="O524" s="4" t="s">
        <v>27</v>
      </c>
      <c r="P524" s="11">
        <v>36</v>
      </c>
      <c r="Q524" s="9">
        <f>559.8</f>
        <v>559.79999999999995</v>
      </c>
    </row>
    <row r="525" spans="1:17" ht="45" customHeight="1" x14ac:dyDescent="0.25">
      <c r="A525" s="4" t="s">
        <v>20</v>
      </c>
      <c r="B525" s="5" t="s">
        <v>1200</v>
      </c>
      <c r="C525" s="4" t="s">
        <v>63</v>
      </c>
      <c r="D525" s="4" t="s">
        <v>219</v>
      </c>
      <c r="E525" s="4" t="s">
        <v>220</v>
      </c>
      <c r="F525" s="6">
        <f>1510</f>
        <v>1510</v>
      </c>
      <c r="G525" s="4" t="s">
        <v>25</v>
      </c>
      <c r="H525" s="7">
        <v>6.38</v>
      </c>
      <c r="I525" s="7">
        <v>6.38</v>
      </c>
      <c r="J525" s="8" t="s">
        <v>26</v>
      </c>
      <c r="K525" s="9">
        <f>8.02</f>
        <v>8.02</v>
      </c>
      <c r="L525" s="9">
        <f>12110.2</f>
        <v>12110.2</v>
      </c>
      <c r="M525" s="4"/>
      <c r="N525" s="10">
        <v>1</v>
      </c>
      <c r="O525" s="4" t="s">
        <v>27</v>
      </c>
      <c r="P525" s="11">
        <v>1510</v>
      </c>
      <c r="Q525" s="9">
        <f>12110.2</f>
        <v>12110.2</v>
      </c>
    </row>
    <row r="526" spans="1:17" ht="45" customHeight="1" x14ac:dyDescent="0.25">
      <c r="A526" s="4" t="s">
        <v>20</v>
      </c>
      <c r="B526" s="5" t="s">
        <v>1201</v>
      </c>
      <c r="C526" s="4" t="s">
        <v>29</v>
      </c>
      <c r="D526" s="4" t="s">
        <v>216</v>
      </c>
      <c r="E526" s="4" t="s">
        <v>217</v>
      </c>
      <c r="F526" s="6">
        <f>2129</f>
        <v>2129</v>
      </c>
      <c r="G526" s="4" t="s">
        <v>75</v>
      </c>
      <c r="H526" s="7">
        <v>35.19</v>
      </c>
      <c r="I526" s="7">
        <v>35.19</v>
      </c>
      <c r="J526" s="8" t="s">
        <v>26</v>
      </c>
      <c r="K526" s="9">
        <f>44.23</f>
        <v>44.23</v>
      </c>
      <c r="L526" s="9">
        <f>94165.67</f>
        <v>94165.67</v>
      </c>
      <c r="M526" s="4"/>
      <c r="N526" s="10">
        <v>1</v>
      </c>
      <c r="O526" s="4" t="s">
        <v>27</v>
      </c>
      <c r="P526" s="11">
        <v>2129</v>
      </c>
      <c r="Q526" s="9">
        <f>94165.67</f>
        <v>94165.67</v>
      </c>
    </row>
    <row r="527" spans="1:17" ht="45" customHeight="1" x14ac:dyDescent="0.25">
      <c r="A527" s="4" t="s">
        <v>20</v>
      </c>
      <c r="B527" s="5" t="s">
        <v>1202</v>
      </c>
      <c r="C527" s="4" t="s">
        <v>63</v>
      </c>
      <c r="D527" s="4" t="s">
        <v>107</v>
      </c>
      <c r="E527" s="4" t="s">
        <v>108</v>
      </c>
      <c r="F527" s="6">
        <f>110</f>
        <v>110</v>
      </c>
      <c r="G527" s="4" t="s">
        <v>75</v>
      </c>
      <c r="H527" s="7">
        <v>8.64</v>
      </c>
      <c r="I527" s="7">
        <v>8.64</v>
      </c>
      <c r="J527" s="8" t="s">
        <v>26</v>
      </c>
      <c r="K527" s="9">
        <f>10.86</f>
        <v>10.86</v>
      </c>
      <c r="L527" s="9">
        <f>1194.6</f>
        <v>1194.5999999999999</v>
      </c>
      <c r="M527" s="4"/>
      <c r="N527" s="10">
        <v>1</v>
      </c>
      <c r="O527" s="4" t="s">
        <v>27</v>
      </c>
      <c r="P527" s="11">
        <v>110</v>
      </c>
      <c r="Q527" s="9">
        <f>1194.6</f>
        <v>1194.5999999999999</v>
      </c>
    </row>
    <row r="528" spans="1:17" ht="45" customHeight="1" x14ac:dyDescent="0.25">
      <c r="A528" s="4" t="s">
        <v>20</v>
      </c>
      <c r="B528" s="5" t="s">
        <v>1203</v>
      </c>
      <c r="C528" s="4" t="s">
        <v>63</v>
      </c>
      <c r="D528" s="4" t="s">
        <v>110</v>
      </c>
      <c r="E528" s="4" t="s">
        <v>111</v>
      </c>
      <c r="F528" s="6">
        <f>440</f>
        <v>440</v>
      </c>
      <c r="G528" s="4" t="s">
        <v>112</v>
      </c>
      <c r="H528" s="7">
        <v>3.31</v>
      </c>
      <c r="I528" s="7">
        <v>3.31</v>
      </c>
      <c r="J528" s="8" t="s">
        <v>26</v>
      </c>
      <c r="K528" s="9">
        <f>4.16</f>
        <v>4.16</v>
      </c>
      <c r="L528" s="9">
        <f>1830.4</f>
        <v>1830.4</v>
      </c>
      <c r="M528" s="4"/>
      <c r="N528" s="10">
        <v>1</v>
      </c>
      <c r="O528" s="4" t="s">
        <v>27</v>
      </c>
      <c r="P528" s="11">
        <v>440</v>
      </c>
      <c r="Q528" s="9">
        <f>1830.4</f>
        <v>1830.4</v>
      </c>
    </row>
    <row r="529" spans="1:17" ht="45" customHeight="1" x14ac:dyDescent="0.25">
      <c r="A529" s="4" t="s">
        <v>20</v>
      </c>
      <c r="B529" s="5" t="s">
        <v>1204</v>
      </c>
      <c r="C529" s="4" t="s">
        <v>29</v>
      </c>
      <c r="D529" s="4" t="s">
        <v>779</v>
      </c>
      <c r="E529" s="4" t="s">
        <v>780</v>
      </c>
      <c r="F529" s="6">
        <f>110</f>
        <v>110</v>
      </c>
      <c r="G529" s="4" t="s">
        <v>75</v>
      </c>
      <c r="H529" s="7">
        <v>4.29</v>
      </c>
      <c r="I529" s="7">
        <v>4.29</v>
      </c>
      <c r="J529" s="8" t="s">
        <v>26</v>
      </c>
      <c r="K529" s="9">
        <f>5.39</f>
        <v>5.39</v>
      </c>
      <c r="L529" s="9">
        <f>592.9</f>
        <v>592.9</v>
      </c>
      <c r="M529" s="4"/>
      <c r="N529" s="10">
        <v>1</v>
      </c>
      <c r="O529" s="4" t="s">
        <v>27</v>
      </c>
      <c r="P529" s="11">
        <v>110</v>
      </c>
      <c r="Q529" s="9">
        <f>592.9</f>
        <v>592.9</v>
      </c>
    </row>
    <row r="530" spans="1:17" ht="45" customHeight="1" x14ac:dyDescent="0.25">
      <c r="A530" s="4" t="s">
        <v>20</v>
      </c>
      <c r="B530" s="5" t="s">
        <v>1205</v>
      </c>
      <c r="C530" s="4" t="s">
        <v>63</v>
      </c>
      <c r="D530" s="4" t="s">
        <v>782</v>
      </c>
      <c r="E530" s="4" t="s">
        <v>783</v>
      </c>
      <c r="F530" s="6">
        <f>1539</f>
        <v>1539</v>
      </c>
      <c r="G530" s="4" t="s">
        <v>25</v>
      </c>
      <c r="H530" s="7">
        <v>20.32</v>
      </c>
      <c r="I530" s="7">
        <v>20.32</v>
      </c>
      <c r="J530" s="8" t="s">
        <v>26</v>
      </c>
      <c r="K530" s="9">
        <f>25.54</f>
        <v>25.54</v>
      </c>
      <c r="L530" s="9">
        <f>39306.06</f>
        <v>39306.06</v>
      </c>
      <c r="M530" s="4"/>
      <c r="N530" s="10">
        <v>1</v>
      </c>
      <c r="O530" s="4" t="s">
        <v>27</v>
      </c>
      <c r="P530" s="11">
        <v>1539</v>
      </c>
      <c r="Q530" s="9">
        <f>39306.06</f>
        <v>39306.06</v>
      </c>
    </row>
    <row r="531" spans="1:17" ht="45" customHeight="1" x14ac:dyDescent="0.25">
      <c r="A531" s="4" t="s">
        <v>20</v>
      </c>
      <c r="B531" s="5" t="s">
        <v>1206</v>
      </c>
      <c r="C531" s="4" t="s">
        <v>63</v>
      </c>
      <c r="D531" s="4" t="s">
        <v>1207</v>
      </c>
      <c r="E531" s="4" t="s">
        <v>1208</v>
      </c>
      <c r="F531" s="6">
        <f>16</f>
        <v>16</v>
      </c>
      <c r="G531" s="4" t="s">
        <v>96</v>
      </c>
      <c r="H531" s="7">
        <v>55.5</v>
      </c>
      <c r="I531" s="7">
        <v>55.5</v>
      </c>
      <c r="J531" s="8" t="s">
        <v>26</v>
      </c>
      <c r="K531" s="9">
        <f>69.76</f>
        <v>69.760000000000005</v>
      </c>
      <c r="L531" s="9">
        <f>1116.16</f>
        <v>1116.1600000000001</v>
      </c>
      <c r="M531" s="4"/>
      <c r="N531" s="10">
        <v>1</v>
      </c>
      <c r="O531" s="4" t="s">
        <v>27</v>
      </c>
      <c r="P531" s="11">
        <v>16</v>
      </c>
      <c r="Q531" s="9">
        <f>1116.16</f>
        <v>1116.1600000000001</v>
      </c>
    </row>
    <row r="532" spans="1:17" ht="45" customHeight="1" x14ac:dyDescent="0.25">
      <c r="A532" s="4" t="s">
        <v>20</v>
      </c>
      <c r="B532" s="5" t="s">
        <v>1209</v>
      </c>
      <c r="C532" s="4" t="s">
        <v>29</v>
      </c>
      <c r="D532" s="4" t="s">
        <v>788</v>
      </c>
      <c r="E532" s="4" t="s">
        <v>789</v>
      </c>
      <c r="F532" s="6">
        <f>4</f>
        <v>4</v>
      </c>
      <c r="G532" s="4" t="s">
        <v>75</v>
      </c>
      <c r="H532" s="7">
        <v>2336.56</v>
      </c>
      <c r="I532" s="7">
        <v>2336.56</v>
      </c>
      <c r="J532" s="8" t="s">
        <v>26</v>
      </c>
      <c r="K532" s="9">
        <f>2937.06</f>
        <v>2937.06</v>
      </c>
      <c r="L532" s="9">
        <f>11748.24</f>
        <v>11748.24</v>
      </c>
      <c r="M532" s="4"/>
      <c r="N532" s="10">
        <v>1</v>
      </c>
      <c r="O532" s="4" t="s">
        <v>27</v>
      </c>
      <c r="P532" s="11">
        <v>4</v>
      </c>
      <c r="Q532" s="9">
        <f>11748.24</f>
        <v>11748.24</v>
      </c>
    </row>
    <row r="533" spans="1:17" ht="45" customHeight="1" x14ac:dyDescent="0.25">
      <c r="A533" s="4" t="s">
        <v>20</v>
      </c>
      <c r="B533" s="5" t="s">
        <v>1210</v>
      </c>
      <c r="C533" s="4" t="s">
        <v>29</v>
      </c>
      <c r="D533" s="4" t="s">
        <v>1148</v>
      </c>
      <c r="E533" s="4" t="s">
        <v>1149</v>
      </c>
      <c r="F533" s="6">
        <f>1887</f>
        <v>1887</v>
      </c>
      <c r="G533" s="4" t="s">
        <v>96</v>
      </c>
      <c r="H533" s="7">
        <v>7.4</v>
      </c>
      <c r="I533" s="7">
        <v>7.4</v>
      </c>
      <c r="J533" s="8" t="s">
        <v>26</v>
      </c>
      <c r="K533" s="9">
        <f>9.3</f>
        <v>9.3000000000000007</v>
      </c>
      <c r="L533" s="9">
        <f>17549.1</f>
        <v>17549.099999999999</v>
      </c>
      <c r="M533" s="4"/>
      <c r="N533" s="10">
        <v>1</v>
      </c>
      <c r="O533" s="4" t="s">
        <v>27</v>
      </c>
      <c r="P533" s="11">
        <v>1887</v>
      </c>
      <c r="Q533" s="9">
        <f>17549.1</f>
        <v>17549.099999999999</v>
      </c>
    </row>
    <row r="534" spans="1:17" ht="45" customHeight="1" x14ac:dyDescent="0.25">
      <c r="A534" s="4" t="s">
        <v>20</v>
      </c>
      <c r="B534" s="5" t="s">
        <v>1211</v>
      </c>
      <c r="C534" s="4" t="s">
        <v>29</v>
      </c>
      <c r="D534" s="4" t="s">
        <v>796</v>
      </c>
      <c r="E534" s="4" t="s">
        <v>797</v>
      </c>
      <c r="F534" s="6">
        <f>340</f>
        <v>340</v>
      </c>
      <c r="G534" s="4" t="s">
        <v>75</v>
      </c>
      <c r="H534" s="7">
        <v>275.52999999999997</v>
      </c>
      <c r="I534" s="7">
        <v>275.52999999999997</v>
      </c>
      <c r="J534" s="8" t="s">
        <v>26</v>
      </c>
      <c r="K534" s="9">
        <f>346.34</f>
        <v>346.34</v>
      </c>
      <c r="L534" s="9">
        <f>117755.6</f>
        <v>117755.6</v>
      </c>
      <c r="M534" s="4"/>
      <c r="N534" s="10">
        <v>1</v>
      </c>
      <c r="O534" s="4" t="s">
        <v>27</v>
      </c>
      <c r="P534" s="11">
        <v>340</v>
      </c>
      <c r="Q534" s="9">
        <f>117755.6</f>
        <v>117755.6</v>
      </c>
    </row>
    <row r="535" spans="1:17" ht="45" customHeight="1" x14ac:dyDescent="0.25">
      <c r="A535" s="4" t="s">
        <v>20</v>
      </c>
      <c r="B535" s="5" t="s">
        <v>1212</v>
      </c>
      <c r="C535" s="4" t="s">
        <v>63</v>
      </c>
      <c r="D535" s="4" t="s">
        <v>799</v>
      </c>
      <c r="E535" s="4" t="s">
        <v>800</v>
      </c>
      <c r="F535" s="6">
        <f>85</f>
        <v>85</v>
      </c>
      <c r="G535" s="4" t="s">
        <v>75</v>
      </c>
      <c r="H535" s="7">
        <v>2416.21</v>
      </c>
      <c r="I535" s="7">
        <v>2416.21</v>
      </c>
      <c r="J535" s="8" t="s">
        <v>26</v>
      </c>
      <c r="K535" s="9">
        <f>3037.18</f>
        <v>3037.18</v>
      </c>
      <c r="L535" s="9">
        <f>258160.3</f>
        <v>258160.3</v>
      </c>
      <c r="M535" s="4"/>
      <c r="N535" s="10">
        <v>1</v>
      </c>
      <c r="O535" s="4" t="s">
        <v>27</v>
      </c>
      <c r="P535" s="11">
        <v>85</v>
      </c>
      <c r="Q535" s="9">
        <f>258160.3</f>
        <v>258160.3</v>
      </c>
    </row>
    <row r="536" spans="1:17" ht="45" customHeight="1" x14ac:dyDescent="0.25">
      <c r="A536" s="4" t="s">
        <v>20</v>
      </c>
      <c r="B536" s="5" t="s">
        <v>1213</v>
      </c>
      <c r="C536" s="4" t="s">
        <v>29</v>
      </c>
      <c r="D536" s="4" t="s">
        <v>1214</v>
      </c>
      <c r="E536" s="4" t="s">
        <v>1215</v>
      </c>
      <c r="F536" s="6">
        <f>1</f>
        <v>1</v>
      </c>
      <c r="G536" s="4" t="s">
        <v>46</v>
      </c>
      <c r="H536" s="7">
        <v>266.2</v>
      </c>
      <c r="I536" s="7">
        <v>266.2</v>
      </c>
      <c r="J536" s="8" t="s">
        <v>122</v>
      </c>
      <c r="K536" s="9">
        <f>316.91</f>
        <v>316.91000000000003</v>
      </c>
      <c r="L536" s="9">
        <f>316.91</f>
        <v>316.91000000000003</v>
      </c>
      <c r="M536" s="4"/>
      <c r="N536" s="10">
        <v>1</v>
      </c>
      <c r="O536" s="4" t="s">
        <v>27</v>
      </c>
      <c r="P536" s="11">
        <v>1</v>
      </c>
      <c r="Q536" s="9">
        <f>316.91</f>
        <v>316.91000000000003</v>
      </c>
    </row>
    <row r="537" spans="1:17" ht="45" customHeight="1" x14ac:dyDescent="0.25">
      <c r="A537" s="4" t="s">
        <v>20</v>
      </c>
      <c r="B537" s="5" t="s">
        <v>1216</v>
      </c>
      <c r="C537" s="4" t="s">
        <v>29</v>
      </c>
      <c r="D537" s="4" t="s">
        <v>1155</v>
      </c>
      <c r="E537" s="4" t="s">
        <v>1156</v>
      </c>
      <c r="F537" s="6">
        <f>6</f>
        <v>6</v>
      </c>
      <c r="G537" s="4" t="s">
        <v>46</v>
      </c>
      <c r="H537" s="7">
        <v>502.27</v>
      </c>
      <c r="I537" s="7">
        <v>502.27</v>
      </c>
      <c r="J537" s="8" t="s">
        <v>122</v>
      </c>
      <c r="K537" s="9">
        <f>597.95</f>
        <v>597.95000000000005</v>
      </c>
      <c r="L537" s="9">
        <f>3587.7</f>
        <v>3587.7</v>
      </c>
      <c r="M537" s="4"/>
      <c r="N537" s="10">
        <v>1</v>
      </c>
      <c r="O537" s="4" t="s">
        <v>27</v>
      </c>
      <c r="P537" s="11">
        <v>6</v>
      </c>
      <c r="Q537" s="9">
        <f>3587.7</f>
        <v>3587.7</v>
      </c>
    </row>
    <row r="538" spans="1:17" ht="45" customHeight="1" x14ac:dyDescent="0.25">
      <c r="A538" s="4" t="s">
        <v>20</v>
      </c>
      <c r="B538" s="5" t="s">
        <v>1217</v>
      </c>
      <c r="C538" s="4" t="s">
        <v>29</v>
      </c>
      <c r="D538" s="4" t="s">
        <v>1218</v>
      </c>
      <c r="E538" s="4" t="s">
        <v>1219</v>
      </c>
      <c r="F538" s="6">
        <f>1926</f>
        <v>1926</v>
      </c>
      <c r="G538" s="4" t="s">
        <v>96</v>
      </c>
      <c r="H538" s="7">
        <v>98.41</v>
      </c>
      <c r="I538" s="7">
        <v>98.41</v>
      </c>
      <c r="J538" s="8" t="s">
        <v>122</v>
      </c>
      <c r="K538" s="9">
        <f>117.16</f>
        <v>117.16</v>
      </c>
      <c r="L538" s="9">
        <f>225650.16</f>
        <v>225650.16</v>
      </c>
      <c r="M538" s="4"/>
      <c r="N538" s="10">
        <v>1</v>
      </c>
      <c r="O538" s="4" t="s">
        <v>27</v>
      </c>
      <c r="P538" s="11">
        <v>1926</v>
      </c>
      <c r="Q538" s="9">
        <f>225650.16</f>
        <v>225650.16</v>
      </c>
    </row>
    <row r="539" spans="1:17" ht="45" customHeight="1" x14ac:dyDescent="0.25">
      <c r="A539" s="4" t="s">
        <v>17</v>
      </c>
      <c r="B539" s="5" t="s">
        <v>1220</v>
      </c>
      <c r="C539" s="4"/>
      <c r="D539" s="4"/>
      <c r="E539" s="4" t="s">
        <v>1221</v>
      </c>
      <c r="F539" s="6"/>
      <c r="G539" s="4"/>
      <c r="H539" s="7"/>
      <c r="I539" s="7"/>
      <c r="J539" s="8"/>
      <c r="K539" s="9"/>
      <c r="L539" s="9">
        <f>606298.38</f>
        <v>606298.38</v>
      </c>
      <c r="M539" s="4"/>
      <c r="N539" s="10"/>
      <c r="O539" s="4"/>
      <c r="P539" s="11"/>
      <c r="Q539" s="9"/>
    </row>
    <row r="540" spans="1:17" ht="45" customHeight="1" x14ac:dyDescent="0.25">
      <c r="A540" s="4" t="s">
        <v>20</v>
      </c>
      <c r="B540" s="5" t="s">
        <v>1222</v>
      </c>
      <c r="C540" s="4" t="s">
        <v>29</v>
      </c>
      <c r="D540" s="4" t="s">
        <v>745</v>
      </c>
      <c r="E540" s="4" t="s">
        <v>746</v>
      </c>
      <c r="F540" s="6">
        <f>2044</f>
        <v>2044</v>
      </c>
      <c r="G540" s="4" t="s">
        <v>96</v>
      </c>
      <c r="H540" s="7">
        <v>3.64</v>
      </c>
      <c r="I540" s="7">
        <v>3.64</v>
      </c>
      <c r="J540" s="8" t="s">
        <v>26</v>
      </c>
      <c r="K540" s="9">
        <f>4.58</f>
        <v>4.58</v>
      </c>
      <c r="L540" s="9">
        <f>9361.52</f>
        <v>9361.52</v>
      </c>
      <c r="M540" s="4"/>
      <c r="N540" s="10">
        <v>1</v>
      </c>
      <c r="O540" s="4" t="s">
        <v>27</v>
      </c>
      <c r="P540" s="11">
        <v>2044</v>
      </c>
      <c r="Q540" s="9">
        <f>9361.52</f>
        <v>9361.52</v>
      </c>
    </row>
    <row r="541" spans="1:17" ht="45" customHeight="1" x14ac:dyDescent="0.25">
      <c r="A541" s="4" t="s">
        <v>20</v>
      </c>
      <c r="B541" s="5" t="s">
        <v>1223</v>
      </c>
      <c r="C541" s="4" t="s">
        <v>29</v>
      </c>
      <c r="D541" s="4" t="s">
        <v>748</v>
      </c>
      <c r="E541" s="4" t="s">
        <v>749</v>
      </c>
      <c r="F541" s="6">
        <f>20</f>
        <v>20</v>
      </c>
      <c r="G541" s="4" t="s">
        <v>46</v>
      </c>
      <c r="H541" s="7">
        <v>2.79</v>
      </c>
      <c r="I541" s="7">
        <v>2.79</v>
      </c>
      <c r="J541" s="8" t="s">
        <v>26</v>
      </c>
      <c r="K541" s="9">
        <f>3.51</f>
        <v>3.51</v>
      </c>
      <c r="L541" s="9">
        <f>70.2</f>
        <v>70.2</v>
      </c>
      <c r="M541" s="4"/>
      <c r="N541" s="10">
        <v>1</v>
      </c>
      <c r="O541" s="4" t="s">
        <v>27</v>
      </c>
      <c r="P541" s="11">
        <v>20</v>
      </c>
      <c r="Q541" s="9">
        <f>70.2</f>
        <v>70.2</v>
      </c>
    </row>
    <row r="542" spans="1:17" ht="45" customHeight="1" x14ac:dyDescent="0.25">
      <c r="A542" s="4" t="s">
        <v>20</v>
      </c>
      <c r="B542" s="5" t="s">
        <v>1224</v>
      </c>
      <c r="C542" s="4" t="s">
        <v>29</v>
      </c>
      <c r="D542" s="4" t="s">
        <v>751</v>
      </c>
      <c r="E542" s="4" t="s">
        <v>752</v>
      </c>
      <c r="F542" s="6">
        <f>102</f>
        <v>102</v>
      </c>
      <c r="G542" s="4" t="s">
        <v>46</v>
      </c>
      <c r="H542" s="7">
        <v>1.27</v>
      </c>
      <c r="I542" s="7">
        <v>1.27</v>
      </c>
      <c r="J542" s="8" t="s">
        <v>26</v>
      </c>
      <c r="K542" s="9">
        <f>1.6</f>
        <v>1.6</v>
      </c>
      <c r="L542" s="9">
        <f>163.2</f>
        <v>163.19999999999999</v>
      </c>
      <c r="M542" s="4"/>
      <c r="N542" s="10">
        <v>1</v>
      </c>
      <c r="O542" s="4" t="s">
        <v>27</v>
      </c>
      <c r="P542" s="11">
        <v>102</v>
      </c>
      <c r="Q542" s="9">
        <f>163.2</f>
        <v>163.19999999999999</v>
      </c>
    </row>
    <row r="543" spans="1:17" ht="45" customHeight="1" x14ac:dyDescent="0.25">
      <c r="A543" s="4" t="s">
        <v>20</v>
      </c>
      <c r="B543" s="5" t="s">
        <v>1225</v>
      </c>
      <c r="C543" s="4" t="s">
        <v>29</v>
      </c>
      <c r="D543" s="4" t="s">
        <v>754</v>
      </c>
      <c r="E543" s="4" t="s">
        <v>755</v>
      </c>
      <c r="F543" s="6">
        <f>168</f>
        <v>168</v>
      </c>
      <c r="G543" s="4" t="s">
        <v>25</v>
      </c>
      <c r="H543" s="7">
        <v>13.48</v>
      </c>
      <c r="I543" s="7">
        <v>13.48</v>
      </c>
      <c r="J543" s="8" t="s">
        <v>26</v>
      </c>
      <c r="K543" s="9">
        <f>16.94</f>
        <v>16.940000000000001</v>
      </c>
      <c r="L543" s="9">
        <f>2845.92</f>
        <v>2845.92</v>
      </c>
      <c r="M543" s="4"/>
      <c r="N543" s="10">
        <v>1</v>
      </c>
      <c r="O543" s="4" t="s">
        <v>27</v>
      </c>
      <c r="P543" s="11">
        <v>168</v>
      </c>
      <c r="Q543" s="9">
        <f>2845.92</f>
        <v>2845.92</v>
      </c>
    </row>
    <row r="544" spans="1:17" ht="45" customHeight="1" x14ac:dyDescent="0.25">
      <c r="A544" s="4" t="s">
        <v>20</v>
      </c>
      <c r="B544" s="5" t="s">
        <v>1226</v>
      </c>
      <c r="C544" s="4" t="s">
        <v>29</v>
      </c>
      <c r="D544" s="4" t="s">
        <v>757</v>
      </c>
      <c r="E544" s="4" t="s">
        <v>758</v>
      </c>
      <c r="F544" s="6">
        <f>21</f>
        <v>21</v>
      </c>
      <c r="G544" s="4" t="s">
        <v>25</v>
      </c>
      <c r="H544" s="7">
        <v>4.66</v>
      </c>
      <c r="I544" s="7">
        <v>4.66</v>
      </c>
      <c r="J544" s="8" t="s">
        <v>26</v>
      </c>
      <c r="K544" s="9">
        <f>5.86</f>
        <v>5.86</v>
      </c>
      <c r="L544" s="9">
        <f>123.06</f>
        <v>123.06</v>
      </c>
      <c r="M544" s="4"/>
      <c r="N544" s="10">
        <v>1</v>
      </c>
      <c r="O544" s="4" t="s">
        <v>27</v>
      </c>
      <c r="P544" s="11">
        <v>21</v>
      </c>
      <c r="Q544" s="9">
        <f>123.06</f>
        <v>123.06</v>
      </c>
    </row>
    <row r="545" spans="1:17" ht="45" customHeight="1" x14ac:dyDescent="0.25">
      <c r="A545" s="4" t="s">
        <v>20</v>
      </c>
      <c r="B545" s="5" t="s">
        <v>1227</v>
      </c>
      <c r="C545" s="4" t="s">
        <v>29</v>
      </c>
      <c r="D545" s="4" t="s">
        <v>760</v>
      </c>
      <c r="E545" s="4" t="s">
        <v>761</v>
      </c>
      <c r="F545" s="6">
        <f>256</f>
        <v>256</v>
      </c>
      <c r="G545" s="4" t="s">
        <v>46</v>
      </c>
      <c r="H545" s="7">
        <v>6.58</v>
      </c>
      <c r="I545" s="7">
        <v>6.58</v>
      </c>
      <c r="J545" s="8" t="s">
        <v>26</v>
      </c>
      <c r="K545" s="9">
        <f>8.27</f>
        <v>8.27</v>
      </c>
      <c r="L545" s="9">
        <f>2117.12</f>
        <v>2117.12</v>
      </c>
      <c r="M545" s="4"/>
      <c r="N545" s="10">
        <v>1</v>
      </c>
      <c r="O545" s="4" t="s">
        <v>27</v>
      </c>
      <c r="P545" s="11">
        <v>256</v>
      </c>
      <c r="Q545" s="9">
        <f>2117.12</f>
        <v>2117.12</v>
      </c>
    </row>
    <row r="546" spans="1:17" ht="45" customHeight="1" x14ac:dyDescent="0.25">
      <c r="A546" s="4" t="s">
        <v>20</v>
      </c>
      <c r="B546" s="5" t="s">
        <v>1228</v>
      </c>
      <c r="C546" s="4" t="s">
        <v>29</v>
      </c>
      <c r="D546" s="4" t="s">
        <v>763</v>
      </c>
      <c r="E546" s="4" t="s">
        <v>764</v>
      </c>
      <c r="F546" s="6">
        <f>1840</f>
        <v>1840</v>
      </c>
      <c r="G546" s="4" t="s">
        <v>25</v>
      </c>
      <c r="H546" s="7">
        <v>1.27</v>
      </c>
      <c r="I546" s="7">
        <v>1.27</v>
      </c>
      <c r="J546" s="8" t="s">
        <v>26</v>
      </c>
      <c r="K546" s="9">
        <f>1.6</f>
        <v>1.6</v>
      </c>
      <c r="L546" s="9">
        <f>2944</f>
        <v>2944</v>
      </c>
      <c r="M546" s="4"/>
      <c r="N546" s="10">
        <v>1</v>
      </c>
      <c r="O546" s="4" t="s">
        <v>27</v>
      </c>
      <c r="P546" s="11">
        <v>1840</v>
      </c>
      <c r="Q546" s="9">
        <f>2944</f>
        <v>2944</v>
      </c>
    </row>
    <row r="547" spans="1:17" ht="45" customHeight="1" x14ac:dyDescent="0.25">
      <c r="A547" s="4" t="s">
        <v>20</v>
      </c>
      <c r="B547" s="5" t="s">
        <v>1229</v>
      </c>
      <c r="C547" s="4" t="s">
        <v>63</v>
      </c>
      <c r="D547" s="4" t="s">
        <v>766</v>
      </c>
      <c r="E547" s="4" t="s">
        <v>767</v>
      </c>
      <c r="F547" s="6">
        <f>1840</f>
        <v>1840</v>
      </c>
      <c r="G547" s="4" t="s">
        <v>25</v>
      </c>
      <c r="H547" s="7">
        <v>1.94</v>
      </c>
      <c r="I547" s="7">
        <v>1.94</v>
      </c>
      <c r="J547" s="8" t="s">
        <v>26</v>
      </c>
      <c r="K547" s="9">
        <f>2.44</f>
        <v>2.44</v>
      </c>
      <c r="L547" s="9">
        <f>4489.6</f>
        <v>4489.6000000000004</v>
      </c>
      <c r="M547" s="4"/>
      <c r="N547" s="10">
        <v>1</v>
      </c>
      <c r="O547" s="4" t="s">
        <v>27</v>
      </c>
      <c r="P547" s="11">
        <v>1840</v>
      </c>
      <c r="Q547" s="9">
        <f>4489.6</f>
        <v>4489.6000000000004</v>
      </c>
    </row>
    <row r="548" spans="1:17" ht="45" customHeight="1" x14ac:dyDescent="0.25">
      <c r="A548" s="4" t="s">
        <v>20</v>
      </c>
      <c r="B548" s="5" t="s">
        <v>1230</v>
      </c>
      <c r="C548" s="4" t="s">
        <v>29</v>
      </c>
      <c r="D548" s="4" t="s">
        <v>769</v>
      </c>
      <c r="E548" s="4" t="s">
        <v>770</v>
      </c>
      <c r="F548" s="6">
        <f>3</f>
        <v>3</v>
      </c>
      <c r="G548" s="4" t="s">
        <v>46</v>
      </c>
      <c r="H548" s="7">
        <v>566.28</v>
      </c>
      <c r="I548" s="7">
        <v>566.28</v>
      </c>
      <c r="J548" s="8" t="s">
        <v>26</v>
      </c>
      <c r="K548" s="9">
        <f>711.81</f>
        <v>711.81</v>
      </c>
      <c r="L548" s="9">
        <f>2135.43</f>
        <v>2135.4299999999998</v>
      </c>
      <c r="M548" s="4"/>
      <c r="N548" s="10">
        <v>1</v>
      </c>
      <c r="O548" s="4" t="s">
        <v>27</v>
      </c>
      <c r="P548" s="11">
        <v>3</v>
      </c>
      <c r="Q548" s="9">
        <f>2135.43</f>
        <v>2135.4299999999998</v>
      </c>
    </row>
    <row r="549" spans="1:17" ht="45" customHeight="1" x14ac:dyDescent="0.25">
      <c r="A549" s="4" t="s">
        <v>20</v>
      </c>
      <c r="B549" s="5" t="s">
        <v>1231</v>
      </c>
      <c r="C549" s="4" t="s">
        <v>63</v>
      </c>
      <c r="D549" s="4" t="s">
        <v>213</v>
      </c>
      <c r="E549" s="4" t="s">
        <v>214</v>
      </c>
      <c r="F549" s="6">
        <f>1310</f>
        <v>1310</v>
      </c>
      <c r="G549" s="4" t="s">
        <v>75</v>
      </c>
      <c r="H549" s="7">
        <v>13.66</v>
      </c>
      <c r="I549" s="7">
        <v>13.66</v>
      </c>
      <c r="J549" s="8" t="s">
        <v>26</v>
      </c>
      <c r="K549" s="9">
        <f>17.17</f>
        <v>17.170000000000002</v>
      </c>
      <c r="L549" s="9">
        <f>22492.7</f>
        <v>22492.7</v>
      </c>
      <c r="M549" s="4"/>
      <c r="N549" s="10">
        <v>1</v>
      </c>
      <c r="O549" s="4" t="s">
        <v>27</v>
      </c>
      <c r="P549" s="11">
        <v>1310</v>
      </c>
      <c r="Q549" s="9">
        <f>22492.7</f>
        <v>22492.7</v>
      </c>
    </row>
    <row r="550" spans="1:17" ht="45" customHeight="1" x14ac:dyDescent="0.25">
      <c r="A550" s="4" t="s">
        <v>20</v>
      </c>
      <c r="B550" s="5" t="s">
        <v>1232</v>
      </c>
      <c r="C550" s="4" t="s">
        <v>63</v>
      </c>
      <c r="D550" s="4" t="s">
        <v>344</v>
      </c>
      <c r="E550" s="4" t="s">
        <v>345</v>
      </c>
      <c r="F550" s="6">
        <f>77</f>
        <v>77</v>
      </c>
      <c r="G550" s="4" t="s">
        <v>75</v>
      </c>
      <c r="H550" s="7">
        <v>12.37</v>
      </c>
      <c r="I550" s="7">
        <v>12.37</v>
      </c>
      <c r="J550" s="8" t="s">
        <v>26</v>
      </c>
      <c r="K550" s="9">
        <f>15.55</f>
        <v>15.55</v>
      </c>
      <c r="L550" s="9">
        <f>1197.35</f>
        <v>1197.3499999999999</v>
      </c>
      <c r="M550" s="4"/>
      <c r="N550" s="10">
        <v>1</v>
      </c>
      <c r="O550" s="4" t="s">
        <v>27</v>
      </c>
      <c r="P550" s="11">
        <v>77</v>
      </c>
      <c r="Q550" s="9">
        <f>1197.35</f>
        <v>1197.3499999999999</v>
      </c>
    </row>
    <row r="551" spans="1:17" ht="45" customHeight="1" x14ac:dyDescent="0.25">
      <c r="A551" s="4" t="s">
        <v>20</v>
      </c>
      <c r="B551" s="5" t="s">
        <v>1233</v>
      </c>
      <c r="C551" s="4" t="s">
        <v>63</v>
      </c>
      <c r="D551" s="4" t="s">
        <v>219</v>
      </c>
      <c r="E551" s="4" t="s">
        <v>220</v>
      </c>
      <c r="F551" s="6">
        <f>818</f>
        <v>818</v>
      </c>
      <c r="G551" s="4" t="s">
        <v>25</v>
      </c>
      <c r="H551" s="7">
        <v>6.38</v>
      </c>
      <c r="I551" s="7">
        <v>6.38</v>
      </c>
      <c r="J551" s="8" t="s">
        <v>26</v>
      </c>
      <c r="K551" s="9">
        <f>8.02</f>
        <v>8.02</v>
      </c>
      <c r="L551" s="9">
        <f>6560.36</f>
        <v>6560.36</v>
      </c>
      <c r="M551" s="4"/>
      <c r="N551" s="10">
        <v>1</v>
      </c>
      <c r="O551" s="4" t="s">
        <v>27</v>
      </c>
      <c r="P551" s="11">
        <v>818</v>
      </c>
      <c r="Q551" s="9">
        <f>6560.36</f>
        <v>6560.36</v>
      </c>
    </row>
    <row r="552" spans="1:17" ht="45" customHeight="1" x14ac:dyDescent="0.25">
      <c r="A552" s="4" t="s">
        <v>20</v>
      </c>
      <c r="B552" s="5" t="s">
        <v>1234</v>
      </c>
      <c r="C552" s="4" t="s">
        <v>29</v>
      </c>
      <c r="D552" s="4" t="s">
        <v>216</v>
      </c>
      <c r="E552" s="4" t="s">
        <v>217</v>
      </c>
      <c r="F552" s="6">
        <f>1387</f>
        <v>1387</v>
      </c>
      <c r="G552" s="4" t="s">
        <v>75</v>
      </c>
      <c r="H552" s="7">
        <v>35.19</v>
      </c>
      <c r="I552" s="7">
        <v>35.19</v>
      </c>
      <c r="J552" s="8" t="s">
        <v>26</v>
      </c>
      <c r="K552" s="9">
        <f>44.23</f>
        <v>44.23</v>
      </c>
      <c r="L552" s="9">
        <f>61347.01</f>
        <v>61347.01</v>
      </c>
      <c r="M552" s="4"/>
      <c r="N552" s="10">
        <v>1</v>
      </c>
      <c r="O552" s="4" t="s">
        <v>27</v>
      </c>
      <c r="P552" s="11">
        <v>1387</v>
      </c>
      <c r="Q552" s="9">
        <f>61347.01</f>
        <v>61347.01</v>
      </c>
    </row>
    <row r="553" spans="1:17" ht="45" customHeight="1" x14ac:dyDescent="0.25">
      <c r="A553" s="4" t="s">
        <v>20</v>
      </c>
      <c r="B553" s="5" t="s">
        <v>1235</v>
      </c>
      <c r="C553" s="4" t="s">
        <v>63</v>
      </c>
      <c r="D553" s="4" t="s">
        <v>107</v>
      </c>
      <c r="E553" s="4" t="s">
        <v>108</v>
      </c>
      <c r="F553" s="6">
        <f>60</f>
        <v>60</v>
      </c>
      <c r="G553" s="4" t="s">
        <v>75</v>
      </c>
      <c r="H553" s="7">
        <v>8.64</v>
      </c>
      <c r="I553" s="7">
        <v>8.64</v>
      </c>
      <c r="J553" s="8" t="s">
        <v>26</v>
      </c>
      <c r="K553" s="9">
        <f>10.86</f>
        <v>10.86</v>
      </c>
      <c r="L553" s="9">
        <f>651.6</f>
        <v>651.6</v>
      </c>
      <c r="M553" s="4"/>
      <c r="N553" s="10">
        <v>1</v>
      </c>
      <c r="O553" s="4" t="s">
        <v>27</v>
      </c>
      <c r="P553" s="11">
        <v>60</v>
      </c>
      <c r="Q553" s="9">
        <f>651.6</f>
        <v>651.6</v>
      </c>
    </row>
    <row r="554" spans="1:17" ht="45" customHeight="1" x14ac:dyDescent="0.25">
      <c r="A554" s="4" t="s">
        <v>20</v>
      </c>
      <c r="B554" s="5" t="s">
        <v>1236</v>
      </c>
      <c r="C554" s="4" t="s">
        <v>63</v>
      </c>
      <c r="D554" s="4" t="s">
        <v>110</v>
      </c>
      <c r="E554" s="4" t="s">
        <v>111</v>
      </c>
      <c r="F554" s="6">
        <f>240</f>
        <v>240</v>
      </c>
      <c r="G554" s="4" t="s">
        <v>112</v>
      </c>
      <c r="H554" s="7">
        <v>3.31</v>
      </c>
      <c r="I554" s="7">
        <v>3.31</v>
      </c>
      <c r="J554" s="8" t="s">
        <v>26</v>
      </c>
      <c r="K554" s="9">
        <f>4.16</f>
        <v>4.16</v>
      </c>
      <c r="L554" s="9">
        <f>998.4</f>
        <v>998.4</v>
      </c>
      <c r="M554" s="4"/>
      <c r="N554" s="10">
        <v>1</v>
      </c>
      <c r="O554" s="4" t="s">
        <v>27</v>
      </c>
      <c r="P554" s="11">
        <v>240</v>
      </c>
      <c r="Q554" s="9">
        <f>998.4</f>
        <v>998.4</v>
      </c>
    </row>
    <row r="555" spans="1:17" ht="45" customHeight="1" x14ac:dyDescent="0.25">
      <c r="A555" s="4" t="s">
        <v>20</v>
      </c>
      <c r="B555" s="5" t="s">
        <v>1237</v>
      </c>
      <c r="C555" s="4" t="s">
        <v>29</v>
      </c>
      <c r="D555" s="4" t="s">
        <v>779</v>
      </c>
      <c r="E555" s="4" t="s">
        <v>780</v>
      </c>
      <c r="F555" s="6">
        <f>60</f>
        <v>60</v>
      </c>
      <c r="G555" s="4" t="s">
        <v>75</v>
      </c>
      <c r="H555" s="7">
        <v>4.29</v>
      </c>
      <c r="I555" s="7">
        <v>4.29</v>
      </c>
      <c r="J555" s="8" t="s">
        <v>26</v>
      </c>
      <c r="K555" s="9">
        <f>5.39</f>
        <v>5.39</v>
      </c>
      <c r="L555" s="9">
        <f>323.4</f>
        <v>323.39999999999998</v>
      </c>
      <c r="M555" s="4"/>
      <c r="N555" s="10">
        <v>1</v>
      </c>
      <c r="O555" s="4" t="s">
        <v>27</v>
      </c>
      <c r="P555" s="11">
        <v>60</v>
      </c>
      <c r="Q555" s="9">
        <f>323.4</f>
        <v>323.39999999999998</v>
      </c>
    </row>
    <row r="556" spans="1:17" ht="45" customHeight="1" x14ac:dyDescent="0.25">
      <c r="A556" s="4" t="s">
        <v>20</v>
      </c>
      <c r="B556" s="5" t="s">
        <v>1238</v>
      </c>
      <c r="C556" s="4" t="s">
        <v>63</v>
      </c>
      <c r="D556" s="4" t="s">
        <v>782</v>
      </c>
      <c r="E556" s="4" t="s">
        <v>783</v>
      </c>
      <c r="F556" s="6">
        <f>2883</f>
        <v>2883</v>
      </c>
      <c r="G556" s="4" t="s">
        <v>25</v>
      </c>
      <c r="H556" s="7">
        <v>20.32</v>
      </c>
      <c r="I556" s="7">
        <v>20.32</v>
      </c>
      <c r="J556" s="8" t="s">
        <v>26</v>
      </c>
      <c r="K556" s="9">
        <f>25.54</f>
        <v>25.54</v>
      </c>
      <c r="L556" s="9">
        <f>73631.82</f>
        <v>73631.820000000007</v>
      </c>
      <c r="M556" s="4"/>
      <c r="N556" s="10">
        <v>1</v>
      </c>
      <c r="O556" s="4" t="s">
        <v>27</v>
      </c>
      <c r="P556" s="11">
        <v>2883</v>
      </c>
      <c r="Q556" s="9">
        <f>73631.82</f>
        <v>73631.820000000007</v>
      </c>
    </row>
    <row r="557" spans="1:17" ht="45" customHeight="1" x14ac:dyDescent="0.25">
      <c r="A557" s="4" t="s">
        <v>20</v>
      </c>
      <c r="B557" s="5" t="s">
        <v>1239</v>
      </c>
      <c r="C557" s="4" t="s">
        <v>29</v>
      </c>
      <c r="D557" s="4" t="s">
        <v>1240</v>
      </c>
      <c r="E557" s="4" t="s">
        <v>1241</v>
      </c>
      <c r="F557" s="6">
        <f>9</f>
        <v>9</v>
      </c>
      <c r="G557" s="4" t="s">
        <v>96</v>
      </c>
      <c r="H557" s="7">
        <v>78.53</v>
      </c>
      <c r="I557" s="7">
        <v>78.53</v>
      </c>
      <c r="J557" s="8" t="s">
        <v>26</v>
      </c>
      <c r="K557" s="9">
        <f>98.71</f>
        <v>98.71</v>
      </c>
      <c r="L557" s="9">
        <f>888.39</f>
        <v>888.39</v>
      </c>
      <c r="M557" s="4"/>
      <c r="N557" s="10">
        <v>1</v>
      </c>
      <c r="O557" s="4" t="s">
        <v>27</v>
      </c>
      <c r="P557" s="11">
        <v>9</v>
      </c>
      <c r="Q557" s="9">
        <f>888.39</f>
        <v>888.39</v>
      </c>
    </row>
    <row r="558" spans="1:17" ht="45" customHeight="1" x14ac:dyDescent="0.25">
      <c r="A558" s="4" t="s">
        <v>20</v>
      </c>
      <c r="B558" s="5" t="s">
        <v>1242</v>
      </c>
      <c r="C558" s="4" t="s">
        <v>63</v>
      </c>
      <c r="D558" s="4" t="s">
        <v>1243</v>
      </c>
      <c r="E558" s="4" t="s">
        <v>1244</v>
      </c>
      <c r="F558" s="6">
        <f>54</f>
        <v>54</v>
      </c>
      <c r="G558" s="4" t="s">
        <v>96</v>
      </c>
      <c r="H558" s="7">
        <v>60.87</v>
      </c>
      <c r="I558" s="7">
        <v>60.87</v>
      </c>
      <c r="J558" s="8" t="s">
        <v>26</v>
      </c>
      <c r="K558" s="9">
        <f>76.51</f>
        <v>76.510000000000005</v>
      </c>
      <c r="L558" s="9">
        <f>4131.54</f>
        <v>4131.54</v>
      </c>
      <c r="M558" s="4"/>
      <c r="N558" s="10">
        <v>1</v>
      </c>
      <c r="O558" s="4" t="s">
        <v>27</v>
      </c>
      <c r="P558" s="11">
        <v>54</v>
      </c>
      <c r="Q558" s="9">
        <f>4131.54</f>
        <v>4131.54</v>
      </c>
    </row>
    <row r="559" spans="1:17" ht="45" customHeight="1" x14ac:dyDescent="0.25">
      <c r="A559" s="4" t="s">
        <v>20</v>
      </c>
      <c r="B559" s="5" t="s">
        <v>1245</v>
      </c>
      <c r="C559" s="4" t="s">
        <v>63</v>
      </c>
      <c r="D559" s="4" t="s">
        <v>1246</v>
      </c>
      <c r="E559" s="4" t="s">
        <v>1247</v>
      </c>
      <c r="F559" s="6">
        <f>12</f>
        <v>12</v>
      </c>
      <c r="G559" s="4" t="s">
        <v>96</v>
      </c>
      <c r="H559" s="7">
        <v>7.65</v>
      </c>
      <c r="I559" s="7">
        <v>7.65</v>
      </c>
      <c r="J559" s="8" t="s">
        <v>26</v>
      </c>
      <c r="K559" s="9">
        <f>9.62</f>
        <v>9.6199999999999992</v>
      </c>
      <c r="L559" s="9">
        <f>115.44</f>
        <v>115.44</v>
      </c>
      <c r="M559" s="4"/>
      <c r="N559" s="10">
        <v>1</v>
      </c>
      <c r="O559" s="4" t="s">
        <v>27</v>
      </c>
      <c r="P559" s="11">
        <v>12</v>
      </c>
      <c r="Q559" s="9">
        <f>115.44</f>
        <v>115.44</v>
      </c>
    </row>
    <row r="560" spans="1:17" ht="45" customHeight="1" x14ac:dyDescent="0.25">
      <c r="A560" s="4" t="s">
        <v>20</v>
      </c>
      <c r="B560" s="5" t="s">
        <v>1248</v>
      </c>
      <c r="C560" s="4" t="s">
        <v>29</v>
      </c>
      <c r="D560" s="4" t="s">
        <v>1249</v>
      </c>
      <c r="E560" s="4" t="s">
        <v>1250</v>
      </c>
      <c r="F560" s="6">
        <f>1010</f>
        <v>1010</v>
      </c>
      <c r="G560" s="4" t="s">
        <v>96</v>
      </c>
      <c r="H560" s="7">
        <v>7.13</v>
      </c>
      <c r="I560" s="7">
        <v>7.13</v>
      </c>
      <c r="J560" s="8" t="s">
        <v>26</v>
      </c>
      <c r="K560" s="9">
        <f>8.96</f>
        <v>8.9600000000000009</v>
      </c>
      <c r="L560" s="9">
        <f>9049.6</f>
        <v>9049.6</v>
      </c>
      <c r="M560" s="4"/>
      <c r="N560" s="10">
        <v>1</v>
      </c>
      <c r="O560" s="4" t="s">
        <v>27</v>
      </c>
      <c r="P560" s="11">
        <v>1010</v>
      </c>
      <c r="Q560" s="9">
        <f>9049.6</f>
        <v>9049.6</v>
      </c>
    </row>
    <row r="561" spans="1:17" ht="45" customHeight="1" x14ac:dyDescent="0.25">
      <c r="A561" s="4" t="s">
        <v>20</v>
      </c>
      <c r="B561" s="5" t="s">
        <v>1251</v>
      </c>
      <c r="C561" s="4" t="s">
        <v>29</v>
      </c>
      <c r="D561" s="4" t="s">
        <v>788</v>
      </c>
      <c r="E561" s="4" t="s">
        <v>789</v>
      </c>
      <c r="F561" s="6">
        <f>0.5</f>
        <v>0.5</v>
      </c>
      <c r="G561" s="4" t="s">
        <v>75</v>
      </c>
      <c r="H561" s="7">
        <v>2336.56</v>
      </c>
      <c r="I561" s="7">
        <v>2336.56</v>
      </c>
      <c r="J561" s="8" t="s">
        <v>26</v>
      </c>
      <c r="K561" s="9">
        <f>2937.06</f>
        <v>2937.06</v>
      </c>
      <c r="L561" s="9">
        <f>1468.53</f>
        <v>1468.53</v>
      </c>
      <c r="M561" s="4"/>
      <c r="N561" s="10">
        <v>1</v>
      </c>
      <c r="O561" s="4" t="s">
        <v>27</v>
      </c>
      <c r="P561" s="11">
        <v>0.5</v>
      </c>
      <c r="Q561" s="9">
        <f>1468.53</f>
        <v>1468.53</v>
      </c>
    </row>
    <row r="562" spans="1:17" ht="45" customHeight="1" x14ac:dyDescent="0.25">
      <c r="A562" s="4" t="s">
        <v>20</v>
      </c>
      <c r="B562" s="5" t="s">
        <v>1252</v>
      </c>
      <c r="C562" s="4" t="s">
        <v>29</v>
      </c>
      <c r="D562" s="4" t="s">
        <v>796</v>
      </c>
      <c r="E562" s="4" t="s">
        <v>797</v>
      </c>
      <c r="F562" s="6">
        <f>184</f>
        <v>184</v>
      </c>
      <c r="G562" s="4" t="s">
        <v>75</v>
      </c>
      <c r="H562" s="7">
        <v>275.52999999999997</v>
      </c>
      <c r="I562" s="7">
        <v>275.52999999999997</v>
      </c>
      <c r="J562" s="8" t="s">
        <v>26</v>
      </c>
      <c r="K562" s="9">
        <f>346.34</f>
        <v>346.34</v>
      </c>
      <c r="L562" s="9">
        <f>63726.56</f>
        <v>63726.559999999998</v>
      </c>
      <c r="M562" s="4"/>
      <c r="N562" s="10">
        <v>1</v>
      </c>
      <c r="O562" s="4" t="s">
        <v>27</v>
      </c>
      <c r="P562" s="11">
        <v>184</v>
      </c>
      <c r="Q562" s="9">
        <f>63726.56</f>
        <v>63726.559999999998</v>
      </c>
    </row>
    <row r="563" spans="1:17" ht="45" customHeight="1" x14ac:dyDescent="0.25">
      <c r="A563" s="4" t="s">
        <v>20</v>
      </c>
      <c r="B563" s="5" t="s">
        <v>1253</v>
      </c>
      <c r="C563" s="4" t="s">
        <v>63</v>
      </c>
      <c r="D563" s="4" t="s">
        <v>799</v>
      </c>
      <c r="E563" s="4" t="s">
        <v>800</v>
      </c>
      <c r="F563" s="6">
        <f>46</f>
        <v>46</v>
      </c>
      <c r="G563" s="4" t="s">
        <v>75</v>
      </c>
      <c r="H563" s="7">
        <v>2416.21</v>
      </c>
      <c r="I563" s="7">
        <v>2416.21</v>
      </c>
      <c r="J563" s="8" t="s">
        <v>26</v>
      </c>
      <c r="K563" s="9">
        <f>3037.18</f>
        <v>3037.18</v>
      </c>
      <c r="L563" s="9">
        <f>139710.28</f>
        <v>139710.28</v>
      </c>
      <c r="M563" s="4"/>
      <c r="N563" s="10">
        <v>1</v>
      </c>
      <c r="O563" s="4" t="s">
        <v>27</v>
      </c>
      <c r="P563" s="11">
        <v>46</v>
      </c>
      <c r="Q563" s="9">
        <f>139710.28</f>
        <v>139710.28</v>
      </c>
    </row>
    <row r="564" spans="1:17" ht="45" customHeight="1" x14ac:dyDescent="0.25">
      <c r="A564" s="4" t="s">
        <v>20</v>
      </c>
      <c r="B564" s="5" t="s">
        <v>1254</v>
      </c>
      <c r="C564" s="4" t="s">
        <v>22</v>
      </c>
      <c r="D564" s="4" t="s">
        <v>897</v>
      </c>
      <c r="E564" s="4" t="s">
        <v>1255</v>
      </c>
      <c r="F564" s="6">
        <f>12</f>
        <v>12</v>
      </c>
      <c r="G564" s="4" t="s">
        <v>96</v>
      </c>
      <c r="H564" s="7">
        <v>302</v>
      </c>
      <c r="I564" s="7">
        <v>302</v>
      </c>
      <c r="J564" s="8" t="s">
        <v>26</v>
      </c>
      <c r="K564" s="9">
        <f>379.61</f>
        <v>379.61</v>
      </c>
      <c r="L564" s="9">
        <f>4555.32</f>
        <v>4555.32</v>
      </c>
      <c r="M564" s="4"/>
      <c r="N564" s="10">
        <v>1</v>
      </c>
      <c r="O564" s="4" t="s">
        <v>27</v>
      </c>
      <c r="P564" s="11">
        <v>12</v>
      </c>
      <c r="Q564" s="9">
        <f>4555.32</f>
        <v>4555.32</v>
      </c>
    </row>
    <row r="565" spans="1:17" ht="45" customHeight="1" x14ac:dyDescent="0.25">
      <c r="A565" s="4" t="s">
        <v>20</v>
      </c>
      <c r="B565" s="5" t="s">
        <v>1256</v>
      </c>
      <c r="C565" s="4" t="s">
        <v>29</v>
      </c>
      <c r="D565" s="4" t="s">
        <v>1074</v>
      </c>
      <c r="E565" s="4" t="s">
        <v>1075</v>
      </c>
      <c r="F565" s="6">
        <f>5</f>
        <v>5</v>
      </c>
      <c r="G565" s="4" t="s">
        <v>46</v>
      </c>
      <c r="H565" s="7">
        <v>382.72</v>
      </c>
      <c r="I565" s="7">
        <v>382.72</v>
      </c>
      <c r="J565" s="8" t="s">
        <v>122</v>
      </c>
      <c r="K565" s="9">
        <f>455.63</f>
        <v>455.63</v>
      </c>
      <c r="L565" s="9">
        <f>2278.15</f>
        <v>2278.15</v>
      </c>
      <c r="M565" s="4"/>
      <c r="N565" s="10">
        <v>1</v>
      </c>
      <c r="O565" s="4" t="s">
        <v>27</v>
      </c>
      <c r="P565" s="11">
        <v>5</v>
      </c>
      <c r="Q565" s="9">
        <f>2278.15</f>
        <v>2278.15</v>
      </c>
    </row>
    <row r="566" spans="1:17" ht="45" customHeight="1" x14ac:dyDescent="0.25">
      <c r="A566" s="4" t="s">
        <v>20</v>
      </c>
      <c r="B566" s="5" t="s">
        <v>1257</v>
      </c>
      <c r="C566" s="4" t="s">
        <v>29</v>
      </c>
      <c r="D566" s="4" t="s">
        <v>1258</v>
      </c>
      <c r="E566" s="4" t="s">
        <v>1259</v>
      </c>
      <c r="F566" s="6">
        <f>12</f>
        <v>12</v>
      </c>
      <c r="G566" s="4" t="s">
        <v>96</v>
      </c>
      <c r="H566" s="7">
        <v>325.35000000000002</v>
      </c>
      <c r="I566" s="7">
        <v>325.35000000000002</v>
      </c>
      <c r="J566" s="8" t="s">
        <v>122</v>
      </c>
      <c r="K566" s="9">
        <f>387.33</f>
        <v>387.33</v>
      </c>
      <c r="L566" s="9">
        <f>4647.96</f>
        <v>4647.96</v>
      </c>
      <c r="M566" s="4"/>
      <c r="N566" s="10">
        <v>1</v>
      </c>
      <c r="O566" s="4" t="s">
        <v>27</v>
      </c>
      <c r="P566" s="11">
        <v>12</v>
      </c>
      <c r="Q566" s="9">
        <f>4647.96</f>
        <v>4647.96</v>
      </c>
    </row>
    <row r="567" spans="1:17" ht="45" customHeight="1" x14ac:dyDescent="0.25">
      <c r="A567" s="4" t="s">
        <v>20</v>
      </c>
      <c r="B567" s="5" t="s">
        <v>1260</v>
      </c>
      <c r="C567" s="4" t="s">
        <v>63</v>
      </c>
      <c r="D567" s="4" t="s">
        <v>1261</v>
      </c>
      <c r="E567" s="4" t="s">
        <v>1262</v>
      </c>
      <c r="F567" s="6">
        <f>1032</f>
        <v>1032</v>
      </c>
      <c r="G567" s="4" t="s">
        <v>96</v>
      </c>
      <c r="H567" s="7">
        <v>149.99</v>
      </c>
      <c r="I567" s="7">
        <v>149.99</v>
      </c>
      <c r="J567" s="8" t="s">
        <v>122</v>
      </c>
      <c r="K567" s="9">
        <f>178.56</f>
        <v>178.56</v>
      </c>
      <c r="L567" s="9">
        <f>184273.92</f>
        <v>184273.92000000001</v>
      </c>
      <c r="M567" s="4"/>
      <c r="N567" s="10">
        <v>1</v>
      </c>
      <c r="O567" s="4" t="s">
        <v>27</v>
      </c>
      <c r="P567" s="11">
        <v>1032</v>
      </c>
      <c r="Q567" s="9">
        <f>184273.92</f>
        <v>184273.92000000001</v>
      </c>
    </row>
    <row r="568" spans="1:17" ht="45" customHeight="1" x14ac:dyDescent="0.25">
      <c r="A568" s="4" t="s">
        <v>17</v>
      </c>
      <c r="B568" s="5" t="s">
        <v>533</v>
      </c>
      <c r="C568" s="4"/>
      <c r="D568" s="4"/>
      <c r="E568" s="4" t="s">
        <v>1263</v>
      </c>
      <c r="F568" s="6"/>
      <c r="G568" s="4"/>
      <c r="H568" s="7"/>
      <c r="I568" s="7"/>
      <c r="J568" s="8"/>
      <c r="K568" s="9"/>
      <c r="L568" s="9">
        <f>304229.42</f>
        <v>304229.42</v>
      </c>
      <c r="M568" s="4"/>
      <c r="N568" s="10"/>
      <c r="O568" s="4"/>
      <c r="P568" s="11"/>
      <c r="Q568" s="9"/>
    </row>
    <row r="569" spans="1:17" ht="45" customHeight="1" x14ac:dyDescent="0.25">
      <c r="A569" s="4" t="s">
        <v>20</v>
      </c>
      <c r="B569" s="5" t="s">
        <v>1264</v>
      </c>
      <c r="C569" s="4" t="s">
        <v>29</v>
      </c>
      <c r="D569" s="4" t="s">
        <v>745</v>
      </c>
      <c r="E569" s="4" t="s">
        <v>746</v>
      </c>
      <c r="F569" s="6">
        <f>1240</f>
        <v>1240</v>
      </c>
      <c r="G569" s="4" t="s">
        <v>96</v>
      </c>
      <c r="H569" s="7">
        <v>3.64</v>
      </c>
      <c r="I569" s="7">
        <v>3.64</v>
      </c>
      <c r="J569" s="8" t="s">
        <v>26</v>
      </c>
      <c r="K569" s="9">
        <f>4.58</f>
        <v>4.58</v>
      </c>
      <c r="L569" s="9">
        <f>5679.2</f>
        <v>5679.2</v>
      </c>
      <c r="M569" s="4"/>
      <c r="N569" s="10">
        <v>1</v>
      </c>
      <c r="O569" s="4" t="s">
        <v>27</v>
      </c>
      <c r="P569" s="11">
        <v>1240</v>
      </c>
      <c r="Q569" s="9">
        <f>5679.2</f>
        <v>5679.2</v>
      </c>
    </row>
    <row r="570" spans="1:17" ht="45" customHeight="1" x14ac:dyDescent="0.25">
      <c r="A570" s="4" t="s">
        <v>20</v>
      </c>
      <c r="B570" s="5" t="s">
        <v>1265</v>
      </c>
      <c r="C570" s="4" t="s">
        <v>29</v>
      </c>
      <c r="D570" s="4" t="s">
        <v>748</v>
      </c>
      <c r="E570" s="4" t="s">
        <v>749</v>
      </c>
      <c r="F570" s="6">
        <f>12</f>
        <v>12</v>
      </c>
      <c r="G570" s="4" t="s">
        <v>46</v>
      </c>
      <c r="H570" s="7">
        <v>2.79</v>
      </c>
      <c r="I570" s="7">
        <v>2.79</v>
      </c>
      <c r="J570" s="8" t="s">
        <v>26</v>
      </c>
      <c r="K570" s="9">
        <f>3.51</f>
        <v>3.51</v>
      </c>
      <c r="L570" s="9">
        <f>42.12</f>
        <v>42.12</v>
      </c>
      <c r="M570" s="4"/>
      <c r="N570" s="10">
        <v>1</v>
      </c>
      <c r="O570" s="4" t="s">
        <v>27</v>
      </c>
      <c r="P570" s="11">
        <v>12</v>
      </c>
      <c r="Q570" s="9">
        <f>42.12</f>
        <v>42.12</v>
      </c>
    </row>
    <row r="571" spans="1:17" ht="45" customHeight="1" x14ac:dyDescent="0.25">
      <c r="A571" s="4" t="s">
        <v>20</v>
      </c>
      <c r="B571" s="5" t="s">
        <v>1266</v>
      </c>
      <c r="C571" s="4" t="s">
        <v>29</v>
      </c>
      <c r="D571" s="4" t="s">
        <v>751</v>
      </c>
      <c r="E571" s="4" t="s">
        <v>752</v>
      </c>
      <c r="F571" s="6">
        <f>62</f>
        <v>62</v>
      </c>
      <c r="G571" s="4" t="s">
        <v>46</v>
      </c>
      <c r="H571" s="7">
        <v>1.27</v>
      </c>
      <c r="I571" s="7">
        <v>1.27</v>
      </c>
      <c r="J571" s="8" t="s">
        <v>26</v>
      </c>
      <c r="K571" s="9">
        <f>1.6</f>
        <v>1.6</v>
      </c>
      <c r="L571" s="9">
        <f>99.2</f>
        <v>99.2</v>
      </c>
      <c r="M571" s="4"/>
      <c r="N571" s="10">
        <v>1</v>
      </c>
      <c r="O571" s="4" t="s">
        <v>27</v>
      </c>
      <c r="P571" s="11">
        <v>62</v>
      </c>
      <c r="Q571" s="9">
        <f>99.2</f>
        <v>99.2</v>
      </c>
    </row>
    <row r="572" spans="1:17" ht="45" customHeight="1" x14ac:dyDescent="0.25">
      <c r="A572" s="4" t="s">
        <v>20</v>
      </c>
      <c r="B572" s="5" t="s">
        <v>1267</v>
      </c>
      <c r="C572" s="4" t="s">
        <v>29</v>
      </c>
      <c r="D572" s="4" t="s">
        <v>754</v>
      </c>
      <c r="E572" s="4" t="s">
        <v>755</v>
      </c>
      <c r="F572" s="6">
        <f>100</f>
        <v>100</v>
      </c>
      <c r="G572" s="4" t="s">
        <v>25</v>
      </c>
      <c r="H572" s="7">
        <v>13.48</v>
      </c>
      <c r="I572" s="7">
        <v>13.48</v>
      </c>
      <c r="J572" s="8" t="s">
        <v>26</v>
      </c>
      <c r="K572" s="9">
        <f>16.94</f>
        <v>16.940000000000001</v>
      </c>
      <c r="L572" s="9">
        <f>1694</f>
        <v>1694</v>
      </c>
      <c r="M572" s="4"/>
      <c r="N572" s="10">
        <v>1</v>
      </c>
      <c r="O572" s="4" t="s">
        <v>27</v>
      </c>
      <c r="P572" s="11">
        <v>100</v>
      </c>
      <c r="Q572" s="9">
        <f>1694</f>
        <v>1694</v>
      </c>
    </row>
    <row r="573" spans="1:17" ht="45" customHeight="1" x14ac:dyDescent="0.25">
      <c r="A573" s="4" t="s">
        <v>20</v>
      </c>
      <c r="B573" s="5" t="s">
        <v>1268</v>
      </c>
      <c r="C573" s="4" t="s">
        <v>29</v>
      </c>
      <c r="D573" s="4" t="s">
        <v>757</v>
      </c>
      <c r="E573" s="4" t="s">
        <v>758</v>
      </c>
      <c r="F573" s="6">
        <f>13</f>
        <v>13</v>
      </c>
      <c r="G573" s="4" t="s">
        <v>25</v>
      </c>
      <c r="H573" s="7">
        <v>4.66</v>
      </c>
      <c r="I573" s="7">
        <v>4.66</v>
      </c>
      <c r="J573" s="8" t="s">
        <v>26</v>
      </c>
      <c r="K573" s="9">
        <f>5.86</f>
        <v>5.86</v>
      </c>
      <c r="L573" s="9">
        <f>76.18</f>
        <v>76.180000000000007</v>
      </c>
      <c r="M573" s="4"/>
      <c r="N573" s="10">
        <v>1</v>
      </c>
      <c r="O573" s="4" t="s">
        <v>27</v>
      </c>
      <c r="P573" s="11">
        <v>13</v>
      </c>
      <c r="Q573" s="9">
        <f>76.18</f>
        <v>76.180000000000007</v>
      </c>
    </row>
    <row r="574" spans="1:17" ht="45" customHeight="1" x14ac:dyDescent="0.25">
      <c r="A574" s="4" t="s">
        <v>20</v>
      </c>
      <c r="B574" s="5" t="s">
        <v>1269</v>
      </c>
      <c r="C574" s="4" t="s">
        <v>29</v>
      </c>
      <c r="D574" s="4" t="s">
        <v>760</v>
      </c>
      <c r="E574" s="4" t="s">
        <v>761</v>
      </c>
      <c r="F574" s="6">
        <f>155</f>
        <v>155</v>
      </c>
      <c r="G574" s="4" t="s">
        <v>46</v>
      </c>
      <c r="H574" s="7">
        <v>6.58</v>
      </c>
      <c r="I574" s="7">
        <v>6.58</v>
      </c>
      <c r="J574" s="8" t="s">
        <v>26</v>
      </c>
      <c r="K574" s="9">
        <f>8.27</f>
        <v>8.27</v>
      </c>
      <c r="L574" s="9">
        <f>1281.85</f>
        <v>1281.8499999999999</v>
      </c>
      <c r="M574" s="4"/>
      <c r="N574" s="10">
        <v>1</v>
      </c>
      <c r="O574" s="4" t="s">
        <v>27</v>
      </c>
      <c r="P574" s="11">
        <v>155</v>
      </c>
      <c r="Q574" s="9">
        <f>1281.85</f>
        <v>1281.8499999999999</v>
      </c>
    </row>
    <row r="575" spans="1:17" ht="45" customHeight="1" x14ac:dyDescent="0.25">
      <c r="A575" s="4" t="s">
        <v>20</v>
      </c>
      <c r="B575" s="5" t="s">
        <v>1270</v>
      </c>
      <c r="C575" s="4" t="s">
        <v>29</v>
      </c>
      <c r="D575" s="4" t="s">
        <v>763</v>
      </c>
      <c r="E575" s="4" t="s">
        <v>764</v>
      </c>
      <c r="F575" s="6">
        <f>1116</f>
        <v>1116</v>
      </c>
      <c r="G575" s="4" t="s">
        <v>25</v>
      </c>
      <c r="H575" s="7">
        <v>1.27</v>
      </c>
      <c r="I575" s="7">
        <v>1.27</v>
      </c>
      <c r="J575" s="8" t="s">
        <v>26</v>
      </c>
      <c r="K575" s="9">
        <f>1.6</f>
        <v>1.6</v>
      </c>
      <c r="L575" s="9">
        <f>1785.6</f>
        <v>1785.6</v>
      </c>
      <c r="M575" s="4"/>
      <c r="N575" s="10">
        <v>1</v>
      </c>
      <c r="O575" s="4" t="s">
        <v>27</v>
      </c>
      <c r="P575" s="11">
        <v>1116</v>
      </c>
      <c r="Q575" s="9">
        <f>1785.6</f>
        <v>1785.6</v>
      </c>
    </row>
    <row r="576" spans="1:17" ht="45" customHeight="1" x14ac:dyDescent="0.25">
      <c r="A576" s="4" t="s">
        <v>20</v>
      </c>
      <c r="B576" s="5" t="s">
        <v>1271</v>
      </c>
      <c r="C576" s="4" t="s">
        <v>63</v>
      </c>
      <c r="D576" s="4" t="s">
        <v>766</v>
      </c>
      <c r="E576" s="4" t="s">
        <v>767</v>
      </c>
      <c r="F576" s="6">
        <f>1116</f>
        <v>1116</v>
      </c>
      <c r="G576" s="4" t="s">
        <v>25</v>
      </c>
      <c r="H576" s="7">
        <v>1.94</v>
      </c>
      <c r="I576" s="7">
        <v>1.94</v>
      </c>
      <c r="J576" s="8" t="s">
        <v>26</v>
      </c>
      <c r="K576" s="9">
        <f>2.44</f>
        <v>2.44</v>
      </c>
      <c r="L576" s="9">
        <f>2723.04</f>
        <v>2723.04</v>
      </c>
      <c r="M576" s="4"/>
      <c r="N576" s="10">
        <v>1</v>
      </c>
      <c r="O576" s="4" t="s">
        <v>27</v>
      </c>
      <c r="P576" s="11">
        <v>1116</v>
      </c>
      <c r="Q576" s="9">
        <f>2723.04</f>
        <v>2723.04</v>
      </c>
    </row>
    <row r="577" spans="1:17" ht="45" customHeight="1" x14ac:dyDescent="0.25">
      <c r="A577" s="4" t="s">
        <v>20</v>
      </c>
      <c r="B577" s="5" t="s">
        <v>1272</v>
      </c>
      <c r="C577" s="4" t="s">
        <v>29</v>
      </c>
      <c r="D577" s="4" t="s">
        <v>769</v>
      </c>
      <c r="E577" s="4" t="s">
        <v>770</v>
      </c>
      <c r="F577" s="6">
        <f>2</f>
        <v>2</v>
      </c>
      <c r="G577" s="4" t="s">
        <v>46</v>
      </c>
      <c r="H577" s="7">
        <v>566.28</v>
      </c>
      <c r="I577" s="7">
        <v>566.28</v>
      </c>
      <c r="J577" s="8" t="s">
        <v>26</v>
      </c>
      <c r="K577" s="9">
        <f>711.81</f>
        <v>711.81</v>
      </c>
      <c r="L577" s="9">
        <f>1423.62</f>
        <v>1423.62</v>
      </c>
      <c r="M577" s="4"/>
      <c r="N577" s="10">
        <v>1</v>
      </c>
      <c r="O577" s="4" t="s">
        <v>27</v>
      </c>
      <c r="P577" s="11">
        <v>2</v>
      </c>
      <c r="Q577" s="9">
        <f>1423.62</f>
        <v>1423.62</v>
      </c>
    </row>
    <row r="578" spans="1:17" ht="45" customHeight="1" x14ac:dyDescent="0.25">
      <c r="A578" s="4" t="s">
        <v>20</v>
      </c>
      <c r="B578" s="5" t="s">
        <v>1273</v>
      </c>
      <c r="C578" s="4" t="s">
        <v>63</v>
      </c>
      <c r="D578" s="4" t="s">
        <v>213</v>
      </c>
      <c r="E578" s="4" t="s">
        <v>214</v>
      </c>
      <c r="F578" s="6">
        <f>575</f>
        <v>575</v>
      </c>
      <c r="G578" s="4" t="s">
        <v>75</v>
      </c>
      <c r="H578" s="7">
        <v>13.66</v>
      </c>
      <c r="I578" s="7">
        <v>13.66</v>
      </c>
      <c r="J578" s="8" t="s">
        <v>26</v>
      </c>
      <c r="K578" s="9">
        <f>17.17</f>
        <v>17.170000000000002</v>
      </c>
      <c r="L578" s="9">
        <f>9872.75</f>
        <v>9872.75</v>
      </c>
      <c r="M578" s="4"/>
      <c r="N578" s="10">
        <v>1</v>
      </c>
      <c r="O578" s="4" t="s">
        <v>27</v>
      </c>
      <c r="P578" s="11">
        <v>575</v>
      </c>
      <c r="Q578" s="9">
        <f>9872.75</f>
        <v>9872.75</v>
      </c>
    </row>
    <row r="579" spans="1:17" ht="45" customHeight="1" x14ac:dyDescent="0.25">
      <c r="A579" s="4" t="s">
        <v>20</v>
      </c>
      <c r="B579" s="5" t="s">
        <v>1274</v>
      </c>
      <c r="C579" s="4" t="s">
        <v>63</v>
      </c>
      <c r="D579" s="4" t="s">
        <v>219</v>
      </c>
      <c r="E579" s="4" t="s">
        <v>220</v>
      </c>
      <c r="F579" s="6">
        <f>496</f>
        <v>496</v>
      </c>
      <c r="G579" s="4" t="s">
        <v>25</v>
      </c>
      <c r="H579" s="7">
        <v>6.38</v>
      </c>
      <c r="I579" s="7">
        <v>6.38</v>
      </c>
      <c r="J579" s="8" t="s">
        <v>26</v>
      </c>
      <c r="K579" s="9">
        <f>8.02</f>
        <v>8.02</v>
      </c>
      <c r="L579" s="9">
        <f>3977.92</f>
        <v>3977.92</v>
      </c>
      <c r="M579" s="4"/>
      <c r="N579" s="10">
        <v>1</v>
      </c>
      <c r="O579" s="4" t="s">
        <v>27</v>
      </c>
      <c r="P579" s="11">
        <v>496</v>
      </c>
      <c r="Q579" s="9">
        <f>3977.92</f>
        <v>3977.92</v>
      </c>
    </row>
    <row r="580" spans="1:17" ht="45" customHeight="1" x14ac:dyDescent="0.25">
      <c r="A580" s="4" t="s">
        <v>20</v>
      </c>
      <c r="B580" s="5" t="s">
        <v>1275</v>
      </c>
      <c r="C580" s="4" t="s">
        <v>29</v>
      </c>
      <c r="D580" s="4" t="s">
        <v>216</v>
      </c>
      <c r="E580" s="4" t="s">
        <v>217</v>
      </c>
      <c r="F580" s="6">
        <f>575</f>
        <v>575</v>
      </c>
      <c r="G580" s="4" t="s">
        <v>75</v>
      </c>
      <c r="H580" s="7">
        <v>35.19</v>
      </c>
      <c r="I580" s="7">
        <v>35.19</v>
      </c>
      <c r="J580" s="8" t="s">
        <v>26</v>
      </c>
      <c r="K580" s="9">
        <f>44.23</f>
        <v>44.23</v>
      </c>
      <c r="L580" s="9">
        <f>25432.25</f>
        <v>25432.25</v>
      </c>
      <c r="M580" s="4"/>
      <c r="N580" s="10">
        <v>1</v>
      </c>
      <c r="O580" s="4" t="s">
        <v>27</v>
      </c>
      <c r="P580" s="11">
        <v>575</v>
      </c>
      <c r="Q580" s="9">
        <f>25432.25</f>
        <v>25432.25</v>
      </c>
    </row>
    <row r="581" spans="1:17" ht="45" customHeight="1" x14ac:dyDescent="0.25">
      <c r="A581" s="4" t="s">
        <v>20</v>
      </c>
      <c r="B581" s="5" t="s">
        <v>1276</v>
      </c>
      <c r="C581" s="4" t="s">
        <v>63</v>
      </c>
      <c r="D581" s="4" t="s">
        <v>107</v>
      </c>
      <c r="E581" s="4" t="s">
        <v>108</v>
      </c>
      <c r="F581" s="6">
        <f>36</f>
        <v>36</v>
      </c>
      <c r="G581" s="4" t="s">
        <v>75</v>
      </c>
      <c r="H581" s="7">
        <v>8.64</v>
      </c>
      <c r="I581" s="7">
        <v>8.64</v>
      </c>
      <c r="J581" s="8" t="s">
        <v>26</v>
      </c>
      <c r="K581" s="9">
        <f>10.86</f>
        <v>10.86</v>
      </c>
      <c r="L581" s="9">
        <f>390.96</f>
        <v>390.96</v>
      </c>
      <c r="M581" s="4"/>
      <c r="N581" s="10">
        <v>1</v>
      </c>
      <c r="O581" s="4" t="s">
        <v>27</v>
      </c>
      <c r="P581" s="11">
        <v>36</v>
      </c>
      <c r="Q581" s="9">
        <f>390.96</f>
        <v>390.96</v>
      </c>
    </row>
    <row r="582" spans="1:17" ht="45" customHeight="1" x14ac:dyDescent="0.25">
      <c r="A582" s="4" t="s">
        <v>20</v>
      </c>
      <c r="B582" s="5" t="s">
        <v>1277</v>
      </c>
      <c r="C582" s="4" t="s">
        <v>63</v>
      </c>
      <c r="D582" s="4" t="s">
        <v>110</v>
      </c>
      <c r="E582" s="4" t="s">
        <v>111</v>
      </c>
      <c r="F582" s="6">
        <f>144</f>
        <v>144</v>
      </c>
      <c r="G582" s="4" t="s">
        <v>112</v>
      </c>
      <c r="H582" s="7">
        <v>3.31</v>
      </c>
      <c r="I582" s="7">
        <v>3.31</v>
      </c>
      <c r="J582" s="8" t="s">
        <v>26</v>
      </c>
      <c r="K582" s="9">
        <f>4.16</f>
        <v>4.16</v>
      </c>
      <c r="L582" s="9">
        <f>599.04</f>
        <v>599.04</v>
      </c>
      <c r="M582" s="4"/>
      <c r="N582" s="10">
        <v>1</v>
      </c>
      <c r="O582" s="4" t="s">
        <v>27</v>
      </c>
      <c r="P582" s="11">
        <v>144</v>
      </c>
      <c r="Q582" s="9">
        <f>599.04</f>
        <v>599.04</v>
      </c>
    </row>
    <row r="583" spans="1:17" ht="45" customHeight="1" x14ac:dyDescent="0.25">
      <c r="A583" s="4" t="s">
        <v>20</v>
      </c>
      <c r="B583" s="5" t="s">
        <v>1278</v>
      </c>
      <c r="C583" s="4" t="s">
        <v>29</v>
      </c>
      <c r="D583" s="4" t="s">
        <v>779</v>
      </c>
      <c r="E583" s="4" t="s">
        <v>780</v>
      </c>
      <c r="F583" s="6">
        <f>36</f>
        <v>36</v>
      </c>
      <c r="G583" s="4" t="s">
        <v>75</v>
      </c>
      <c r="H583" s="7">
        <v>4.29</v>
      </c>
      <c r="I583" s="7">
        <v>4.29</v>
      </c>
      <c r="J583" s="8" t="s">
        <v>26</v>
      </c>
      <c r="K583" s="9">
        <f>5.39</f>
        <v>5.39</v>
      </c>
      <c r="L583" s="9">
        <f>194.04</f>
        <v>194.04</v>
      </c>
      <c r="M583" s="4"/>
      <c r="N583" s="10">
        <v>1</v>
      </c>
      <c r="O583" s="4" t="s">
        <v>27</v>
      </c>
      <c r="P583" s="11">
        <v>36</v>
      </c>
      <c r="Q583" s="9">
        <f>194.04</f>
        <v>194.04</v>
      </c>
    </row>
    <row r="584" spans="1:17" ht="45" customHeight="1" x14ac:dyDescent="0.25">
      <c r="A584" s="4" t="s">
        <v>20</v>
      </c>
      <c r="B584" s="5" t="s">
        <v>1279</v>
      </c>
      <c r="C584" s="4" t="s">
        <v>29</v>
      </c>
      <c r="D584" s="4" t="s">
        <v>1280</v>
      </c>
      <c r="E584" s="4" t="s">
        <v>1281</v>
      </c>
      <c r="F584" s="6">
        <f>5</f>
        <v>5</v>
      </c>
      <c r="G584" s="4" t="s">
        <v>96</v>
      </c>
      <c r="H584" s="7">
        <v>74.08</v>
      </c>
      <c r="I584" s="7">
        <v>74.08</v>
      </c>
      <c r="J584" s="8" t="s">
        <v>26</v>
      </c>
      <c r="K584" s="9">
        <f>93.12</f>
        <v>93.12</v>
      </c>
      <c r="L584" s="9">
        <f>465.6</f>
        <v>465.6</v>
      </c>
      <c r="M584" s="4"/>
      <c r="N584" s="10">
        <v>1</v>
      </c>
      <c r="O584" s="4" t="s">
        <v>27</v>
      </c>
      <c r="P584" s="11">
        <v>5</v>
      </c>
      <c r="Q584" s="9">
        <f>465.6</f>
        <v>465.6</v>
      </c>
    </row>
    <row r="585" spans="1:17" ht="45" customHeight="1" x14ac:dyDescent="0.25">
      <c r="A585" s="4" t="s">
        <v>20</v>
      </c>
      <c r="B585" s="5" t="s">
        <v>1282</v>
      </c>
      <c r="C585" s="4" t="s">
        <v>29</v>
      </c>
      <c r="D585" s="4" t="s">
        <v>788</v>
      </c>
      <c r="E585" s="4" t="s">
        <v>789</v>
      </c>
      <c r="F585" s="6">
        <f>1.3</f>
        <v>1.3</v>
      </c>
      <c r="G585" s="4" t="s">
        <v>75</v>
      </c>
      <c r="H585" s="7">
        <v>2336.56</v>
      </c>
      <c r="I585" s="7">
        <v>2336.56</v>
      </c>
      <c r="J585" s="8" t="s">
        <v>26</v>
      </c>
      <c r="K585" s="9">
        <f>2937.06</f>
        <v>2937.06</v>
      </c>
      <c r="L585" s="9">
        <f>3818.18</f>
        <v>3818.18</v>
      </c>
      <c r="M585" s="4"/>
      <c r="N585" s="10">
        <v>1</v>
      </c>
      <c r="O585" s="4" t="s">
        <v>27</v>
      </c>
      <c r="P585" s="11">
        <v>1.3</v>
      </c>
      <c r="Q585" s="9">
        <f>3818.18</f>
        <v>3818.18</v>
      </c>
    </row>
    <row r="586" spans="1:17" ht="45" customHeight="1" x14ac:dyDescent="0.25">
      <c r="A586" s="4" t="s">
        <v>20</v>
      </c>
      <c r="B586" s="5" t="s">
        <v>1283</v>
      </c>
      <c r="C586" s="4" t="s">
        <v>29</v>
      </c>
      <c r="D586" s="4" t="s">
        <v>1249</v>
      </c>
      <c r="E586" s="4" t="s">
        <v>1250</v>
      </c>
      <c r="F586" s="6">
        <f>620</f>
        <v>620</v>
      </c>
      <c r="G586" s="4" t="s">
        <v>96</v>
      </c>
      <c r="H586" s="7">
        <v>7.13</v>
      </c>
      <c r="I586" s="7">
        <v>7.13</v>
      </c>
      <c r="J586" s="8" t="s">
        <v>26</v>
      </c>
      <c r="K586" s="9">
        <f>8.96</f>
        <v>8.9600000000000009</v>
      </c>
      <c r="L586" s="9">
        <f>5555.2</f>
        <v>5555.2</v>
      </c>
      <c r="M586" s="4"/>
      <c r="N586" s="10">
        <v>1</v>
      </c>
      <c r="O586" s="4" t="s">
        <v>27</v>
      </c>
      <c r="P586" s="11">
        <v>620</v>
      </c>
      <c r="Q586" s="9">
        <f>5555.2</f>
        <v>5555.2</v>
      </c>
    </row>
    <row r="587" spans="1:17" ht="45" customHeight="1" x14ac:dyDescent="0.25">
      <c r="A587" s="4" t="s">
        <v>20</v>
      </c>
      <c r="B587" s="5" t="s">
        <v>1284</v>
      </c>
      <c r="C587" s="4" t="s">
        <v>29</v>
      </c>
      <c r="D587" s="4" t="s">
        <v>796</v>
      </c>
      <c r="E587" s="4" t="s">
        <v>797</v>
      </c>
      <c r="F587" s="6">
        <f>112</f>
        <v>112</v>
      </c>
      <c r="G587" s="4" t="s">
        <v>75</v>
      </c>
      <c r="H587" s="7">
        <v>275.52999999999997</v>
      </c>
      <c r="I587" s="7">
        <v>275.52999999999997</v>
      </c>
      <c r="J587" s="8" t="s">
        <v>26</v>
      </c>
      <c r="K587" s="9">
        <f>346.34</f>
        <v>346.34</v>
      </c>
      <c r="L587" s="9">
        <f>38790.08</f>
        <v>38790.080000000002</v>
      </c>
      <c r="M587" s="4"/>
      <c r="N587" s="10">
        <v>1</v>
      </c>
      <c r="O587" s="4" t="s">
        <v>27</v>
      </c>
      <c r="P587" s="11">
        <v>112</v>
      </c>
      <c r="Q587" s="9">
        <f>38790.08</f>
        <v>38790.080000000002</v>
      </c>
    </row>
    <row r="588" spans="1:17" ht="45" customHeight="1" x14ac:dyDescent="0.25">
      <c r="A588" s="4" t="s">
        <v>20</v>
      </c>
      <c r="B588" s="5" t="s">
        <v>1285</v>
      </c>
      <c r="C588" s="4" t="s">
        <v>63</v>
      </c>
      <c r="D588" s="4" t="s">
        <v>799</v>
      </c>
      <c r="E588" s="4" t="s">
        <v>800</v>
      </c>
      <c r="F588" s="6">
        <f>28</f>
        <v>28</v>
      </c>
      <c r="G588" s="4" t="s">
        <v>75</v>
      </c>
      <c r="H588" s="7">
        <v>2416.21</v>
      </c>
      <c r="I588" s="7">
        <v>2416.21</v>
      </c>
      <c r="J588" s="8" t="s">
        <v>26</v>
      </c>
      <c r="K588" s="9">
        <f>3037.18</f>
        <v>3037.18</v>
      </c>
      <c r="L588" s="9">
        <f>85041.04</f>
        <v>85041.04</v>
      </c>
      <c r="M588" s="4"/>
      <c r="N588" s="10">
        <v>1</v>
      </c>
      <c r="O588" s="4" t="s">
        <v>27</v>
      </c>
      <c r="P588" s="11">
        <v>28</v>
      </c>
      <c r="Q588" s="9">
        <f>85041.04</f>
        <v>85041.04</v>
      </c>
    </row>
    <row r="589" spans="1:17" ht="45" customHeight="1" x14ac:dyDescent="0.25">
      <c r="A589" s="4" t="s">
        <v>20</v>
      </c>
      <c r="B589" s="5" t="s">
        <v>1286</v>
      </c>
      <c r="C589" s="4" t="s">
        <v>29</v>
      </c>
      <c r="D589" s="4" t="s">
        <v>1287</v>
      </c>
      <c r="E589" s="4" t="s">
        <v>1288</v>
      </c>
      <c r="F589" s="6">
        <f>4</f>
        <v>4</v>
      </c>
      <c r="G589" s="4" t="s">
        <v>46</v>
      </c>
      <c r="H589" s="7">
        <v>267</v>
      </c>
      <c r="I589" s="7">
        <v>267</v>
      </c>
      <c r="J589" s="8" t="s">
        <v>122</v>
      </c>
      <c r="K589" s="9">
        <f>317.86</f>
        <v>317.86</v>
      </c>
      <c r="L589" s="9">
        <f>1271.44</f>
        <v>1271.44</v>
      </c>
      <c r="M589" s="4"/>
      <c r="N589" s="10">
        <v>1</v>
      </c>
      <c r="O589" s="4" t="s">
        <v>27</v>
      </c>
      <c r="P589" s="11">
        <v>4</v>
      </c>
      <c r="Q589" s="9">
        <f>1271.44</f>
        <v>1271.44</v>
      </c>
    </row>
    <row r="590" spans="1:17" ht="45" customHeight="1" x14ac:dyDescent="0.25">
      <c r="A590" s="4" t="s">
        <v>20</v>
      </c>
      <c r="B590" s="5" t="s">
        <v>1289</v>
      </c>
      <c r="C590" s="4" t="s">
        <v>29</v>
      </c>
      <c r="D590" s="4" t="s">
        <v>1290</v>
      </c>
      <c r="E590" s="4" t="s">
        <v>1291</v>
      </c>
      <c r="F590" s="6">
        <f>2</f>
        <v>2</v>
      </c>
      <c r="G590" s="4" t="s">
        <v>46</v>
      </c>
      <c r="H590" s="7">
        <v>207.9</v>
      </c>
      <c r="I590" s="7">
        <v>207.9</v>
      </c>
      <c r="J590" s="8" t="s">
        <v>122</v>
      </c>
      <c r="K590" s="9">
        <f>247.5</f>
        <v>247.5</v>
      </c>
      <c r="L590" s="9">
        <f>495</f>
        <v>495</v>
      </c>
      <c r="M590" s="4"/>
      <c r="N590" s="10">
        <v>1</v>
      </c>
      <c r="O590" s="4" t="s">
        <v>27</v>
      </c>
      <c r="P590" s="11">
        <v>2</v>
      </c>
      <c r="Q590" s="9">
        <f>495</f>
        <v>495</v>
      </c>
    </row>
    <row r="591" spans="1:17" ht="45" customHeight="1" x14ac:dyDescent="0.25">
      <c r="A591" s="4" t="s">
        <v>20</v>
      </c>
      <c r="B591" s="5" t="s">
        <v>1292</v>
      </c>
      <c r="C591" s="4" t="s">
        <v>29</v>
      </c>
      <c r="D591" s="4" t="s">
        <v>1293</v>
      </c>
      <c r="E591" s="4" t="s">
        <v>1294</v>
      </c>
      <c r="F591" s="6">
        <f>2</f>
        <v>2</v>
      </c>
      <c r="G591" s="4" t="s">
        <v>46</v>
      </c>
      <c r="H591" s="7">
        <v>240.52</v>
      </c>
      <c r="I591" s="7">
        <v>240.52</v>
      </c>
      <c r="J591" s="8" t="s">
        <v>122</v>
      </c>
      <c r="K591" s="9">
        <f>286.34</f>
        <v>286.33999999999997</v>
      </c>
      <c r="L591" s="9">
        <f>572.68</f>
        <v>572.67999999999995</v>
      </c>
      <c r="M591" s="4"/>
      <c r="N591" s="10">
        <v>1</v>
      </c>
      <c r="O591" s="4" t="s">
        <v>27</v>
      </c>
      <c r="P591" s="11">
        <v>2</v>
      </c>
      <c r="Q591" s="9">
        <f>572.68</f>
        <v>572.67999999999995</v>
      </c>
    </row>
    <row r="592" spans="1:17" ht="45" customHeight="1" x14ac:dyDescent="0.25">
      <c r="A592" s="4" t="s">
        <v>20</v>
      </c>
      <c r="B592" s="5" t="s">
        <v>1295</v>
      </c>
      <c r="C592" s="4" t="s">
        <v>29</v>
      </c>
      <c r="D592" s="4" t="s">
        <v>1074</v>
      </c>
      <c r="E592" s="4" t="s">
        <v>1075</v>
      </c>
      <c r="F592" s="6">
        <f>1</f>
        <v>1</v>
      </c>
      <c r="G592" s="4" t="s">
        <v>46</v>
      </c>
      <c r="H592" s="7">
        <v>382.72</v>
      </c>
      <c r="I592" s="7">
        <v>382.72</v>
      </c>
      <c r="J592" s="8" t="s">
        <v>122</v>
      </c>
      <c r="K592" s="9">
        <f>455.63</f>
        <v>455.63</v>
      </c>
      <c r="L592" s="9">
        <f>455.63</f>
        <v>455.63</v>
      </c>
      <c r="M592" s="4"/>
      <c r="N592" s="10">
        <v>1</v>
      </c>
      <c r="O592" s="4" t="s">
        <v>27</v>
      </c>
      <c r="P592" s="11">
        <v>1</v>
      </c>
      <c r="Q592" s="9">
        <f>455.63</f>
        <v>455.63</v>
      </c>
    </row>
    <row r="593" spans="1:17" ht="45" customHeight="1" x14ac:dyDescent="0.25">
      <c r="A593" s="4" t="s">
        <v>20</v>
      </c>
      <c r="B593" s="5" t="s">
        <v>1296</v>
      </c>
      <c r="C593" s="4" t="s">
        <v>63</v>
      </c>
      <c r="D593" s="4" t="s">
        <v>1261</v>
      </c>
      <c r="E593" s="4" t="s">
        <v>1262</v>
      </c>
      <c r="F593" s="6">
        <f>630</f>
        <v>630</v>
      </c>
      <c r="G593" s="4" t="s">
        <v>96</v>
      </c>
      <c r="H593" s="7">
        <v>149.99</v>
      </c>
      <c r="I593" s="7">
        <v>149.99</v>
      </c>
      <c r="J593" s="8" t="s">
        <v>122</v>
      </c>
      <c r="K593" s="9">
        <f>178.56</f>
        <v>178.56</v>
      </c>
      <c r="L593" s="9">
        <f>112492.8</f>
        <v>112492.8</v>
      </c>
      <c r="M593" s="4"/>
      <c r="N593" s="10">
        <v>1</v>
      </c>
      <c r="O593" s="4" t="s">
        <v>27</v>
      </c>
      <c r="P593" s="11">
        <v>630</v>
      </c>
      <c r="Q593" s="9">
        <f>112492.8</f>
        <v>112492.8</v>
      </c>
    </row>
    <row r="594" spans="1:17" ht="45" customHeight="1" x14ac:dyDescent="0.25">
      <c r="A594" s="4" t="s">
        <v>17</v>
      </c>
      <c r="B594" s="5" t="s">
        <v>101</v>
      </c>
      <c r="C594" s="4"/>
      <c r="D594" s="4"/>
      <c r="E594" s="4" t="s">
        <v>1297</v>
      </c>
      <c r="F594" s="6"/>
      <c r="G594" s="4"/>
      <c r="H594" s="7"/>
      <c r="I594" s="7"/>
      <c r="J594" s="8"/>
      <c r="K594" s="9"/>
      <c r="L594" s="9">
        <f>150630.2</f>
        <v>150630.20000000001</v>
      </c>
      <c r="M594" s="4"/>
      <c r="N594" s="10"/>
      <c r="O594" s="4"/>
      <c r="P594" s="11"/>
      <c r="Q594" s="9"/>
    </row>
    <row r="595" spans="1:17" ht="45" customHeight="1" x14ac:dyDescent="0.25">
      <c r="A595" s="4" t="s">
        <v>20</v>
      </c>
      <c r="B595" s="5" t="s">
        <v>1298</v>
      </c>
      <c r="C595" s="4" t="s">
        <v>29</v>
      </c>
      <c r="D595" s="4" t="s">
        <v>87</v>
      </c>
      <c r="E595" s="4" t="s">
        <v>88</v>
      </c>
      <c r="F595" s="6">
        <f>123.5</f>
        <v>123.5</v>
      </c>
      <c r="G595" s="4" t="s">
        <v>79</v>
      </c>
      <c r="H595" s="7">
        <v>4.54</v>
      </c>
      <c r="I595" s="7">
        <v>4.54</v>
      </c>
      <c r="J595" s="8" t="s">
        <v>26</v>
      </c>
      <c r="K595" s="9">
        <f>5.71</f>
        <v>5.71</v>
      </c>
      <c r="L595" s="9">
        <f>705.19</f>
        <v>705.19</v>
      </c>
      <c r="M595" s="4"/>
      <c r="N595" s="10">
        <v>1</v>
      </c>
      <c r="O595" s="4" t="s">
        <v>27</v>
      </c>
      <c r="P595" s="11">
        <v>123.5</v>
      </c>
      <c r="Q595" s="9">
        <f>705.19</f>
        <v>705.19</v>
      </c>
    </row>
    <row r="596" spans="1:17" ht="45" customHeight="1" x14ac:dyDescent="0.25">
      <c r="A596" s="4" t="s">
        <v>20</v>
      </c>
      <c r="B596" s="5" t="s">
        <v>1299</v>
      </c>
      <c r="C596" s="4" t="s">
        <v>63</v>
      </c>
      <c r="D596" s="4" t="s">
        <v>958</v>
      </c>
      <c r="E596" s="4" t="s">
        <v>959</v>
      </c>
      <c r="F596" s="6">
        <f>6</f>
        <v>6</v>
      </c>
      <c r="G596" s="4" t="s">
        <v>96</v>
      </c>
      <c r="H596" s="7">
        <v>3.27</v>
      </c>
      <c r="I596" s="7">
        <v>3.27</v>
      </c>
      <c r="J596" s="8" t="s">
        <v>26</v>
      </c>
      <c r="K596" s="9">
        <f>4.11</f>
        <v>4.1100000000000003</v>
      </c>
      <c r="L596" s="9">
        <f>24.66</f>
        <v>24.66</v>
      </c>
      <c r="M596" s="4"/>
      <c r="N596" s="10">
        <v>1</v>
      </c>
      <c r="O596" s="4" t="s">
        <v>27</v>
      </c>
      <c r="P596" s="11">
        <v>6</v>
      </c>
      <c r="Q596" s="9">
        <f>24.66</f>
        <v>24.66</v>
      </c>
    </row>
    <row r="597" spans="1:17" ht="45" customHeight="1" x14ac:dyDescent="0.25">
      <c r="A597" s="4" t="s">
        <v>20</v>
      </c>
      <c r="B597" s="5" t="s">
        <v>1300</v>
      </c>
      <c r="C597" s="4" t="s">
        <v>22</v>
      </c>
      <c r="D597" s="4" t="s">
        <v>312</v>
      </c>
      <c r="E597" s="4" t="s">
        <v>1301</v>
      </c>
      <c r="F597" s="6">
        <f>2</f>
        <v>2</v>
      </c>
      <c r="G597" s="4" t="s">
        <v>46</v>
      </c>
      <c r="H597" s="7">
        <v>23626.77</v>
      </c>
      <c r="I597" s="7">
        <v>23626.77</v>
      </c>
      <c r="J597" s="8" t="s">
        <v>26</v>
      </c>
      <c r="K597" s="9">
        <f>29698.85</f>
        <v>29698.85</v>
      </c>
      <c r="L597" s="9">
        <f>59397.7</f>
        <v>59397.7</v>
      </c>
      <c r="M597" s="4"/>
      <c r="N597" s="10">
        <v>1</v>
      </c>
      <c r="O597" s="4" t="s">
        <v>27</v>
      </c>
      <c r="P597" s="11">
        <v>2</v>
      </c>
      <c r="Q597" s="9">
        <f>59397.7</f>
        <v>59397.7</v>
      </c>
    </row>
    <row r="598" spans="1:17" ht="45" customHeight="1" x14ac:dyDescent="0.25">
      <c r="A598" s="4" t="s">
        <v>20</v>
      </c>
      <c r="B598" s="5" t="s">
        <v>1302</v>
      </c>
      <c r="C598" s="4" t="s">
        <v>22</v>
      </c>
      <c r="D598" s="4" t="s">
        <v>1303</v>
      </c>
      <c r="E598" s="4" t="s">
        <v>1304</v>
      </c>
      <c r="F598" s="6">
        <f>1</f>
        <v>1</v>
      </c>
      <c r="G598" s="4" t="s">
        <v>46</v>
      </c>
      <c r="H598" s="7">
        <v>24882.79</v>
      </c>
      <c r="I598" s="7">
        <v>24882.79</v>
      </c>
      <c r="J598" s="8" t="s">
        <v>26</v>
      </c>
      <c r="K598" s="9">
        <f>31277.67</f>
        <v>31277.67</v>
      </c>
      <c r="L598" s="9">
        <f>31277.67</f>
        <v>31277.67</v>
      </c>
      <c r="M598" s="4"/>
      <c r="N598" s="10">
        <v>1</v>
      </c>
      <c r="O598" s="4" t="s">
        <v>27</v>
      </c>
      <c r="P598" s="11">
        <v>1</v>
      </c>
      <c r="Q598" s="9">
        <f>31277.67</f>
        <v>31277.67</v>
      </c>
    </row>
    <row r="599" spans="1:17" ht="45" customHeight="1" x14ac:dyDescent="0.25">
      <c r="A599" s="4" t="s">
        <v>20</v>
      </c>
      <c r="B599" s="5" t="s">
        <v>1305</v>
      </c>
      <c r="C599" s="4" t="s">
        <v>22</v>
      </c>
      <c r="D599" s="4" t="s">
        <v>202</v>
      </c>
      <c r="E599" s="4" t="s">
        <v>1306</v>
      </c>
      <c r="F599" s="6">
        <f>1</f>
        <v>1</v>
      </c>
      <c r="G599" s="4" t="s">
        <v>46</v>
      </c>
      <c r="H599" s="7">
        <v>15698.83</v>
      </c>
      <c r="I599" s="7">
        <v>15698.83</v>
      </c>
      <c r="J599" s="8" t="s">
        <v>26</v>
      </c>
      <c r="K599" s="9">
        <f>19733.43</f>
        <v>19733.43</v>
      </c>
      <c r="L599" s="9">
        <f>19733.43</f>
        <v>19733.43</v>
      </c>
      <c r="M599" s="4"/>
      <c r="N599" s="10">
        <v>1</v>
      </c>
      <c r="O599" s="4" t="s">
        <v>27</v>
      </c>
      <c r="P599" s="11">
        <v>1</v>
      </c>
      <c r="Q599" s="9">
        <f>19733.43</f>
        <v>19733.43</v>
      </c>
    </row>
    <row r="600" spans="1:17" ht="45" customHeight="1" x14ac:dyDescent="0.25">
      <c r="A600" s="4" t="s">
        <v>20</v>
      </c>
      <c r="B600" s="5" t="s">
        <v>1307</v>
      </c>
      <c r="C600" s="4" t="s">
        <v>29</v>
      </c>
      <c r="D600" s="4" t="s">
        <v>130</v>
      </c>
      <c r="E600" s="4" t="s">
        <v>131</v>
      </c>
      <c r="F600" s="6">
        <f>2</f>
        <v>2</v>
      </c>
      <c r="G600" s="4" t="s">
        <v>46</v>
      </c>
      <c r="H600" s="7">
        <v>2.59</v>
      </c>
      <c r="I600" s="7">
        <v>2.59</v>
      </c>
      <c r="J600" s="8" t="s">
        <v>122</v>
      </c>
      <c r="K600" s="9">
        <f>3.08</f>
        <v>3.08</v>
      </c>
      <c r="L600" s="9">
        <f>6.16</f>
        <v>6.16</v>
      </c>
      <c r="M600" s="4"/>
      <c r="N600" s="10">
        <v>1</v>
      </c>
      <c r="O600" s="4" t="s">
        <v>27</v>
      </c>
      <c r="P600" s="11">
        <v>2</v>
      </c>
      <c r="Q600" s="9">
        <f>6.16</f>
        <v>6.16</v>
      </c>
    </row>
    <row r="601" spans="1:17" ht="45" customHeight="1" x14ac:dyDescent="0.25">
      <c r="A601" s="4" t="s">
        <v>20</v>
      </c>
      <c r="B601" s="5" t="s">
        <v>1308</v>
      </c>
      <c r="C601" s="4" t="s">
        <v>29</v>
      </c>
      <c r="D601" s="4" t="s">
        <v>120</v>
      </c>
      <c r="E601" s="4" t="s">
        <v>121</v>
      </c>
      <c r="F601" s="6">
        <f>12</f>
        <v>12</v>
      </c>
      <c r="G601" s="4" t="s">
        <v>46</v>
      </c>
      <c r="H601" s="7">
        <v>3.34</v>
      </c>
      <c r="I601" s="7">
        <v>3.34</v>
      </c>
      <c r="J601" s="8" t="s">
        <v>122</v>
      </c>
      <c r="K601" s="9">
        <f>3.98</f>
        <v>3.98</v>
      </c>
      <c r="L601" s="9">
        <f>47.76</f>
        <v>47.76</v>
      </c>
      <c r="M601" s="4"/>
      <c r="N601" s="10">
        <v>1</v>
      </c>
      <c r="O601" s="4" t="s">
        <v>27</v>
      </c>
      <c r="P601" s="11">
        <v>12</v>
      </c>
      <c r="Q601" s="9">
        <f>47.76</f>
        <v>47.76</v>
      </c>
    </row>
    <row r="602" spans="1:17" ht="45" customHeight="1" x14ac:dyDescent="0.25">
      <c r="A602" s="4" t="s">
        <v>20</v>
      </c>
      <c r="B602" s="5" t="s">
        <v>1309</v>
      </c>
      <c r="C602" s="4" t="s">
        <v>29</v>
      </c>
      <c r="D602" s="4" t="s">
        <v>396</v>
      </c>
      <c r="E602" s="4" t="s">
        <v>397</v>
      </c>
      <c r="F602" s="6">
        <f>2</f>
        <v>2</v>
      </c>
      <c r="G602" s="4" t="s">
        <v>46</v>
      </c>
      <c r="H602" s="7">
        <v>5.33</v>
      </c>
      <c r="I602" s="7">
        <v>5.33</v>
      </c>
      <c r="J602" s="8" t="s">
        <v>122</v>
      </c>
      <c r="K602" s="9">
        <f>6.35</f>
        <v>6.35</v>
      </c>
      <c r="L602" s="9">
        <f>12.7</f>
        <v>12.7</v>
      </c>
      <c r="M602" s="4"/>
      <c r="N602" s="10">
        <v>1</v>
      </c>
      <c r="O602" s="4" t="s">
        <v>27</v>
      </c>
      <c r="P602" s="11">
        <v>2</v>
      </c>
      <c r="Q602" s="9">
        <f>12.7</f>
        <v>12.7</v>
      </c>
    </row>
    <row r="603" spans="1:17" ht="45" customHeight="1" x14ac:dyDescent="0.25">
      <c r="A603" s="4" t="s">
        <v>20</v>
      </c>
      <c r="B603" s="5" t="s">
        <v>1310</v>
      </c>
      <c r="C603" s="4" t="s">
        <v>29</v>
      </c>
      <c r="D603" s="4" t="s">
        <v>124</v>
      </c>
      <c r="E603" s="4" t="s">
        <v>125</v>
      </c>
      <c r="F603" s="6">
        <f>6</f>
        <v>6</v>
      </c>
      <c r="G603" s="4" t="s">
        <v>46</v>
      </c>
      <c r="H603" s="7">
        <v>6.27</v>
      </c>
      <c r="I603" s="7">
        <v>6.27</v>
      </c>
      <c r="J603" s="8" t="s">
        <v>122</v>
      </c>
      <c r="K603" s="9">
        <f>7.46</f>
        <v>7.46</v>
      </c>
      <c r="L603" s="9">
        <f>44.76</f>
        <v>44.76</v>
      </c>
      <c r="M603" s="4"/>
      <c r="N603" s="10">
        <v>1</v>
      </c>
      <c r="O603" s="4" t="s">
        <v>27</v>
      </c>
      <c r="P603" s="11">
        <v>6</v>
      </c>
      <c r="Q603" s="9">
        <f>44.76</f>
        <v>44.76</v>
      </c>
    </row>
    <row r="604" spans="1:17" ht="45" customHeight="1" x14ac:dyDescent="0.25">
      <c r="A604" s="4" t="s">
        <v>20</v>
      </c>
      <c r="B604" s="5" t="s">
        <v>1311</v>
      </c>
      <c r="C604" s="4" t="s">
        <v>29</v>
      </c>
      <c r="D604" s="4" t="s">
        <v>411</v>
      </c>
      <c r="E604" s="4" t="s">
        <v>412</v>
      </c>
      <c r="F604" s="6">
        <f>3</f>
        <v>3</v>
      </c>
      <c r="G604" s="4" t="s">
        <v>46</v>
      </c>
      <c r="H604" s="7">
        <v>222.22</v>
      </c>
      <c r="I604" s="7">
        <v>222.22</v>
      </c>
      <c r="J604" s="8" t="s">
        <v>122</v>
      </c>
      <c r="K604" s="9">
        <f>264.55</f>
        <v>264.55</v>
      </c>
      <c r="L604" s="9">
        <f>793.65</f>
        <v>793.65</v>
      </c>
      <c r="M604" s="4"/>
      <c r="N604" s="10">
        <v>1</v>
      </c>
      <c r="O604" s="4" t="s">
        <v>27</v>
      </c>
      <c r="P604" s="11">
        <v>3</v>
      </c>
      <c r="Q604" s="9">
        <f>793.65</f>
        <v>793.65</v>
      </c>
    </row>
    <row r="605" spans="1:17" ht="45" customHeight="1" x14ac:dyDescent="0.25">
      <c r="A605" s="4" t="s">
        <v>20</v>
      </c>
      <c r="B605" s="5" t="s">
        <v>1312</v>
      </c>
      <c r="C605" s="4" t="s">
        <v>29</v>
      </c>
      <c r="D605" s="4" t="s">
        <v>825</v>
      </c>
      <c r="E605" s="4" t="s">
        <v>826</v>
      </c>
      <c r="F605" s="6">
        <f>5</f>
        <v>5</v>
      </c>
      <c r="G605" s="4" t="s">
        <v>46</v>
      </c>
      <c r="H605" s="7">
        <v>239.25</v>
      </c>
      <c r="I605" s="7">
        <v>239.25</v>
      </c>
      <c r="J605" s="8" t="s">
        <v>122</v>
      </c>
      <c r="K605" s="9">
        <f>284.83</f>
        <v>284.83</v>
      </c>
      <c r="L605" s="9">
        <f>1424.15</f>
        <v>1424.15</v>
      </c>
      <c r="M605" s="4"/>
      <c r="N605" s="10">
        <v>1</v>
      </c>
      <c r="O605" s="4" t="s">
        <v>27</v>
      </c>
      <c r="P605" s="11">
        <v>5</v>
      </c>
      <c r="Q605" s="9">
        <f>1424.15</f>
        <v>1424.15</v>
      </c>
    </row>
    <row r="606" spans="1:17" ht="45" customHeight="1" x14ac:dyDescent="0.25">
      <c r="A606" s="4" t="s">
        <v>20</v>
      </c>
      <c r="B606" s="5" t="s">
        <v>1313</v>
      </c>
      <c r="C606" s="4" t="s">
        <v>29</v>
      </c>
      <c r="D606" s="4" t="s">
        <v>1314</v>
      </c>
      <c r="E606" s="4" t="s">
        <v>1315</v>
      </c>
      <c r="F606" s="6">
        <f>2</f>
        <v>2</v>
      </c>
      <c r="G606" s="4" t="s">
        <v>46</v>
      </c>
      <c r="H606" s="7">
        <v>246.42</v>
      </c>
      <c r="I606" s="7">
        <v>246.42</v>
      </c>
      <c r="J606" s="8" t="s">
        <v>122</v>
      </c>
      <c r="K606" s="9">
        <f>293.36</f>
        <v>293.36</v>
      </c>
      <c r="L606" s="9">
        <f>586.72</f>
        <v>586.72</v>
      </c>
      <c r="M606" s="4"/>
      <c r="N606" s="10">
        <v>1</v>
      </c>
      <c r="O606" s="4" t="s">
        <v>27</v>
      </c>
      <c r="P606" s="11">
        <v>2</v>
      </c>
      <c r="Q606" s="9">
        <f>586.72</f>
        <v>586.72</v>
      </c>
    </row>
    <row r="607" spans="1:17" ht="45" customHeight="1" x14ac:dyDescent="0.25">
      <c r="A607" s="4" t="s">
        <v>20</v>
      </c>
      <c r="B607" s="5" t="s">
        <v>1316</v>
      </c>
      <c r="C607" s="4" t="s">
        <v>29</v>
      </c>
      <c r="D607" s="4" t="s">
        <v>1317</v>
      </c>
      <c r="E607" s="4" t="s">
        <v>1318</v>
      </c>
      <c r="F607" s="6">
        <f>6</f>
        <v>6</v>
      </c>
      <c r="G607" s="4" t="s">
        <v>46</v>
      </c>
      <c r="H607" s="7">
        <v>435.21</v>
      </c>
      <c r="I607" s="7">
        <v>435.21</v>
      </c>
      <c r="J607" s="8" t="s">
        <v>122</v>
      </c>
      <c r="K607" s="9">
        <f>518.12</f>
        <v>518.12</v>
      </c>
      <c r="L607" s="9">
        <f>3108.72</f>
        <v>3108.72</v>
      </c>
      <c r="M607" s="4"/>
      <c r="N607" s="10">
        <v>1</v>
      </c>
      <c r="O607" s="4" t="s">
        <v>27</v>
      </c>
      <c r="P607" s="11">
        <v>6</v>
      </c>
      <c r="Q607" s="9">
        <f>3108.72</f>
        <v>3108.72</v>
      </c>
    </row>
    <row r="608" spans="1:17" ht="45" customHeight="1" x14ac:dyDescent="0.25">
      <c r="A608" s="4" t="s">
        <v>20</v>
      </c>
      <c r="B608" s="5" t="s">
        <v>1319</v>
      </c>
      <c r="C608" s="4" t="s">
        <v>29</v>
      </c>
      <c r="D608" s="4" t="s">
        <v>1320</v>
      </c>
      <c r="E608" s="4" t="s">
        <v>1321</v>
      </c>
      <c r="F608" s="6">
        <f>3</f>
        <v>3</v>
      </c>
      <c r="G608" s="4" t="s">
        <v>46</v>
      </c>
      <c r="H608" s="7">
        <v>1994.46</v>
      </c>
      <c r="I608" s="7">
        <v>1994.46</v>
      </c>
      <c r="J608" s="8" t="s">
        <v>122</v>
      </c>
      <c r="K608" s="9">
        <f>2374.4</f>
        <v>2374.4</v>
      </c>
      <c r="L608" s="9">
        <f>7123.2</f>
        <v>7123.2</v>
      </c>
      <c r="M608" s="4"/>
      <c r="N608" s="10">
        <v>1</v>
      </c>
      <c r="O608" s="4" t="s">
        <v>27</v>
      </c>
      <c r="P608" s="11">
        <v>3</v>
      </c>
      <c r="Q608" s="9">
        <f>7123.2</f>
        <v>7123.2</v>
      </c>
    </row>
    <row r="609" spans="1:17" ht="45" customHeight="1" x14ac:dyDescent="0.25">
      <c r="A609" s="4" t="s">
        <v>20</v>
      </c>
      <c r="B609" s="5" t="s">
        <v>1322</v>
      </c>
      <c r="C609" s="4" t="s">
        <v>29</v>
      </c>
      <c r="D609" s="4" t="s">
        <v>151</v>
      </c>
      <c r="E609" s="4" t="s">
        <v>152</v>
      </c>
      <c r="F609" s="6">
        <f>64</f>
        <v>64</v>
      </c>
      <c r="G609" s="4" t="s">
        <v>46</v>
      </c>
      <c r="H609" s="7">
        <v>9.17</v>
      </c>
      <c r="I609" s="7">
        <v>9.17</v>
      </c>
      <c r="J609" s="8" t="s">
        <v>122</v>
      </c>
      <c r="K609" s="9">
        <f>10.92</f>
        <v>10.92</v>
      </c>
      <c r="L609" s="9">
        <f>698.88</f>
        <v>698.88</v>
      </c>
      <c r="M609" s="4"/>
      <c r="N609" s="10">
        <v>1</v>
      </c>
      <c r="O609" s="4" t="s">
        <v>27</v>
      </c>
      <c r="P609" s="11">
        <v>64</v>
      </c>
      <c r="Q609" s="9">
        <f>698.88</f>
        <v>698.88</v>
      </c>
    </row>
    <row r="610" spans="1:17" ht="45" customHeight="1" x14ac:dyDescent="0.25">
      <c r="A610" s="4" t="s">
        <v>20</v>
      </c>
      <c r="B610" s="5" t="s">
        <v>1323</v>
      </c>
      <c r="C610" s="4" t="s">
        <v>29</v>
      </c>
      <c r="D610" s="4" t="s">
        <v>154</v>
      </c>
      <c r="E610" s="4" t="s">
        <v>155</v>
      </c>
      <c r="F610" s="6">
        <f>112</f>
        <v>112</v>
      </c>
      <c r="G610" s="4" t="s">
        <v>46</v>
      </c>
      <c r="H610" s="7">
        <v>3.77</v>
      </c>
      <c r="I610" s="7">
        <v>3.77</v>
      </c>
      <c r="J610" s="8" t="s">
        <v>122</v>
      </c>
      <c r="K610" s="9">
        <f>4.49</f>
        <v>4.49</v>
      </c>
      <c r="L610" s="9">
        <f>502.88</f>
        <v>502.88</v>
      </c>
      <c r="M610" s="4"/>
      <c r="N610" s="10">
        <v>1</v>
      </c>
      <c r="O610" s="4" t="s">
        <v>27</v>
      </c>
      <c r="P610" s="11">
        <v>112</v>
      </c>
      <c r="Q610" s="9">
        <f>502.88</f>
        <v>502.88</v>
      </c>
    </row>
    <row r="611" spans="1:17" ht="45" customHeight="1" x14ac:dyDescent="0.25">
      <c r="A611" s="4" t="s">
        <v>20</v>
      </c>
      <c r="B611" s="5" t="s">
        <v>1324</v>
      </c>
      <c r="C611" s="4" t="s">
        <v>29</v>
      </c>
      <c r="D611" s="4" t="s">
        <v>166</v>
      </c>
      <c r="E611" s="4" t="s">
        <v>167</v>
      </c>
      <c r="F611" s="6">
        <f>3</f>
        <v>3</v>
      </c>
      <c r="G611" s="4" t="s">
        <v>46</v>
      </c>
      <c r="H611" s="7">
        <v>791.97</v>
      </c>
      <c r="I611" s="7">
        <v>791.97</v>
      </c>
      <c r="J611" s="8" t="s">
        <v>122</v>
      </c>
      <c r="K611" s="9">
        <f>942.84</f>
        <v>942.84</v>
      </c>
      <c r="L611" s="9">
        <f>2828.52</f>
        <v>2828.52</v>
      </c>
      <c r="M611" s="4"/>
      <c r="N611" s="10">
        <v>1</v>
      </c>
      <c r="O611" s="4" t="s">
        <v>27</v>
      </c>
      <c r="P611" s="11">
        <v>3</v>
      </c>
      <c r="Q611" s="9">
        <f>2828.52</f>
        <v>2828.52</v>
      </c>
    </row>
    <row r="612" spans="1:17" ht="45" customHeight="1" x14ac:dyDescent="0.25">
      <c r="A612" s="4" t="s">
        <v>20</v>
      </c>
      <c r="B612" s="5" t="s">
        <v>1325</v>
      </c>
      <c r="C612" s="4" t="s">
        <v>29</v>
      </c>
      <c r="D612" s="4" t="s">
        <v>1326</v>
      </c>
      <c r="E612" s="4" t="s">
        <v>1327</v>
      </c>
      <c r="F612" s="6">
        <f>1</f>
        <v>1</v>
      </c>
      <c r="G612" s="4" t="s">
        <v>46</v>
      </c>
      <c r="H612" s="7">
        <v>670.91</v>
      </c>
      <c r="I612" s="7">
        <v>670.91</v>
      </c>
      <c r="J612" s="8" t="s">
        <v>122</v>
      </c>
      <c r="K612" s="9">
        <f>798.72</f>
        <v>798.72</v>
      </c>
      <c r="L612" s="9">
        <f>798.72</f>
        <v>798.72</v>
      </c>
      <c r="M612" s="4"/>
      <c r="N612" s="10">
        <v>1</v>
      </c>
      <c r="O612" s="4" t="s">
        <v>27</v>
      </c>
      <c r="P612" s="11">
        <v>1</v>
      </c>
      <c r="Q612" s="9">
        <f>798.72</f>
        <v>798.72</v>
      </c>
    </row>
    <row r="613" spans="1:17" ht="45" customHeight="1" x14ac:dyDescent="0.25">
      <c r="A613" s="4" t="s">
        <v>20</v>
      </c>
      <c r="B613" s="5" t="s">
        <v>1328</v>
      </c>
      <c r="C613" s="4" t="s">
        <v>63</v>
      </c>
      <c r="D613" s="4" t="s">
        <v>831</v>
      </c>
      <c r="E613" s="4" t="s">
        <v>832</v>
      </c>
      <c r="F613" s="6">
        <f>3</f>
        <v>3</v>
      </c>
      <c r="G613" s="4" t="s">
        <v>46</v>
      </c>
      <c r="H613" s="7">
        <v>567.67999999999995</v>
      </c>
      <c r="I613" s="7">
        <v>567.67999999999995</v>
      </c>
      <c r="J613" s="8" t="s">
        <v>122</v>
      </c>
      <c r="K613" s="9">
        <f>675.82</f>
        <v>675.82</v>
      </c>
      <c r="L613" s="9">
        <f>2027.46</f>
        <v>2027.46</v>
      </c>
      <c r="M613" s="4"/>
      <c r="N613" s="10">
        <v>1</v>
      </c>
      <c r="O613" s="4" t="s">
        <v>27</v>
      </c>
      <c r="P613" s="11">
        <v>3</v>
      </c>
      <c r="Q613" s="9">
        <f>2027.46</f>
        <v>2027.46</v>
      </c>
    </row>
    <row r="614" spans="1:17" ht="45" customHeight="1" x14ac:dyDescent="0.25">
      <c r="A614" s="4" t="s">
        <v>20</v>
      </c>
      <c r="B614" s="5" t="s">
        <v>1329</v>
      </c>
      <c r="C614" s="4" t="s">
        <v>29</v>
      </c>
      <c r="D614" s="4" t="s">
        <v>864</v>
      </c>
      <c r="E614" s="4" t="s">
        <v>865</v>
      </c>
      <c r="F614" s="6">
        <f>4</f>
        <v>4</v>
      </c>
      <c r="G614" s="4" t="s">
        <v>46</v>
      </c>
      <c r="H614" s="7">
        <v>1274.4000000000001</v>
      </c>
      <c r="I614" s="7">
        <v>1274.4000000000001</v>
      </c>
      <c r="J614" s="8" t="s">
        <v>122</v>
      </c>
      <c r="K614" s="9">
        <f>1517.17</f>
        <v>1517.17</v>
      </c>
      <c r="L614" s="9">
        <f>6068.68</f>
        <v>6068.68</v>
      </c>
      <c r="M614" s="4"/>
      <c r="N614" s="10">
        <v>1</v>
      </c>
      <c r="O614" s="4" t="s">
        <v>27</v>
      </c>
      <c r="P614" s="11">
        <v>4</v>
      </c>
      <c r="Q614" s="9">
        <f>6068.68</f>
        <v>6068.68</v>
      </c>
    </row>
    <row r="615" spans="1:17" ht="45" customHeight="1" x14ac:dyDescent="0.25">
      <c r="A615" s="4" t="s">
        <v>20</v>
      </c>
      <c r="B615" s="5" t="s">
        <v>1330</v>
      </c>
      <c r="C615" s="4" t="s">
        <v>29</v>
      </c>
      <c r="D615" s="4" t="s">
        <v>1331</v>
      </c>
      <c r="E615" s="4" t="s">
        <v>1332</v>
      </c>
      <c r="F615" s="6">
        <f>1</f>
        <v>1</v>
      </c>
      <c r="G615" s="4" t="s">
        <v>46</v>
      </c>
      <c r="H615" s="7">
        <v>582.42999999999995</v>
      </c>
      <c r="I615" s="7">
        <v>582.42999999999995</v>
      </c>
      <c r="J615" s="8" t="s">
        <v>122</v>
      </c>
      <c r="K615" s="9">
        <f>693.38</f>
        <v>693.38</v>
      </c>
      <c r="L615" s="9">
        <f>693.38</f>
        <v>693.38</v>
      </c>
      <c r="M615" s="4"/>
      <c r="N615" s="10">
        <v>1</v>
      </c>
      <c r="O615" s="4" t="s">
        <v>27</v>
      </c>
      <c r="P615" s="11">
        <v>1</v>
      </c>
      <c r="Q615" s="9">
        <f>693.38</f>
        <v>693.38</v>
      </c>
    </row>
    <row r="616" spans="1:17" ht="45" customHeight="1" x14ac:dyDescent="0.25">
      <c r="A616" s="4" t="s">
        <v>20</v>
      </c>
      <c r="B616" s="5" t="s">
        <v>1333</v>
      </c>
      <c r="C616" s="4" t="s">
        <v>29</v>
      </c>
      <c r="D616" s="4" t="s">
        <v>1334</v>
      </c>
      <c r="E616" s="4" t="s">
        <v>1335</v>
      </c>
      <c r="F616" s="6">
        <f>2</f>
        <v>2</v>
      </c>
      <c r="G616" s="4" t="s">
        <v>46</v>
      </c>
      <c r="H616" s="7">
        <v>1038.5999999999999</v>
      </c>
      <c r="I616" s="7">
        <v>1038.5999999999999</v>
      </c>
      <c r="J616" s="8" t="s">
        <v>122</v>
      </c>
      <c r="K616" s="9">
        <f>1236.45</f>
        <v>1236.45</v>
      </c>
      <c r="L616" s="9">
        <f>2472.9</f>
        <v>2472.9</v>
      </c>
      <c r="M616" s="4"/>
      <c r="N616" s="10">
        <v>1</v>
      </c>
      <c r="O616" s="4" t="s">
        <v>27</v>
      </c>
      <c r="P616" s="11">
        <v>2</v>
      </c>
      <c r="Q616" s="9">
        <f>2472.9</f>
        <v>2472.9</v>
      </c>
    </row>
    <row r="617" spans="1:17" ht="45" customHeight="1" x14ac:dyDescent="0.25">
      <c r="A617" s="4" t="s">
        <v>20</v>
      </c>
      <c r="B617" s="5" t="s">
        <v>1336</v>
      </c>
      <c r="C617" s="4" t="s">
        <v>29</v>
      </c>
      <c r="D617" s="4" t="s">
        <v>1130</v>
      </c>
      <c r="E617" s="4" t="s">
        <v>1131</v>
      </c>
      <c r="F617" s="6">
        <f>2</f>
        <v>2</v>
      </c>
      <c r="G617" s="4" t="s">
        <v>96</v>
      </c>
      <c r="H617" s="7">
        <v>711.32</v>
      </c>
      <c r="I617" s="7">
        <v>711.32</v>
      </c>
      <c r="J617" s="8" t="s">
        <v>122</v>
      </c>
      <c r="K617" s="9">
        <f>846.83</f>
        <v>846.83</v>
      </c>
      <c r="L617" s="9">
        <f>1693.66</f>
        <v>1693.66</v>
      </c>
      <c r="M617" s="4"/>
      <c r="N617" s="10">
        <v>1</v>
      </c>
      <c r="O617" s="4" t="s">
        <v>27</v>
      </c>
      <c r="P617" s="11">
        <v>2</v>
      </c>
      <c r="Q617" s="9">
        <f>1693.66</f>
        <v>1693.66</v>
      </c>
    </row>
    <row r="618" spans="1:17" ht="45" customHeight="1" x14ac:dyDescent="0.25">
      <c r="A618" s="4" t="s">
        <v>20</v>
      </c>
      <c r="B618" s="5" t="s">
        <v>1337</v>
      </c>
      <c r="C618" s="4" t="s">
        <v>29</v>
      </c>
      <c r="D618" s="4" t="s">
        <v>1338</v>
      </c>
      <c r="E618" s="4" t="s">
        <v>1339</v>
      </c>
      <c r="F618" s="6">
        <f>6</f>
        <v>6</v>
      </c>
      <c r="G618" s="4" t="s">
        <v>96</v>
      </c>
      <c r="H618" s="7">
        <v>902.43</v>
      </c>
      <c r="I618" s="7">
        <v>902.43</v>
      </c>
      <c r="J618" s="8" t="s">
        <v>122</v>
      </c>
      <c r="K618" s="9">
        <f>1074.34</f>
        <v>1074.3399999999999</v>
      </c>
      <c r="L618" s="9">
        <f>6446.04</f>
        <v>6446.04</v>
      </c>
      <c r="M618" s="4"/>
      <c r="N618" s="10">
        <v>1</v>
      </c>
      <c r="O618" s="4" t="s">
        <v>27</v>
      </c>
      <c r="P618" s="11">
        <v>6</v>
      </c>
      <c r="Q618" s="9">
        <f>6446.04</f>
        <v>6446.04</v>
      </c>
    </row>
    <row r="619" spans="1:17" ht="45" customHeight="1" x14ac:dyDescent="0.25">
      <c r="A619" s="4" t="s">
        <v>20</v>
      </c>
      <c r="B619" s="5" t="s">
        <v>1340</v>
      </c>
      <c r="C619" s="4" t="s">
        <v>63</v>
      </c>
      <c r="D619" s="4" t="s">
        <v>1341</v>
      </c>
      <c r="E619" s="4" t="s">
        <v>1342</v>
      </c>
      <c r="F619" s="6">
        <f>6</f>
        <v>6</v>
      </c>
      <c r="G619" s="4" t="s">
        <v>96</v>
      </c>
      <c r="H619" s="7">
        <v>55.74</v>
      </c>
      <c r="I619" s="7">
        <v>55.74</v>
      </c>
      <c r="J619" s="8" t="s">
        <v>122</v>
      </c>
      <c r="K619" s="9">
        <f>66.36</f>
        <v>66.36</v>
      </c>
      <c r="L619" s="9">
        <f>398.16</f>
        <v>398.16</v>
      </c>
      <c r="M619" s="4"/>
      <c r="N619" s="10">
        <v>1</v>
      </c>
      <c r="O619" s="4" t="s">
        <v>27</v>
      </c>
      <c r="P619" s="11">
        <v>6</v>
      </c>
      <c r="Q619" s="9">
        <f>398.16</f>
        <v>398.16</v>
      </c>
    </row>
    <row r="620" spans="1:17" ht="45" customHeight="1" x14ac:dyDescent="0.25">
      <c r="A620" s="4" t="s">
        <v>20</v>
      </c>
      <c r="B620" s="5" t="s">
        <v>1343</v>
      </c>
      <c r="C620" s="4" t="s">
        <v>29</v>
      </c>
      <c r="D620" s="4" t="s">
        <v>193</v>
      </c>
      <c r="E620" s="4" t="s">
        <v>194</v>
      </c>
      <c r="F620" s="6">
        <f>1</f>
        <v>1</v>
      </c>
      <c r="G620" s="4" t="s">
        <v>46</v>
      </c>
      <c r="H620" s="7">
        <v>1440.11</v>
      </c>
      <c r="I620" s="7">
        <v>1440.11</v>
      </c>
      <c r="J620" s="8" t="s">
        <v>122</v>
      </c>
      <c r="K620" s="9">
        <f>1714.45</f>
        <v>1714.45</v>
      </c>
      <c r="L620" s="9">
        <f>1714.45</f>
        <v>1714.45</v>
      </c>
      <c r="M620" s="4"/>
      <c r="N620" s="10">
        <v>1</v>
      </c>
      <c r="O620" s="4" t="s">
        <v>27</v>
      </c>
      <c r="P620" s="11">
        <v>1</v>
      </c>
      <c r="Q620" s="9">
        <f>1714.45</f>
        <v>1714.45</v>
      </c>
    </row>
    <row r="621" spans="1:17" ht="45" customHeight="1" x14ac:dyDescent="0.25">
      <c r="A621" s="4" t="s">
        <v>17</v>
      </c>
      <c r="B621" s="5" t="s">
        <v>527</v>
      </c>
      <c r="C621" s="4"/>
      <c r="D621" s="4"/>
      <c r="E621" s="4" t="s">
        <v>1344</v>
      </c>
      <c r="F621" s="6"/>
      <c r="G621" s="4"/>
      <c r="H621" s="7"/>
      <c r="I621" s="7"/>
      <c r="J621" s="8"/>
      <c r="K621" s="9"/>
      <c r="L621" s="9">
        <f>125621.7</f>
        <v>125621.7</v>
      </c>
      <c r="M621" s="4"/>
      <c r="N621" s="10"/>
      <c r="O621" s="4"/>
      <c r="P621" s="11"/>
      <c r="Q621" s="9"/>
    </row>
    <row r="622" spans="1:17" ht="45" customHeight="1" x14ac:dyDescent="0.25">
      <c r="A622" s="4" t="s">
        <v>20</v>
      </c>
      <c r="B622" s="5" t="s">
        <v>1345</v>
      </c>
      <c r="C622" s="4" t="s">
        <v>29</v>
      </c>
      <c r="D622" s="4" t="s">
        <v>60</v>
      </c>
      <c r="E622" s="4" t="s">
        <v>61</v>
      </c>
      <c r="F622" s="6">
        <f>14.5</f>
        <v>14.5</v>
      </c>
      <c r="G622" s="4" t="s">
        <v>25</v>
      </c>
      <c r="H622" s="7">
        <v>5.8</v>
      </c>
      <c r="I622" s="7">
        <v>5.8</v>
      </c>
      <c r="J622" s="8" t="s">
        <v>26</v>
      </c>
      <c r="K622" s="9">
        <f>7.29</f>
        <v>7.29</v>
      </c>
      <c r="L622" s="9">
        <f>105.71</f>
        <v>105.71</v>
      </c>
      <c r="M622" s="4"/>
      <c r="N622" s="10">
        <v>1</v>
      </c>
      <c r="O622" s="4" t="s">
        <v>27</v>
      </c>
      <c r="P622" s="11">
        <v>14.5</v>
      </c>
      <c r="Q622" s="9">
        <f>105.71</f>
        <v>105.71</v>
      </c>
    </row>
    <row r="623" spans="1:17" ht="45" customHeight="1" x14ac:dyDescent="0.25">
      <c r="A623" s="4" t="s">
        <v>20</v>
      </c>
      <c r="B623" s="5" t="s">
        <v>1346</v>
      </c>
      <c r="C623" s="4" t="s">
        <v>29</v>
      </c>
      <c r="D623" s="4" t="s">
        <v>1347</v>
      </c>
      <c r="E623" s="4" t="s">
        <v>1348</v>
      </c>
      <c r="F623" s="6">
        <f>2.5</f>
        <v>2.5</v>
      </c>
      <c r="G623" s="4" t="s">
        <v>25</v>
      </c>
      <c r="H623" s="7">
        <v>741.01</v>
      </c>
      <c r="I623" s="7">
        <v>741.01</v>
      </c>
      <c r="J623" s="8" t="s">
        <v>26</v>
      </c>
      <c r="K623" s="9">
        <f>931.45</f>
        <v>931.45</v>
      </c>
      <c r="L623" s="9">
        <f>2328.63</f>
        <v>2328.63</v>
      </c>
      <c r="M623" s="4"/>
      <c r="N623" s="10">
        <v>1</v>
      </c>
      <c r="O623" s="4" t="s">
        <v>27</v>
      </c>
      <c r="P623" s="11">
        <v>2.5</v>
      </c>
      <c r="Q623" s="9">
        <f>2328.63</f>
        <v>2328.63</v>
      </c>
    </row>
    <row r="624" spans="1:17" ht="45" customHeight="1" x14ac:dyDescent="0.25">
      <c r="A624" s="4" t="s">
        <v>20</v>
      </c>
      <c r="B624" s="5" t="s">
        <v>1349</v>
      </c>
      <c r="C624" s="4" t="s">
        <v>63</v>
      </c>
      <c r="D624" s="4" t="s">
        <v>1350</v>
      </c>
      <c r="E624" s="4" t="s">
        <v>1351</v>
      </c>
      <c r="F624" s="6">
        <f>2.5</f>
        <v>2.5</v>
      </c>
      <c r="G624" s="4" t="s">
        <v>25</v>
      </c>
      <c r="H624" s="7">
        <v>354.3</v>
      </c>
      <c r="I624" s="7">
        <v>354.3</v>
      </c>
      <c r="J624" s="8" t="s">
        <v>26</v>
      </c>
      <c r="K624" s="9">
        <f>445.36</f>
        <v>445.36</v>
      </c>
      <c r="L624" s="9">
        <f>1113.4</f>
        <v>1113.4000000000001</v>
      </c>
      <c r="M624" s="4"/>
      <c r="N624" s="10">
        <v>1</v>
      </c>
      <c r="O624" s="4" t="s">
        <v>27</v>
      </c>
      <c r="P624" s="11">
        <v>2.5</v>
      </c>
      <c r="Q624" s="9">
        <f>1113.4</f>
        <v>1113.4000000000001</v>
      </c>
    </row>
    <row r="625" spans="1:17" ht="45" customHeight="1" x14ac:dyDescent="0.25">
      <c r="A625" s="4" t="s">
        <v>20</v>
      </c>
      <c r="B625" s="5" t="s">
        <v>1352</v>
      </c>
      <c r="C625" s="4" t="s">
        <v>63</v>
      </c>
      <c r="D625" s="4" t="s">
        <v>316</v>
      </c>
      <c r="E625" s="4" t="s">
        <v>317</v>
      </c>
      <c r="F625" s="6">
        <f>41</f>
        <v>41</v>
      </c>
      <c r="G625" s="4" t="s">
        <v>25</v>
      </c>
      <c r="H625" s="7">
        <v>62.33</v>
      </c>
      <c r="I625" s="7">
        <v>62.33</v>
      </c>
      <c r="J625" s="8" t="s">
        <v>26</v>
      </c>
      <c r="K625" s="9">
        <f>78.35</f>
        <v>78.349999999999994</v>
      </c>
      <c r="L625" s="9">
        <f>3212.35</f>
        <v>3212.35</v>
      </c>
      <c r="M625" s="4"/>
      <c r="N625" s="10">
        <v>1</v>
      </c>
      <c r="O625" s="4" t="s">
        <v>27</v>
      </c>
      <c r="P625" s="11">
        <v>41</v>
      </c>
      <c r="Q625" s="9">
        <f>3212.35</f>
        <v>3212.35</v>
      </c>
    </row>
    <row r="626" spans="1:17" ht="45" customHeight="1" x14ac:dyDescent="0.25">
      <c r="A626" s="4" t="s">
        <v>20</v>
      </c>
      <c r="B626" s="5" t="s">
        <v>1353</v>
      </c>
      <c r="C626" s="4" t="s">
        <v>63</v>
      </c>
      <c r="D626" s="4" t="s">
        <v>319</v>
      </c>
      <c r="E626" s="4" t="s">
        <v>320</v>
      </c>
      <c r="F626" s="6">
        <f>105</f>
        <v>105</v>
      </c>
      <c r="G626" s="4" t="s">
        <v>25</v>
      </c>
      <c r="H626" s="7">
        <v>5.09</v>
      </c>
      <c r="I626" s="7">
        <v>5.09</v>
      </c>
      <c r="J626" s="8" t="s">
        <v>26</v>
      </c>
      <c r="K626" s="9">
        <f>6.4</f>
        <v>6.4</v>
      </c>
      <c r="L626" s="9">
        <f>672</f>
        <v>672</v>
      </c>
      <c r="M626" s="4"/>
      <c r="N626" s="10">
        <v>1</v>
      </c>
      <c r="O626" s="4" t="s">
        <v>27</v>
      </c>
      <c r="P626" s="11">
        <v>105</v>
      </c>
      <c r="Q626" s="9">
        <f>672</f>
        <v>672</v>
      </c>
    </row>
    <row r="627" spans="1:17" ht="45" customHeight="1" x14ac:dyDescent="0.25">
      <c r="A627" s="4" t="s">
        <v>20</v>
      </c>
      <c r="B627" s="5" t="s">
        <v>1354</v>
      </c>
      <c r="C627" s="4" t="s">
        <v>63</v>
      </c>
      <c r="D627" s="4" t="s">
        <v>328</v>
      </c>
      <c r="E627" s="4" t="s">
        <v>329</v>
      </c>
      <c r="F627" s="6">
        <f>105</f>
        <v>105</v>
      </c>
      <c r="G627" s="4" t="s">
        <v>25</v>
      </c>
      <c r="H627" s="7">
        <v>11.95</v>
      </c>
      <c r="I627" s="7">
        <v>11.95</v>
      </c>
      <c r="J627" s="8" t="s">
        <v>26</v>
      </c>
      <c r="K627" s="9">
        <f>15.02</f>
        <v>15.02</v>
      </c>
      <c r="L627" s="9">
        <f>1577.1</f>
        <v>1577.1</v>
      </c>
      <c r="M627" s="4"/>
      <c r="N627" s="10">
        <v>1</v>
      </c>
      <c r="O627" s="4" t="s">
        <v>27</v>
      </c>
      <c r="P627" s="11">
        <v>105</v>
      </c>
      <c r="Q627" s="9">
        <f>1577.1</f>
        <v>1577.1</v>
      </c>
    </row>
    <row r="628" spans="1:17" ht="45" customHeight="1" x14ac:dyDescent="0.25">
      <c r="A628" s="4" t="s">
        <v>20</v>
      </c>
      <c r="B628" s="5" t="s">
        <v>1355</v>
      </c>
      <c r="C628" s="4" t="s">
        <v>63</v>
      </c>
      <c r="D628" s="4" t="s">
        <v>1356</v>
      </c>
      <c r="E628" s="4" t="s">
        <v>1357</v>
      </c>
      <c r="F628" s="6">
        <f>3</f>
        <v>3</v>
      </c>
      <c r="G628" s="4" t="s">
        <v>25</v>
      </c>
      <c r="H628" s="7">
        <v>670.73</v>
      </c>
      <c r="I628" s="7">
        <v>670.73</v>
      </c>
      <c r="J628" s="8" t="s">
        <v>26</v>
      </c>
      <c r="K628" s="9">
        <f>843.11</f>
        <v>843.11</v>
      </c>
      <c r="L628" s="9">
        <f>2529.33</f>
        <v>2529.33</v>
      </c>
      <c r="M628" s="4"/>
      <c r="N628" s="10">
        <v>1</v>
      </c>
      <c r="O628" s="4" t="s">
        <v>27</v>
      </c>
      <c r="P628" s="11">
        <v>3</v>
      </c>
      <c r="Q628" s="9">
        <f>2529.33</f>
        <v>2529.33</v>
      </c>
    </row>
    <row r="629" spans="1:17" ht="45" customHeight="1" x14ac:dyDescent="0.25">
      <c r="A629" s="4" t="s">
        <v>20</v>
      </c>
      <c r="B629" s="5" t="s">
        <v>1358</v>
      </c>
      <c r="C629" s="4" t="s">
        <v>63</v>
      </c>
      <c r="D629" s="4" t="s">
        <v>322</v>
      </c>
      <c r="E629" s="4" t="s">
        <v>323</v>
      </c>
      <c r="F629" s="6">
        <f>105</f>
        <v>105</v>
      </c>
      <c r="G629" s="4" t="s">
        <v>25</v>
      </c>
      <c r="H629" s="7">
        <v>9.6300000000000008</v>
      </c>
      <c r="I629" s="7">
        <v>9.6300000000000008</v>
      </c>
      <c r="J629" s="8" t="s">
        <v>26</v>
      </c>
      <c r="K629" s="9">
        <f>12.1</f>
        <v>12.1</v>
      </c>
      <c r="L629" s="9">
        <f>1270.5</f>
        <v>1270.5</v>
      </c>
      <c r="M629" s="4"/>
      <c r="N629" s="10">
        <v>1</v>
      </c>
      <c r="O629" s="4" t="s">
        <v>27</v>
      </c>
      <c r="P629" s="11">
        <v>105</v>
      </c>
      <c r="Q629" s="9">
        <f>1270.5</f>
        <v>1270.5</v>
      </c>
    </row>
    <row r="630" spans="1:17" ht="45" customHeight="1" x14ac:dyDescent="0.25">
      <c r="A630" s="4" t="s">
        <v>20</v>
      </c>
      <c r="B630" s="5" t="s">
        <v>1359</v>
      </c>
      <c r="C630" s="4" t="s">
        <v>29</v>
      </c>
      <c r="D630" s="4" t="s">
        <v>1360</v>
      </c>
      <c r="E630" s="4" t="s">
        <v>1361</v>
      </c>
      <c r="F630" s="6">
        <f>5.5</f>
        <v>5.5</v>
      </c>
      <c r="G630" s="4" t="s">
        <v>25</v>
      </c>
      <c r="H630" s="7">
        <v>28.98</v>
      </c>
      <c r="I630" s="7">
        <v>28.98</v>
      </c>
      <c r="J630" s="8" t="s">
        <v>26</v>
      </c>
      <c r="K630" s="9">
        <f>36.43</f>
        <v>36.43</v>
      </c>
      <c r="L630" s="9">
        <f>200.37</f>
        <v>200.37</v>
      </c>
      <c r="M630" s="4"/>
      <c r="N630" s="10">
        <v>1</v>
      </c>
      <c r="O630" s="4" t="s">
        <v>27</v>
      </c>
      <c r="P630" s="11">
        <v>5.5</v>
      </c>
      <c r="Q630" s="9">
        <f>200.37</f>
        <v>200.37</v>
      </c>
    </row>
    <row r="631" spans="1:17" ht="45" customHeight="1" x14ac:dyDescent="0.25">
      <c r="A631" s="4" t="s">
        <v>20</v>
      </c>
      <c r="B631" s="5" t="s">
        <v>1362</v>
      </c>
      <c r="C631" s="4" t="s">
        <v>63</v>
      </c>
      <c r="D631" s="4" t="s">
        <v>340</v>
      </c>
      <c r="E631" s="4" t="s">
        <v>341</v>
      </c>
      <c r="F631" s="6">
        <f>9</f>
        <v>9</v>
      </c>
      <c r="G631" s="4" t="s">
        <v>25</v>
      </c>
      <c r="H631" s="7">
        <v>53.01</v>
      </c>
      <c r="I631" s="7">
        <v>53.01</v>
      </c>
      <c r="J631" s="8" t="s">
        <v>26</v>
      </c>
      <c r="K631" s="9">
        <f>66.63</f>
        <v>66.63</v>
      </c>
      <c r="L631" s="9">
        <f>599.67</f>
        <v>599.66999999999996</v>
      </c>
      <c r="M631" s="4"/>
      <c r="N631" s="10">
        <v>1</v>
      </c>
      <c r="O631" s="4" t="s">
        <v>27</v>
      </c>
      <c r="P631" s="11">
        <v>9</v>
      </c>
      <c r="Q631" s="9">
        <f>599.67</f>
        <v>599.66999999999996</v>
      </c>
    </row>
    <row r="632" spans="1:17" ht="45" customHeight="1" x14ac:dyDescent="0.25">
      <c r="A632" s="4" t="s">
        <v>20</v>
      </c>
      <c r="B632" s="5" t="s">
        <v>1363</v>
      </c>
      <c r="C632" s="4" t="s">
        <v>63</v>
      </c>
      <c r="D632" s="4" t="s">
        <v>334</v>
      </c>
      <c r="E632" s="4" t="s">
        <v>335</v>
      </c>
      <c r="F632" s="6">
        <f>28</f>
        <v>28</v>
      </c>
      <c r="G632" s="4" t="s">
        <v>25</v>
      </c>
      <c r="H632" s="7">
        <v>101.28</v>
      </c>
      <c r="I632" s="7">
        <v>101.28</v>
      </c>
      <c r="J632" s="8" t="s">
        <v>26</v>
      </c>
      <c r="K632" s="9">
        <f>127.31</f>
        <v>127.31</v>
      </c>
      <c r="L632" s="9">
        <f>3564.68</f>
        <v>3564.68</v>
      </c>
      <c r="M632" s="4"/>
      <c r="N632" s="10">
        <v>1</v>
      </c>
      <c r="O632" s="4" t="s">
        <v>27</v>
      </c>
      <c r="P632" s="11">
        <v>28</v>
      </c>
      <c r="Q632" s="9">
        <f>3564.68</f>
        <v>3564.68</v>
      </c>
    </row>
    <row r="633" spans="1:17" ht="45" customHeight="1" x14ac:dyDescent="0.25">
      <c r="A633" s="4" t="s">
        <v>20</v>
      </c>
      <c r="B633" s="5" t="s">
        <v>1364</v>
      </c>
      <c r="C633" s="4" t="s">
        <v>29</v>
      </c>
      <c r="D633" s="4" t="s">
        <v>1365</v>
      </c>
      <c r="E633" s="4" t="s">
        <v>1366</v>
      </c>
      <c r="F633" s="6">
        <f>5.5</f>
        <v>5.5</v>
      </c>
      <c r="G633" s="4" t="s">
        <v>25</v>
      </c>
      <c r="H633" s="7">
        <v>675.65</v>
      </c>
      <c r="I633" s="7">
        <v>675.65</v>
      </c>
      <c r="J633" s="8" t="s">
        <v>26</v>
      </c>
      <c r="K633" s="9">
        <f>849.29</f>
        <v>849.29</v>
      </c>
      <c r="L633" s="9">
        <f>4671.1</f>
        <v>4671.1000000000004</v>
      </c>
      <c r="M633" s="4"/>
      <c r="N633" s="10">
        <v>1</v>
      </c>
      <c r="O633" s="4" t="s">
        <v>27</v>
      </c>
      <c r="P633" s="11">
        <v>5.5</v>
      </c>
      <c r="Q633" s="9">
        <f>4671.1</f>
        <v>4671.1000000000004</v>
      </c>
    </row>
    <row r="634" spans="1:17" ht="45" customHeight="1" x14ac:dyDescent="0.25">
      <c r="A634" s="4" t="s">
        <v>20</v>
      </c>
      <c r="B634" s="5" t="s">
        <v>1367</v>
      </c>
      <c r="C634" s="4" t="s">
        <v>63</v>
      </c>
      <c r="D634" s="4" t="s">
        <v>1368</v>
      </c>
      <c r="E634" s="4" t="s">
        <v>1369</v>
      </c>
      <c r="F634" s="6">
        <f>0.5</f>
        <v>0.5</v>
      </c>
      <c r="G634" s="4" t="s">
        <v>96</v>
      </c>
      <c r="H634" s="7">
        <v>115.34</v>
      </c>
      <c r="I634" s="7">
        <v>115.34</v>
      </c>
      <c r="J634" s="8" t="s">
        <v>26</v>
      </c>
      <c r="K634" s="9">
        <f>144.98</f>
        <v>144.97999999999999</v>
      </c>
      <c r="L634" s="9">
        <f>72.49</f>
        <v>72.489999999999995</v>
      </c>
      <c r="M634" s="4"/>
      <c r="N634" s="10">
        <v>1</v>
      </c>
      <c r="O634" s="4" t="s">
        <v>27</v>
      </c>
      <c r="P634" s="11">
        <v>0.5</v>
      </c>
      <c r="Q634" s="9">
        <f>72.49</f>
        <v>72.489999999999995</v>
      </c>
    </row>
    <row r="635" spans="1:17" ht="45" customHeight="1" x14ac:dyDescent="0.25">
      <c r="A635" s="4" t="s">
        <v>20</v>
      </c>
      <c r="B635" s="5" t="s">
        <v>1370</v>
      </c>
      <c r="C635" s="4" t="s">
        <v>63</v>
      </c>
      <c r="D635" s="4" t="s">
        <v>1371</v>
      </c>
      <c r="E635" s="4" t="s">
        <v>1372</v>
      </c>
      <c r="F635" s="6">
        <f>0.5</f>
        <v>0.5</v>
      </c>
      <c r="G635" s="4" t="s">
        <v>96</v>
      </c>
      <c r="H635" s="7">
        <v>91.55</v>
      </c>
      <c r="I635" s="7">
        <v>91.55</v>
      </c>
      <c r="J635" s="8" t="s">
        <v>26</v>
      </c>
      <c r="K635" s="9">
        <f>115.08</f>
        <v>115.08</v>
      </c>
      <c r="L635" s="9">
        <f>57.54</f>
        <v>57.54</v>
      </c>
      <c r="M635" s="4"/>
      <c r="N635" s="10">
        <v>1</v>
      </c>
      <c r="O635" s="4" t="s">
        <v>27</v>
      </c>
      <c r="P635" s="11">
        <v>0.5</v>
      </c>
      <c r="Q635" s="9">
        <f>57.54</f>
        <v>57.54</v>
      </c>
    </row>
    <row r="636" spans="1:17" ht="45" customHeight="1" x14ac:dyDescent="0.25">
      <c r="A636" s="4" t="s">
        <v>20</v>
      </c>
      <c r="B636" s="5" t="s">
        <v>1373</v>
      </c>
      <c r="C636" s="4" t="s">
        <v>63</v>
      </c>
      <c r="D636" s="4" t="s">
        <v>210</v>
      </c>
      <c r="E636" s="4" t="s">
        <v>211</v>
      </c>
      <c r="F636" s="6">
        <f>10.5</f>
        <v>10.5</v>
      </c>
      <c r="G636" s="4" t="s">
        <v>75</v>
      </c>
      <c r="H636" s="7">
        <v>82.75</v>
      </c>
      <c r="I636" s="7">
        <v>82.75</v>
      </c>
      <c r="J636" s="8" t="s">
        <v>26</v>
      </c>
      <c r="K636" s="9">
        <f>104.02</f>
        <v>104.02</v>
      </c>
      <c r="L636" s="9">
        <f>1092.21</f>
        <v>1092.21</v>
      </c>
      <c r="M636" s="4"/>
      <c r="N636" s="10">
        <v>1</v>
      </c>
      <c r="O636" s="4" t="s">
        <v>27</v>
      </c>
      <c r="P636" s="11">
        <v>10.5</v>
      </c>
      <c r="Q636" s="9">
        <f>1092.21</f>
        <v>1092.21</v>
      </c>
    </row>
    <row r="637" spans="1:17" ht="45" customHeight="1" x14ac:dyDescent="0.25">
      <c r="A637" s="4" t="s">
        <v>20</v>
      </c>
      <c r="B637" s="5" t="s">
        <v>1374</v>
      </c>
      <c r="C637" s="4" t="s">
        <v>29</v>
      </c>
      <c r="D637" s="4" t="s">
        <v>216</v>
      </c>
      <c r="E637" s="4" t="s">
        <v>217</v>
      </c>
      <c r="F637" s="6">
        <f>8.5</f>
        <v>8.5</v>
      </c>
      <c r="G637" s="4" t="s">
        <v>75</v>
      </c>
      <c r="H637" s="7">
        <v>35.19</v>
      </c>
      <c r="I637" s="7">
        <v>35.19</v>
      </c>
      <c r="J637" s="8" t="s">
        <v>26</v>
      </c>
      <c r="K637" s="9">
        <f>44.23</f>
        <v>44.23</v>
      </c>
      <c r="L637" s="9">
        <f>375.96</f>
        <v>375.96</v>
      </c>
      <c r="M637" s="4"/>
      <c r="N637" s="10">
        <v>1</v>
      </c>
      <c r="O637" s="4" t="s">
        <v>27</v>
      </c>
      <c r="P637" s="11">
        <v>8.5</v>
      </c>
      <c r="Q637" s="9">
        <f>375.96</f>
        <v>375.96</v>
      </c>
    </row>
    <row r="638" spans="1:17" ht="45" customHeight="1" x14ac:dyDescent="0.25">
      <c r="A638" s="4" t="s">
        <v>20</v>
      </c>
      <c r="B638" s="5" t="s">
        <v>1375</v>
      </c>
      <c r="C638" s="4" t="s">
        <v>63</v>
      </c>
      <c r="D638" s="4" t="s">
        <v>107</v>
      </c>
      <c r="E638" s="4" t="s">
        <v>108</v>
      </c>
      <c r="F638" s="6">
        <f>3</f>
        <v>3</v>
      </c>
      <c r="G638" s="4" t="s">
        <v>75</v>
      </c>
      <c r="H638" s="7">
        <v>8.64</v>
      </c>
      <c r="I638" s="7">
        <v>8.64</v>
      </c>
      <c r="J638" s="8" t="s">
        <v>26</v>
      </c>
      <c r="K638" s="9">
        <f>10.86</f>
        <v>10.86</v>
      </c>
      <c r="L638" s="9">
        <f>32.58</f>
        <v>32.58</v>
      </c>
      <c r="M638" s="4"/>
      <c r="N638" s="10">
        <v>1</v>
      </c>
      <c r="O638" s="4" t="s">
        <v>27</v>
      </c>
      <c r="P638" s="11">
        <v>3</v>
      </c>
      <c r="Q638" s="9">
        <f>32.58</f>
        <v>32.58</v>
      </c>
    </row>
    <row r="639" spans="1:17" ht="45" customHeight="1" x14ac:dyDescent="0.25">
      <c r="A639" s="4" t="s">
        <v>20</v>
      </c>
      <c r="B639" s="5" t="s">
        <v>1376</v>
      </c>
      <c r="C639" s="4" t="s">
        <v>63</v>
      </c>
      <c r="D639" s="4" t="s">
        <v>114</v>
      </c>
      <c r="E639" s="4" t="s">
        <v>115</v>
      </c>
      <c r="F639" s="6">
        <f>3</f>
        <v>3</v>
      </c>
      <c r="G639" s="4" t="s">
        <v>75</v>
      </c>
      <c r="H639" s="7">
        <v>1.45</v>
      </c>
      <c r="I639" s="7">
        <v>1.45</v>
      </c>
      <c r="J639" s="8" t="s">
        <v>26</v>
      </c>
      <c r="K639" s="9">
        <f>1.82</f>
        <v>1.82</v>
      </c>
      <c r="L639" s="9">
        <f>5.46</f>
        <v>5.46</v>
      </c>
      <c r="M639" s="4"/>
      <c r="N639" s="10">
        <v>1</v>
      </c>
      <c r="O639" s="4" t="s">
        <v>27</v>
      </c>
      <c r="P639" s="11">
        <v>3</v>
      </c>
      <c r="Q639" s="9">
        <f>5.46</f>
        <v>5.46</v>
      </c>
    </row>
    <row r="640" spans="1:17" ht="45" customHeight="1" x14ac:dyDescent="0.25">
      <c r="A640" s="4" t="s">
        <v>20</v>
      </c>
      <c r="B640" s="5" t="s">
        <v>1377</v>
      </c>
      <c r="C640" s="4" t="s">
        <v>63</v>
      </c>
      <c r="D640" s="4" t="s">
        <v>110</v>
      </c>
      <c r="E640" s="4" t="s">
        <v>111</v>
      </c>
      <c r="F640" s="6">
        <f>12</f>
        <v>12</v>
      </c>
      <c r="G640" s="4" t="s">
        <v>112</v>
      </c>
      <c r="H640" s="7">
        <v>3.31</v>
      </c>
      <c r="I640" s="7">
        <v>3.31</v>
      </c>
      <c r="J640" s="8" t="s">
        <v>26</v>
      </c>
      <c r="K640" s="9">
        <f>4.16</f>
        <v>4.16</v>
      </c>
      <c r="L640" s="9">
        <f>49.92</f>
        <v>49.92</v>
      </c>
      <c r="M640" s="4"/>
      <c r="N640" s="10">
        <v>1</v>
      </c>
      <c r="O640" s="4" t="s">
        <v>27</v>
      </c>
      <c r="P640" s="11">
        <v>12</v>
      </c>
      <c r="Q640" s="9">
        <f>49.92</f>
        <v>49.92</v>
      </c>
    </row>
    <row r="641" spans="1:17" ht="45" customHeight="1" x14ac:dyDescent="0.25">
      <c r="A641" s="4" t="s">
        <v>20</v>
      </c>
      <c r="B641" s="5" t="s">
        <v>1378</v>
      </c>
      <c r="C641" s="4" t="s">
        <v>29</v>
      </c>
      <c r="D641" s="4" t="s">
        <v>1379</v>
      </c>
      <c r="E641" s="4" t="s">
        <v>1380</v>
      </c>
      <c r="F641" s="6">
        <f>41</f>
        <v>41</v>
      </c>
      <c r="G641" s="4" t="s">
        <v>25</v>
      </c>
      <c r="H641" s="7">
        <v>98.8</v>
      </c>
      <c r="I641" s="7">
        <v>98.8</v>
      </c>
      <c r="J641" s="8" t="s">
        <v>26</v>
      </c>
      <c r="K641" s="9">
        <f>124.19</f>
        <v>124.19</v>
      </c>
      <c r="L641" s="9">
        <f>5091.79</f>
        <v>5091.79</v>
      </c>
      <c r="M641" s="4"/>
      <c r="N641" s="10">
        <v>1</v>
      </c>
      <c r="O641" s="4" t="s">
        <v>27</v>
      </c>
      <c r="P641" s="11">
        <v>41</v>
      </c>
      <c r="Q641" s="9">
        <f>5091.79</f>
        <v>5091.79</v>
      </c>
    </row>
    <row r="642" spans="1:17" ht="45" customHeight="1" x14ac:dyDescent="0.25">
      <c r="A642" s="4" t="s">
        <v>20</v>
      </c>
      <c r="B642" s="5" t="s">
        <v>1381</v>
      </c>
      <c r="C642" s="4" t="s">
        <v>29</v>
      </c>
      <c r="D642" s="4" t="s">
        <v>361</v>
      </c>
      <c r="E642" s="4" t="s">
        <v>362</v>
      </c>
      <c r="F642" s="6">
        <f>41</f>
        <v>41</v>
      </c>
      <c r="G642" s="4" t="s">
        <v>25</v>
      </c>
      <c r="H642" s="7">
        <v>27.05</v>
      </c>
      <c r="I642" s="7">
        <v>27.05</v>
      </c>
      <c r="J642" s="8" t="s">
        <v>26</v>
      </c>
      <c r="K642" s="9">
        <f>34</f>
        <v>34</v>
      </c>
      <c r="L642" s="9">
        <f>1394</f>
        <v>1394</v>
      </c>
      <c r="M642" s="4"/>
      <c r="N642" s="10">
        <v>1</v>
      </c>
      <c r="O642" s="4" t="s">
        <v>27</v>
      </c>
      <c r="P642" s="11">
        <v>41</v>
      </c>
      <c r="Q642" s="9">
        <f>1394</f>
        <v>1394</v>
      </c>
    </row>
    <row r="643" spans="1:17" ht="45" customHeight="1" x14ac:dyDescent="0.25">
      <c r="A643" s="4" t="s">
        <v>20</v>
      </c>
      <c r="B643" s="5" t="s">
        <v>1382</v>
      </c>
      <c r="C643" s="4" t="s">
        <v>29</v>
      </c>
      <c r="D643" s="4" t="s">
        <v>364</v>
      </c>
      <c r="E643" s="4" t="s">
        <v>365</v>
      </c>
      <c r="F643" s="6">
        <f>7</f>
        <v>7</v>
      </c>
      <c r="G643" s="4" t="s">
        <v>75</v>
      </c>
      <c r="H643" s="7">
        <v>706.98</v>
      </c>
      <c r="I643" s="7">
        <v>706.98</v>
      </c>
      <c r="J643" s="8" t="s">
        <v>26</v>
      </c>
      <c r="K643" s="9">
        <f>888.67</f>
        <v>888.67</v>
      </c>
      <c r="L643" s="9">
        <f>6220.69</f>
        <v>6220.69</v>
      </c>
      <c r="M643" s="4"/>
      <c r="N643" s="10">
        <v>1</v>
      </c>
      <c r="O643" s="4" t="s">
        <v>27</v>
      </c>
      <c r="P643" s="11">
        <v>7</v>
      </c>
      <c r="Q643" s="9">
        <f>6220.69</f>
        <v>6220.69</v>
      </c>
    </row>
    <row r="644" spans="1:17" ht="45" customHeight="1" x14ac:dyDescent="0.25">
      <c r="A644" s="4" t="s">
        <v>20</v>
      </c>
      <c r="B644" s="5" t="s">
        <v>1383</v>
      </c>
      <c r="C644" s="4" t="s">
        <v>29</v>
      </c>
      <c r="D644" s="4" t="s">
        <v>77</v>
      </c>
      <c r="E644" s="4" t="s">
        <v>78</v>
      </c>
      <c r="F644" s="6">
        <f>571</f>
        <v>571</v>
      </c>
      <c r="G644" s="4" t="s">
        <v>79</v>
      </c>
      <c r="H644" s="7">
        <v>13.28</v>
      </c>
      <c r="I644" s="7">
        <v>13.28</v>
      </c>
      <c r="J644" s="8" t="s">
        <v>26</v>
      </c>
      <c r="K644" s="9">
        <f>16.69</f>
        <v>16.690000000000001</v>
      </c>
      <c r="L644" s="9">
        <f>9529.99</f>
        <v>9529.99</v>
      </c>
      <c r="M644" s="4"/>
      <c r="N644" s="10">
        <v>1</v>
      </c>
      <c r="O644" s="4" t="s">
        <v>27</v>
      </c>
      <c r="P644" s="11">
        <v>571</v>
      </c>
      <c r="Q644" s="9">
        <f>9529.99</f>
        <v>9529.99</v>
      </c>
    </row>
    <row r="645" spans="1:17" ht="45" customHeight="1" x14ac:dyDescent="0.25">
      <c r="A645" s="4" t="s">
        <v>20</v>
      </c>
      <c r="B645" s="5" t="s">
        <v>1384</v>
      </c>
      <c r="C645" s="4" t="s">
        <v>63</v>
      </c>
      <c r="D645" s="4" t="s">
        <v>369</v>
      </c>
      <c r="E645" s="4" t="s">
        <v>370</v>
      </c>
      <c r="F645" s="6">
        <f>1</f>
        <v>1</v>
      </c>
      <c r="G645" s="4" t="s">
        <v>75</v>
      </c>
      <c r="H645" s="7">
        <v>514.52</v>
      </c>
      <c r="I645" s="7">
        <v>514.52</v>
      </c>
      <c r="J645" s="8" t="s">
        <v>26</v>
      </c>
      <c r="K645" s="9">
        <f>646.75</f>
        <v>646.75</v>
      </c>
      <c r="L645" s="9">
        <f>646.75</f>
        <v>646.75</v>
      </c>
      <c r="M645" s="4"/>
      <c r="N645" s="10">
        <v>1</v>
      </c>
      <c r="O645" s="4" t="s">
        <v>27</v>
      </c>
      <c r="P645" s="11">
        <v>1</v>
      </c>
      <c r="Q645" s="9">
        <f>646.75</f>
        <v>646.75</v>
      </c>
    </row>
    <row r="646" spans="1:17" ht="45" customHeight="1" x14ac:dyDescent="0.25">
      <c r="A646" s="4" t="s">
        <v>20</v>
      </c>
      <c r="B646" s="5" t="s">
        <v>1385</v>
      </c>
      <c r="C646" s="4" t="s">
        <v>63</v>
      </c>
      <c r="D646" s="4" t="s">
        <v>1246</v>
      </c>
      <c r="E646" s="4" t="s">
        <v>1247</v>
      </c>
      <c r="F646" s="6">
        <f>1.8</f>
        <v>1.8</v>
      </c>
      <c r="G646" s="4" t="s">
        <v>96</v>
      </c>
      <c r="H646" s="7">
        <v>7.65</v>
      </c>
      <c r="I646" s="7">
        <v>7.65</v>
      </c>
      <c r="J646" s="8" t="s">
        <v>26</v>
      </c>
      <c r="K646" s="9">
        <f>9.62</f>
        <v>9.6199999999999992</v>
      </c>
      <c r="L646" s="9">
        <f>17.32</f>
        <v>17.32</v>
      </c>
      <c r="M646" s="4"/>
      <c r="N646" s="10">
        <v>1</v>
      </c>
      <c r="O646" s="4" t="s">
        <v>27</v>
      </c>
      <c r="P646" s="11">
        <v>1.8</v>
      </c>
      <c r="Q646" s="9">
        <f>17.32</f>
        <v>17.32</v>
      </c>
    </row>
    <row r="647" spans="1:17" ht="45" customHeight="1" x14ac:dyDescent="0.25">
      <c r="A647" s="4" t="s">
        <v>20</v>
      </c>
      <c r="B647" s="5" t="s">
        <v>1386</v>
      </c>
      <c r="C647" s="4" t="s">
        <v>29</v>
      </c>
      <c r="D647" s="4" t="s">
        <v>1387</v>
      </c>
      <c r="E647" s="4" t="s">
        <v>1388</v>
      </c>
      <c r="F647" s="6">
        <f>2</f>
        <v>2</v>
      </c>
      <c r="G647" s="4" t="s">
        <v>46</v>
      </c>
      <c r="H647" s="7">
        <v>1254.24</v>
      </c>
      <c r="I647" s="7">
        <v>1254.24</v>
      </c>
      <c r="J647" s="8" t="s">
        <v>26</v>
      </c>
      <c r="K647" s="9">
        <f>1576.58</f>
        <v>1576.58</v>
      </c>
      <c r="L647" s="9">
        <f>3153.16</f>
        <v>3153.16</v>
      </c>
      <c r="M647" s="4"/>
      <c r="N647" s="10">
        <v>1</v>
      </c>
      <c r="O647" s="4" t="s">
        <v>27</v>
      </c>
      <c r="P647" s="11">
        <v>2</v>
      </c>
      <c r="Q647" s="9">
        <f>3153.16</f>
        <v>3153.16</v>
      </c>
    </row>
    <row r="648" spans="1:17" ht="45" customHeight="1" x14ac:dyDescent="0.25">
      <c r="A648" s="4" t="s">
        <v>20</v>
      </c>
      <c r="B648" s="5" t="s">
        <v>1389</v>
      </c>
      <c r="C648" s="4" t="s">
        <v>29</v>
      </c>
      <c r="D648" s="4" t="s">
        <v>1390</v>
      </c>
      <c r="E648" s="4" t="s">
        <v>1391</v>
      </c>
      <c r="F648" s="6">
        <f>2</f>
        <v>2</v>
      </c>
      <c r="G648" s="4" t="s">
        <v>46</v>
      </c>
      <c r="H648" s="7">
        <v>10.8</v>
      </c>
      <c r="I648" s="7">
        <v>10.8</v>
      </c>
      <c r="J648" s="8" t="s">
        <v>26</v>
      </c>
      <c r="K648" s="9">
        <f>13.58</f>
        <v>13.58</v>
      </c>
      <c r="L648" s="9">
        <f>27.16</f>
        <v>27.16</v>
      </c>
      <c r="M648" s="4"/>
      <c r="N648" s="10">
        <v>1</v>
      </c>
      <c r="O648" s="4" t="s">
        <v>27</v>
      </c>
      <c r="P648" s="11">
        <v>2</v>
      </c>
      <c r="Q648" s="9">
        <f>27.16</f>
        <v>27.16</v>
      </c>
    </row>
    <row r="649" spans="1:17" ht="45" customHeight="1" x14ac:dyDescent="0.25">
      <c r="A649" s="4" t="s">
        <v>20</v>
      </c>
      <c r="B649" s="5" t="s">
        <v>1392</v>
      </c>
      <c r="C649" s="4" t="s">
        <v>29</v>
      </c>
      <c r="D649" s="4" t="s">
        <v>1393</v>
      </c>
      <c r="E649" s="4" t="s">
        <v>1394</v>
      </c>
      <c r="F649" s="6">
        <f>4</f>
        <v>4</v>
      </c>
      <c r="G649" s="4" t="s">
        <v>46</v>
      </c>
      <c r="H649" s="7">
        <v>12.73</v>
      </c>
      <c r="I649" s="7">
        <v>12.73</v>
      </c>
      <c r="J649" s="8" t="s">
        <v>26</v>
      </c>
      <c r="K649" s="9">
        <f>16</f>
        <v>16</v>
      </c>
      <c r="L649" s="9">
        <f>64</f>
        <v>64</v>
      </c>
      <c r="M649" s="4"/>
      <c r="N649" s="10">
        <v>1</v>
      </c>
      <c r="O649" s="4" t="s">
        <v>27</v>
      </c>
      <c r="P649" s="11">
        <v>4</v>
      </c>
      <c r="Q649" s="9">
        <f>64</f>
        <v>64</v>
      </c>
    </row>
    <row r="650" spans="1:17" ht="45" customHeight="1" x14ac:dyDescent="0.25">
      <c r="A650" s="4" t="s">
        <v>20</v>
      </c>
      <c r="B650" s="5" t="s">
        <v>1395</v>
      </c>
      <c r="C650" s="4" t="s">
        <v>63</v>
      </c>
      <c r="D650" s="4" t="s">
        <v>1396</v>
      </c>
      <c r="E650" s="4" t="s">
        <v>1397</v>
      </c>
      <c r="F650" s="6">
        <f>13.5</f>
        <v>13.5</v>
      </c>
      <c r="G650" s="4" t="s">
        <v>25</v>
      </c>
      <c r="H650" s="7">
        <v>81.95</v>
      </c>
      <c r="I650" s="7">
        <v>81.95</v>
      </c>
      <c r="J650" s="8" t="s">
        <v>26</v>
      </c>
      <c r="K650" s="9">
        <f>103.01</f>
        <v>103.01</v>
      </c>
      <c r="L650" s="9">
        <f>1390.64</f>
        <v>1390.64</v>
      </c>
      <c r="M650" s="4"/>
      <c r="N650" s="10">
        <v>1</v>
      </c>
      <c r="O650" s="4" t="s">
        <v>27</v>
      </c>
      <c r="P650" s="11">
        <v>13.5</v>
      </c>
      <c r="Q650" s="9">
        <f>1390.64</f>
        <v>1390.64</v>
      </c>
    </row>
    <row r="651" spans="1:17" ht="45" customHeight="1" x14ac:dyDescent="0.25">
      <c r="A651" s="4" t="s">
        <v>20</v>
      </c>
      <c r="B651" s="5" t="s">
        <v>1398</v>
      </c>
      <c r="C651" s="4" t="s">
        <v>29</v>
      </c>
      <c r="D651" s="4" t="s">
        <v>802</v>
      </c>
      <c r="E651" s="4" t="s">
        <v>803</v>
      </c>
      <c r="F651" s="6">
        <f>1</f>
        <v>1</v>
      </c>
      <c r="G651" s="4" t="s">
        <v>46</v>
      </c>
      <c r="H651" s="7">
        <v>724.35</v>
      </c>
      <c r="I651" s="7">
        <v>724.35</v>
      </c>
      <c r="J651" s="8" t="s">
        <v>26</v>
      </c>
      <c r="K651" s="9">
        <f>910.51</f>
        <v>910.51</v>
      </c>
      <c r="L651" s="9">
        <f>910.51</f>
        <v>910.51</v>
      </c>
      <c r="M651" s="4"/>
      <c r="N651" s="10">
        <v>1</v>
      </c>
      <c r="O651" s="4" t="s">
        <v>27</v>
      </c>
      <c r="P651" s="11">
        <v>1</v>
      </c>
      <c r="Q651" s="9">
        <f>910.51</f>
        <v>910.51</v>
      </c>
    </row>
    <row r="652" spans="1:17" ht="45" customHeight="1" x14ac:dyDescent="0.25">
      <c r="A652" s="4" t="s">
        <v>20</v>
      </c>
      <c r="B652" s="5" t="s">
        <v>1399</v>
      </c>
      <c r="C652" s="4" t="s">
        <v>29</v>
      </c>
      <c r="D652" s="4" t="s">
        <v>386</v>
      </c>
      <c r="E652" s="4" t="s">
        <v>387</v>
      </c>
      <c r="F652" s="6">
        <f>3</f>
        <v>3</v>
      </c>
      <c r="G652" s="4" t="s">
        <v>25</v>
      </c>
      <c r="H652" s="7">
        <v>29.4</v>
      </c>
      <c r="I652" s="7">
        <v>29.4</v>
      </c>
      <c r="J652" s="8" t="s">
        <v>26</v>
      </c>
      <c r="K652" s="9">
        <f>36.96</f>
        <v>36.96</v>
      </c>
      <c r="L652" s="9">
        <f>110.88</f>
        <v>110.88</v>
      </c>
      <c r="M652" s="4"/>
      <c r="N652" s="10">
        <v>1</v>
      </c>
      <c r="O652" s="4" t="s">
        <v>27</v>
      </c>
      <c r="P652" s="11">
        <v>3</v>
      </c>
      <c r="Q652" s="9">
        <f>110.88</f>
        <v>110.88</v>
      </c>
    </row>
    <row r="653" spans="1:17" ht="45" customHeight="1" x14ac:dyDescent="0.25">
      <c r="A653" s="4" t="s">
        <v>20</v>
      </c>
      <c r="B653" s="5" t="s">
        <v>1400</v>
      </c>
      <c r="C653" s="4" t="s">
        <v>63</v>
      </c>
      <c r="D653" s="4" t="s">
        <v>1401</v>
      </c>
      <c r="E653" s="4" t="s">
        <v>1402</v>
      </c>
      <c r="F653" s="6">
        <f>1</f>
        <v>1</v>
      </c>
      <c r="G653" s="4" t="s">
        <v>46</v>
      </c>
      <c r="H653" s="7">
        <v>559.33000000000004</v>
      </c>
      <c r="I653" s="7">
        <v>559.33000000000004</v>
      </c>
      <c r="J653" s="8" t="s">
        <v>26</v>
      </c>
      <c r="K653" s="9">
        <f>703.08</f>
        <v>703.08</v>
      </c>
      <c r="L653" s="9">
        <f>703.08</f>
        <v>703.08</v>
      </c>
      <c r="M653" s="4"/>
      <c r="N653" s="10">
        <v>1</v>
      </c>
      <c r="O653" s="4" t="s">
        <v>27</v>
      </c>
      <c r="P653" s="11">
        <v>1</v>
      </c>
      <c r="Q653" s="9">
        <f>703.08</f>
        <v>703.08</v>
      </c>
    </row>
    <row r="654" spans="1:17" ht="45" customHeight="1" x14ac:dyDescent="0.25">
      <c r="A654" s="4" t="s">
        <v>20</v>
      </c>
      <c r="B654" s="5" t="s">
        <v>1403</v>
      </c>
      <c r="C654" s="4" t="s">
        <v>29</v>
      </c>
      <c r="D654" s="4" t="s">
        <v>120</v>
      </c>
      <c r="E654" s="4" t="s">
        <v>121</v>
      </c>
      <c r="F654" s="6">
        <f>10</f>
        <v>10</v>
      </c>
      <c r="G654" s="4" t="s">
        <v>46</v>
      </c>
      <c r="H654" s="7">
        <v>3.34</v>
      </c>
      <c r="I654" s="7">
        <v>3.34</v>
      </c>
      <c r="J654" s="8" t="s">
        <v>122</v>
      </c>
      <c r="K654" s="9">
        <f>3.98</f>
        <v>3.98</v>
      </c>
      <c r="L654" s="9">
        <f>39.8</f>
        <v>39.799999999999997</v>
      </c>
      <c r="M654" s="4"/>
      <c r="N654" s="10">
        <v>1</v>
      </c>
      <c r="O654" s="4" t="s">
        <v>27</v>
      </c>
      <c r="P654" s="11">
        <v>10</v>
      </c>
      <c r="Q654" s="9">
        <f>39.8</f>
        <v>39.799999999999997</v>
      </c>
    </row>
    <row r="655" spans="1:17" ht="45" customHeight="1" x14ac:dyDescent="0.25">
      <c r="A655" s="4" t="s">
        <v>20</v>
      </c>
      <c r="B655" s="5" t="s">
        <v>1404</v>
      </c>
      <c r="C655" s="4" t="s">
        <v>29</v>
      </c>
      <c r="D655" s="4" t="s">
        <v>1405</v>
      </c>
      <c r="E655" s="4" t="s">
        <v>1406</v>
      </c>
      <c r="F655" s="6">
        <f>4</f>
        <v>4</v>
      </c>
      <c r="G655" s="4" t="s">
        <v>46</v>
      </c>
      <c r="H655" s="7">
        <v>2.0699999999999998</v>
      </c>
      <c r="I655" s="7">
        <v>2.0699999999999998</v>
      </c>
      <c r="J655" s="8" t="s">
        <v>122</v>
      </c>
      <c r="K655" s="9">
        <f>2.46</f>
        <v>2.46</v>
      </c>
      <c r="L655" s="9">
        <f>9.84</f>
        <v>9.84</v>
      </c>
      <c r="M655" s="4"/>
      <c r="N655" s="10">
        <v>1</v>
      </c>
      <c r="O655" s="4" t="s">
        <v>27</v>
      </c>
      <c r="P655" s="11">
        <v>4</v>
      </c>
      <c r="Q655" s="9">
        <f>9.84</f>
        <v>9.84</v>
      </c>
    </row>
    <row r="656" spans="1:17" ht="45" customHeight="1" x14ac:dyDescent="0.25">
      <c r="A656" s="4" t="s">
        <v>20</v>
      </c>
      <c r="B656" s="5" t="s">
        <v>1407</v>
      </c>
      <c r="C656" s="4" t="s">
        <v>29</v>
      </c>
      <c r="D656" s="4" t="s">
        <v>130</v>
      </c>
      <c r="E656" s="4" t="s">
        <v>131</v>
      </c>
      <c r="F656" s="6">
        <f>20</f>
        <v>20</v>
      </c>
      <c r="G656" s="4" t="s">
        <v>46</v>
      </c>
      <c r="H656" s="7">
        <v>2.59</v>
      </c>
      <c r="I656" s="7">
        <v>2.59</v>
      </c>
      <c r="J656" s="8" t="s">
        <v>122</v>
      </c>
      <c r="K656" s="9">
        <f>3.08</f>
        <v>3.08</v>
      </c>
      <c r="L656" s="9">
        <f>61.6</f>
        <v>61.6</v>
      </c>
      <c r="M656" s="4"/>
      <c r="N656" s="10">
        <v>1</v>
      </c>
      <c r="O656" s="4" t="s">
        <v>27</v>
      </c>
      <c r="P656" s="11">
        <v>20</v>
      </c>
      <c r="Q656" s="9">
        <f>61.6</f>
        <v>61.6</v>
      </c>
    </row>
    <row r="657" spans="1:17" ht="45" customHeight="1" x14ac:dyDescent="0.25">
      <c r="A657" s="4" t="s">
        <v>20</v>
      </c>
      <c r="B657" s="5" t="s">
        <v>1408</v>
      </c>
      <c r="C657" s="4" t="s">
        <v>29</v>
      </c>
      <c r="D657" s="4" t="s">
        <v>1409</v>
      </c>
      <c r="E657" s="4" t="s">
        <v>1410</v>
      </c>
      <c r="F657" s="6">
        <f>2</f>
        <v>2</v>
      </c>
      <c r="G657" s="4" t="s">
        <v>46</v>
      </c>
      <c r="H657" s="7">
        <v>53.34</v>
      </c>
      <c r="I657" s="7">
        <v>53.34</v>
      </c>
      <c r="J657" s="8" t="s">
        <v>122</v>
      </c>
      <c r="K657" s="9">
        <f>63.5</f>
        <v>63.5</v>
      </c>
      <c r="L657" s="9">
        <f>127</f>
        <v>127</v>
      </c>
      <c r="M657" s="4"/>
      <c r="N657" s="10">
        <v>1</v>
      </c>
      <c r="O657" s="4" t="s">
        <v>27</v>
      </c>
      <c r="P657" s="11">
        <v>2</v>
      </c>
      <c r="Q657" s="9">
        <f>127</f>
        <v>127</v>
      </c>
    </row>
    <row r="658" spans="1:17" ht="45" customHeight="1" x14ac:dyDescent="0.25">
      <c r="A658" s="4" t="s">
        <v>20</v>
      </c>
      <c r="B658" s="5" t="s">
        <v>1411</v>
      </c>
      <c r="C658" s="4" t="s">
        <v>29</v>
      </c>
      <c r="D658" s="4" t="s">
        <v>1412</v>
      </c>
      <c r="E658" s="4" t="s">
        <v>1413</v>
      </c>
      <c r="F658" s="6">
        <f>1</f>
        <v>1</v>
      </c>
      <c r="G658" s="4" t="s">
        <v>46</v>
      </c>
      <c r="H658" s="7">
        <v>73.41</v>
      </c>
      <c r="I658" s="7">
        <v>73.41</v>
      </c>
      <c r="J658" s="8" t="s">
        <v>122</v>
      </c>
      <c r="K658" s="9">
        <f>87.39</f>
        <v>87.39</v>
      </c>
      <c r="L658" s="9">
        <f>87.39</f>
        <v>87.39</v>
      </c>
      <c r="M658" s="4"/>
      <c r="N658" s="10">
        <v>1</v>
      </c>
      <c r="O658" s="4" t="s">
        <v>27</v>
      </c>
      <c r="P658" s="11">
        <v>1</v>
      </c>
      <c r="Q658" s="9">
        <f>87.39</f>
        <v>87.39</v>
      </c>
    </row>
    <row r="659" spans="1:17" ht="45" customHeight="1" x14ac:dyDescent="0.25">
      <c r="A659" s="4" t="s">
        <v>20</v>
      </c>
      <c r="B659" s="5" t="s">
        <v>1414</v>
      </c>
      <c r="C659" s="4" t="s">
        <v>29</v>
      </c>
      <c r="D659" s="4" t="s">
        <v>1415</v>
      </c>
      <c r="E659" s="4" t="s">
        <v>1416</v>
      </c>
      <c r="F659" s="6">
        <f>1</f>
        <v>1</v>
      </c>
      <c r="G659" s="4" t="s">
        <v>46</v>
      </c>
      <c r="H659" s="7">
        <v>184.51</v>
      </c>
      <c r="I659" s="7">
        <v>184.51</v>
      </c>
      <c r="J659" s="8" t="s">
        <v>122</v>
      </c>
      <c r="K659" s="9">
        <f>219.66</f>
        <v>219.66</v>
      </c>
      <c r="L659" s="9">
        <f>219.66</f>
        <v>219.66</v>
      </c>
      <c r="M659" s="4"/>
      <c r="N659" s="10">
        <v>1</v>
      </c>
      <c r="O659" s="4" t="s">
        <v>27</v>
      </c>
      <c r="P659" s="11">
        <v>1</v>
      </c>
      <c r="Q659" s="9">
        <f>219.66</f>
        <v>219.66</v>
      </c>
    </row>
    <row r="660" spans="1:17" ht="45" customHeight="1" x14ac:dyDescent="0.25">
      <c r="A660" s="4" t="s">
        <v>20</v>
      </c>
      <c r="B660" s="5" t="s">
        <v>1417</v>
      </c>
      <c r="C660" s="4" t="s">
        <v>29</v>
      </c>
      <c r="D660" s="4" t="s">
        <v>1071</v>
      </c>
      <c r="E660" s="4" t="s">
        <v>1072</v>
      </c>
      <c r="F660" s="6">
        <f>3</f>
        <v>3</v>
      </c>
      <c r="G660" s="4" t="s">
        <v>46</v>
      </c>
      <c r="H660" s="7">
        <v>214.64</v>
      </c>
      <c r="I660" s="7">
        <v>214.64</v>
      </c>
      <c r="J660" s="8" t="s">
        <v>122</v>
      </c>
      <c r="K660" s="9">
        <f>255.53</f>
        <v>255.53</v>
      </c>
      <c r="L660" s="9">
        <f>766.59</f>
        <v>766.59</v>
      </c>
      <c r="M660" s="4"/>
      <c r="N660" s="10">
        <v>1</v>
      </c>
      <c r="O660" s="4" t="s">
        <v>27</v>
      </c>
      <c r="P660" s="11">
        <v>3</v>
      </c>
      <c r="Q660" s="9">
        <f>766.59</f>
        <v>766.59</v>
      </c>
    </row>
    <row r="661" spans="1:17" ht="45" customHeight="1" x14ac:dyDescent="0.25">
      <c r="A661" s="4" t="s">
        <v>20</v>
      </c>
      <c r="B661" s="5" t="s">
        <v>1418</v>
      </c>
      <c r="C661" s="4" t="s">
        <v>29</v>
      </c>
      <c r="D661" s="4" t="s">
        <v>1419</v>
      </c>
      <c r="E661" s="4" t="s">
        <v>1420</v>
      </c>
      <c r="F661" s="6">
        <f>3</f>
        <v>3</v>
      </c>
      <c r="G661" s="4" t="s">
        <v>46</v>
      </c>
      <c r="H661" s="7">
        <v>300.33</v>
      </c>
      <c r="I661" s="7">
        <v>300.33</v>
      </c>
      <c r="J661" s="8" t="s">
        <v>122</v>
      </c>
      <c r="K661" s="9">
        <f>357.54</f>
        <v>357.54</v>
      </c>
      <c r="L661" s="9">
        <f>1072.62</f>
        <v>1072.6199999999999</v>
      </c>
      <c r="M661" s="4"/>
      <c r="N661" s="10">
        <v>1</v>
      </c>
      <c r="O661" s="4" t="s">
        <v>27</v>
      </c>
      <c r="P661" s="11">
        <v>3</v>
      </c>
      <c r="Q661" s="9">
        <f>1072.62</f>
        <v>1072.6199999999999</v>
      </c>
    </row>
    <row r="662" spans="1:17" ht="45" customHeight="1" x14ac:dyDescent="0.25">
      <c r="A662" s="4" t="s">
        <v>20</v>
      </c>
      <c r="B662" s="5" t="s">
        <v>1421</v>
      </c>
      <c r="C662" s="4" t="s">
        <v>29</v>
      </c>
      <c r="D662" s="4" t="s">
        <v>411</v>
      </c>
      <c r="E662" s="4" t="s">
        <v>412</v>
      </c>
      <c r="F662" s="6">
        <f>2</f>
        <v>2</v>
      </c>
      <c r="G662" s="4" t="s">
        <v>46</v>
      </c>
      <c r="H662" s="7">
        <v>222.22</v>
      </c>
      <c r="I662" s="7">
        <v>222.22</v>
      </c>
      <c r="J662" s="8" t="s">
        <v>122</v>
      </c>
      <c r="K662" s="9">
        <f>264.55</f>
        <v>264.55</v>
      </c>
      <c r="L662" s="9">
        <f>529.1</f>
        <v>529.1</v>
      </c>
      <c r="M662" s="4"/>
      <c r="N662" s="10">
        <v>1</v>
      </c>
      <c r="O662" s="4" t="s">
        <v>27</v>
      </c>
      <c r="P662" s="11">
        <v>2</v>
      </c>
      <c r="Q662" s="9">
        <f>529.1</f>
        <v>529.1</v>
      </c>
    </row>
    <row r="663" spans="1:17" ht="45" customHeight="1" x14ac:dyDescent="0.25">
      <c r="A663" s="4" t="s">
        <v>20</v>
      </c>
      <c r="B663" s="5" t="s">
        <v>1422</v>
      </c>
      <c r="C663" s="4" t="s">
        <v>29</v>
      </c>
      <c r="D663" s="4" t="s">
        <v>1423</v>
      </c>
      <c r="E663" s="4" t="s">
        <v>1424</v>
      </c>
      <c r="F663" s="6">
        <f>1</f>
        <v>1</v>
      </c>
      <c r="G663" s="4" t="s">
        <v>46</v>
      </c>
      <c r="H663" s="7">
        <v>125.63</v>
      </c>
      <c r="I663" s="7">
        <v>125.63</v>
      </c>
      <c r="J663" s="8" t="s">
        <v>122</v>
      </c>
      <c r="K663" s="9">
        <f>149.56</f>
        <v>149.56</v>
      </c>
      <c r="L663" s="9">
        <f>149.56</f>
        <v>149.56</v>
      </c>
      <c r="M663" s="4"/>
      <c r="N663" s="10">
        <v>1</v>
      </c>
      <c r="O663" s="4" t="s">
        <v>27</v>
      </c>
      <c r="P663" s="11">
        <v>1</v>
      </c>
      <c r="Q663" s="9">
        <f>149.56</f>
        <v>149.56</v>
      </c>
    </row>
    <row r="664" spans="1:17" ht="45" customHeight="1" x14ac:dyDescent="0.25">
      <c r="A664" s="4" t="s">
        <v>20</v>
      </c>
      <c r="B664" s="5" t="s">
        <v>1425</v>
      </c>
      <c r="C664" s="4" t="s">
        <v>29</v>
      </c>
      <c r="D664" s="4" t="s">
        <v>1426</v>
      </c>
      <c r="E664" s="4" t="s">
        <v>1427</v>
      </c>
      <c r="F664" s="6">
        <f>2</f>
        <v>2</v>
      </c>
      <c r="G664" s="4" t="s">
        <v>46</v>
      </c>
      <c r="H664" s="7">
        <v>567.19000000000005</v>
      </c>
      <c r="I664" s="7">
        <v>567.19000000000005</v>
      </c>
      <c r="J664" s="8" t="s">
        <v>122</v>
      </c>
      <c r="K664" s="9">
        <f>675.24</f>
        <v>675.24</v>
      </c>
      <c r="L664" s="9">
        <f>1350.48</f>
        <v>1350.48</v>
      </c>
      <c r="M664" s="4"/>
      <c r="N664" s="10">
        <v>1</v>
      </c>
      <c r="O664" s="4" t="s">
        <v>27</v>
      </c>
      <c r="P664" s="11">
        <v>2</v>
      </c>
      <c r="Q664" s="9">
        <f>1350.48</f>
        <v>1350.48</v>
      </c>
    </row>
    <row r="665" spans="1:17" ht="45" customHeight="1" x14ac:dyDescent="0.25">
      <c r="A665" s="4" t="s">
        <v>20</v>
      </c>
      <c r="B665" s="5" t="s">
        <v>1428</v>
      </c>
      <c r="C665" s="4" t="s">
        <v>29</v>
      </c>
      <c r="D665" s="4" t="s">
        <v>1320</v>
      </c>
      <c r="E665" s="4" t="s">
        <v>1321</v>
      </c>
      <c r="F665" s="6">
        <f>2</f>
        <v>2</v>
      </c>
      <c r="G665" s="4" t="s">
        <v>46</v>
      </c>
      <c r="H665" s="7">
        <v>1994.46</v>
      </c>
      <c r="I665" s="7">
        <v>1994.46</v>
      </c>
      <c r="J665" s="8" t="s">
        <v>122</v>
      </c>
      <c r="K665" s="9">
        <f>2374.4</f>
        <v>2374.4</v>
      </c>
      <c r="L665" s="9">
        <f>4748.8</f>
        <v>4748.8</v>
      </c>
      <c r="M665" s="4"/>
      <c r="N665" s="10">
        <v>1</v>
      </c>
      <c r="O665" s="4" t="s">
        <v>27</v>
      </c>
      <c r="P665" s="11">
        <v>2</v>
      </c>
      <c r="Q665" s="9">
        <f>4748.8</f>
        <v>4748.8</v>
      </c>
    </row>
    <row r="666" spans="1:17" ht="45" customHeight="1" x14ac:dyDescent="0.25">
      <c r="A666" s="4" t="s">
        <v>20</v>
      </c>
      <c r="B666" s="5" t="s">
        <v>1429</v>
      </c>
      <c r="C666" s="4" t="s">
        <v>29</v>
      </c>
      <c r="D666" s="4" t="s">
        <v>1430</v>
      </c>
      <c r="E666" s="4" t="s">
        <v>1431</v>
      </c>
      <c r="F666" s="6">
        <f>4</f>
        <v>4</v>
      </c>
      <c r="G666" s="4" t="s">
        <v>46</v>
      </c>
      <c r="H666" s="7">
        <v>5.91</v>
      </c>
      <c r="I666" s="7">
        <v>5.91</v>
      </c>
      <c r="J666" s="8" t="s">
        <v>122</v>
      </c>
      <c r="K666" s="9">
        <f>7.04</f>
        <v>7.04</v>
      </c>
      <c r="L666" s="9">
        <f>28.16</f>
        <v>28.16</v>
      </c>
      <c r="M666" s="4"/>
      <c r="N666" s="10">
        <v>1</v>
      </c>
      <c r="O666" s="4" t="s">
        <v>27</v>
      </c>
      <c r="P666" s="11">
        <v>4</v>
      </c>
      <c r="Q666" s="9">
        <f>28.16</f>
        <v>28.16</v>
      </c>
    </row>
    <row r="667" spans="1:17" ht="45" customHeight="1" x14ac:dyDescent="0.25">
      <c r="A667" s="4" t="s">
        <v>20</v>
      </c>
      <c r="B667" s="5" t="s">
        <v>1432</v>
      </c>
      <c r="C667" s="4" t="s">
        <v>29</v>
      </c>
      <c r="D667" s="4" t="s">
        <v>441</v>
      </c>
      <c r="E667" s="4" t="s">
        <v>442</v>
      </c>
      <c r="F667" s="6">
        <f>2</f>
        <v>2</v>
      </c>
      <c r="G667" s="4" t="s">
        <v>46</v>
      </c>
      <c r="H667" s="7">
        <v>3.6</v>
      </c>
      <c r="I667" s="7">
        <v>3.6</v>
      </c>
      <c r="J667" s="8" t="s">
        <v>122</v>
      </c>
      <c r="K667" s="9">
        <f>4.29</f>
        <v>4.29</v>
      </c>
      <c r="L667" s="9">
        <f>8.58</f>
        <v>8.58</v>
      </c>
      <c r="M667" s="4"/>
      <c r="N667" s="10">
        <v>1</v>
      </c>
      <c r="O667" s="4" t="s">
        <v>27</v>
      </c>
      <c r="P667" s="11">
        <v>2</v>
      </c>
      <c r="Q667" s="9">
        <f>8.58</f>
        <v>8.58</v>
      </c>
    </row>
    <row r="668" spans="1:17" ht="45" customHeight="1" x14ac:dyDescent="0.25">
      <c r="A668" s="4" t="s">
        <v>20</v>
      </c>
      <c r="B668" s="5" t="s">
        <v>1433</v>
      </c>
      <c r="C668" s="4" t="s">
        <v>29</v>
      </c>
      <c r="D668" s="4" t="s">
        <v>154</v>
      </c>
      <c r="E668" s="4" t="s">
        <v>155</v>
      </c>
      <c r="F668" s="6">
        <f>254</f>
        <v>254</v>
      </c>
      <c r="G668" s="4" t="s">
        <v>46</v>
      </c>
      <c r="H668" s="7">
        <v>3.77</v>
      </c>
      <c r="I668" s="7">
        <v>3.77</v>
      </c>
      <c r="J668" s="8" t="s">
        <v>122</v>
      </c>
      <c r="K668" s="9">
        <f>4.49</f>
        <v>4.49</v>
      </c>
      <c r="L668" s="9">
        <f>1140.46</f>
        <v>1140.46</v>
      </c>
      <c r="M668" s="4"/>
      <c r="N668" s="10">
        <v>1</v>
      </c>
      <c r="O668" s="4" t="s">
        <v>27</v>
      </c>
      <c r="P668" s="11">
        <v>254</v>
      </c>
      <c r="Q668" s="9">
        <f>1140.46</f>
        <v>1140.46</v>
      </c>
    </row>
    <row r="669" spans="1:17" ht="45" customHeight="1" x14ac:dyDescent="0.25">
      <c r="A669" s="4" t="s">
        <v>20</v>
      </c>
      <c r="B669" s="5" t="s">
        <v>1434</v>
      </c>
      <c r="C669" s="4" t="s">
        <v>29</v>
      </c>
      <c r="D669" s="4" t="s">
        <v>1435</v>
      </c>
      <c r="E669" s="4" t="s">
        <v>1436</v>
      </c>
      <c r="F669" s="6">
        <f>1</f>
        <v>1</v>
      </c>
      <c r="G669" s="4" t="s">
        <v>46</v>
      </c>
      <c r="H669" s="7">
        <v>410.33</v>
      </c>
      <c r="I669" s="7">
        <v>410.33</v>
      </c>
      <c r="J669" s="8" t="s">
        <v>122</v>
      </c>
      <c r="K669" s="9">
        <f>488.5</f>
        <v>488.5</v>
      </c>
      <c r="L669" s="9">
        <f>488.5</f>
        <v>488.5</v>
      </c>
      <c r="M669" s="4"/>
      <c r="N669" s="10">
        <v>1</v>
      </c>
      <c r="O669" s="4" t="s">
        <v>27</v>
      </c>
      <c r="P669" s="11">
        <v>1</v>
      </c>
      <c r="Q669" s="9">
        <f>488.5</f>
        <v>488.5</v>
      </c>
    </row>
    <row r="670" spans="1:17" ht="45" customHeight="1" x14ac:dyDescent="0.25">
      <c r="A670" s="4" t="s">
        <v>20</v>
      </c>
      <c r="B670" s="5" t="s">
        <v>1437</v>
      </c>
      <c r="C670" s="4" t="s">
        <v>29</v>
      </c>
      <c r="D670" s="4" t="s">
        <v>1326</v>
      </c>
      <c r="E670" s="4" t="s">
        <v>1327</v>
      </c>
      <c r="F670" s="6">
        <f>2</f>
        <v>2</v>
      </c>
      <c r="G670" s="4" t="s">
        <v>46</v>
      </c>
      <c r="H670" s="7">
        <v>670.91</v>
      </c>
      <c r="I670" s="7">
        <v>670.91</v>
      </c>
      <c r="J670" s="8" t="s">
        <v>122</v>
      </c>
      <c r="K670" s="9">
        <f>798.72</f>
        <v>798.72</v>
      </c>
      <c r="L670" s="9">
        <f>1597.44</f>
        <v>1597.44</v>
      </c>
      <c r="M670" s="4"/>
      <c r="N670" s="10">
        <v>1</v>
      </c>
      <c r="O670" s="4" t="s">
        <v>27</v>
      </c>
      <c r="P670" s="11">
        <v>2</v>
      </c>
      <c r="Q670" s="9">
        <f>1597.44</f>
        <v>1597.44</v>
      </c>
    </row>
    <row r="671" spans="1:17" ht="45" customHeight="1" x14ac:dyDescent="0.25">
      <c r="A671" s="4" t="s">
        <v>20</v>
      </c>
      <c r="B671" s="5" t="s">
        <v>1438</v>
      </c>
      <c r="C671" s="4" t="s">
        <v>29</v>
      </c>
      <c r="D671" s="4" t="s">
        <v>1439</v>
      </c>
      <c r="E671" s="4" t="s">
        <v>1440</v>
      </c>
      <c r="F671" s="6">
        <f>2</f>
        <v>2</v>
      </c>
      <c r="G671" s="4" t="s">
        <v>46</v>
      </c>
      <c r="H671" s="7">
        <v>728.57</v>
      </c>
      <c r="I671" s="7">
        <v>728.57</v>
      </c>
      <c r="J671" s="8" t="s">
        <v>122</v>
      </c>
      <c r="K671" s="9">
        <f>867.36</f>
        <v>867.36</v>
      </c>
      <c r="L671" s="9">
        <f>1734.72</f>
        <v>1734.72</v>
      </c>
      <c r="M671" s="4"/>
      <c r="N671" s="10">
        <v>1</v>
      </c>
      <c r="O671" s="4" t="s">
        <v>27</v>
      </c>
      <c r="P671" s="11">
        <v>2</v>
      </c>
      <c r="Q671" s="9">
        <f>1734.72</f>
        <v>1734.72</v>
      </c>
    </row>
    <row r="672" spans="1:17" ht="45" customHeight="1" x14ac:dyDescent="0.25">
      <c r="A672" s="4" t="s">
        <v>20</v>
      </c>
      <c r="B672" s="5" t="s">
        <v>1441</v>
      </c>
      <c r="C672" s="4" t="s">
        <v>29</v>
      </c>
      <c r="D672" s="4" t="s">
        <v>1442</v>
      </c>
      <c r="E672" s="4" t="s">
        <v>1443</v>
      </c>
      <c r="F672" s="6">
        <f>2</f>
        <v>2</v>
      </c>
      <c r="G672" s="4" t="s">
        <v>46</v>
      </c>
      <c r="H672" s="7">
        <v>52.69</v>
      </c>
      <c r="I672" s="7">
        <v>52.69</v>
      </c>
      <c r="J672" s="8" t="s">
        <v>122</v>
      </c>
      <c r="K672" s="9">
        <f>62.73</f>
        <v>62.73</v>
      </c>
      <c r="L672" s="9">
        <f>125.46</f>
        <v>125.46</v>
      </c>
      <c r="M672" s="4"/>
      <c r="N672" s="10">
        <v>1</v>
      </c>
      <c r="O672" s="4" t="s">
        <v>27</v>
      </c>
      <c r="P672" s="11">
        <v>2</v>
      </c>
      <c r="Q672" s="9">
        <f>125.46</f>
        <v>125.46</v>
      </c>
    </row>
    <row r="673" spans="1:17" ht="45" customHeight="1" x14ac:dyDescent="0.25">
      <c r="A673" s="4" t="s">
        <v>20</v>
      </c>
      <c r="B673" s="5" t="s">
        <v>1444</v>
      </c>
      <c r="C673" s="4" t="s">
        <v>29</v>
      </c>
      <c r="D673" s="4" t="s">
        <v>1445</v>
      </c>
      <c r="E673" s="4" t="s">
        <v>1446</v>
      </c>
      <c r="F673" s="6">
        <f>1</f>
        <v>1</v>
      </c>
      <c r="G673" s="4" t="s">
        <v>46</v>
      </c>
      <c r="H673" s="7">
        <v>293.39999999999998</v>
      </c>
      <c r="I673" s="7">
        <v>293.39999999999998</v>
      </c>
      <c r="J673" s="8" t="s">
        <v>122</v>
      </c>
      <c r="K673" s="9">
        <f>349.29</f>
        <v>349.29</v>
      </c>
      <c r="L673" s="9">
        <f>349.29</f>
        <v>349.29</v>
      </c>
      <c r="M673" s="4"/>
      <c r="N673" s="10">
        <v>1</v>
      </c>
      <c r="O673" s="4" t="s">
        <v>27</v>
      </c>
      <c r="P673" s="11">
        <v>1</v>
      </c>
      <c r="Q673" s="9">
        <f>349.29</f>
        <v>349.29</v>
      </c>
    </row>
    <row r="674" spans="1:17" ht="45" customHeight="1" x14ac:dyDescent="0.25">
      <c r="A674" s="4" t="s">
        <v>20</v>
      </c>
      <c r="B674" s="5" t="s">
        <v>1447</v>
      </c>
      <c r="C674" s="4" t="s">
        <v>29</v>
      </c>
      <c r="D674" s="4" t="s">
        <v>1448</v>
      </c>
      <c r="E674" s="4" t="s">
        <v>1449</v>
      </c>
      <c r="F674" s="6">
        <f>1</f>
        <v>1</v>
      </c>
      <c r="G674" s="4" t="s">
        <v>46</v>
      </c>
      <c r="H674" s="7">
        <v>447.7</v>
      </c>
      <c r="I674" s="7">
        <v>447.7</v>
      </c>
      <c r="J674" s="8" t="s">
        <v>122</v>
      </c>
      <c r="K674" s="9">
        <f>532.99</f>
        <v>532.99</v>
      </c>
      <c r="L674" s="9">
        <f>532.99</f>
        <v>532.99</v>
      </c>
      <c r="M674" s="4"/>
      <c r="N674" s="10">
        <v>1</v>
      </c>
      <c r="O674" s="4" t="s">
        <v>27</v>
      </c>
      <c r="P674" s="11">
        <v>1</v>
      </c>
      <c r="Q674" s="9">
        <f>532.99</f>
        <v>532.99</v>
      </c>
    </row>
    <row r="675" spans="1:17" ht="45" customHeight="1" x14ac:dyDescent="0.25">
      <c r="A675" s="4" t="s">
        <v>20</v>
      </c>
      <c r="B675" s="5" t="s">
        <v>1450</v>
      </c>
      <c r="C675" s="4" t="s">
        <v>29</v>
      </c>
      <c r="D675" s="4" t="s">
        <v>1451</v>
      </c>
      <c r="E675" s="4" t="s">
        <v>1452</v>
      </c>
      <c r="F675" s="6">
        <f>3</f>
        <v>3</v>
      </c>
      <c r="G675" s="4" t="s">
        <v>46</v>
      </c>
      <c r="H675" s="7">
        <v>373.24</v>
      </c>
      <c r="I675" s="7">
        <v>373.24</v>
      </c>
      <c r="J675" s="8" t="s">
        <v>122</v>
      </c>
      <c r="K675" s="9">
        <f>444.34</f>
        <v>444.34</v>
      </c>
      <c r="L675" s="9">
        <f>1333.02</f>
        <v>1333.02</v>
      </c>
      <c r="M675" s="4"/>
      <c r="N675" s="10">
        <v>1</v>
      </c>
      <c r="O675" s="4" t="s">
        <v>27</v>
      </c>
      <c r="P675" s="11">
        <v>3</v>
      </c>
      <c r="Q675" s="9">
        <f>1333.02</f>
        <v>1333.02</v>
      </c>
    </row>
    <row r="676" spans="1:17" ht="45" customHeight="1" x14ac:dyDescent="0.25">
      <c r="A676" s="4" t="s">
        <v>20</v>
      </c>
      <c r="B676" s="5" t="s">
        <v>1453</v>
      </c>
      <c r="C676" s="4" t="s">
        <v>29</v>
      </c>
      <c r="D676" s="4" t="s">
        <v>1454</v>
      </c>
      <c r="E676" s="4" t="s">
        <v>1455</v>
      </c>
      <c r="F676" s="6">
        <f>2</f>
        <v>2</v>
      </c>
      <c r="G676" s="4" t="s">
        <v>46</v>
      </c>
      <c r="H676" s="7">
        <v>279.37</v>
      </c>
      <c r="I676" s="7">
        <v>279.37</v>
      </c>
      <c r="J676" s="8" t="s">
        <v>122</v>
      </c>
      <c r="K676" s="9">
        <f>332.59</f>
        <v>332.59</v>
      </c>
      <c r="L676" s="9">
        <f>665.18</f>
        <v>665.18</v>
      </c>
      <c r="M676" s="4"/>
      <c r="N676" s="10">
        <v>1</v>
      </c>
      <c r="O676" s="4" t="s">
        <v>27</v>
      </c>
      <c r="P676" s="11">
        <v>2</v>
      </c>
      <c r="Q676" s="9">
        <f>665.18</f>
        <v>665.18</v>
      </c>
    </row>
    <row r="677" spans="1:17" ht="45" customHeight="1" x14ac:dyDescent="0.25">
      <c r="A677" s="4" t="s">
        <v>20</v>
      </c>
      <c r="B677" s="5" t="s">
        <v>1456</v>
      </c>
      <c r="C677" s="4" t="s">
        <v>29</v>
      </c>
      <c r="D677" s="4" t="s">
        <v>1457</v>
      </c>
      <c r="E677" s="4" t="s">
        <v>1458</v>
      </c>
      <c r="F677" s="6">
        <f>1</f>
        <v>1</v>
      </c>
      <c r="G677" s="4" t="s">
        <v>46</v>
      </c>
      <c r="H677" s="7">
        <v>530.89</v>
      </c>
      <c r="I677" s="7">
        <v>530.89</v>
      </c>
      <c r="J677" s="8" t="s">
        <v>122</v>
      </c>
      <c r="K677" s="9">
        <f>632.02</f>
        <v>632.02</v>
      </c>
      <c r="L677" s="9">
        <f>632.02</f>
        <v>632.02</v>
      </c>
      <c r="M677" s="4"/>
      <c r="N677" s="10">
        <v>1</v>
      </c>
      <c r="O677" s="4" t="s">
        <v>27</v>
      </c>
      <c r="P677" s="11">
        <v>1</v>
      </c>
      <c r="Q677" s="9">
        <f>632.02</f>
        <v>632.02</v>
      </c>
    </row>
    <row r="678" spans="1:17" ht="45" customHeight="1" x14ac:dyDescent="0.25">
      <c r="A678" s="4" t="s">
        <v>20</v>
      </c>
      <c r="B678" s="5" t="s">
        <v>1459</v>
      </c>
      <c r="C678" s="4" t="s">
        <v>29</v>
      </c>
      <c r="D678" s="4" t="s">
        <v>1460</v>
      </c>
      <c r="E678" s="4" t="s">
        <v>1461</v>
      </c>
      <c r="F678" s="6">
        <f>1</f>
        <v>1</v>
      </c>
      <c r="G678" s="4" t="s">
        <v>46</v>
      </c>
      <c r="H678" s="7">
        <v>2100.21</v>
      </c>
      <c r="I678" s="7">
        <v>2100.21</v>
      </c>
      <c r="J678" s="8" t="s">
        <v>122</v>
      </c>
      <c r="K678" s="9">
        <f>2500.3</f>
        <v>2500.3000000000002</v>
      </c>
      <c r="L678" s="9">
        <f>2500.3</f>
        <v>2500.3000000000002</v>
      </c>
      <c r="M678" s="4"/>
      <c r="N678" s="10">
        <v>1</v>
      </c>
      <c r="O678" s="4" t="s">
        <v>27</v>
      </c>
      <c r="P678" s="11">
        <v>1</v>
      </c>
      <c r="Q678" s="9">
        <f>2500.3</f>
        <v>2500.3000000000002</v>
      </c>
    </row>
    <row r="679" spans="1:17" ht="45" customHeight="1" x14ac:dyDescent="0.25">
      <c r="A679" s="4" t="s">
        <v>20</v>
      </c>
      <c r="B679" s="5" t="s">
        <v>1462</v>
      </c>
      <c r="C679" s="4" t="s">
        <v>29</v>
      </c>
      <c r="D679" s="4" t="s">
        <v>178</v>
      </c>
      <c r="E679" s="4" t="s">
        <v>179</v>
      </c>
      <c r="F679" s="6">
        <f>2</f>
        <v>2</v>
      </c>
      <c r="G679" s="4" t="s">
        <v>46</v>
      </c>
      <c r="H679" s="7">
        <v>1226.43</v>
      </c>
      <c r="I679" s="7">
        <v>1226.43</v>
      </c>
      <c r="J679" s="8" t="s">
        <v>122</v>
      </c>
      <c r="K679" s="9">
        <f>1460.06</f>
        <v>1460.06</v>
      </c>
      <c r="L679" s="9">
        <f>2920.12</f>
        <v>2920.12</v>
      </c>
      <c r="M679" s="4"/>
      <c r="N679" s="10">
        <v>1</v>
      </c>
      <c r="O679" s="4" t="s">
        <v>27</v>
      </c>
      <c r="P679" s="11">
        <v>2</v>
      </c>
      <c r="Q679" s="9">
        <f>2920.12</f>
        <v>2920.12</v>
      </c>
    </row>
    <row r="680" spans="1:17" ht="45" customHeight="1" x14ac:dyDescent="0.25">
      <c r="A680" s="4" t="s">
        <v>20</v>
      </c>
      <c r="B680" s="5" t="s">
        <v>1463</v>
      </c>
      <c r="C680" s="4" t="s">
        <v>29</v>
      </c>
      <c r="D680" s="4" t="s">
        <v>1164</v>
      </c>
      <c r="E680" s="4" t="s">
        <v>1165</v>
      </c>
      <c r="F680" s="6">
        <f>1.8</f>
        <v>1.8</v>
      </c>
      <c r="G680" s="4" t="s">
        <v>96</v>
      </c>
      <c r="H680" s="7">
        <v>269.51</v>
      </c>
      <c r="I680" s="7">
        <v>269.51</v>
      </c>
      <c r="J680" s="8" t="s">
        <v>122</v>
      </c>
      <c r="K680" s="9">
        <f>320.85</f>
        <v>320.85000000000002</v>
      </c>
      <c r="L680" s="9">
        <f>577.53</f>
        <v>577.53</v>
      </c>
      <c r="M680" s="4"/>
      <c r="N680" s="10">
        <v>1</v>
      </c>
      <c r="O680" s="4" t="s">
        <v>27</v>
      </c>
      <c r="P680" s="11">
        <v>1.8</v>
      </c>
      <c r="Q680" s="9">
        <f>577.53</f>
        <v>577.53</v>
      </c>
    </row>
    <row r="681" spans="1:17" ht="45" customHeight="1" x14ac:dyDescent="0.25">
      <c r="A681" s="4" t="s">
        <v>20</v>
      </c>
      <c r="B681" s="5" t="s">
        <v>1464</v>
      </c>
      <c r="C681" s="4" t="s">
        <v>29</v>
      </c>
      <c r="D681" s="4" t="s">
        <v>1465</v>
      </c>
      <c r="E681" s="4" t="s">
        <v>1466</v>
      </c>
      <c r="F681" s="6">
        <f>1</f>
        <v>1</v>
      </c>
      <c r="G681" s="4" t="s">
        <v>46</v>
      </c>
      <c r="H681" s="7">
        <v>1719.63</v>
      </c>
      <c r="I681" s="7">
        <v>1719.63</v>
      </c>
      <c r="J681" s="8" t="s">
        <v>122</v>
      </c>
      <c r="K681" s="9">
        <f>2047.22</f>
        <v>2047.22</v>
      </c>
      <c r="L681" s="9">
        <f>2047.22</f>
        <v>2047.22</v>
      </c>
      <c r="M681" s="4"/>
      <c r="N681" s="10">
        <v>1</v>
      </c>
      <c r="O681" s="4" t="s">
        <v>27</v>
      </c>
      <c r="P681" s="11">
        <v>1</v>
      </c>
      <c r="Q681" s="9">
        <f>2047.22</f>
        <v>2047.22</v>
      </c>
    </row>
    <row r="682" spans="1:17" ht="45" customHeight="1" x14ac:dyDescent="0.25">
      <c r="A682" s="4" t="s">
        <v>20</v>
      </c>
      <c r="B682" s="5" t="s">
        <v>1467</v>
      </c>
      <c r="C682" s="4" t="s">
        <v>29</v>
      </c>
      <c r="D682" s="4" t="s">
        <v>1126</v>
      </c>
      <c r="E682" s="4" t="s">
        <v>1127</v>
      </c>
      <c r="F682" s="6">
        <f>2</f>
        <v>2</v>
      </c>
      <c r="G682" s="4" t="s">
        <v>46</v>
      </c>
      <c r="H682" s="7">
        <v>824.52</v>
      </c>
      <c r="I682" s="7">
        <v>824.52</v>
      </c>
      <c r="J682" s="8" t="s">
        <v>122</v>
      </c>
      <c r="K682" s="9">
        <f>981.59</f>
        <v>981.59</v>
      </c>
      <c r="L682" s="9">
        <f>1963.18</f>
        <v>1963.18</v>
      </c>
      <c r="M682" s="4"/>
      <c r="N682" s="10">
        <v>1</v>
      </c>
      <c r="O682" s="4" t="s">
        <v>27</v>
      </c>
      <c r="P682" s="11">
        <v>2</v>
      </c>
      <c r="Q682" s="9">
        <f>1963.18</f>
        <v>1963.18</v>
      </c>
    </row>
    <row r="683" spans="1:17" ht="45" customHeight="1" x14ac:dyDescent="0.25">
      <c r="A683" s="4" t="s">
        <v>20</v>
      </c>
      <c r="B683" s="5" t="s">
        <v>1468</v>
      </c>
      <c r="C683" s="4" t="s">
        <v>29</v>
      </c>
      <c r="D683" s="4" t="s">
        <v>1469</v>
      </c>
      <c r="E683" s="4" t="s">
        <v>1470</v>
      </c>
      <c r="F683" s="6">
        <f>2</f>
        <v>2</v>
      </c>
      <c r="G683" s="4" t="s">
        <v>46</v>
      </c>
      <c r="H683" s="7">
        <v>1576.99</v>
      </c>
      <c r="I683" s="7">
        <v>1576.99</v>
      </c>
      <c r="J683" s="8" t="s">
        <v>122</v>
      </c>
      <c r="K683" s="9">
        <f>1877.41</f>
        <v>1877.41</v>
      </c>
      <c r="L683" s="9">
        <f>3754.82</f>
        <v>3754.82</v>
      </c>
      <c r="M683" s="4"/>
      <c r="N683" s="10">
        <v>1</v>
      </c>
      <c r="O683" s="4" t="s">
        <v>27</v>
      </c>
      <c r="P683" s="11">
        <v>2</v>
      </c>
      <c r="Q683" s="9">
        <f>3754.82</f>
        <v>3754.82</v>
      </c>
    </row>
    <row r="684" spans="1:17" ht="45" customHeight="1" x14ac:dyDescent="0.25">
      <c r="A684" s="4" t="s">
        <v>20</v>
      </c>
      <c r="B684" s="5" t="s">
        <v>1471</v>
      </c>
      <c r="C684" s="4" t="s">
        <v>29</v>
      </c>
      <c r="D684" s="4" t="s">
        <v>1472</v>
      </c>
      <c r="E684" s="4" t="s">
        <v>1473</v>
      </c>
      <c r="F684" s="6">
        <f>2</f>
        <v>2</v>
      </c>
      <c r="G684" s="4" t="s">
        <v>46</v>
      </c>
      <c r="H684" s="7">
        <v>755.6</v>
      </c>
      <c r="I684" s="7">
        <v>755.6</v>
      </c>
      <c r="J684" s="8" t="s">
        <v>122</v>
      </c>
      <c r="K684" s="9">
        <f>899.54</f>
        <v>899.54</v>
      </c>
      <c r="L684" s="9">
        <f>1799.08</f>
        <v>1799.08</v>
      </c>
      <c r="M684" s="4"/>
      <c r="N684" s="10">
        <v>1</v>
      </c>
      <c r="O684" s="4" t="s">
        <v>27</v>
      </c>
      <c r="P684" s="11">
        <v>2</v>
      </c>
      <c r="Q684" s="9">
        <f>1799.08</f>
        <v>1799.08</v>
      </c>
    </row>
    <row r="685" spans="1:17" ht="45" customHeight="1" x14ac:dyDescent="0.25">
      <c r="A685" s="4" t="s">
        <v>20</v>
      </c>
      <c r="B685" s="5" t="s">
        <v>1474</v>
      </c>
      <c r="C685" s="4" t="s">
        <v>29</v>
      </c>
      <c r="D685" s="4" t="s">
        <v>1475</v>
      </c>
      <c r="E685" s="4" t="s">
        <v>1476</v>
      </c>
      <c r="F685" s="6">
        <f>1</f>
        <v>1</v>
      </c>
      <c r="G685" s="4" t="s">
        <v>46</v>
      </c>
      <c r="H685" s="7">
        <v>997.5</v>
      </c>
      <c r="I685" s="7">
        <v>997.5</v>
      </c>
      <c r="J685" s="8" t="s">
        <v>122</v>
      </c>
      <c r="K685" s="9">
        <f>1187.52</f>
        <v>1187.52</v>
      </c>
      <c r="L685" s="9">
        <f>1187.52</f>
        <v>1187.52</v>
      </c>
      <c r="M685" s="4"/>
      <c r="N685" s="10">
        <v>1</v>
      </c>
      <c r="O685" s="4" t="s">
        <v>27</v>
      </c>
      <c r="P685" s="11">
        <v>1</v>
      </c>
      <c r="Q685" s="9">
        <f>1187.52</f>
        <v>1187.52</v>
      </c>
    </row>
    <row r="686" spans="1:17" ht="45" customHeight="1" x14ac:dyDescent="0.25">
      <c r="A686" s="4" t="s">
        <v>20</v>
      </c>
      <c r="B686" s="5" t="s">
        <v>1477</v>
      </c>
      <c r="C686" s="4" t="s">
        <v>196</v>
      </c>
      <c r="D686" s="4" t="s">
        <v>312</v>
      </c>
      <c r="E686" s="4" t="s">
        <v>1478</v>
      </c>
      <c r="F686" s="6">
        <f>2</f>
        <v>2</v>
      </c>
      <c r="G686" s="4" t="s">
        <v>92</v>
      </c>
      <c r="H686" s="7">
        <v>16078.41</v>
      </c>
      <c r="I686" s="7">
        <v>16078.41</v>
      </c>
      <c r="J686" s="8" t="s">
        <v>122</v>
      </c>
      <c r="K686" s="9">
        <f>19141.35</f>
        <v>19141.349999999999</v>
      </c>
      <c r="L686" s="9">
        <f>38282.7</f>
        <v>38282.699999999997</v>
      </c>
      <c r="M686" s="4"/>
      <c r="N686" s="10">
        <v>1</v>
      </c>
      <c r="O686" s="4" t="s">
        <v>27</v>
      </c>
      <c r="P686" s="11">
        <v>2</v>
      </c>
      <c r="Q686" s="9">
        <f>38282.7</f>
        <v>38282.699999999997</v>
      </c>
    </row>
    <row r="687" spans="1:17" ht="45" customHeight="1" x14ac:dyDescent="0.25">
      <c r="A687" s="4" t="s">
        <v>17</v>
      </c>
      <c r="B687" s="5" t="s">
        <v>1479</v>
      </c>
      <c r="C687" s="4"/>
      <c r="D687" s="4"/>
      <c r="E687" s="4" t="s">
        <v>1480</v>
      </c>
      <c r="F687" s="6"/>
      <c r="G687" s="4"/>
      <c r="H687" s="7"/>
      <c r="I687" s="7"/>
      <c r="J687" s="8"/>
      <c r="K687" s="9"/>
      <c r="L687" s="9">
        <f>317101.53</f>
        <v>317101.53000000003</v>
      </c>
      <c r="M687" s="4"/>
      <c r="N687" s="10"/>
      <c r="O687" s="4"/>
      <c r="P687" s="11"/>
      <c r="Q687" s="9"/>
    </row>
    <row r="688" spans="1:17" ht="45" customHeight="1" x14ac:dyDescent="0.25">
      <c r="A688" s="4" t="s">
        <v>20</v>
      </c>
      <c r="B688" s="5" t="s">
        <v>1481</v>
      </c>
      <c r="C688" s="4" t="s">
        <v>29</v>
      </c>
      <c r="D688" s="4" t="s">
        <v>562</v>
      </c>
      <c r="E688" s="4" t="s">
        <v>563</v>
      </c>
      <c r="F688" s="6">
        <f>3</f>
        <v>3</v>
      </c>
      <c r="G688" s="4" t="s">
        <v>46</v>
      </c>
      <c r="H688" s="7">
        <v>68.73</v>
      </c>
      <c r="I688" s="7">
        <v>68.73</v>
      </c>
      <c r="J688" s="8" t="s">
        <v>26</v>
      </c>
      <c r="K688" s="9">
        <f>86.39</f>
        <v>86.39</v>
      </c>
      <c r="L688" s="9">
        <f>259.17</f>
        <v>259.17</v>
      </c>
      <c r="M688" s="4"/>
      <c r="N688" s="10">
        <v>1</v>
      </c>
      <c r="O688" s="4" t="s">
        <v>27</v>
      </c>
      <c r="P688" s="11">
        <v>3</v>
      </c>
      <c r="Q688" s="9">
        <f>259.17</f>
        <v>259.17</v>
      </c>
    </row>
    <row r="689" spans="1:17" ht="45" customHeight="1" x14ac:dyDescent="0.25">
      <c r="A689" s="4" t="s">
        <v>20</v>
      </c>
      <c r="B689" s="5" t="s">
        <v>1482</v>
      </c>
      <c r="C689" s="4" t="s">
        <v>29</v>
      </c>
      <c r="D689" s="4" t="s">
        <v>565</v>
      </c>
      <c r="E689" s="4" t="s">
        <v>566</v>
      </c>
      <c r="F689" s="6">
        <f>9</f>
        <v>9</v>
      </c>
      <c r="G689" s="4" t="s">
        <v>46</v>
      </c>
      <c r="H689" s="7">
        <v>51.42</v>
      </c>
      <c r="I689" s="7">
        <v>51.42</v>
      </c>
      <c r="J689" s="8" t="s">
        <v>26</v>
      </c>
      <c r="K689" s="9">
        <f>64.63</f>
        <v>64.63</v>
      </c>
      <c r="L689" s="9">
        <f>581.67</f>
        <v>581.66999999999996</v>
      </c>
      <c r="M689" s="4"/>
      <c r="N689" s="10">
        <v>1</v>
      </c>
      <c r="O689" s="4" t="s">
        <v>27</v>
      </c>
      <c r="P689" s="11">
        <v>9</v>
      </c>
      <c r="Q689" s="9">
        <f>581.67</f>
        <v>581.66999999999996</v>
      </c>
    </row>
    <row r="690" spans="1:17" ht="45" customHeight="1" x14ac:dyDescent="0.25">
      <c r="A690" s="4" t="s">
        <v>20</v>
      </c>
      <c r="B690" s="5" t="s">
        <v>1483</v>
      </c>
      <c r="C690" s="4" t="s">
        <v>29</v>
      </c>
      <c r="D690" s="4" t="s">
        <v>568</v>
      </c>
      <c r="E690" s="4" t="s">
        <v>569</v>
      </c>
      <c r="F690" s="6">
        <f>1</f>
        <v>1</v>
      </c>
      <c r="G690" s="4" t="s">
        <v>46</v>
      </c>
      <c r="H690" s="7">
        <v>135.57</v>
      </c>
      <c r="I690" s="7">
        <v>135.57</v>
      </c>
      <c r="J690" s="8" t="s">
        <v>26</v>
      </c>
      <c r="K690" s="9">
        <f>170.41</f>
        <v>170.41</v>
      </c>
      <c r="L690" s="9">
        <f>170.41</f>
        <v>170.41</v>
      </c>
      <c r="M690" s="4"/>
      <c r="N690" s="10">
        <v>1</v>
      </c>
      <c r="O690" s="4" t="s">
        <v>27</v>
      </c>
      <c r="P690" s="11">
        <v>1</v>
      </c>
      <c r="Q690" s="9">
        <f>170.41</f>
        <v>170.41</v>
      </c>
    </row>
    <row r="691" spans="1:17" ht="45" customHeight="1" x14ac:dyDescent="0.25">
      <c r="A691" s="4" t="s">
        <v>20</v>
      </c>
      <c r="B691" s="5" t="s">
        <v>1484</v>
      </c>
      <c r="C691" s="4" t="s">
        <v>29</v>
      </c>
      <c r="D691" s="4" t="s">
        <v>571</v>
      </c>
      <c r="E691" s="4" t="s">
        <v>572</v>
      </c>
      <c r="F691" s="6">
        <f>1</f>
        <v>1</v>
      </c>
      <c r="G691" s="4" t="s">
        <v>46</v>
      </c>
      <c r="H691" s="7">
        <v>590.29</v>
      </c>
      <c r="I691" s="7">
        <v>590.29</v>
      </c>
      <c r="J691" s="8" t="s">
        <v>26</v>
      </c>
      <c r="K691" s="9">
        <f>741.99</f>
        <v>741.99</v>
      </c>
      <c r="L691" s="9">
        <f>741.99</f>
        <v>741.99</v>
      </c>
      <c r="M691" s="4"/>
      <c r="N691" s="10">
        <v>1</v>
      </c>
      <c r="O691" s="4" t="s">
        <v>27</v>
      </c>
      <c r="P691" s="11">
        <v>1</v>
      </c>
      <c r="Q691" s="9">
        <f>741.99</f>
        <v>741.99</v>
      </c>
    </row>
    <row r="692" spans="1:17" ht="45" customHeight="1" x14ac:dyDescent="0.25">
      <c r="A692" s="4" t="s">
        <v>20</v>
      </c>
      <c r="B692" s="5" t="s">
        <v>1485</v>
      </c>
      <c r="C692" s="4" t="s">
        <v>29</v>
      </c>
      <c r="D692" s="4" t="s">
        <v>574</v>
      </c>
      <c r="E692" s="4" t="s">
        <v>575</v>
      </c>
      <c r="F692" s="6">
        <f>2</f>
        <v>2</v>
      </c>
      <c r="G692" s="4" t="s">
        <v>46</v>
      </c>
      <c r="H692" s="7">
        <v>328.05</v>
      </c>
      <c r="I692" s="7">
        <v>328.05</v>
      </c>
      <c r="J692" s="8" t="s">
        <v>26</v>
      </c>
      <c r="K692" s="9">
        <f>412.36</f>
        <v>412.36</v>
      </c>
      <c r="L692" s="9">
        <f>824.72</f>
        <v>824.72</v>
      </c>
      <c r="M692" s="4"/>
      <c r="N692" s="10">
        <v>1</v>
      </c>
      <c r="O692" s="4" t="s">
        <v>27</v>
      </c>
      <c r="P692" s="11">
        <v>2</v>
      </c>
      <c r="Q692" s="9">
        <f>824.72</f>
        <v>824.72</v>
      </c>
    </row>
    <row r="693" spans="1:17" ht="45" customHeight="1" x14ac:dyDescent="0.25">
      <c r="A693" s="4" t="s">
        <v>20</v>
      </c>
      <c r="B693" s="5" t="s">
        <v>1486</v>
      </c>
      <c r="C693" s="4" t="s">
        <v>29</v>
      </c>
      <c r="D693" s="4" t="s">
        <v>577</v>
      </c>
      <c r="E693" s="4" t="s">
        <v>578</v>
      </c>
      <c r="F693" s="6">
        <f>1</f>
        <v>1</v>
      </c>
      <c r="G693" s="4" t="s">
        <v>46</v>
      </c>
      <c r="H693" s="7">
        <v>255.25</v>
      </c>
      <c r="I693" s="7">
        <v>255.25</v>
      </c>
      <c r="J693" s="8" t="s">
        <v>26</v>
      </c>
      <c r="K693" s="9">
        <f>320.85</f>
        <v>320.85000000000002</v>
      </c>
      <c r="L693" s="9">
        <f>320.85</f>
        <v>320.85000000000002</v>
      </c>
      <c r="M693" s="4"/>
      <c r="N693" s="10">
        <v>1</v>
      </c>
      <c r="O693" s="4" t="s">
        <v>27</v>
      </c>
      <c r="P693" s="11">
        <v>1</v>
      </c>
      <c r="Q693" s="9">
        <f>320.85</f>
        <v>320.85000000000002</v>
      </c>
    </row>
    <row r="694" spans="1:17" ht="45" customHeight="1" x14ac:dyDescent="0.25">
      <c r="A694" s="4" t="s">
        <v>20</v>
      </c>
      <c r="B694" s="5" t="s">
        <v>1487</v>
      </c>
      <c r="C694" s="4" t="s">
        <v>29</v>
      </c>
      <c r="D694" s="4" t="s">
        <v>1488</v>
      </c>
      <c r="E694" s="4" t="s">
        <v>1489</v>
      </c>
      <c r="F694" s="6">
        <f>2</f>
        <v>2</v>
      </c>
      <c r="G694" s="4" t="s">
        <v>46</v>
      </c>
      <c r="H694" s="7">
        <v>388.08</v>
      </c>
      <c r="I694" s="7">
        <v>388.08</v>
      </c>
      <c r="J694" s="8" t="s">
        <v>26</v>
      </c>
      <c r="K694" s="9">
        <f>487.82</f>
        <v>487.82</v>
      </c>
      <c r="L694" s="9">
        <f>975.64</f>
        <v>975.64</v>
      </c>
      <c r="M694" s="4"/>
      <c r="N694" s="10">
        <v>1</v>
      </c>
      <c r="O694" s="4" t="s">
        <v>27</v>
      </c>
      <c r="P694" s="11">
        <v>2</v>
      </c>
      <c r="Q694" s="9">
        <f>975.64</f>
        <v>975.64</v>
      </c>
    </row>
    <row r="695" spans="1:17" ht="45" customHeight="1" x14ac:dyDescent="0.25">
      <c r="A695" s="4" t="s">
        <v>20</v>
      </c>
      <c r="B695" s="5" t="s">
        <v>1490</v>
      </c>
      <c r="C695" s="4" t="s">
        <v>29</v>
      </c>
      <c r="D695" s="4" t="s">
        <v>580</v>
      </c>
      <c r="E695" s="4" t="s">
        <v>581</v>
      </c>
      <c r="F695" s="6">
        <f>9</f>
        <v>9</v>
      </c>
      <c r="G695" s="4" t="s">
        <v>46</v>
      </c>
      <c r="H695" s="7">
        <v>41.73</v>
      </c>
      <c r="I695" s="7">
        <v>41.73</v>
      </c>
      <c r="J695" s="8" t="s">
        <v>26</v>
      </c>
      <c r="K695" s="9">
        <f>52.45</f>
        <v>52.45</v>
      </c>
      <c r="L695" s="9">
        <f>472.05</f>
        <v>472.05</v>
      </c>
      <c r="M695" s="4"/>
      <c r="N695" s="10">
        <v>1</v>
      </c>
      <c r="O695" s="4" t="s">
        <v>27</v>
      </c>
      <c r="P695" s="11">
        <v>9</v>
      </c>
      <c r="Q695" s="9">
        <f>472.05</f>
        <v>472.05</v>
      </c>
    </row>
    <row r="696" spans="1:17" ht="45" customHeight="1" x14ac:dyDescent="0.25">
      <c r="A696" s="4" t="s">
        <v>20</v>
      </c>
      <c r="B696" s="5" t="s">
        <v>1491</v>
      </c>
      <c r="C696" s="4" t="s">
        <v>29</v>
      </c>
      <c r="D696" s="4" t="s">
        <v>241</v>
      </c>
      <c r="E696" s="4" t="s">
        <v>242</v>
      </c>
      <c r="F696" s="6">
        <f>9</f>
        <v>9</v>
      </c>
      <c r="G696" s="4" t="s">
        <v>46</v>
      </c>
      <c r="H696" s="7">
        <v>93.29</v>
      </c>
      <c r="I696" s="7">
        <v>93.29</v>
      </c>
      <c r="J696" s="8" t="s">
        <v>26</v>
      </c>
      <c r="K696" s="9">
        <f>117.27</f>
        <v>117.27</v>
      </c>
      <c r="L696" s="9">
        <f>1055.43</f>
        <v>1055.43</v>
      </c>
      <c r="M696" s="4"/>
      <c r="N696" s="10">
        <v>1</v>
      </c>
      <c r="O696" s="4" t="s">
        <v>27</v>
      </c>
      <c r="P696" s="11">
        <v>9</v>
      </c>
      <c r="Q696" s="9">
        <f>1055.43</f>
        <v>1055.43</v>
      </c>
    </row>
    <row r="697" spans="1:17" ht="45" customHeight="1" x14ac:dyDescent="0.25">
      <c r="A697" s="4" t="s">
        <v>20</v>
      </c>
      <c r="B697" s="5" t="s">
        <v>1492</v>
      </c>
      <c r="C697" s="4" t="s">
        <v>29</v>
      </c>
      <c r="D697" s="4" t="s">
        <v>591</v>
      </c>
      <c r="E697" s="4" t="s">
        <v>592</v>
      </c>
      <c r="F697" s="6">
        <f>30</f>
        <v>30</v>
      </c>
      <c r="G697" s="4" t="s">
        <v>46</v>
      </c>
      <c r="H697" s="7">
        <v>89.6</v>
      </c>
      <c r="I697" s="7">
        <v>89.6</v>
      </c>
      <c r="J697" s="8" t="s">
        <v>26</v>
      </c>
      <c r="K697" s="9">
        <f>112.63</f>
        <v>112.63</v>
      </c>
      <c r="L697" s="9">
        <f>3378.9</f>
        <v>3378.9</v>
      </c>
      <c r="M697" s="4"/>
      <c r="N697" s="10">
        <v>1</v>
      </c>
      <c r="O697" s="4" t="s">
        <v>27</v>
      </c>
      <c r="P697" s="11">
        <v>30</v>
      </c>
      <c r="Q697" s="9">
        <f>3378.9</f>
        <v>3378.9</v>
      </c>
    </row>
    <row r="698" spans="1:17" ht="45" customHeight="1" x14ac:dyDescent="0.25">
      <c r="A698" s="4" t="s">
        <v>20</v>
      </c>
      <c r="B698" s="5" t="s">
        <v>1493</v>
      </c>
      <c r="C698" s="4" t="s">
        <v>29</v>
      </c>
      <c r="D698" s="4" t="s">
        <v>594</v>
      </c>
      <c r="E698" s="4" t="s">
        <v>595</v>
      </c>
      <c r="F698" s="6">
        <f>30</f>
        <v>30</v>
      </c>
      <c r="G698" s="4" t="s">
        <v>46</v>
      </c>
      <c r="H698" s="7">
        <v>119</v>
      </c>
      <c r="I698" s="7">
        <v>119</v>
      </c>
      <c r="J698" s="8" t="s">
        <v>26</v>
      </c>
      <c r="K698" s="9">
        <f>149.58</f>
        <v>149.58000000000001</v>
      </c>
      <c r="L698" s="9">
        <f>4487.4</f>
        <v>4487.3999999999996</v>
      </c>
      <c r="M698" s="4"/>
      <c r="N698" s="10">
        <v>1</v>
      </c>
      <c r="O698" s="4" t="s">
        <v>27</v>
      </c>
      <c r="P698" s="11">
        <v>30</v>
      </c>
      <c r="Q698" s="9">
        <f>4487.4</f>
        <v>4487.3999999999996</v>
      </c>
    </row>
    <row r="699" spans="1:17" ht="45" customHeight="1" x14ac:dyDescent="0.25">
      <c r="A699" s="4" t="s">
        <v>20</v>
      </c>
      <c r="B699" s="5" t="s">
        <v>1494</v>
      </c>
      <c r="C699" s="4" t="s">
        <v>29</v>
      </c>
      <c r="D699" s="4" t="s">
        <v>247</v>
      </c>
      <c r="E699" s="4" t="s">
        <v>248</v>
      </c>
      <c r="F699" s="6">
        <f>6</f>
        <v>6</v>
      </c>
      <c r="G699" s="4" t="s">
        <v>46</v>
      </c>
      <c r="H699" s="7">
        <v>206.37</v>
      </c>
      <c r="I699" s="7">
        <v>206.37</v>
      </c>
      <c r="J699" s="8" t="s">
        <v>26</v>
      </c>
      <c r="K699" s="9">
        <f>259.41</f>
        <v>259.41000000000003</v>
      </c>
      <c r="L699" s="9">
        <f>1556.46</f>
        <v>1556.46</v>
      </c>
      <c r="M699" s="4"/>
      <c r="N699" s="10">
        <v>1</v>
      </c>
      <c r="O699" s="4" t="s">
        <v>27</v>
      </c>
      <c r="P699" s="11">
        <v>6</v>
      </c>
      <c r="Q699" s="9">
        <f>1556.46</f>
        <v>1556.46</v>
      </c>
    </row>
    <row r="700" spans="1:17" ht="45" customHeight="1" x14ac:dyDescent="0.25">
      <c r="A700" s="4" t="s">
        <v>20</v>
      </c>
      <c r="B700" s="5" t="s">
        <v>1495</v>
      </c>
      <c r="C700" s="4" t="s">
        <v>29</v>
      </c>
      <c r="D700" s="4" t="s">
        <v>601</v>
      </c>
      <c r="E700" s="4" t="s">
        <v>602</v>
      </c>
      <c r="F700" s="6">
        <f>15</f>
        <v>15</v>
      </c>
      <c r="G700" s="4" t="s">
        <v>46</v>
      </c>
      <c r="H700" s="7">
        <v>12.04</v>
      </c>
      <c r="I700" s="7">
        <v>12.04</v>
      </c>
      <c r="J700" s="8" t="s">
        <v>26</v>
      </c>
      <c r="K700" s="9">
        <f>15.13</f>
        <v>15.13</v>
      </c>
      <c r="L700" s="9">
        <f>226.95</f>
        <v>226.95</v>
      </c>
      <c r="M700" s="4"/>
      <c r="N700" s="10">
        <v>1</v>
      </c>
      <c r="O700" s="4" t="s">
        <v>27</v>
      </c>
      <c r="P700" s="11">
        <v>15</v>
      </c>
      <c r="Q700" s="9">
        <f>226.95</f>
        <v>226.95</v>
      </c>
    </row>
    <row r="701" spans="1:17" ht="45" customHeight="1" x14ac:dyDescent="0.25">
      <c r="A701" s="4" t="s">
        <v>20</v>
      </c>
      <c r="B701" s="5" t="s">
        <v>1496</v>
      </c>
      <c r="C701" s="4" t="s">
        <v>29</v>
      </c>
      <c r="D701" s="4" t="s">
        <v>604</v>
      </c>
      <c r="E701" s="4" t="s">
        <v>605</v>
      </c>
      <c r="F701" s="6">
        <f>4</f>
        <v>4</v>
      </c>
      <c r="G701" s="4" t="s">
        <v>46</v>
      </c>
      <c r="H701" s="7">
        <v>16.12</v>
      </c>
      <c r="I701" s="7">
        <v>16.12</v>
      </c>
      <c r="J701" s="8" t="s">
        <v>26</v>
      </c>
      <c r="K701" s="9">
        <f>20.26</f>
        <v>20.260000000000002</v>
      </c>
      <c r="L701" s="9">
        <f>81.04</f>
        <v>81.040000000000006</v>
      </c>
      <c r="M701" s="4"/>
      <c r="N701" s="10">
        <v>1</v>
      </c>
      <c r="O701" s="4" t="s">
        <v>27</v>
      </c>
      <c r="P701" s="11">
        <v>4</v>
      </c>
      <c r="Q701" s="9">
        <f>81.04</f>
        <v>81.040000000000006</v>
      </c>
    </row>
    <row r="702" spans="1:17" ht="45" customHeight="1" x14ac:dyDescent="0.25">
      <c r="A702" s="4" t="s">
        <v>20</v>
      </c>
      <c r="B702" s="5" t="s">
        <v>1497</v>
      </c>
      <c r="C702" s="4" t="s">
        <v>29</v>
      </c>
      <c r="D702" s="4" t="s">
        <v>253</v>
      </c>
      <c r="E702" s="4" t="s">
        <v>254</v>
      </c>
      <c r="F702" s="6">
        <f>2</f>
        <v>2</v>
      </c>
      <c r="G702" s="4" t="s">
        <v>46</v>
      </c>
      <c r="H702" s="7">
        <v>52.64</v>
      </c>
      <c r="I702" s="7">
        <v>52.64</v>
      </c>
      <c r="J702" s="8" t="s">
        <v>26</v>
      </c>
      <c r="K702" s="9">
        <f>66.17</f>
        <v>66.17</v>
      </c>
      <c r="L702" s="9">
        <f>132.34</f>
        <v>132.34</v>
      </c>
      <c r="M702" s="4"/>
      <c r="N702" s="10">
        <v>1</v>
      </c>
      <c r="O702" s="4" t="s">
        <v>27</v>
      </c>
      <c r="P702" s="11">
        <v>2</v>
      </c>
      <c r="Q702" s="9">
        <f>132.34</f>
        <v>132.34</v>
      </c>
    </row>
    <row r="703" spans="1:17" ht="45" customHeight="1" x14ac:dyDescent="0.25">
      <c r="A703" s="4" t="s">
        <v>20</v>
      </c>
      <c r="B703" s="5" t="s">
        <v>1498</v>
      </c>
      <c r="C703" s="4" t="s">
        <v>29</v>
      </c>
      <c r="D703" s="4" t="s">
        <v>611</v>
      </c>
      <c r="E703" s="4" t="s">
        <v>612</v>
      </c>
      <c r="F703" s="6">
        <f>4</f>
        <v>4</v>
      </c>
      <c r="G703" s="4" t="s">
        <v>46</v>
      </c>
      <c r="H703" s="7">
        <v>8.9600000000000009</v>
      </c>
      <c r="I703" s="7">
        <v>8.9600000000000009</v>
      </c>
      <c r="J703" s="8" t="s">
        <v>26</v>
      </c>
      <c r="K703" s="9">
        <f>11.26</f>
        <v>11.26</v>
      </c>
      <c r="L703" s="9">
        <f>45.04</f>
        <v>45.04</v>
      </c>
      <c r="M703" s="4"/>
      <c r="N703" s="10">
        <v>1</v>
      </c>
      <c r="O703" s="4" t="s">
        <v>27</v>
      </c>
      <c r="P703" s="11">
        <v>4</v>
      </c>
      <c r="Q703" s="9">
        <f>45.04</f>
        <v>45.04</v>
      </c>
    </row>
    <row r="704" spans="1:17" ht="45" customHeight="1" x14ac:dyDescent="0.25">
      <c r="A704" s="4" t="s">
        <v>20</v>
      </c>
      <c r="B704" s="5" t="s">
        <v>1499</v>
      </c>
      <c r="C704" s="4" t="s">
        <v>29</v>
      </c>
      <c r="D704" s="4" t="s">
        <v>614</v>
      </c>
      <c r="E704" s="4" t="s">
        <v>615</v>
      </c>
      <c r="F704" s="6">
        <f>2</f>
        <v>2</v>
      </c>
      <c r="G704" s="4" t="s">
        <v>46</v>
      </c>
      <c r="H704" s="7">
        <v>25.78</v>
      </c>
      <c r="I704" s="7">
        <v>25.78</v>
      </c>
      <c r="J704" s="8" t="s">
        <v>26</v>
      </c>
      <c r="K704" s="9">
        <f>32.41</f>
        <v>32.409999999999997</v>
      </c>
      <c r="L704" s="9">
        <f>64.82</f>
        <v>64.819999999999993</v>
      </c>
      <c r="M704" s="4"/>
      <c r="N704" s="10">
        <v>1</v>
      </c>
      <c r="O704" s="4" t="s">
        <v>27</v>
      </c>
      <c r="P704" s="11">
        <v>2</v>
      </c>
      <c r="Q704" s="9">
        <f>64.82</f>
        <v>64.819999999999993</v>
      </c>
    </row>
    <row r="705" spans="1:17" ht="45" customHeight="1" x14ac:dyDescent="0.25">
      <c r="A705" s="4" t="s">
        <v>20</v>
      </c>
      <c r="B705" s="5" t="s">
        <v>1500</v>
      </c>
      <c r="C705" s="4" t="s">
        <v>29</v>
      </c>
      <c r="D705" s="4" t="s">
        <v>1501</v>
      </c>
      <c r="E705" s="4" t="s">
        <v>1502</v>
      </c>
      <c r="F705" s="6">
        <f>4</f>
        <v>4</v>
      </c>
      <c r="G705" s="4" t="s">
        <v>96</v>
      </c>
      <c r="H705" s="7">
        <v>30.45</v>
      </c>
      <c r="I705" s="7">
        <v>30.45</v>
      </c>
      <c r="J705" s="8" t="s">
        <v>26</v>
      </c>
      <c r="K705" s="9">
        <f>38.28</f>
        <v>38.28</v>
      </c>
      <c r="L705" s="9">
        <f>153.12</f>
        <v>153.12</v>
      </c>
      <c r="M705" s="4"/>
      <c r="N705" s="10">
        <v>1</v>
      </c>
      <c r="O705" s="4" t="s">
        <v>27</v>
      </c>
      <c r="P705" s="11">
        <v>4</v>
      </c>
      <c r="Q705" s="9">
        <f>153.12</f>
        <v>153.12</v>
      </c>
    </row>
    <row r="706" spans="1:17" ht="45" customHeight="1" x14ac:dyDescent="0.25">
      <c r="A706" s="4" t="s">
        <v>20</v>
      </c>
      <c r="B706" s="5" t="s">
        <v>1503</v>
      </c>
      <c r="C706" s="4" t="s">
        <v>29</v>
      </c>
      <c r="D706" s="4" t="s">
        <v>624</v>
      </c>
      <c r="E706" s="4" t="s">
        <v>625</v>
      </c>
      <c r="F706" s="6">
        <f>6</f>
        <v>6</v>
      </c>
      <c r="G706" s="4" t="s">
        <v>46</v>
      </c>
      <c r="H706" s="7">
        <v>30.35</v>
      </c>
      <c r="I706" s="7">
        <v>30.35</v>
      </c>
      <c r="J706" s="8" t="s">
        <v>26</v>
      </c>
      <c r="K706" s="9">
        <f>38.15</f>
        <v>38.15</v>
      </c>
      <c r="L706" s="9">
        <f>228.9</f>
        <v>228.9</v>
      </c>
      <c r="M706" s="4"/>
      <c r="N706" s="10">
        <v>1</v>
      </c>
      <c r="O706" s="4" t="s">
        <v>27</v>
      </c>
      <c r="P706" s="11">
        <v>6</v>
      </c>
      <c r="Q706" s="9">
        <f>228.9</f>
        <v>228.9</v>
      </c>
    </row>
    <row r="707" spans="1:17" ht="45" customHeight="1" x14ac:dyDescent="0.25">
      <c r="A707" s="4" t="s">
        <v>20</v>
      </c>
      <c r="B707" s="5" t="s">
        <v>1504</v>
      </c>
      <c r="C707" s="4" t="s">
        <v>29</v>
      </c>
      <c r="D707" s="4" t="s">
        <v>627</v>
      </c>
      <c r="E707" s="4" t="s">
        <v>628</v>
      </c>
      <c r="F707" s="6">
        <f>9</f>
        <v>9</v>
      </c>
      <c r="G707" s="4" t="s">
        <v>46</v>
      </c>
      <c r="H707" s="7">
        <v>34.18</v>
      </c>
      <c r="I707" s="7">
        <v>34.18</v>
      </c>
      <c r="J707" s="8" t="s">
        <v>26</v>
      </c>
      <c r="K707" s="9">
        <f>42.96</f>
        <v>42.96</v>
      </c>
      <c r="L707" s="9">
        <f>386.64</f>
        <v>386.64</v>
      </c>
      <c r="M707" s="4"/>
      <c r="N707" s="10">
        <v>1</v>
      </c>
      <c r="O707" s="4" t="s">
        <v>27</v>
      </c>
      <c r="P707" s="11">
        <v>9</v>
      </c>
      <c r="Q707" s="9">
        <f>386.64</f>
        <v>386.64</v>
      </c>
    </row>
    <row r="708" spans="1:17" ht="45" customHeight="1" x14ac:dyDescent="0.25">
      <c r="A708" s="4" t="s">
        <v>20</v>
      </c>
      <c r="B708" s="5" t="s">
        <v>1505</v>
      </c>
      <c r="C708" s="4" t="s">
        <v>29</v>
      </c>
      <c r="D708" s="4" t="s">
        <v>630</v>
      </c>
      <c r="E708" s="4" t="s">
        <v>631</v>
      </c>
      <c r="F708" s="6">
        <f>2</f>
        <v>2</v>
      </c>
      <c r="G708" s="4" t="s">
        <v>46</v>
      </c>
      <c r="H708" s="7">
        <v>40.880000000000003</v>
      </c>
      <c r="I708" s="7">
        <v>40.880000000000003</v>
      </c>
      <c r="J708" s="8" t="s">
        <v>26</v>
      </c>
      <c r="K708" s="9">
        <f>51.39</f>
        <v>51.39</v>
      </c>
      <c r="L708" s="9">
        <f>102.78</f>
        <v>102.78</v>
      </c>
      <c r="M708" s="4"/>
      <c r="N708" s="10">
        <v>1</v>
      </c>
      <c r="O708" s="4" t="s">
        <v>27</v>
      </c>
      <c r="P708" s="11">
        <v>2</v>
      </c>
      <c r="Q708" s="9">
        <f>102.78</f>
        <v>102.78</v>
      </c>
    </row>
    <row r="709" spans="1:17" ht="45" customHeight="1" x14ac:dyDescent="0.25">
      <c r="A709" s="4" t="s">
        <v>20</v>
      </c>
      <c r="B709" s="5" t="s">
        <v>1506</v>
      </c>
      <c r="C709" s="4" t="s">
        <v>29</v>
      </c>
      <c r="D709" s="4" t="s">
        <v>633</v>
      </c>
      <c r="E709" s="4" t="s">
        <v>634</v>
      </c>
      <c r="F709" s="6">
        <f>1</f>
        <v>1</v>
      </c>
      <c r="G709" s="4" t="s">
        <v>46</v>
      </c>
      <c r="H709" s="7">
        <v>36.020000000000003</v>
      </c>
      <c r="I709" s="7">
        <v>36.020000000000003</v>
      </c>
      <c r="J709" s="8" t="s">
        <v>26</v>
      </c>
      <c r="K709" s="9">
        <f>45.28</f>
        <v>45.28</v>
      </c>
      <c r="L709" s="9">
        <f>45.28</f>
        <v>45.28</v>
      </c>
      <c r="M709" s="4"/>
      <c r="N709" s="10">
        <v>1</v>
      </c>
      <c r="O709" s="4" t="s">
        <v>27</v>
      </c>
      <c r="P709" s="11">
        <v>1</v>
      </c>
      <c r="Q709" s="9">
        <f>45.28</f>
        <v>45.28</v>
      </c>
    </row>
    <row r="710" spans="1:17" ht="45" customHeight="1" x14ac:dyDescent="0.25">
      <c r="A710" s="4" t="s">
        <v>20</v>
      </c>
      <c r="B710" s="5" t="s">
        <v>1507</v>
      </c>
      <c r="C710" s="4" t="s">
        <v>29</v>
      </c>
      <c r="D710" s="4" t="s">
        <v>636</v>
      </c>
      <c r="E710" s="4" t="s">
        <v>637</v>
      </c>
      <c r="F710" s="6">
        <f>2</f>
        <v>2</v>
      </c>
      <c r="G710" s="4" t="s">
        <v>46</v>
      </c>
      <c r="H710" s="7">
        <v>49.67</v>
      </c>
      <c r="I710" s="7">
        <v>49.67</v>
      </c>
      <c r="J710" s="8" t="s">
        <v>26</v>
      </c>
      <c r="K710" s="9">
        <f>62.44</f>
        <v>62.44</v>
      </c>
      <c r="L710" s="9">
        <f>124.88</f>
        <v>124.88</v>
      </c>
      <c r="M710" s="4"/>
      <c r="N710" s="10">
        <v>1</v>
      </c>
      <c r="O710" s="4" t="s">
        <v>27</v>
      </c>
      <c r="P710" s="11">
        <v>2</v>
      </c>
      <c r="Q710" s="9">
        <f>124.88</f>
        <v>124.88</v>
      </c>
    </row>
    <row r="711" spans="1:17" ht="45" customHeight="1" x14ac:dyDescent="0.25">
      <c r="A711" s="4" t="s">
        <v>20</v>
      </c>
      <c r="B711" s="5" t="s">
        <v>1508</v>
      </c>
      <c r="C711" s="4" t="s">
        <v>29</v>
      </c>
      <c r="D711" s="4" t="s">
        <v>639</v>
      </c>
      <c r="E711" s="4" t="s">
        <v>640</v>
      </c>
      <c r="F711" s="6">
        <f>1</f>
        <v>1</v>
      </c>
      <c r="G711" s="4" t="s">
        <v>46</v>
      </c>
      <c r="H711" s="7">
        <v>45.94</v>
      </c>
      <c r="I711" s="7">
        <v>45.94</v>
      </c>
      <c r="J711" s="8" t="s">
        <v>26</v>
      </c>
      <c r="K711" s="9">
        <f>57.75</f>
        <v>57.75</v>
      </c>
      <c r="L711" s="9">
        <f>57.75</f>
        <v>57.75</v>
      </c>
      <c r="M711" s="4"/>
      <c r="N711" s="10">
        <v>1</v>
      </c>
      <c r="O711" s="4" t="s">
        <v>27</v>
      </c>
      <c r="P711" s="11">
        <v>1</v>
      </c>
      <c r="Q711" s="9">
        <f>57.75</f>
        <v>57.75</v>
      </c>
    </row>
    <row r="712" spans="1:17" ht="45" customHeight="1" x14ac:dyDescent="0.25">
      <c r="A712" s="4" t="s">
        <v>20</v>
      </c>
      <c r="B712" s="5" t="s">
        <v>1509</v>
      </c>
      <c r="C712" s="4" t="s">
        <v>29</v>
      </c>
      <c r="D712" s="4" t="s">
        <v>642</v>
      </c>
      <c r="E712" s="4" t="s">
        <v>643</v>
      </c>
      <c r="F712" s="6">
        <f>600</f>
        <v>600</v>
      </c>
      <c r="G712" s="4" t="s">
        <v>96</v>
      </c>
      <c r="H712" s="7">
        <v>4.8899999999999997</v>
      </c>
      <c r="I712" s="7">
        <v>4.8899999999999997</v>
      </c>
      <c r="J712" s="8" t="s">
        <v>26</v>
      </c>
      <c r="K712" s="9">
        <f>6.15</f>
        <v>6.15</v>
      </c>
      <c r="L712" s="9">
        <f>3690</f>
        <v>3690</v>
      </c>
      <c r="M712" s="4"/>
      <c r="N712" s="10">
        <v>1</v>
      </c>
      <c r="O712" s="4" t="s">
        <v>27</v>
      </c>
      <c r="P712" s="11">
        <v>600</v>
      </c>
      <c r="Q712" s="9">
        <f>3690</f>
        <v>3690</v>
      </c>
    </row>
    <row r="713" spans="1:17" ht="45" customHeight="1" x14ac:dyDescent="0.25">
      <c r="A713" s="4" t="s">
        <v>20</v>
      </c>
      <c r="B713" s="5" t="s">
        <v>1510</v>
      </c>
      <c r="C713" s="4" t="s">
        <v>29</v>
      </c>
      <c r="D713" s="4" t="s">
        <v>274</v>
      </c>
      <c r="E713" s="4" t="s">
        <v>275</v>
      </c>
      <c r="F713" s="6">
        <f>20</f>
        <v>20</v>
      </c>
      <c r="G713" s="4" t="s">
        <v>96</v>
      </c>
      <c r="H713" s="7">
        <v>25.45</v>
      </c>
      <c r="I713" s="7">
        <v>25.45</v>
      </c>
      <c r="J713" s="8" t="s">
        <v>26</v>
      </c>
      <c r="K713" s="9">
        <f>31.99</f>
        <v>31.99</v>
      </c>
      <c r="L713" s="9">
        <f>639.8</f>
        <v>639.79999999999995</v>
      </c>
      <c r="M713" s="4"/>
      <c r="N713" s="10">
        <v>1</v>
      </c>
      <c r="O713" s="4" t="s">
        <v>27</v>
      </c>
      <c r="P713" s="11">
        <v>20</v>
      </c>
      <c r="Q713" s="9">
        <f>639.8</f>
        <v>639.79999999999995</v>
      </c>
    </row>
    <row r="714" spans="1:17" ht="45" customHeight="1" x14ac:dyDescent="0.25">
      <c r="A714" s="4" t="s">
        <v>20</v>
      </c>
      <c r="B714" s="5" t="s">
        <v>1511</v>
      </c>
      <c r="C714" s="4" t="s">
        <v>29</v>
      </c>
      <c r="D714" s="4" t="s">
        <v>647</v>
      </c>
      <c r="E714" s="4" t="s">
        <v>648</v>
      </c>
      <c r="F714" s="6">
        <f>700</f>
        <v>700</v>
      </c>
      <c r="G714" s="4" t="s">
        <v>96</v>
      </c>
      <c r="H714" s="7">
        <v>7.41</v>
      </c>
      <c r="I714" s="7">
        <v>7.41</v>
      </c>
      <c r="J714" s="8" t="s">
        <v>26</v>
      </c>
      <c r="K714" s="9">
        <f>9.31</f>
        <v>9.31</v>
      </c>
      <c r="L714" s="9">
        <f>6517</f>
        <v>6517</v>
      </c>
      <c r="M714" s="4"/>
      <c r="N714" s="10">
        <v>1</v>
      </c>
      <c r="O714" s="4" t="s">
        <v>27</v>
      </c>
      <c r="P714" s="11">
        <v>700</v>
      </c>
      <c r="Q714" s="9">
        <f>6517</f>
        <v>6517</v>
      </c>
    </row>
    <row r="715" spans="1:17" ht="45" customHeight="1" x14ac:dyDescent="0.25">
      <c r="A715" s="4" t="s">
        <v>20</v>
      </c>
      <c r="B715" s="5" t="s">
        <v>1512</v>
      </c>
      <c r="C715" s="4" t="s">
        <v>29</v>
      </c>
      <c r="D715" s="4" t="s">
        <v>280</v>
      </c>
      <c r="E715" s="4" t="s">
        <v>281</v>
      </c>
      <c r="F715" s="6">
        <f>150</f>
        <v>150</v>
      </c>
      <c r="G715" s="4" t="s">
        <v>96</v>
      </c>
      <c r="H715" s="7">
        <v>19.420000000000002</v>
      </c>
      <c r="I715" s="7">
        <v>19.420000000000002</v>
      </c>
      <c r="J715" s="8" t="s">
        <v>26</v>
      </c>
      <c r="K715" s="9">
        <f>24.41</f>
        <v>24.41</v>
      </c>
      <c r="L715" s="9">
        <f>3661.5</f>
        <v>3661.5</v>
      </c>
      <c r="M715" s="4"/>
      <c r="N715" s="10">
        <v>1</v>
      </c>
      <c r="O715" s="4" t="s">
        <v>27</v>
      </c>
      <c r="P715" s="11">
        <v>150</v>
      </c>
      <c r="Q715" s="9">
        <f>3661.5</f>
        <v>3661.5</v>
      </c>
    </row>
    <row r="716" spans="1:17" ht="45" customHeight="1" x14ac:dyDescent="0.25">
      <c r="A716" s="4" t="s">
        <v>20</v>
      </c>
      <c r="B716" s="5" t="s">
        <v>1513</v>
      </c>
      <c r="C716" s="4" t="s">
        <v>29</v>
      </c>
      <c r="D716" s="4" t="s">
        <v>292</v>
      </c>
      <c r="E716" s="4" t="s">
        <v>293</v>
      </c>
      <c r="F716" s="6">
        <f>80</f>
        <v>80</v>
      </c>
      <c r="G716" s="4" t="s">
        <v>96</v>
      </c>
      <c r="H716" s="7">
        <v>9.08</v>
      </c>
      <c r="I716" s="7">
        <v>9.08</v>
      </c>
      <c r="J716" s="8" t="s">
        <v>26</v>
      </c>
      <c r="K716" s="9">
        <f>11.41</f>
        <v>11.41</v>
      </c>
      <c r="L716" s="9">
        <f>912.8</f>
        <v>912.8</v>
      </c>
      <c r="M716" s="4"/>
      <c r="N716" s="10">
        <v>1</v>
      </c>
      <c r="O716" s="4" t="s">
        <v>27</v>
      </c>
      <c r="P716" s="11">
        <v>80</v>
      </c>
      <c r="Q716" s="9">
        <f>912.8</f>
        <v>912.8</v>
      </c>
    </row>
    <row r="717" spans="1:17" ht="45" customHeight="1" x14ac:dyDescent="0.25">
      <c r="A717" s="4" t="s">
        <v>20</v>
      </c>
      <c r="B717" s="5" t="s">
        <v>1514</v>
      </c>
      <c r="C717" s="4" t="s">
        <v>29</v>
      </c>
      <c r="D717" s="4" t="s">
        <v>295</v>
      </c>
      <c r="E717" s="4" t="s">
        <v>296</v>
      </c>
      <c r="F717" s="6">
        <f>200</f>
        <v>200</v>
      </c>
      <c r="G717" s="4" t="s">
        <v>96</v>
      </c>
      <c r="H717" s="7">
        <v>57.64</v>
      </c>
      <c r="I717" s="7">
        <v>57.64</v>
      </c>
      <c r="J717" s="8" t="s">
        <v>26</v>
      </c>
      <c r="K717" s="9">
        <f>72.45</f>
        <v>72.45</v>
      </c>
      <c r="L717" s="9">
        <f>14490</f>
        <v>14490</v>
      </c>
      <c r="M717" s="4"/>
      <c r="N717" s="10">
        <v>1</v>
      </c>
      <c r="O717" s="4" t="s">
        <v>27</v>
      </c>
      <c r="P717" s="11">
        <v>200</v>
      </c>
      <c r="Q717" s="9">
        <f>14490</f>
        <v>14490</v>
      </c>
    </row>
    <row r="718" spans="1:17" ht="45" customHeight="1" x14ac:dyDescent="0.25">
      <c r="A718" s="4" t="s">
        <v>20</v>
      </c>
      <c r="B718" s="5" t="s">
        <v>1515</v>
      </c>
      <c r="C718" s="4" t="s">
        <v>29</v>
      </c>
      <c r="D718" s="4" t="s">
        <v>668</v>
      </c>
      <c r="E718" s="4" t="s">
        <v>669</v>
      </c>
      <c r="F718" s="6">
        <f>8</f>
        <v>8</v>
      </c>
      <c r="G718" s="4" t="s">
        <v>46</v>
      </c>
      <c r="H718" s="7">
        <v>429.63</v>
      </c>
      <c r="I718" s="7">
        <v>429.63</v>
      </c>
      <c r="J718" s="8" t="s">
        <v>26</v>
      </c>
      <c r="K718" s="9">
        <f>540.04</f>
        <v>540.04</v>
      </c>
      <c r="L718" s="9">
        <f>4320.32</f>
        <v>4320.32</v>
      </c>
      <c r="M718" s="4"/>
      <c r="N718" s="10">
        <v>1</v>
      </c>
      <c r="O718" s="4" t="s">
        <v>27</v>
      </c>
      <c r="P718" s="11">
        <v>8</v>
      </c>
      <c r="Q718" s="9">
        <f>4320.32</f>
        <v>4320.32</v>
      </c>
    </row>
    <row r="719" spans="1:17" ht="45" customHeight="1" x14ac:dyDescent="0.25">
      <c r="A719" s="4" t="s">
        <v>20</v>
      </c>
      <c r="B719" s="5" t="s">
        <v>1516</v>
      </c>
      <c r="C719" s="4" t="s">
        <v>29</v>
      </c>
      <c r="D719" s="4" t="s">
        <v>671</v>
      </c>
      <c r="E719" s="4" t="s">
        <v>672</v>
      </c>
      <c r="F719" s="6">
        <f>8</f>
        <v>8</v>
      </c>
      <c r="G719" s="4" t="s">
        <v>46</v>
      </c>
      <c r="H719" s="7">
        <v>54.62</v>
      </c>
      <c r="I719" s="7">
        <v>54.62</v>
      </c>
      <c r="J719" s="8" t="s">
        <v>26</v>
      </c>
      <c r="K719" s="9">
        <f>68.66</f>
        <v>68.66</v>
      </c>
      <c r="L719" s="9">
        <f>549.28</f>
        <v>549.28</v>
      </c>
      <c r="M719" s="4"/>
      <c r="N719" s="10">
        <v>1</v>
      </c>
      <c r="O719" s="4" t="s">
        <v>27</v>
      </c>
      <c r="P719" s="11">
        <v>8</v>
      </c>
      <c r="Q719" s="9">
        <f>549.28</f>
        <v>549.28</v>
      </c>
    </row>
    <row r="720" spans="1:17" ht="45" customHeight="1" x14ac:dyDescent="0.25">
      <c r="A720" s="4" t="s">
        <v>20</v>
      </c>
      <c r="B720" s="5" t="s">
        <v>1517</v>
      </c>
      <c r="C720" s="4" t="s">
        <v>29</v>
      </c>
      <c r="D720" s="4" t="s">
        <v>674</v>
      </c>
      <c r="E720" s="4" t="s">
        <v>675</v>
      </c>
      <c r="F720" s="6">
        <f>30</f>
        <v>30</v>
      </c>
      <c r="G720" s="4" t="s">
        <v>46</v>
      </c>
      <c r="H720" s="7">
        <v>133.13999999999999</v>
      </c>
      <c r="I720" s="7">
        <v>133.13999999999999</v>
      </c>
      <c r="J720" s="8" t="s">
        <v>26</v>
      </c>
      <c r="K720" s="9">
        <f>167.36</f>
        <v>167.36</v>
      </c>
      <c r="L720" s="9">
        <f>5020.8</f>
        <v>5020.8</v>
      </c>
      <c r="M720" s="4"/>
      <c r="N720" s="10">
        <v>1</v>
      </c>
      <c r="O720" s="4" t="s">
        <v>27</v>
      </c>
      <c r="P720" s="11">
        <v>30</v>
      </c>
      <c r="Q720" s="9">
        <f>5020.8</f>
        <v>5020.8</v>
      </c>
    </row>
    <row r="721" spans="1:17" ht="45" customHeight="1" x14ac:dyDescent="0.25">
      <c r="A721" s="4" t="s">
        <v>20</v>
      </c>
      <c r="B721" s="5" t="s">
        <v>1518</v>
      </c>
      <c r="C721" s="4" t="s">
        <v>29</v>
      </c>
      <c r="D721" s="4" t="s">
        <v>677</v>
      </c>
      <c r="E721" s="4" t="s">
        <v>678</v>
      </c>
      <c r="F721" s="6">
        <f>1</f>
        <v>1</v>
      </c>
      <c r="G721" s="4" t="s">
        <v>46</v>
      </c>
      <c r="H721" s="7">
        <v>123.79</v>
      </c>
      <c r="I721" s="7">
        <v>123.79</v>
      </c>
      <c r="J721" s="8" t="s">
        <v>26</v>
      </c>
      <c r="K721" s="9">
        <f>155.6</f>
        <v>155.6</v>
      </c>
      <c r="L721" s="9">
        <f>155.6</f>
        <v>155.6</v>
      </c>
      <c r="M721" s="4"/>
      <c r="N721" s="10">
        <v>1</v>
      </c>
      <c r="O721" s="4" t="s">
        <v>27</v>
      </c>
      <c r="P721" s="11">
        <v>1</v>
      </c>
      <c r="Q721" s="9">
        <f>155.6</f>
        <v>155.6</v>
      </c>
    </row>
    <row r="722" spans="1:17" ht="45" customHeight="1" x14ac:dyDescent="0.25">
      <c r="A722" s="4" t="s">
        <v>20</v>
      </c>
      <c r="B722" s="5" t="s">
        <v>1519</v>
      </c>
      <c r="C722" s="4" t="s">
        <v>29</v>
      </c>
      <c r="D722" s="4" t="s">
        <v>680</v>
      </c>
      <c r="E722" s="4" t="s">
        <v>681</v>
      </c>
      <c r="F722" s="6">
        <f>8</f>
        <v>8</v>
      </c>
      <c r="G722" s="4" t="s">
        <v>46</v>
      </c>
      <c r="H722" s="7">
        <v>1040.4000000000001</v>
      </c>
      <c r="I722" s="7">
        <v>1040.4000000000001</v>
      </c>
      <c r="J722" s="8" t="s">
        <v>26</v>
      </c>
      <c r="K722" s="9">
        <f>1307.78</f>
        <v>1307.78</v>
      </c>
      <c r="L722" s="9">
        <f>10462.24</f>
        <v>10462.24</v>
      </c>
      <c r="M722" s="4"/>
      <c r="N722" s="10">
        <v>1</v>
      </c>
      <c r="O722" s="4" t="s">
        <v>27</v>
      </c>
      <c r="P722" s="11">
        <v>8</v>
      </c>
      <c r="Q722" s="9">
        <f>10462.24</f>
        <v>10462.24</v>
      </c>
    </row>
    <row r="723" spans="1:17" ht="45" customHeight="1" x14ac:dyDescent="0.25">
      <c r="A723" s="4" t="s">
        <v>20</v>
      </c>
      <c r="B723" s="5" t="s">
        <v>1520</v>
      </c>
      <c r="C723" s="4" t="s">
        <v>29</v>
      </c>
      <c r="D723" s="4" t="s">
        <v>683</v>
      </c>
      <c r="E723" s="4" t="s">
        <v>684</v>
      </c>
      <c r="F723" s="6">
        <f>8</f>
        <v>8</v>
      </c>
      <c r="G723" s="4" t="s">
        <v>46</v>
      </c>
      <c r="H723" s="7">
        <v>850.65</v>
      </c>
      <c r="I723" s="7">
        <v>850.65</v>
      </c>
      <c r="J723" s="8" t="s">
        <v>26</v>
      </c>
      <c r="K723" s="9">
        <f>1069.27</f>
        <v>1069.27</v>
      </c>
      <c r="L723" s="9">
        <f>8554.16</f>
        <v>8554.16</v>
      </c>
      <c r="M723" s="4"/>
      <c r="N723" s="10">
        <v>1</v>
      </c>
      <c r="O723" s="4" t="s">
        <v>27</v>
      </c>
      <c r="P723" s="11">
        <v>8</v>
      </c>
      <c r="Q723" s="9">
        <f>8554.16</f>
        <v>8554.16</v>
      </c>
    </row>
    <row r="724" spans="1:17" ht="45" customHeight="1" x14ac:dyDescent="0.25">
      <c r="A724" s="4" t="s">
        <v>20</v>
      </c>
      <c r="B724" s="5" t="s">
        <v>1521</v>
      </c>
      <c r="C724" s="4" t="s">
        <v>29</v>
      </c>
      <c r="D724" s="4" t="s">
        <v>1522</v>
      </c>
      <c r="E724" s="4" t="s">
        <v>1523</v>
      </c>
      <c r="F724" s="6">
        <f>1</f>
        <v>1</v>
      </c>
      <c r="G724" s="4" t="s">
        <v>46</v>
      </c>
      <c r="H724" s="7">
        <v>4670.09</v>
      </c>
      <c r="I724" s="7">
        <v>4670.09</v>
      </c>
      <c r="J724" s="8" t="s">
        <v>26</v>
      </c>
      <c r="K724" s="9">
        <f>5870.3</f>
        <v>5870.3</v>
      </c>
      <c r="L724" s="9">
        <f>5870.3</f>
        <v>5870.3</v>
      </c>
      <c r="M724" s="4"/>
      <c r="N724" s="10">
        <v>1</v>
      </c>
      <c r="O724" s="4" t="s">
        <v>27</v>
      </c>
      <c r="P724" s="11">
        <v>1</v>
      </c>
      <c r="Q724" s="9">
        <f>5870.3</f>
        <v>5870.3</v>
      </c>
    </row>
    <row r="725" spans="1:17" ht="45" customHeight="1" x14ac:dyDescent="0.25">
      <c r="A725" s="4" t="s">
        <v>20</v>
      </c>
      <c r="B725" s="5" t="s">
        <v>1524</v>
      </c>
      <c r="C725" s="4" t="s">
        <v>29</v>
      </c>
      <c r="D725" s="4" t="s">
        <v>686</v>
      </c>
      <c r="E725" s="4" t="s">
        <v>687</v>
      </c>
      <c r="F725" s="6">
        <f>8</f>
        <v>8</v>
      </c>
      <c r="G725" s="4" t="s">
        <v>46</v>
      </c>
      <c r="H725" s="7">
        <v>170.55</v>
      </c>
      <c r="I725" s="7">
        <v>170.55</v>
      </c>
      <c r="J725" s="8" t="s">
        <v>26</v>
      </c>
      <c r="K725" s="9">
        <f>214.38</f>
        <v>214.38</v>
      </c>
      <c r="L725" s="9">
        <f>1715.04</f>
        <v>1715.04</v>
      </c>
      <c r="M725" s="4"/>
      <c r="N725" s="10">
        <v>1</v>
      </c>
      <c r="O725" s="4" t="s">
        <v>27</v>
      </c>
      <c r="P725" s="11">
        <v>8</v>
      </c>
      <c r="Q725" s="9">
        <f>1715.04</f>
        <v>1715.04</v>
      </c>
    </row>
    <row r="726" spans="1:17" ht="45" customHeight="1" x14ac:dyDescent="0.25">
      <c r="A726" s="4" t="s">
        <v>20</v>
      </c>
      <c r="B726" s="5" t="s">
        <v>1525</v>
      </c>
      <c r="C726" s="4" t="s">
        <v>29</v>
      </c>
      <c r="D726" s="4" t="s">
        <v>1526</v>
      </c>
      <c r="E726" s="4" t="s">
        <v>1527</v>
      </c>
      <c r="F726" s="6">
        <f>5</f>
        <v>5</v>
      </c>
      <c r="G726" s="4" t="s">
        <v>46</v>
      </c>
      <c r="H726" s="7">
        <v>284.85000000000002</v>
      </c>
      <c r="I726" s="7">
        <v>284.85000000000002</v>
      </c>
      <c r="J726" s="8" t="s">
        <v>26</v>
      </c>
      <c r="K726" s="9">
        <f>358.06</f>
        <v>358.06</v>
      </c>
      <c r="L726" s="9">
        <f>1790.3</f>
        <v>1790.3</v>
      </c>
      <c r="M726" s="4"/>
      <c r="N726" s="10">
        <v>1</v>
      </c>
      <c r="O726" s="4" t="s">
        <v>27</v>
      </c>
      <c r="P726" s="11">
        <v>5</v>
      </c>
      <c r="Q726" s="9">
        <f>1790.3</f>
        <v>1790.3</v>
      </c>
    </row>
    <row r="727" spans="1:17" ht="45" customHeight="1" x14ac:dyDescent="0.25">
      <c r="A727" s="4" t="s">
        <v>20</v>
      </c>
      <c r="B727" s="5" t="s">
        <v>1528</v>
      </c>
      <c r="C727" s="4" t="s">
        <v>29</v>
      </c>
      <c r="D727" s="4" t="s">
        <v>1529</v>
      </c>
      <c r="E727" s="4" t="s">
        <v>1530</v>
      </c>
      <c r="F727" s="6">
        <f>2</f>
        <v>2</v>
      </c>
      <c r="G727" s="4" t="s">
        <v>46</v>
      </c>
      <c r="H727" s="7">
        <v>122.93</v>
      </c>
      <c r="I727" s="7">
        <v>122.93</v>
      </c>
      <c r="J727" s="8" t="s">
        <v>26</v>
      </c>
      <c r="K727" s="9">
        <f>154.52</f>
        <v>154.52000000000001</v>
      </c>
      <c r="L727" s="9">
        <f>309.04</f>
        <v>309.04000000000002</v>
      </c>
      <c r="M727" s="4"/>
      <c r="N727" s="10">
        <v>1</v>
      </c>
      <c r="O727" s="4" t="s">
        <v>27</v>
      </c>
      <c r="P727" s="11">
        <v>2</v>
      </c>
      <c r="Q727" s="9">
        <f>309.04</f>
        <v>309.04000000000002</v>
      </c>
    </row>
    <row r="728" spans="1:17" ht="45" customHeight="1" x14ac:dyDescent="0.25">
      <c r="A728" s="4" t="s">
        <v>20</v>
      </c>
      <c r="B728" s="5" t="s">
        <v>1531</v>
      </c>
      <c r="C728" s="4" t="s">
        <v>29</v>
      </c>
      <c r="D728" s="4" t="s">
        <v>695</v>
      </c>
      <c r="E728" s="4" t="s">
        <v>696</v>
      </c>
      <c r="F728" s="6">
        <f>1</f>
        <v>1</v>
      </c>
      <c r="G728" s="4" t="s">
        <v>46</v>
      </c>
      <c r="H728" s="7">
        <v>1270.33</v>
      </c>
      <c r="I728" s="7">
        <v>1270.33</v>
      </c>
      <c r="J728" s="8" t="s">
        <v>26</v>
      </c>
      <c r="K728" s="9">
        <f>1596.8</f>
        <v>1596.8</v>
      </c>
      <c r="L728" s="9">
        <f>1596.8</f>
        <v>1596.8</v>
      </c>
      <c r="M728" s="4"/>
      <c r="N728" s="10">
        <v>1</v>
      </c>
      <c r="O728" s="4" t="s">
        <v>27</v>
      </c>
      <c r="P728" s="11">
        <v>1</v>
      </c>
      <c r="Q728" s="9">
        <f>1596.8</f>
        <v>1596.8</v>
      </c>
    </row>
    <row r="729" spans="1:17" ht="45" customHeight="1" x14ac:dyDescent="0.25">
      <c r="A729" s="4" t="s">
        <v>20</v>
      </c>
      <c r="B729" s="5" t="s">
        <v>1532</v>
      </c>
      <c r="C729" s="4" t="s">
        <v>29</v>
      </c>
      <c r="D729" s="4" t="s">
        <v>1533</v>
      </c>
      <c r="E729" s="4" t="s">
        <v>1534</v>
      </c>
      <c r="F729" s="6">
        <f>40</f>
        <v>40</v>
      </c>
      <c r="G729" s="4" t="s">
        <v>96</v>
      </c>
      <c r="H729" s="7">
        <v>40.57</v>
      </c>
      <c r="I729" s="7">
        <v>40.57</v>
      </c>
      <c r="J729" s="8" t="s">
        <v>26</v>
      </c>
      <c r="K729" s="9">
        <f>51</f>
        <v>51</v>
      </c>
      <c r="L729" s="9">
        <f>2040</f>
        <v>2040</v>
      </c>
      <c r="M729" s="4"/>
      <c r="N729" s="10">
        <v>1</v>
      </c>
      <c r="O729" s="4" t="s">
        <v>27</v>
      </c>
      <c r="P729" s="11">
        <v>40</v>
      </c>
      <c r="Q729" s="9">
        <f>2040</f>
        <v>2040</v>
      </c>
    </row>
    <row r="730" spans="1:17" ht="45" customHeight="1" x14ac:dyDescent="0.25">
      <c r="A730" s="4" t="s">
        <v>20</v>
      </c>
      <c r="B730" s="5" t="s">
        <v>1535</v>
      </c>
      <c r="C730" s="4" t="s">
        <v>29</v>
      </c>
      <c r="D730" s="4" t="s">
        <v>698</v>
      </c>
      <c r="E730" s="4" t="s">
        <v>699</v>
      </c>
      <c r="F730" s="6">
        <f>30</f>
        <v>30</v>
      </c>
      <c r="G730" s="4" t="s">
        <v>96</v>
      </c>
      <c r="H730" s="7">
        <v>104.87</v>
      </c>
      <c r="I730" s="7">
        <v>104.87</v>
      </c>
      <c r="J730" s="8" t="s">
        <v>26</v>
      </c>
      <c r="K730" s="9">
        <f>131.82</f>
        <v>131.82</v>
      </c>
      <c r="L730" s="9">
        <f>3954.6</f>
        <v>3954.6</v>
      </c>
      <c r="M730" s="4"/>
      <c r="N730" s="10">
        <v>1</v>
      </c>
      <c r="O730" s="4" t="s">
        <v>27</v>
      </c>
      <c r="P730" s="11">
        <v>30</v>
      </c>
      <c r="Q730" s="9">
        <f>3954.6</f>
        <v>3954.6</v>
      </c>
    </row>
    <row r="731" spans="1:17" ht="45" customHeight="1" x14ac:dyDescent="0.25">
      <c r="A731" s="4" t="s">
        <v>20</v>
      </c>
      <c r="B731" s="5" t="s">
        <v>1536</v>
      </c>
      <c r="C731" s="4" t="s">
        <v>29</v>
      </c>
      <c r="D731" s="4" t="s">
        <v>1537</v>
      </c>
      <c r="E731" s="4" t="s">
        <v>1538</v>
      </c>
      <c r="F731" s="6">
        <f>15</f>
        <v>15</v>
      </c>
      <c r="G731" s="4" t="s">
        <v>96</v>
      </c>
      <c r="H731" s="7">
        <v>147.96</v>
      </c>
      <c r="I731" s="7">
        <v>147.96</v>
      </c>
      <c r="J731" s="8" t="s">
        <v>26</v>
      </c>
      <c r="K731" s="9">
        <f>185.99</f>
        <v>185.99</v>
      </c>
      <c r="L731" s="9">
        <f>2789.85</f>
        <v>2789.85</v>
      </c>
      <c r="M731" s="4"/>
      <c r="N731" s="10">
        <v>1</v>
      </c>
      <c r="O731" s="4" t="s">
        <v>27</v>
      </c>
      <c r="P731" s="11">
        <v>15</v>
      </c>
      <c r="Q731" s="9">
        <f>2789.85</f>
        <v>2789.85</v>
      </c>
    </row>
    <row r="732" spans="1:17" ht="45" customHeight="1" x14ac:dyDescent="0.25">
      <c r="A732" s="4" t="s">
        <v>20</v>
      </c>
      <c r="B732" s="5" t="s">
        <v>1539</v>
      </c>
      <c r="C732" s="4" t="s">
        <v>29</v>
      </c>
      <c r="D732" s="4" t="s">
        <v>706</v>
      </c>
      <c r="E732" s="4" t="s">
        <v>707</v>
      </c>
      <c r="F732" s="6">
        <f>13</f>
        <v>13</v>
      </c>
      <c r="G732" s="4" t="s">
        <v>46</v>
      </c>
      <c r="H732" s="7">
        <v>29.25</v>
      </c>
      <c r="I732" s="7">
        <v>29.25</v>
      </c>
      <c r="J732" s="8" t="s">
        <v>26</v>
      </c>
      <c r="K732" s="9">
        <f>36.77</f>
        <v>36.770000000000003</v>
      </c>
      <c r="L732" s="9">
        <f>478.01</f>
        <v>478.01</v>
      </c>
      <c r="M732" s="4"/>
      <c r="N732" s="10">
        <v>1</v>
      </c>
      <c r="O732" s="4" t="s">
        <v>27</v>
      </c>
      <c r="P732" s="11">
        <v>13</v>
      </c>
      <c r="Q732" s="9">
        <f>478.01</f>
        <v>478.01</v>
      </c>
    </row>
    <row r="733" spans="1:17" ht="45" customHeight="1" x14ac:dyDescent="0.25">
      <c r="A733" s="4" t="s">
        <v>20</v>
      </c>
      <c r="B733" s="5" t="s">
        <v>1540</v>
      </c>
      <c r="C733" s="4" t="s">
        <v>63</v>
      </c>
      <c r="D733" s="4" t="s">
        <v>709</v>
      </c>
      <c r="E733" s="4" t="s">
        <v>710</v>
      </c>
      <c r="F733" s="6">
        <f>10</f>
        <v>10</v>
      </c>
      <c r="G733" s="4" t="s">
        <v>96</v>
      </c>
      <c r="H733" s="7">
        <v>5.0599999999999996</v>
      </c>
      <c r="I733" s="7">
        <v>5.0599999999999996</v>
      </c>
      <c r="J733" s="8" t="s">
        <v>26</v>
      </c>
      <c r="K733" s="9">
        <f>6.36</f>
        <v>6.36</v>
      </c>
      <c r="L733" s="9">
        <f>63.6</f>
        <v>63.6</v>
      </c>
      <c r="M733" s="4"/>
      <c r="N733" s="10">
        <v>1</v>
      </c>
      <c r="O733" s="4" t="s">
        <v>27</v>
      </c>
      <c r="P733" s="11">
        <v>10</v>
      </c>
      <c r="Q733" s="9">
        <f>63.6</f>
        <v>63.6</v>
      </c>
    </row>
    <row r="734" spans="1:17" ht="45" customHeight="1" x14ac:dyDescent="0.25">
      <c r="A734" s="4" t="s">
        <v>20</v>
      </c>
      <c r="B734" s="5" t="s">
        <v>1541</v>
      </c>
      <c r="C734" s="4" t="s">
        <v>63</v>
      </c>
      <c r="D734" s="4" t="s">
        <v>712</v>
      </c>
      <c r="E734" s="4" t="s">
        <v>713</v>
      </c>
      <c r="F734" s="6">
        <f>8</f>
        <v>8</v>
      </c>
      <c r="G734" s="4" t="s">
        <v>46</v>
      </c>
      <c r="H734" s="7">
        <v>57.04</v>
      </c>
      <c r="I734" s="7">
        <v>57.04</v>
      </c>
      <c r="J734" s="8" t="s">
        <v>26</v>
      </c>
      <c r="K734" s="9">
        <f>71.7</f>
        <v>71.7</v>
      </c>
      <c r="L734" s="9">
        <f>573.6</f>
        <v>573.6</v>
      </c>
      <c r="M734" s="4"/>
      <c r="N734" s="10">
        <v>1</v>
      </c>
      <c r="O734" s="4" t="s">
        <v>27</v>
      </c>
      <c r="P734" s="11">
        <v>8</v>
      </c>
      <c r="Q734" s="9">
        <f>573.6</f>
        <v>573.6</v>
      </c>
    </row>
    <row r="735" spans="1:17" ht="45" customHeight="1" x14ac:dyDescent="0.25">
      <c r="A735" s="4" t="s">
        <v>20</v>
      </c>
      <c r="B735" s="5" t="s">
        <v>1542</v>
      </c>
      <c r="C735" s="4" t="s">
        <v>63</v>
      </c>
      <c r="D735" s="4" t="s">
        <v>298</v>
      </c>
      <c r="E735" s="4" t="s">
        <v>299</v>
      </c>
      <c r="F735" s="6">
        <f>30</f>
        <v>30</v>
      </c>
      <c r="G735" s="4" t="s">
        <v>46</v>
      </c>
      <c r="H735" s="7">
        <v>18.489999999999998</v>
      </c>
      <c r="I735" s="7">
        <v>18.489999999999998</v>
      </c>
      <c r="J735" s="8" t="s">
        <v>26</v>
      </c>
      <c r="K735" s="9">
        <f>23.24</f>
        <v>23.24</v>
      </c>
      <c r="L735" s="9">
        <f>697.2</f>
        <v>697.2</v>
      </c>
      <c r="M735" s="4"/>
      <c r="N735" s="10">
        <v>1</v>
      </c>
      <c r="O735" s="4" t="s">
        <v>27</v>
      </c>
      <c r="P735" s="11">
        <v>30</v>
      </c>
      <c r="Q735" s="9">
        <f>697.2</f>
        <v>697.2</v>
      </c>
    </row>
    <row r="736" spans="1:17" ht="45" customHeight="1" x14ac:dyDescent="0.25">
      <c r="A736" s="4" t="s">
        <v>20</v>
      </c>
      <c r="B736" s="5" t="s">
        <v>1543</v>
      </c>
      <c r="C736" s="4" t="s">
        <v>29</v>
      </c>
      <c r="D736" s="4" t="s">
        <v>725</v>
      </c>
      <c r="E736" s="4" t="s">
        <v>726</v>
      </c>
      <c r="F736" s="6">
        <f>5</f>
        <v>5</v>
      </c>
      <c r="G736" s="4" t="s">
        <v>46</v>
      </c>
      <c r="H736" s="7">
        <v>21.67</v>
      </c>
      <c r="I736" s="7">
        <v>21.67</v>
      </c>
      <c r="J736" s="8" t="s">
        <v>122</v>
      </c>
      <c r="K736" s="9">
        <f>25.8</f>
        <v>25.8</v>
      </c>
      <c r="L736" s="9">
        <f>129</f>
        <v>129</v>
      </c>
      <c r="M736" s="4"/>
      <c r="N736" s="10">
        <v>1</v>
      </c>
      <c r="O736" s="4" t="s">
        <v>27</v>
      </c>
      <c r="P736" s="11">
        <v>5</v>
      </c>
      <c r="Q736" s="9">
        <f>129</f>
        <v>129</v>
      </c>
    </row>
    <row r="737" spans="1:17" ht="45" customHeight="1" x14ac:dyDescent="0.25">
      <c r="A737" s="4" t="s">
        <v>20</v>
      </c>
      <c r="B737" s="5" t="s">
        <v>1544</v>
      </c>
      <c r="C737" s="4" t="s">
        <v>29</v>
      </c>
      <c r="D737" s="4" t="s">
        <v>1545</v>
      </c>
      <c r="E737" s="4" t="s">
        <v>1546</v>
      </c>
      <c r="F737" s="6">
        <f>2</f>
        <v>2</v>
      </c>
      <c r="G737" s="4" t="s">
        <v>46</v>
      </c>
      <c r="H737" s="7">
        <v>50000</v>
      </c>
      <c r="I737" s="7">
        <v>50000</v>
      </c>
      <c r="J737" s="8" t="s">
        <v>122</v>
      </c>
      <c r="K737" s="9">
        <f>59525</f>
        <v>59525</v>
      </c>
      <c r="L737" s="9">
        <f>119050</f>
        <v>119050</v>
      </c>
      <c r="M737" s="4"/>
      <c r="N737" s="10">
        <v>1</v>
      </c>
      <c r="O737" s="4" t="s">
        <v>27</v>
      </c>
      <c r="P737" s="11">
        <v>2</v>
      </c>
      <c r="Q737" s="9">
        <f>119050</f>
        <v>119050</v>
      </c>
    </row>
    <row r="738" spans="1:17" ht="45" customHeight="1" x14ac:dyDescent="0.25">
      <c r="A738" s="4" t="s">
        <v>20</v>
      </c>
      <c r="B738" s="5" t="s">
        <v>1547</v>
      </c>
      <c r="C738" s="4" t="s">
        <v>29</v>
      </c>
      <c r="D738" s="4" t="s">
        <v>1548</v>
      </c>
      <c r="E738" s="4" t="s">
        <v>1549</v>
      </c>
      <c r="F738" s="6">
        <f>1</f>
        <v>1</v>
      </c>
      <c r="G738" s="4" t="s">
        <v>46</v>
      </c>
      <c r="H738" s="7">
        <v>59500</v>
      </c>
      <c r="I738" s="7">
        <v>59500</v>
      </c>
      <c r="J738" s="8" t="s">
        <v>122</v>
      </c>
      <c r="K738" s="9">
        <f>70834.75</f>
        <v>70834.75</v>
      </c>
      <c r="L738" s="9">
        <f>70834.75</f>
        <v>70834.75</v>
      </c>
      <c r="M738" s="4"/>
      <c r="N738" s="10">
        <v>1</v>
      </c>
      <c r="O738" s="4" t="s">
        <v>27</v>
      </c>
      <c r="P738" s="11">
        <v>1</v>
      </c>
      <c r="Q738" s="9">
        <f>70834.75</f>
        <v>70834.75</v>
      </c>
    </row>
    <row r="739" spans="1:17" ht="45" customHeight="1" x14ac:dyDescent="0.25">
      <c r="A739" s="4" t="s">
        <v>20</v>
      </c>
      <c r="B739" s="5" t="s">
        <v>1550</v>
      </c>
      <c r="C739" s="4" t="s">
        <v>29</v>
      </c>
      <c r="D739" s="4" t="s">
        <v>1551</v>
      </c>
      <c r="E739" s="4" t="s">
        <v>1552</v>
      </c>
      <c r="F739" s="6">
        <f>1</f>
        <v>1</v>
      </c>
      <c r="G739" s="4" t="s">
        <v>46</v>
      </c>
      <c r="H739" s="7">
        <v>23200</v>
      </c>
      <c r="I739" s="7">
        <v>23200</v>
      </c>
      <c r="J739" s="8" t="s">
        <v>122</v>
      </c>
      <c r="K739" s="9">
        <f>27619.6</f>
        <v>27619.599999999999</v>
      </c>
      <c r="L739" s="9">
        <f>27619.6</f>
        <v>27619.599999999999</v>
      </c>
      <c r="M739" s="4"/>
      <c r="N739" s="10">
        <v>1</v>
      </c>
      <c r="O739" s="4" t="s">
        <v>27</v>
      </c>
      <c r="P739" s="11">
        <v>1</v>
      </c>
      <c r="Q739" s="9">
        <f>27619.6</f>
        <v>27619.599999999999</v>
      </c>
    </row>
    <row r="740" spans="1:17" ht="45" customHeight="1" x14ac:dyDescent="0.25">
      <c r="A740" s="4" t="s">
        <v>20</v>
      </c>
      <c r="B740" s="5" t="s">
        <v>1553</v>
      </c>
      <c r="C740" s="4" t="s">
        <v>29</v>
      </c>
      <c r="D740" s="4" t="s">
        <v>310</v>
      </c>
      <c r="E740" s="4" t="s">
        <v>311</v>
      </c>
      <c r="F740" s="6">
        <f>1</f>
        <v>1</v>
      </c>
      <c r="G740" s="4" t="s">
        <v>46</v>
      </c>
      <c r="H740" s="7">
        <v>1799.34</v>
      </c>
      <c r="I740" s="7">
        <v>1799.34</v>
      </c>
      <c r="J740" s="8" t="s">
        <v>122</v>
      </c>
      <c r="K740" s="9">
        <f>2142.11</f>
        <v>2142.11</v>
      </c>
      <c r="L740" s="9">
        <f>2142.11</f>
        <v>2142.11</v>
      </c>
      <c r="M740" s="4"/>
      <c r="N740" s="10">
        <v>1</v>
      </c>
      <c r="O740" s="4" t="s">
        <v>27</v>
      </c>
      <c r="P740" s="11">
        <v>1</v>
      </c>
      <c r="Q740" s="9">
        <f>2142.11</f>
        <v>2142.11</v>
      </c>
    </row>
    <row r="741" spans="1:17" ht="45" customHeight="1" x14ac:dyDescent="0.25">
      <c r="A741" s="4" t="s">
        <v>17</v>
      </c>
      <c r="B741" s="5" t="s">
        <v>1554</v>
      </c>
      <c r="C741" s="4"/>
      <c r="D741" s="4"/>
      <c r="E741" s="4" t="s">
        <v>1555</v>
      </c>
      <c r="F741" s="6"/>
      <c r="G741" s="4"/>
      <c r="H741" s="7"/>
      <c r="I741" s="7"/>
      <c r="J741" s="8"/>
      <c r="K741" s="9"/>
      <c r="L741" s="9">
        <f>127334.7</f>
        <v>127334.7</v>
      </c>
      <c r="M741" s="4"/>
      <c r="N741" s="10"/>
      <c r="O741" s="4"/>
      <c r="P741" s="11"/>
      <c r="Q741" s="9"/>
    </row>
    <row r="742" spans="1:17" ht="45" customHeight="1" x14ac:dyDescent="0.25">
      <c r="A742" s="4" t="s">
        <v>20</v>
      </c>
      <c r="B742" s="5" t="s">
        <v>1556</v>
      </c>
      <c r="C742" s="4" t="s">
        <v>29</v>
      </c>
      <c r="D742" s="4" t="s">
        <v>60</v>
      </c>
      <c r="E742" s="4" t="s">
        <v>61</v>
      </c>
      <c r="F742" s="6">
        <f>14.5</f>
        <v>14.5</v>
      </c>
      <c r="G742" s="4" t="s">
        <v>25</v>
      </c>
      <c r="H742" s="7">
        <v>5.8</v>
      </c>
      <c r="I742" s="7">
        <v>5.8</v>
      </c>
      <c r="J742" s="8" t="s">
        <v>26</v>
      </c>
      <c r="K742" s="9">
        <f>7.29</f>
        <v>7.29</v>
      </c>
      <c r="L742" s="9">
        <f>105.71</f>
        <v>105.71</v>
      </c>
      <c r="M742" s="4"/>
      <c r="N742" s="10">
        <v>1</v>
      </c>
      <c r="O742" s="4" t="s">
        <v>27</v>
      </c>
      <c r="P742" s="11">
        <v>14.5</v>
      </c>
      <c r="Q742" s="9">
        <f>105.71</f>
        <v>105.71</v>
      </c>
    </row>
    <row r="743" spans="1:17" ht="45" customHeight="1" x14ac:dyDescent="0.25">
      <c r="A743" s="4" t="s">
        <v>20</v>
      </c>
      <c r="B743" s="5" t="s">
        <v>1557</v>
      </c>
      <c r="C743" s="4" t="s">
        <v>29</v>
      </c>
      <c r="D743" s="4" t="s">
        <v>1347</v>
      </c>
      <c r="E743" s="4" t="s">
        <v>1348</v>
      </c>
      <c r="F743" s="6">
        <f>2.5</f>
        <v>2.5</v>
      </c>
      <c r="G743" s="4" t="s">
        <v>25</v>
      </c>
      <c r="H743" s="7">
        <v>741.01</v>
      </c>
      <c r="I743" s="7">
        <v>741.01</v>
      </c>
      <c r="J743" s="8" t="s">
        <v>26</v>
      </c>
      <c r="K743" s="9">
        <f>931.45</f>
        <v>931.45</v>
      </c>
      <c r="L743" s="9">
        <f>2328.63</f>
        <v>2328.63</v>
      </c>
      <c r="M743" s="4"/>
      <c r="N743" s="10">
        <v>1</v>
      </c>
      <c r="O743" s="4" t="s">
        <v>27</v>
      </c>
      <c r="P743" s="11">
        <v>2.5</v>
      </c>
      <c r="Q743" s="9">
        <f>2328.63</f>
        <v>2328.63</v>
      </c>
    </row>
    <row r="744" spans="1:17" ht="45" customHeight="1" x14ac:dyDescent="0.25">
      <c r="A744" s="4" t="s">
        <v>20</v>
      </c>
      <c r="B744" s="5" t="s">
        <v>1558</v>
      </c>
      <c r="C744" s="4" t="s">
        <v>63</v>
      </c>
      <c r="D744" s="4" t="s">
        <v>1350</v>
      </c>
      <c r="E744" s="4" t="s">
        <v>1351</v>
      </c>
      <c r="F744" s="6">
        <f>2.5</f>
        <v>2.5</v>
      </c>
      <c r="G744" s="4" t="s">
        <v>25</v>
      </c>
      <c r="H744" s="7">
        <v>354.3</v>
      </c>
      <c r="I744" s="7">
        <v>354.3</v>
      </c>
      <c r="J744" s="8" t="s">
        <v>26</v>
      </c>
      <c r="K744" s="9">
        <f>445.36</f>
        <v>445.36</v>
      </c>
      <c r="L744" s="9">
        <f>1113.4</f>
        <v>1113.4000000000001</v>
      </c>
      <c r="M744" s="4"/>
      <c r="N744" s="10">
        <v>1</v>
      </c>
      <c r="O744" s="4" t="s">
        <v>27</v>
      </c>
      <c r="P744" s="11">
        <v>2.5</v>
      </c>
      <c r="Q744" s="9">
        <f>1113.4</f>
        <v>1113.4000000000001</v>
      </c>
    </row>
    <row r="745" spans="1:17" ht="45" customHeight="1" x14ac:dyDescent="0.25">
      <c r="A745" s="4" t="s">
        <v>20</v>
      </c>
      <c r="B745" s="5" t="s">
        <v>1559</v>
      </c>
      <c r="C745" s="4" t="s">
        <v>63</v>
      </c>
      <c r="D745" s="4" t="s">
        <v>316</v>
      </c>
      <c r="E745" s="4" t="s">
        <v>317</v>
      </c>
      <c r="F745" s="6">
        <f>41</f>
        <v>41</v>
      </c>
      <c r="G745" s="4" t="s">
        <v>25</v>
      </c>
      <c r="H745" s="7">
        <v>62.33</v>
      </c>
      <c r="I745" s="7">
        <v>62.33</v>
      </c>
      <c r="J745" s="8" t="s">
        <v>26</v>
      </c>
      <c r="K745" s="9">
        <f>78.35</f>
        <v>78.349999999999994</v>
      </c>
      <c r="L745" s="9">
        <f>3212.35</f>
        <v>3212.35</v>
      </c>
      <c r="M745" s="4"/>
      <c r="N745" s="10">
        <v>1</v>
      </c>
      <c r="O745" s="4" t="s">
        <v>27</v>
      </c>
      <c r="P745" s="11">
        <v>41</v>
      </c>
      <c r="Q745" s="9">
        <f>3212.35</f>
        <v>3212.35</v>
      </c>
    </row>
    <row r="746" spans="1:17" ht="45" customHeight="1" x14ac:dyDescent="0.25">
      <c r="A746" s="4" t="s">
        <v>20</v>
      </c>
      <c r="B746" s="5" t="s">
        <v>1560</v>
      </c>
      <c r="C746" s="4" t="s">
        <v>63</v>
      </c>
      <c r="D746" s="4" t="s">
        <v>319</v>
      </c>
      <c r="E746" s="4" t="s">
        <v>320</v>
      </c>
      <c r="F746" s="6">
        <f>105</f>
        <v>105</v>
      </c>
      <c r="G746" s="4" t="s">
        <v>25</v>
      </c>
      <c r="H746" s="7">
        <v>5.09</v>
      </c>
      <c r="I746" s="7">
        <v>5.09</v>
      </c>
      <c r="J746" s="8" t="s">
        <v>26</v>
      </c>
      <c r="K746" s="9">
        <f>6.4</f>
        <v>6.4</v>
      </c>
      <c r="L746" s="9">
        <f>672</f>
        <v>672</v>
      </c>
      <c r="M746" s="4"/>
      <c r="N746" s="10">
        <v>1</v>
      </c>
      <c r="O746" s="4" t="s">
        <v>27</v>
      </c>
      <c r="P746" s="11">
        <v>105</v>
      </c>
      <c r="Q746" s="9">
        <f>672</f>
        <v>672</v>
      </c>
    </row>
    <row r="747" spans="1:17" ht="45" customHeight="1" x14ac:dyDescent="0.25">
      <c r="A747" s="4" t="s">
        <v>20</v>
      </c>
      <c r="B747" s="5" t="s">
        <v>1561</v>
      </c>
      <c r="C747" s="4" t="s">
        <v>63</v>
      </c>
      <c r="D747" s="4" t="s">
        <v>328</v>
      </c>
      <c r="E747" s="4" t="s">
        <v>329</v>
      </c>
      <c r="F747" s="6">
        <f>105</f>
        <v>105</v>
      </c>
      <c r="G747" s="4" t="s">
        <v>25</v>
      </c>
      <c r="H747" s="7">
        <v>11.95</v>
      </c>
      <c r="I747" s="7">
        <v>11.95</v>
      </c>
      <c r="J747" s="8" t="s">
        <v>26</v>
      </c>
      <c r="K747" s="9">
        <f>15.02</f>
        <v>15.02</v>
      </c>
      <c r="L747" s="9">
        <f>1577.1</f>
        <v>1577.1</v>
      </c>
      <c r="M747" s="4"/>
      <c r="N747" s="10">
        <v>1</v>
      </c>
      <c r="O747" s="4" t="s">
        <v>27</v>
      </c>
      <c r="P747" s="11">
        <v>105</v>
      </c>
      <c r="Q747" s="9">
        <f>1577.1</f>
        <v>1577.1</v>
      </c>
    </row>
    <row r="748" spans="1:17" ht="45" customHeight="1" x14ac:dyDescent="0.25">
      <c r="A748" s="4" t="s">
        <v>20</v>
      </c>
      <c r="B748" s="5" t="s">
        <v>1562</v>
      </c>
      <c r="C748" s="4" t="s">
        <v>63</v>
      </c>
      <c r="D748" s="4" t="s">
        <v>1356</v>
      </c>
      <c r="E748" s="4" t="s">
        <v>1357</v>
      </c>
      <c r="F748" s="6">
        <f>3</f>
        <v>3</v>
      </c>
      <c r="G748" s="4" t="s">
        <v>25</v>
      </c>
      <c r="H748" s="7">
        <v>670.73</v>
      </c>
      <c r="I748" s="7">
        <v>670.73</v>
      </c>
      <c r="J748" s="8" t="s">
        <v>26</v>
      </c>
      <c r="K748" s="9">
        <f>843.11</f>
        <v>843.11</v>
      </c>
      <c r="L748" s="9">
        <f>2529.33</f>
        <v>2529.33</v>
      </c>
      <c r="M748" s="4"/>
      <c r="N748" s="10">
        <v>1</v>
      </c>
      <c r="O748" s="4" t="s">
        <v>27</v>
      </c>
      <c r="P748" s="11">
        <v>3</v>
      </c>
      <c r="Q748" s="9">
        <f>2529.33</f>
        <v>2529.33</v>
      </c>
    </row>
    <row r="749" spans="1:17" ht="45" customHeight="1" x14ac:dyDescent="0.25">
      <c r="A749" s="4" t="s">
        <v>20</v>
      </c>
      <c r="B749" s="5" t="s">
        <v>1563</v>
      </c>
      <c r="C749" s="4" t="s">
        <v>63</v>
      </c>
      <c r="D749" s="4" t="s">
        <v>322</v>
      </c>
      <c r="E749" s="4" t="s">
        <v>323</v>
      </c>
      <c r="F749" s="6">
        <f>105</f>
        <v>105</v>
      </c>
      <c r="G749" s="4" t="s">
        <v>25</v>
      </c>
      <c r="H749" s="7">
        <v>9.6300000000000008</v>
      </c>
      <c r="I749" s="7">
        <v>9.6300000000000008</v>
      </c>
      <c r="J749" s="8" t="s">
        <v>26</v>
      </c>
      <c r="K749" s="9">
        <f>12.1</f>
        <v>12.1</v>
      </c>
      <c r="L749" s="9">
        <f>1270.5</f>
        <v>1270.5</v>
      </c>
      <c r="M749" s="4"/>
      <c r="N749" s="10">
        <v>1</v>
      </c>
      <c r="O749" s="4" t="s">
        <v>27</v>
      </c>
      <c r="P749" s="11">
        <v>105</v>
      </c>
      <c r="Q749" s="9">
        <f>1270.5</f>
        <v>1270.5</v>
      </c>
    </row>
    <row r="750" spans="1:17" ht="45" customHeight="1" x14ac:dyDescent="0.25">
      <c r="A750" s="4" t="s">
        <v>20</v>
      </c>
      <c r="B750" s="5" t="s">
        <v>1564</v>
      </c>
      <c r="C750" s="4" t="s">
        <v>29</v>
      </c>
      <c r="D750" s="4" t="s">
        <v>1360</v>
      </c>
      <c r="E750" s="4" t="s">
        <v>1361</v>
      </c>
      <c r="F750" s="6">
        <f>5.5</f>
        <v>5.5</v>
      </c>
      <c r="G750" s="4" t="s">
        <v>25</v>
      </c>
      <c r="H750" s="7">
        <v>28.98</v>
      </c>
      <c r="I750" s="7">
        <v>28.98</v>
      </c>
      <c r="J750" s="8" t="s">
        <v>26</v>
      </c>
      <c r="K750" s="9">
        <f>36.43</f>
        <v>36.43</v>
      </c>
      <c r="L750" s="9">
        <f>200.37</f>
        <v>200.37</v>
      </c>
      <c r="M750" s="4"/>
      <c r="N750" s="10">
        <v>1</v>
      </c>
      <c r="O750" s="4" t="s">
        <v>27</v>
      </c>
      <c r="P750" s="11">
        <v>5.5</v>
      </c>
      <c r="Q750" s="9">
        <f>200.37</f>
        <v>200.37</v>
      </c>
    </row>
    <row r="751" spans="1:17" ht="45" customHeight="1" x14ac:dyDescent="0.25">
      <c r="A751" s="4" t="s">
        <v>20</v>
      </c>
      <c r="B751" s="5" t="s">
        <v>1565</v>
      </c>
      <c r="C751" s="4" t="s">
        <v>63</v>
      </c>
      <c r="D751" s="4" t="s">
        <v>340</v>
      </c>
      <c r="E751" s="4" t="s">
        <v>341</v>
      </c>
      <c r="F751" s="6">
        <f>9</f>
        <v>9</v>
      </c>
      <c r="G751" s="4" t="s">
        <v>25</v>
      </c>
      <c r="H751" s="7">
        <v>53.01</v>
      </c>
      <c r="I751" s="7">
        <v>53.01</v>
      </c>
      <c r="J751" s="8" t="s">
        <v>26</v>
      </c>
      <c r="K751" s="9">
        <f>66.63</f>
        <v>66.63</v>
      </c>
      <c r="L751" s="9">
        <f>599.67</f>
        <v>599.66999999999996</v>
      </c>
      <c r="M751" s="4"/>
      <c r="N751" s="10">
        <v>1</v>
      </c>
      <c r="O751" s="4" t="s">
        <v>27</v>
      </c>
      <c r="P751" s="11">
        <v>9</v>
      </c>
      <c r="Q751" s="9">
        <f>599.67</f>
        <v>599.66999999999996</v>
      </c>
    </row>
    <row r="752" spans="1:17" ht="45" customHeight="1" x14ac:dyDescent="0.25">
      <c r="A752" s="4" t="s">
        <v>20</v>
      </c>
      <c r="B752" s="5" t="s">
        <v>1566</v>
      </c>
      <c r="C752" s="4" t="s">
        <v>63</v>
      </c>
      <c r="D752" s="4" t="s">
        <v>334</v>
      </c>
      <c r="E752" s="4" t="s">
        <v>335</v>
      </c>
      <c r="F752" s="6">
        <f>28</f>
        <v>28</v>
      </c>
      <c r="G752" s="4" t="s">
        <v>25</v>
      </c>
      <c r="H752" s="7">
        <v>101.28</v>
      </c>
      <c r="I752" s="7">
        <v>101.28</v>
      </c>
      <c r="J752" s="8" t="s">
        <v>26</v>
      </c>
      <c r="K752" s="9">
        <f>127.31</f>
        <v>127.31</v>
      </c>
      <c r="L752" s="9">
        <f>3564.68</f>
        <v>3564.68</v>
      </c>
      <c r="M752" s="4"/>
      <c r="N752" s="10">
        <v>1</v>
      </c>
      <c r="O752" s="4" t="s">
        <v>27</v>
      </c>
      <c r="P752" s="11">
        <v>28</v>
      </c>
      <c r="Q752" s="9">
        <f>3564.68</f>
        <v>3564.68</v>
      </c>
    </row>
    <row r="753" spans="1:17" ht="45" customHeight="1" x14ac:dyDescent="0.25">
      <c r="A753" s="4" t="s">
        <v>20</v>
      </c>
      <c r="B753" s="5" t="s">
        <v>1567</v>
      </c>
      <c r="C753" s="4" t="s">
        <v>29</v>
      </c>
      <c r="D753" s="4" t="s">
        <v>1365</v>
      </c>
      <c r="E753" s="4" t="s">
        <v>1366</v>
      </c>
      <c r="F753" s="6">
        <f>5.5</f>
        <v>5.5</v>
      </c>
      <c r="G753" s="4" t="s">
        <v>25</v>
      </c>
      <c r="H753" s="7">
        <v>675.65</v>
      </c>
      <c r="I753" s="7">
        <v>675.65</v>
      </c>
      <c r="J753" s="8" t="s">
        <v>26</v>
      </c>
      <c r="K753" s="9">
        <f>849.29</f>
        <v>849.29</v>
      </c>
      <c r="L753" s="9">
        <f>4671.1</f>
        <v>4671.1000000000004</v>
      </c>
      <c r="M753" s="4"/>
      <c r="N753" s="10">
        <v>1</v>
      </c>
      <c r="O753" s="4" t="s">
        <v>27</v>
      </c>
      <c r="P753" s="11">
        <v>5.5</v>
      </c>
      <c r="Q753" s="9">
        <f>4671.1</f>
        <v>4671.1000000000004</v>
      </c>
    </row>
    <row r="754" spans="1:17" ht="45" customHeight="1" x14ac:dyDescent="0.25">
      <c r="A754" s="4" t="s">
        <v>20</v>
      </c>
      <c r="B754" s="5" t="s">
        <v>1568</v>
      </c>
      <c r="C754" s="4" t="s">
        <v>63</v>
      </c>
      <c r="D754" s="4" t="s">
        <v>1368</v>
      </c>
      <c r="E754" s="4" t="s">
        <v>1369</v>
      </c>
      <c r="F754" s="6">
        <f>0.5</f>
        <v>0.5</v>
      </c>
      <c r="G754" s="4" t="s">
        <v>96</v>
      </c>
      <c r="H754" s="7">
        <v>115.34</v>
      </c>
      <c r="I754" s="7">
        <v>115.34</v>
      </c>
      <c r="J754" s="8" t="s">
        <v>26</v>
      </c>
      <c r="K754" s="9">
        <f>144.98</f>
        <v>144.97999999999999</v>
      </c>
      <c r="L754" s="9">
        <f>72.49</f>
        <v>72.489999999999995</v>
      </c>
      <c r="M754" s="4"/>
      <c r="N754" s="10">
        <v>1</v>
      </c>
      <c r="O754" s="4" t="s">
        <v>27</v>
      </c>
      <c r="P754" s="11">
        <v>0.5</v>
      </c>
      <c r="Q754" s="9">
        <f>72.49</f>
        <v>72.489999999999995</v>
      </c>
    </row>
    <row r="755" spans="1:17" ht="45" customHeight="1" x14ac:dyDescent="0.25">
      <c r="A755" s="4" t="s">
        <v>20</v>
      </c>
      <c r="B755" s="5" t="s">
        <v>1569</v>
      </c>
      <c r="C755" s="4" t="s">
        <v>63</v>
      </c>
      <c r="D755" s="4" t="s">
        <v>1371</v>
      </c>
      <c r="E755" s="4" t="s">
        <v>1372</v>
      </c>
      <c r="F755" s="6">
        <f>0.5</f>
        <v>0.5</v>
      </c>
      <c r="G755" s="4" t="s">
        <v>96</v>
      </c>
      <c r="H755" s="7">
        <v>91.55</v>
      </c>
      <c r="I755" s="7">
        <v>91.55</v>
      </c>
      <c r="J755" s="8" t="s">
        <v>26</v>
      </c>
      <c r="K755" s="9">
        <f>115.08</f>
        <v>115.08</v>
      </c>
      <c r="L755" s="9">
        <f>57.54</f>
        <v>57.54</v>
      </c>
      <c r="M755" s="4"/>
      <c r="N755" s="10">
        <v>1</v>
      </c>
      <c r="O755" s="4" t="s">
        <v>27</v>
      </c>
      <c r="P755" s="11">
        <v>0.5</v>
      </c>
      <c r="Q755" s="9">
        <f>57.54</f>
        <v>57.54</v>
      </c>
    </row>
    <row r="756" spans="1:17" ht="45" customHeight="1" x14ac:dyDescent="0.25">
      <c r="A756" s="4" t="s">
        <v>20</v>
      </c>
      <c r="B756" s="5" t="s">
        <v>1570</v>
      </c>
      <c r="C756" s="4" t="s">
        <v>63</v>
      </c>
      <c r="D756" s="4" t="s">
        <v>210</v>
      </c>
      <c r="E756" s="4" t="s">
        <v>211</v>
      </c>
      <c r="F756" s="6">
        <f>10.5</f>
        <v>10.5</v>
      </c>
      <c r="G756" s="4" t="s">
        <v>75</v>
      </c>
      <c r="H756" s="7">
        <v>82.75</v>
      </c>
      <c r="I756" s="7">
        <v>82.75</v>
      </c>
      <c r="J756" s="8" t="s">
        <v>26</v>
      </c>
      <c r="K756" s="9">
        <f>104.02</f>
        <v>104.02</v>
      </c>
      <c r="L756" s="9">
        <f>1092.21</f>
        <v>1092.21</v>
      </c>
      <c r="M756" s="4"/>
      <c r="N756" s="10">
        <v>1</v>
      </c>
      <c r="O756" s="4" t="s">
        <v>27</v>
      </c>
      <c r="P756" s="11">
        <v>10.5</v>
      </c>
      <c r="Q756" s="9">
        <f>1092.21</f>
        <v>1092.21</v>
      </c>
    </row>
    <row r="757" spans="1:17" ht="45" customHeight="1" x14ac:dyDescent="0.25">
      <c r="A757" s="4" t="s">
        <v>20</v>
      </c>
      <c r="B757" s="5" t="s">
        <v>1571</v>
      </c>
      <c r="C757" s="4" t="s">
        <v>29</v>
      </c>
      <c r="D757" s="4" t="s">
        <v>216</v>
      </c>
      <c r="E757" s="4" t="s">
        <v>217</v>
      </c>
      <c r="F757" s="6">
        <f>8.5</f>
        <v>8.5</v>
      </c>
      <c r="G757" s="4" t="s">
        <v>75</v>
      </c>
      <c r="H757" s="7">
        <v>35.19</v>
      </c>
      <c r="I757" s="7">
        <v>35.19</v>
      </c>
      <c r="J757" s="8" t="s">
        <v>26</v>
      </c>
      <c r="K757" s="9">
        <f>44.23</f>
        <v>44.23</v>
      </c>
      <c r="L757" s="9">
        <f>375.96</f>
        <v>375.96</v>
      </c>
      <c r="M757" s="4"/>
      <c r="N757" s="10">
        <v>1</v>
      </c>
      <c r="O757" s="4" t="s">
        <v>27</v>
      </c>
      <c r="P757" s="11">
        <v>8.5</v>
      </c>
      <c r="Q757" s="9">
        <f>375.96</f>
        <v>375.96</v>
      </c>
    </row>
    <row r="758" spans="1:17" ht="45" customHeight="1" x14ac:dyDescent="0.25">
      <c r="A758" s="4" t="s">
        <v>20</v>
      </c>
      <c r="B758" s="5" t="s">
        <v>1572</v>
      </c>
      <c r="C758" s="4" t="s">
        <v>63</v>
      </c>
      <c r="D758" s="4" t="s">
        <v>107</v>
      </c>
      <c r="E758" s="4" t="s">
        <v>108</v>
      </c>
      <c r="F758" s="6">
        <f>3</f>
        <v>3</v>
      </c>
      <c r="G758" s="4" t="s">
        <v>75</v>
      </c>
      <c r="H758" s="7">
        <v>8.64</v>
      </c>
      <c r="I758" s="7">
        <v>8.64</v>
      </c>
      <c r="J758" s="8" t="s">
        <v>26</v>
      </c>
      <c r="K758" s="9">
        <f>10.86</f>
        <v>10.86</v>
      </c>
      <c r="L758" s="9">
        <f>32.58</f>
        <v>32.58</v>
      </c>
      <c r="M758" s="4"/>
      <c r="N758" s="10">
        <v>1</v>
      </c>
      <c r="O758" s="4" t="s">
        <v>27</v>
      </c>
      <c r="P758" s="11">
        <v>3</v>
      </c>
      <c r="Q758" s="9">
        <f>32.58</f>
        <v>32.58</v>
      </c>
    </row>
    <row r="759" spans="1:17" ht="45" customHeight="1" x14ac:dyDescent="0.25">
      <c r="A759" s="4" t="s">
        <v>20</v>
      </c>
      <c r="B759" s="5" t="s">
        <v>1573</v>
      </c>
      <c r="C759" s="4" t="s">
        <v>63</v>
      </c>
      <c r="D759" s="4" t="s">
        <v>114</v>
      </c>
      <c r="E759" s="4" t="s">
        <v>115</v>
      </c>
      <c r="F759" s="6">
        <f>3</f>
        <v>3</v>
      </c>
      <c r="G759" s="4" t="s">
        <v>75</v>
      </c>
      <c r="H759" s="7">
        <v>1.45</v>
      </c>
      <c r="I759" s="7">
        <v>1.45</v>
      </c>
      <c r="J759" s="8" t="s">
        <v>26</v>
      </c>
      <c r="K759" s="9">
        <f>1.82</f>
        <v>1.82</v>
      </c>
      <c r="L759" s="9">
        <f>5.46</f>
        <v>5.46</v>
      </c>
      <c r="M759" s="4"/>
      <c r="N759" s="10">
        <v>1</v>
      </c>
      <c r="O759" s="4" t="s">
        <v>27</v>
      </c>
      <c r="P759" s="11">
        <v>3</v>
      </c>
      <c r="Q759" s="9">
        <f>5.46</f>
        <v>5.46</v>
      </c>
    </row>
    <row r="760" spans="1:17" ht="45" customHeight="1" x14ac:dyDescent="0.25">
      <c r="A760" s="4" t="s">
        <v>20</v>
      </c>
      <c r="B760" s="5" t="s">
        <v>1574</v>
      </c>
      <c r="C760" s="4" t="s">
        <v>63</v>
      </c>
      <c r="D760" s="4" t="s">
        <v>110</v>
      </c>
      <c r="E760" s="4" t="s">
        <v>111</v>
      </c>
      <c r="F760" s="6">
        <f>12</f>
        <v>12</v>
      </c>
      <c r="G760" s="4" t="s">
        <v>112</v>
      </c>
      <c r="H760" s="7">
        <v>3.31</v>
      </c>
      <c r="I760" s="7">
        <v>3.31</v>
      </c>
      <c r="J760" s="8" t="s">
        <v>26</v>
      </c>
      <c r="K760" s="9">
        <f>4.16</f>
        <v>4.16</v>
      </c>
      <c r="L760" s="9">
        <f>49.92</f>
        <v>49.92</v>
      </c>
      <c r="M760" s="4"/>
      <c r="N760" s="10">
        <v>1</v>
      </c>
      <c r="O760" s="4" t="s">
        <v>27</v>
      </c>
      <c r="P760" s="11">
        <v>12</v>
      </c>
      <c r="Q760" s="9">
        <f>49.92</f>
        <v>49.92</v>
      </c>
    </row>
    <row r="761" spans="1:17" ht="45" customHeight="1" x14ac:dyDescent="0.25">
      <c r="A761" s="4" t="s">
        <v>20</v>
      </c>
      <c r="B761" s="5" t="s">
        <v>1575</v>
      </c>
      <c r="C761" s="4" t="s">
        <v>29</v>
      </c>
      <c r="D761" s="4" t="s">
        <v>1379</v>
      </c>
      <c r="E761" s="4" t="s">
        <v>1380</v>
      </c>
      <c r="F761" s="6">
        <f>41</f>
        <v>41</v>
      </c>
      <c r="G761" s="4" t="s">
        <v>25</v>
      </c>
      <c r="H761" s="7">
        <v>98.8</v>
      </c>
      <c r="I761" s="7">
        <v>98.8</v>
      </c>
      <c r="J761" s="8" t="s">
        <v>26</v>
      </c>
      <c r="K761" s="9">
        <f>124.19</f>
        <v>124.19</v>
      </c>
      <c r="L761" s="9">
        <f>5091.79</f>
        <v>5091.79</v>
      </c>
      <c r="M761" s="4"/>
      <c r="N761" s="10">
        <v>1</v>
      </c>
      <c r="O761" s="4" t="s">
        <v>27</v>
      </c>
      <c r="P761" s="11">
        <v>41</v>
      </c>
      <c r="Q761" s="9">
        <f>5091.79</f>
        <v>5091.79</v>
      </c>
    </row>
    <row r="762" spans="1:17" ht="45" customHeight="1" x14ac:dyDescent="0.25">
      <c r="A762" s="4" t="s">
        <v>20</v>
      </c>
      <c r="B762" s="5" t="s">
        <v>1576</v>
      </c>
      <c r="C762" s="4" t="s">
        <v>29</v>
      </c>
      <c r="D762" s="4" t="s">
        <v>361</v>
      </c>
      <c r="E762" s="4" t="s">
        <v>362</v>
      </c>
      <c r="F762" s="6">
        <f>41</f>
        <v>41</v>
      </c>
      <c r="G762" s="4" t="s">
        <v>25</v>
      </c>
      <c r="H762" s="7">
        <v>27.05</v>
      </c>
      <c r="I762" s="7">
        <v>27.05</v>
      </c>
      <c r="J762" s="8" t="s">
        <v>26</v>
      </c>
      <c r="K762" s="9">
        <f>34</f>
        <v>34</v>
      </c>
      <c r="L762" s="9">
        <f>1394</f>
        <v>1394</v>
      </c>
      <c r="M762" s="4"/>
      <c r="N762" s="10">
        <v>1</v>
      </c>
      <c r="O762" s="4" t="s">
        <v>27</v>
      </c>
      <c r="P762" s="11">
        <v>41</v>
      </c>
      <c r="Q762" s="9">
        <f>1394</f>
        <v>1394</v>
      </c>
    </row>
    <row r="763" spans="1:17" ht="45" customHeight="1" x14ac:dyDescent="0.25">
      <c r="A763" s="4" t="s">
        <v>20</v>
      </c>
      <c r="B763" s="5" t="s">
        <v>1577</v>
      </c>
      <c r="C763" s="4" t="s">
        <v>29</v>
      </c>
      <c r="D763" s="4" t="s">
        <v>364</v>
      </c>
      <c r="E763" s="4" t="s">
        <v>365</v>
      </c>
      <c r="F763" s="6">
        <f>7</f>
        <v>7</v>
      </c>
      <c r="G763" s="4" t="s">
        <v>75</v>
      </c>
      <c r="H763" s="7">
        <v>706.98</v>
      </c>
      <c r="I763" s="7">
        <v>706.98</v>
      </c>
      <c r="J763" s="8" t="s">
        <v>26</v>
      </c>
      <c r="K763" s="9">
        <f>888.67</f>
        <v>888.67</v>
      </c>
      <c r="L763" s="9">
        <f>6220.69</f>
        <v>6220.69</v>
      </c>
      <c r="M763" s="4"/>
      <c r="N763" s="10">
        <v>1</v>
      </c>
      <c r="O763" s="4" t="s">
        <v>27</v>
      </c>
      <c r="P763" s="11">
        <v>7</v>
      </c>
      <c r="Q763" s="9">
        <f>6220.69</f>
        <v>6220.69</v>
      </c>
    </row>
    <row r="764" spans="1:17" ht="45" customHeight="1" x14ac:dyDescent="0.25">
      <c r="A764" s="4" t="s">
        <v>20</v>
      </c>
      <c r="B764" s="5" t="s">
        <v>1578</v>
      </c>
      <c r="C764" s="4" t="s">
        <v>29</v>
      </c>
      <c r="D764" s="4" t="s">
        <v>77</v>
      </c>
      <c r="E764" s="4" t="s">
        <v>78</v>
      </c>
      <c r="F764" s="6">
        <f>571</f>
        <v>571</v>
      </c>
      <c r="G764" s="4" t="s">
        <v>79</v>
      </c>
      <c r="H764" s="7">
        <v>13.28</v>
      </c>
      <c r="I764" s="7">
        <v>13.28</v>
      </c>
      <c r="J764" s="8" t="s">
        <v>26</v>
      </c>
      <c r="K764" s="9">
        <f>16.69</f>
        <v>16.690000000000001</v>
      </c>
      <c r="L764" s="9">
        <f>9529.99</f>
        <v>9529.99</v>
      </c>
      <c r="M764" s="4"/>
      <c r="N764" s="10">
        <v>1</v>
      </c>
      <c r="O764" s="4" t="s">
        <v>27</v>
      </c>
      <c r="P764" s="11">
        <v>571</v>
      </c>
      <c r="Q764" s="9">
        <f>9529.99</f>
        <v>9529.99</v>
      </c>
    </row>
    <row r="765" spans="1:17" ht="45" customHeight="1" x14ac:dyDescent="0.25">
      <c r="A765" s="4" t="s">
        <v>20</v>
      </c>
      <c r="B765" s="5" t="s">
        <v>1579</v>
      </c>
      <c r="C765" s="4" t="s">
        <v>63</v>
      </c>
      <c r="D765" s="4" t="s">
        <v>369</v>
      </c>
      <c r="E765" s="4" t="s">
        <v>370</v>
      </c>
      <c r="F765" s="6">
        <f>1</f>
        <v>1</v>
      </c>
      <c r="G765" s="4" t="s">
        <v>75</v>
      </c>
      <c r="H765" s="7">
        <v>514.52</v>
      </c>
      <c r="I765" s="7">
        <v>514.52</v>
      </c>
      <c r="J765" s="8" t="s">
        <v>26</v>
      </c>
      <c r="K765" s="9">
        <f>646.75</f>
        <v>646.75</v>
      </c>
      <c r="L765" s="9">
        <f>646.75</f>
        <v>646.75</v>
      </c>
      <c r="M765" s="4"/>
      <c r="N765" s="10">
        <v>1</v>
      </c>
      <c r="O765" s="4" t="s">
        <v>27</v>
      </c>
      <c r="P765" s="11">
        <v>1</v>
      </c>
      <c r="Q765" s="9">
        <f>646.75</f>
        <v>646.75</v>
      </c>
    </row>
    <row r="766" spans="1:17" ht="45" customHeight="1" x14ac:dyDescent="0.25">
      <c r="A766" s="4" t="s">
        <v>20</v>
      </c>
      <c r="B766" s="5" t="s">
        <v>1580</v>
      </c>
      <c r="C766" s="4" t="s">
        <v>63</v>
      </c>
      <c r="D766" s="4" t="s">
        <v>1246</v>
      </c>
      <c r="E766" s="4" t="s">
        <v>1247</v>
      </c>
      <c r="F766" s="6">
        <f>1.8</f>
        <v>1.8</v>
      </c>
      <c r="G766" s="4" t="s">
        <v>96</v>
      </c>
      <c r="H766" s="7">
        <v>7.65</v>
      </c>
      <c r="I766" s="7">
        <v>7.65</v>
      </c>
      <c r="J766" s="8" t="s">
        <v>26</v>
      </c>
      <c r="K766" s="9">
        <f>9.62</f>
        <v>9.6199999999999992</v>
      </c>
      <c r="L766" s="9">
        <f>17.32</f>
        <v>17.32</v>
      </c>
      <c r="M766" s="4"/>
      <c r="N766" s="10">
        <v>1</v>
      </c>
      <c r="O766" s="4" t="s">
        <v>27</v>
      </c>
      <c r="P766" s="11">
        <v>1.8</v>
      </c>
      <c r="Q766" s="9">
        <f>17.32</f>
        <v>17.32</v>
      </c>
    </row>
    <row r="767" spans="1:17" ht="45" customHeight="1" x14ac:dyDescent="0.25">
      <c r="A767" s="4" t="s">
        <v>20</v>
      </c>
      <c r="B767" s="5" t="s">
        <v>1581</v>
      </c>
      <c r="C767" s="4" t="s">
        <v>29</v>
      </c>
      <c r="D767" s="4" t="s">
        <v>1387</v>
      </c>
      <c r="E767" s="4" t="s">
        <v>1388</v>
      </c>
      <c r="F767" s="6">
        <f>2</f>
        <v>2</v>
      </c>
      <c r="G767" s="4" t="s">
        <v>46</v>
      </c>
      <c r="H767" s="7">
        <v>1254.24</v>
      </c>
      <c r="I767" s="7">
        <v>1254.24</v>
      </c>
      <c r="J767" s="8" t="s">
        <v>26</v>
      </c>
      <c r="K767" s="9">
        <f>1576.58</f>
        <v>1576.58</v>
      </c>
      <c r="L767" s="9">
        <f>3153.16</f>
        <v>3153.16</v>
      </c>
      <c r="M767" s="4"/>
      <c r="N767" s="10">
        <v>1</v>
      </c>
      <c r="O767" s="4" t="s">
        <v>27</v>
      </c>
      <c r="P767" s="11">
        <v>2</v>
      </c>
      <c r="Q767" s="9">
        <f>3153.16</f>
        <v>3153.16</v>
      </c>
    </row>
    <row r="768" spans="1:17" ht="45" customHeight="1" x14ac:dyDescent="0.25">
      <c r="A768" s="4" t="s">
        <v>20</v>
      </c>
      <c r="B768" s="5" t="s">
        <v>1582</v>
      </c>
      <c r="C768" s="4" t="s">
        <v>29</v>
      </c>
      <c r="D768" s="4" t="s">
        <v>1390</v>
      </c>
      <c r="E768" s="4" t="s">
        <v>1391</v>
      </c>
      <c r="F768" s="6">
        <f>2</f>
        <v>2</v>
      </c>
      <c r="G768" s="4" t="s">
        <v>46</v>
      </c>
      <c r="H768" s="7">
        <v>10.8</v>
      </c>
      <c r="I768" s="7">
        <v>10.8</v>
      </c>
      <c r="J768" s="8" t="s">
        <v>26</v>
      </c>
      <c r="K768" s="9">
        <f>13.58</f>
        <v>13.58</v>
      </c>
      <c r="L768" s="9">
        <f>27.16</f>
        <v>27.16</v>
      </c>
      <c r="M768" s="4"/>
      <c r="N768" s="10">
        <v>1</v>
      </c>
      <c r="O768" s="4" t="s">
        <v>27</v>
      </c>
      <c r="P768" s="11">
        <v>2</v>
      </c>
      <c r="Q768" s="9">
        <f>27.16</f>
        <v>27.16</v>
      </c>
    </row>
    <row r="769" spans="1:17" ht="45" customHeight="1" x14ac:dyDescent="0.25">
      <c r="A769" s="4" t="s">
        <v>20</v>
      </c>
      <c r="B769" s="5" t="s">
        <v>1583</v>
      </c>
      <c r="C769" s="4" t="s">
        <v>29</v>
      </c>
      <c r="D769" s="4" t="s">
        <v>87</v>
      </c>
      <c r="E769" s="4" t="s">
        <v>88</v>
      </c>
      <c r="F769" s="6">
        <f>300</f>
        <v>300</v>
      </c>
      <c r="G769" s="4" t="s">
        <v>79</v>
      </c>
      <c r="H769" s="7">
        <v>4.54</v>
      </c>
      <c r="I769" s="7">
        <v>4.54</v>
      </c>
      <c r="J769" s="8" t="s">
        <v>26</v>
      </c>
      <c r="K769" s="9">
        <f>5.71</f>
        <v>5.71</v>
      </c>
      <c r="L769" s="9">
        <f>1713</f>
        <v>1713</v>
      </c>
      <c r="M769" s="4"/>
      <c r="N769" s="10">
        <v>1</v>
      </c>
      <c r="O769" s="4" t="s">
        <v>27</v>
      </c>
      <c r="P769" s="11">
        <v>300</v>
      </c>
      <c r="Q769" s="9">
        <f>1713</f>
        <v>1713</v>
      </c>
    </row>
    <row r="770" spans="1:17" ht="45" customHeight="1" x14ac:dyDescent="0.25">
      <c r="A770" s="4" t="s">
        <v>20</v>
      </c>
      <c r="B770" s="5" t="s">
        <v>1584</v>
      </c>
      <c r="C770" s="4" t="s">
        <v>29</v>
      </c>
      <c r="D770" s="4" t="s">
        <v>1393</v>
      </c>
      <c r="E770" s="4" t="s">
        <v>1394</v>
      </c>
      <c r="F770" s="6">
        <f>4</f>
        <v>4</v>
      </c>
      <c r="G770" s="4" t="s">
        <v>46</v>
      </c>
      <c r="H770" s="7">
        <v>12.73</v>
      </c>
      <c r="I770" s="7">
        <v>12.73</v>
      </c>
      <c r="J770" s="8" t="s">
        <v>26</v>
      </c>
      <c r="K770" s="9">
        <f>16</f>
        <v>16</v>
      </c>
      <c r="L770" s="9">
        <f>64</f>
        <v>64</v>
      </c>
      <c r="M770" s="4"/>
      <c r="N770" s="10">
        <v>1</v>
      </c>
      <c r="O770" s="4" t="s">
        <v>27</v>
      </c>
      <c r="P770" s="11">
        <v>4</v>
      </c>
      <c r="Q770" s="9">
        <f>64</f>
        <v>64</v>
      </c>
    </row>
    <row r="771" spans="1:17" ht="45" customHeight="1" x14ac:dyDescent="0.25">
      <c r="A771" s="4" t="s">
        <v>20</v>
      </c>
      <c r="B771" s="5" t="s">
        <v>1585</v>
      </c>
      <c r="C771" s="4" t="s">
        <v>63</v>
      </c>
      <c r="D771" s="4" t="s">
        <v>1396</v>
      </c>
      <c r="E771" s="4" t="s">
        <v>1397</v>
      </c>
      <c r="F771" s="6">
        <f>13.5</f>
        <v>13.5</v>
      </c>
      <c r="G771" s="4" t="s">
        <v>25</v>
      </c>
      <c r="H771" s="7">
        <v>81.95</v>
      </c>
      <c r="I771" s="7">
        <v>81.95</v>
      </c>
      <c r="J771" s="8" t="s">
        <v>26</v>
      </c>
      <c r="K771" s="9">
        <f>103.01</f>
        <v>103.01</v>
      </c>
      <c r="L771" s="9">
        <f>1390.64</f>
        <v>1390.64</v>
      </c>
      <c r="M771" s="4"/>
      <c r="N771" s="10">
        <v>1</v>
      </c>
      <c r="O771" s="4" t="s">
        <v>27</v>
      </c>
      <c r="P771" s="11">
        <v>13.5</v>
      </c>
      <c r="Q771" s="9">
        <f>1390.64</f>
        <v>1390.64</v>
      </c>
    </row>
    <row r="772" spans="1:17" ht="45" customHeight="1" x14ac:dyDescent="0.25">
      <c r="A772" s="4" t="s">
        <v>20</v>
      </c>
      <c r="B772" s="5" t="s">
        <v>1586</v>
      </c>
      <c r="C772" s="4" t="s">
        <v>29</v>
      </c>
      <c r="D772" s="4" t="s">
        <v>802</v>
      </c>
      <c r="E772" s="4" t="s">
        <v>803</v>
      </c>
      <c r="F772" s="6">
        <f>1</f>
        <v>1</v>
      </c>
      <c r="G772" s="4" t="s">
        <v>46</v>
      </c>
      <c r="H772" s="7">
        <v>724.35</v>
      </c>
      <c r="I772" s="7">
        <v>724.35</v>
      </c>
      <c r="J772" s="8" t="s">
        <v>26</v>
      </c>
      <c r="K772" s="9">
        <f>910.51</f>
        <v>910.51</v>
      </c>
      <c r="L772" s="9">
        <f>910.51</f>
        <v>910.51</v>
      </c>
      <c r="M772" s="4"/>
      <c r="N772" s="10">
        <v>1</v>
      </c>
      <c r="O772" s="4" t="s">
        <v>27</v>
      </c>
      <c r="P772" s="11">
        <v>1</v>
      </c>
      <c r="Q772" s="9">
        <f>910.51</f>
        <v>910.51</v>
      </c>
    </row>
    <row r="773" spans="1:17" ht="45" customHeight="1" x14ac:dyDescent="0.25">
      <c r="A773" s="4" t="s">
        <v>20</v>
      </c>
      <c r="B773" s="5" t="s">
        <v>1587</v>
      </c>
      <c r="C773" s="4" t="s">
        <v>29</v>
      </c>
      <c r="D773" s="4" t="s">
        <v>386</v>
      </c>
      <c r="E773" s="4" t="s">
        <v>387</v>
      </c>
      <c r="F773" s="6">
        <f>3</f>
        <v>3</v>
      </c>
      <c r="G773" s="4" t="s">
        <v>25</v>
      </c>
      <c r="H773" s="7">
        <v>29.4</v>
      </c>
      <c r="I773" s="7">
        <v>29.4</v>
      </c>
      <c r="J773" s="8" t="s">
        <v>26</v>
      </c>
      <c r="K773" s="9">
        <f>36.96</f>
        <v>36.96</v>
      </c>
      <c r="L773" s="9">
        <f>110.88</f>
        <v>110.88</v>
      </c>
      <c r="M773" s="4"/>
      <c r="N773" s="10">
        <v>1</v>
      </c>
      <c r="O773" s="4" t="s">
        <v>27</v>
      </c>
      <c r="P773" s="11">
        <v>3</v>
      </c>
      <c r="Q773" s="9">
        <f>110.88</f>
        <v>110.88</v>
      </c>
    </row>
    <row r="774" spans="1:17" ht="45" customHeight="1" x14ac:dyDescent="0.25">
      <c r="A774" s="4" t="s">
        <v>20</v>
      </c>
      <c r="B774" s="5" t="s">
        <v>1588</v>
      </c>
      <c r="C774" s="4" t="s">
        <v>63</v>
      </c>
      <c r="D774" s="4" t="s">
        <v>1401</v>
      </c>
      <c r="E774" s="4" t="s">
        <v>1402</v>
      </c>
      <c r="F774" s="6">
        <f>1</f>
        <v>1</v>
      </c>
      <c r="G774" s="4" t="s">
        <v>46</v>
      </c>
      <c r="H774" s="7">
        <v>559.33000000000004</v>
      </c>
      <c r="I774" s="7">
        <v>559.33000000000004</v>
      </c>
      <c r="J774" s="8" t="s">
        <v>26</v>
      </c>
      <c r="K774" s="9">
        <f>703.08</f>
        <v>703.08</v>
      </c>
      <c r="L774" s="9">
        <f>703.08</f>
        <v>703.08</v>
      </c>
      <c r="M774" s="4"/>
      <c r="N774" s="10">
        <v>1</v>
      </c>
      <c r="O774" s="4" t="s">
        <v>27</v>
      </c>
      <c r="P774" s="11">
        <v>1</v>
      </c>
      <c r="Q774" s="9">
        <f>703.08</f>
        <v>703.08</v>
      </c>
    </row>
    <row r="775" spans="1:17" ht="45" customHeight="1" x14ac:dyDescent="0.25">
      <c r="A775" s="4" t="s">
        <v>20</v>
      </c>
      <c r="B775" s="5" t="s">
        <v>1589</v>
      </c>
      <c r="C775" s="4" t="s">
        <v>29</v>
      </c>
      <c r="D775" s="4" t="s">
        <v>120</v>
      </c>
      <c r="E775" s="4" t="s">
        <v>121</v>
      </c>
      <c r="F775" s="6">
        <f>10</f>
        <v>10</v>
      </c>
      <c r="G775" s="4" t="s">
        <v>46</v>
      </c>
      <c r="H775" s="7">
        <v>3.34</v>
      </c>
      <c r="I775" s="7">
        <v>3.34</v>
      </c>
      <c r="J775" s="8" t="s">
        <v>122</v>
      </c>
      <c r="K775" s="9">
        <f>3.98</f>
        <v>3.98</v>
      </c>
      <c r="L775" s="9">
        <f>39.8</f>
        <v>39.799999999999997</v>
      </c>
      <c r="M775" s="4"/>
      <c r="N775" s="10">
        <v>1</v>
      </c>
      <c r="O775" s="4" t="s">
        <v>27</v>
      </c>
      <c r="P775" s="11">
        <v>10</v>
      </c>
      <c r="Q775" s="9">
        <f>39.8</f>
        <v>39.799999999999997</v>
      </c>
    </row>
    <row r="776" spans="1:17" ht="45" customHeight="1" x14ac:dyDescent="0.25">
      <c r="A776" s="4" t="s">
        <v>20</v>
      </c>
      <c r="B776" s="5" t="s">
        <v>1590</v>
      </c>
      <c r="C776" s="4" t="s">
        <v>29</v>
      </c>
      <c r="D776" s="4" t="s">
        <v>1405</v>
      </c>
      <c r="E776" s="4" t="s">
        <v>1406</v>
      </c>
      <c r="F776" s="6">
        <f>4</f>
        <v>4</v>
      </c>
      <c r="G776" s="4" t="s">
        <v>46</v>
      </c>
      <c r="H776" s="7">
        <v>2.0699999999999998</v>
      </c>
      <c r="I776" s="7">
        <v>2.0699999999999998</v>
      </c>
      <c r="J776" s="8" t="s">
        <v>122</v>
      </c>
      <c r="K776" s="9">
        <f>2.46</f>
        <v>2.46</v>
      </c>
      <c r="L776" s="9">
        <f>9.84</f>
        <v>9.84</v>
      </c>
      <c r="M776" s="4"/>
      <c r="N776" s="10">
        <v>1</v>
      </c>
      <c r="O776" s="4" t="s">
        <v>27</v>
      </c>
      <c r="P776" s="11">
        <v>4</v>
      </c>
      <c r="Q776" s="9">
        <f>9.84</f>
        <v>9.84</v>
      </c>
    </row>
    <row r="777" spans="1:17" ht="45" customHeight="1" x14ac:dyDescent="0.25">
      <c r="A777" s="4" t="s">
        <v>20</v>
      </c>
      <c r="B777" s="5" t="s">
        <v>1591</v>
      </c>
      <c r="C777" s="4" t="s">
        <v>29</v>
      </c>
      <c r="D777" s="4" t="s">
        <v>130</v>
      </c>
      <c r="E777" s="4" t="s">
        <v>131</v>
      </c>
      <c r="F777" s="6">
        <f>20</f>
        <v>20</v>
      </c>
      <c r="G777" s="4" t="s">
        <v>46</v>
      </c>
      <c r="H777" s="7">
        <v>2.59</v>
      </c>
      <c r="I777" s="7">
        <v>2.59</v>
      </c>
      <c r="J777" s="8" t="s">
        <v>122</v>
      </c>
      <c r="K777" s="9">
        <f>3.08</f>
        <v>3.08</v>
      </c>
      <c r="L777" s="9">
        <f>61.6</f>
        <v>61.6</v>
      </c>
      <c r="M777" s="4"/>
      <c r="N777" s="10">
        <v>1</v>
      </c>
      <c r="O777" s="4" t="s">
        <v>27</v>
      </c>
      <c r="P777" s="11">
        <v>20</v>
      </c>
      <c r="Q777" s="9">
        <f>61.6</f>
        <v>61.6</v>
      </c>
    </row>
    <row r="778" spans="1:17" ht="45" customHeight="1" x14ac:dyDescent="0.25">
      <c r="A778" s="4" t="s">
        <v>20</v>
      </c>
      <c r="B778" s="5" t="s">
        <v>1592</v>
      </c>
      <c r="C778" s="4" t="s">
        <v>29</v>
      </c>
      <c r="D778" s="4" t="s">
        <v>1409</v>
      </c>
      <c r="E778" s="4" t="s">
        <v>1410</v>
      </c>
      <c r="F778" s="6">
        <f>2</f>
        <v>2</v>
      </c>
      <c r="G778" s="4" t="s">
        <v>46</v>
      </c>
      <c r="H778" s="7">
        <v>53.34</v>
      </c>
      <c r="I778" s="7">
        <v>53.34</v>
      </c>
      <c r="J778" s="8" t="s">
        <v>122</v>
      </c>
      <c r="K778" s="9">
        <f>63.5</f>
        <v>63.5</v>
      </c>
      <c r="L778" s="9">
        <f>127</f>
        <v>127</v>
      </c>
      <c r="M778" s="4"/>
      <c r="N778" s="10">
        <v>1</v>
      </c>
      <c r="O778" s="4" t="s">
        <v>27</v>
      </c>
      <c r="P778" s="11">
        <v>2</v>
      </c>
      <c r="Q778" s="9">
        <f>127</f>
        <v>127</v>
      </c>
    </row>
    <row r="779" spans="1:17" ht="45" customHeight="1" x14ac:dyDescent="0.25">
      <c r="A779" s="4" t="s">
        <v>20</v>
      </c>
      <c r="B779" s="5" t="s">
        <v>1593</v>
      </c>
      <c r="C779" s="4" t="s">
        <v>29</v>
      </c>
      <c r="D779" s="4" t="s">
        <v>1412</v>
      </c>
      <c r="E779" s="4" t="s">
        <v>1413</v>
      </c>
      <c r="F779" s="6">
        <f>1</f>
        <v>1</v>
      </c>
      <c r="G779" s="4" t="s">
        <v>46</v>
      </c>
      <c r="H779" s="7">
        <v>73.41</v>
      </c>
      <c r="I779" s="7">
        <v>73.41</v>
      </c>
      <c r="J779" s="8" t="s">
        <v>122</v>
      </c>
      <c r="K779" s="9">
        <f>87.39</f>
        <v>87.39</v>
      </c>
      <c r="L779" s="9">
        <f>87.39</f>
        <v>87.39</v>
      </c>
      <c r="M779" s="4"/>
      <c r="N779" s="10">
        <v>1</v>
      </c>
      <c r="O779" s="4" t="s">
        <v>27</v>
      </c>
      <c r="P779" s="11">
        <v>1</v>
      </c>
      <c r="Q779" s="9">
        <f>87.39</f>
        <v>87.39</v>
      </c>
    </row>
    <row r="780" spans="1:17" ht="45" customHeight="1" x14ac:dyDescent="0.25">
      <c r="A780" s="4" t="s">
        <v>20</v>
      </c>
      <c r="B780" s="5" t="s">
        <v>1594</v>
      </c>
      <c r="C780" s="4" t="s">
        <v>29</v>
      </c>
      <c r="D780" s="4" t="s">
        <v>1415</v>
      </c>
      <c r="E780" s="4" t="s">
        <v>1416</v>
      </c>
      <c r="F780" s="6">
        <f>1</f>
        <v>1</v>
      </c>
      <c r="G780" s="4" t="s">
        <v>46</v>
      </c>
      <c r="H780" s="7">
        <v>184.51</v>
      </c>
      <c r="I780" s="7">
        <v>184.51</v>
      </c>
      <c r="J780" s="8" t="s">
        <v>122</v>
      </c>
      <c r="K780" s="9">
        <f>219.66</f>
        <v>219.66</v>
      </c>
      <c r="L780" s="9">
        <f>219.66</f>
        <v>219.66</v>
      </c>
      <c r="M780" s="4"/>
      <c r="N780" s="10">
        <v>1</v>
      </c>
      <c r="O780" s="4" t="s">
        <v>27</v>
      </c>
      <c r="P780" s="11">
        <v>1</v>
      </c>
      <c r="Q780" s="9">
        <f>219.66</f>
        <v>219.66</v>
      </c>
    </row>
    <row r="781" spans="1:17" ht="45" customHeight="1" x14ac:dyDescent="0.25">
      <c r="A781" s="4" t="s">
        <v>20</v>
      </c>
      <c r="B781" s="5" t="s">
        <v>1595</v>
      </c>
      <c r="C781" s="4" t="s">
        <v>29</v>
      </c>
      <c r="D781" s="4" t="s">
        <v>1071</v>
      </c>
      <c r="E781" s="4" t="s">
        <v>1072</v>
      </c>
      <c r="F781" s="6">
        <f>3</f>
        <v>3</v>
      </c>
      <c r="G781" s="4" t="s">
        <v>46</v>
      </c>
      <c r="H781" s="7">
        <v>214.64</v>
      </c>
      <c r="I781" s="7">
        <v>214.64</v>
      </c>
      <c r="J781" s="8" t="s">
        <v>122</v>
      </c>
      <c r="K781" s="9">
        <f>255.53</f>
        <v>255.53</v>
      </c>
      <c r="L781" s="9">
        <f>766.59</f>
        <v>766.59</v>
      </c>
      <c r="M781" s="4"/>
      <c r="N781" s="10">
        <v>1</v>
      </c>
      <c r="O781" s="4" t="s">
        <v>27</v>
      </c>
      <c r="P781" s="11">
        <v>3</v>
      </c>
      <c r="Q781" s="9">
        <f>766.59</f>
        <v>766.59</v>
      </c>
    </row>
    <row r="782" spans="1:17" ht="45" customHeight="1" x14ac:dyDescent="0.25">
      <c r="A782" s="4" t="s">
        <v>20</v>
      </c>
      <c r="B782" s="5" t="s">
        <v>1596</v>
      </c>
      <c r="C782" s="4" t="s">
        <v>29</v>
      </c>
      <c r="D782" s="4" t="s">
        <v>1419</v>
      </c>
      <c r="E782" s="4" t="s">
        <v>1420</v>
      </c>
      <c r="F782" s="6">
        <f>3</f>
        <v>3</v>
      </c>
      <c r="G782" s="4" t="s">
        <v>46</v>
      </c>
      <c r="H782" s="7">
        <v>300.33</v>
      </c>
      <c r="I782" s="7">
        <v>300.33</v>
      </c>
      <c r="J782" s="8" t="s">
        <v>122</v>
      </c>
      <c r="K782" s="9">
        <f>357.54</f>
        <v>357.54</v>
      </c>
      <c r="L782" s="9">
        <f>1072.62</f>
        <v>1072.6199999999999</v>
      </c>
      <c r="M782" s="4"/>
      <c r="N782" s="10">
        <v>1</v>
      </c>
      <c r="O782" s="4" t="s">
        <v>27</v>
      </c>
      <c r="P782" s="11">
        <v>3</v>
      </c>
      <c r="Q782" s="9">
        <f>1072.62</f>
        <v>1072.6199999999999</v>
      </c>
    </row>
    <row r="783" spans="1:17" ht="45" customHeight="1" x14ac:dyDescent="0.25">
      <c r="A783" s="4" t="s">
        <v>20</v>
      </c>
      <c r="B783" s="5" t="s">
        <v>1597</v>
      </c>
      <c r="C783" s="4" t="s">
        <v>29</v>
      </c>
      <c r="D783" s="4" t="s">
        <v>411</v>
      </c>
      <c r="E783" s="4" t="s">
        <v>412</v>
      </c>
      <c r="F783" s="6">
        <f>2</f>
        <v>2</v>
      </c>
      <c r="G783" s="4" t="s">
        <v>46</v>
      </c>
      <c r="H783" s="7">
        <v>222.22</v>
      </c>
      <c r="I783" s="7">
        <v>222.22</v>
      </c>
      <c r="J783" s="8" t="s">
        <v>122</v>
      </c>
      <c r="K783" s="9">
        <f>264.55</f>
        <v>264.55</v>
      </c>
      <c r="L783" s="9">
        <f>529.1</f>
        <v>529.1</v>
      </c>
      <c r="M783" s="4"/>
      <c r="N783" s="10">
        <v>1</v>
      </c>
      <c r="O783" s="4" t="s">
        <v>27</v>
      </c>
      <c r="P783" s="11">
        <v>2</v>
      </c>
      <c r="Q783" s="9">
        <f>529.1</f>
        <v>529.1</v>
      </c>
    </row>
    <row r="784" spans="1:17" ht="45" customHeight="1" x14ac:dyDescent="0.25">
      <c r="A784" s="4" t="s">
        <v>20</v>
      </c>
      <c r="B784" s="5" t="s">
        <v>1598</v>
      </c>
      <c r="C784" s="4" t="s">
        <v>29</v>
      </c>
      <c r="D784" s="4" t="s">
        <v>1423</v>
      </c>
      <c r="E784" s="4" t="s">
        <v>1424</v>
      </c>
      <c r="F784" s="6">
        <f>1</f>
        <v>1</v>
      </c>
      <c r="G784" s="4" t="s">
        <v>46</v>
      </c>
      <c r="H784" s="7">
        <v>125.63</v>
      </c>
      <c r="I784" s="7">
        <v>125.63</v>
      </c>
      <c r="J784" s="8" t="s">
        <v>122</v>
      </c>
      <c r="K784" s="9">
        <f>149.56</f>
        <v>149.56</v>
      </c>
      <c r="L784" s="9">
        <f>149.56</f>
        <v>149.56</v>
      </c>
      <c r="M784" s="4"/>
      <c r="N784" s="10">
        <v>1</v>
      </c>
      <c r="O784" s="4" t="s">
        <v>27</v>
      </c>
      <c r="P784" s="11">
        <v>1</v>
      </c>
      <c r="Q784" s="9">
        <f>149.56</f>
        <v>149.56</v>
      </c>
    </row>
    <row r="785" spans="1:17" ht="45" customHeight="1" x14ac:dyDescent="0.25">
      <c r="A785" s="4" t="s">
        <v>20</v>
      </c>
      <c r="B785" s="5" t="s">
        <v>1599</v>
      </c>
      <c r="C785" s="4" t="s">
        <v>29</v>
      </c>
      <c r="D785" s="4" t="s">
        <v>1426</v>
      </c>
      <c r="E785" s="4" t="s">
        <v>1427</v>
      </c>
      <c r="F785" s="6">
        <f>2</f>
        <v>2</v>
      </c>
      <c r="G785" s="4" t="s">
        <v>46</v>
      </c>
      <c r="H785" s="7">
        <v>567.19000000000005</v>
      </c>
      <c r="I785" s="7">
        <v>567.19000000000005</v>
      </c>
      <c r="J785" s="8" t="s">
        <v>122</v>
      </c>
      <c r="K785" s="9">
        <f>675.24</f>
        <v>675.24</v>
      </c>
      <c r="L785" s="9">
        <f>1350.48</f>
        <v>1350.48</v>
      </c>
      <c r="M785" s="4"/>
      <c r="N785" s="10">
        <v>1</v>
      </c>
      <c r="O785" s="4" t="s">
        <v>27</v>
      </c>
      <c r="P785" s="11">
        <v>2</v>
      </c>
      <c r="Q785" s="9">
        <f>1350.48</f>
        <v>1350.48</v>
      </c>
    </row>
    <row r="786" spans="1:17" ht="45" customHeight="1" x14ac:dyDescent="0.25">
      <c r="A786" s="4" t="s">
        <v>20</v>
      </c>
      <c r="B786" s="5" t="s">
        <v>1600</v>
      </c>
      <c r="C786" s="4" t="s">
        <v>29</v>
      </c>
      <c r="D786" s="4" t="s">
        <v>1320</v>
      </c>
      <c r="E786" s="4" t="s">
        <v>1321</v>
      </c>
      <c r="F786" s="6">
        <f>2</f>
        <v>2</v>
      </c>
      <c r="G786" s="4" t="s">
        <v>46</v>
      </c>
      <c r="H786" s="7">
        <v>1994.46</v>
      </c>
      <c r="I786" s="7">
        <v>1994.46</v>
      </c>
      <c r="J786" s="8" t="s">
        <v>122</v>
      </c>
      <c r="K786" s="9">
        <f>2374.4</f>
        <v>2374.4</v>
      </c>
      <c r="L786" s="9">
        <f>4748.8</f>
        <v>4748.8</v>
      </c>
      <c r="M786" s="4"/>
      <c r="N786" s="10">
        <v>1</v>
      </c>
      <c r="O786" s="4" t="s">
        <v>27</v>
      </c>
      <c r="P786" s="11">
        <v>2</v>
      </c>
      <c r="Q786" s="9">
        <f>4748.8</f>
        <v>4748.8</v>
      </c>
    </row>
    <row r="787" spans="1:17" ht="45" customHeight="1" x14ac:dyDescent="0.25">
      <c r="A787" s="4" t="s">
        <v>20</v>
      </c>
      <c r="B787" s="5" t="s">
        <v>1601</v>
      </c>
      <c r="C787" s="4" t="s">
        <v>29</v>
      </c>
      <c r="D787" s="4" t="s">
        <v>1430</v>
      </c>
      <c r="E787" s="4" t="s">
        <v>1431</v>
      </c>
      <c r="F787" s="6">
        <f>4</f>
        <v>4</v>
      </c>
      <c r="G787" s="4" t="s">
        <v>46</v>
      </c>
      <c r="H787" s="7">
        <v>5.91</v>
      </c>
      <c r="I787" s="7">
        <v>5.91</v>
      </c>
      <c r="J787" s="8" t="s">
        <v>122</v>
      </c>
      <c r="K787" s="9">
        <f>7.04</f>
        <v>7.04</v>
      </c>
      <c r="L787" s="9">
        <f>28.16</f>
        <v>28.16</v>
      </c>
      <c r="M787" s="4"/>
      <c r="N787" s="10">
        <v>1</v>
      </c>
      <c r="O787" s="4" t="s">
        <v>27</v>
      </c>
      <c r="P787" s="11">
        <v>4</v>
      </c>
      <c r="Q787" s="9">
        <f>28.16</f>
        <v>28.16</v>
      </c>
    </row>
    <row r="788" spans="1:17" ht="45" customHeight="1" x14ac:dyDescent="0.25">
      <c r="A788" s="4" t="s">
        <v>20</v>
      </c>
      <c r="B788" s="5" t="s">
        <v>1602</v>
      </c>
      <c r="C788" s="4" t="s">
        <v>29</v>
      </c>
      <c r="D788" s="4" t="s">
        <v>441</v>
      </c>
      <c r="E788" s="4" t="s">
        <v>442</v>
      </c>
      <c r="F788" s="6">
        <f>2</f>
        <v>2</v>
      </c>
      <c r="G788" s="4" t="s">
        <v>46</v>
      </c>
      <c r="H788" s="7">
        <v>3.6</v>
      </c>
      <c r="I788" s="7">
        <v>3.6</v>
      </c>
      <c r="J788" s="8" t="s">
        <v>122</v>
      </c>
      <c r="K788" s="9">
        <f>4.29</f>
        <v>4.29</v>
      </c>
      <c r="L788" s="9">
        <f>8.58</f>
        <v>8.58</v>
      </c>
      <c r="M788" s="4"/>
      <c r="N788" s="10">
        <v>1</v>
      </c>
      <c r="O788" s="4" t="s">
        <v>27</v>
      </c>
      <c r="P788" s="11">
        <v>2</v>
      </c>
      <c r="Q788" s="9">
        <f>8.58</f>
        <v>8.58</v>
      </c>
    </row>
    <row r="789" spans="1:17" ht="45" customHeight="1" x14ac:dyDescent="0.25">
      <c r="A789" s="4" t="s">
        <v>20</v>
      </c>
      <c r="B789" s="5" t="s">
        <v>1603</v>
      </c>
      <c r="C789" s="4" t="s">
        <v>29</v>
      </c>
      <c r="D789" s="4" t="s">
        <v>154</v>
      </c>
      <c r="E789" s="4" t="s">
        <v>155</v>
      </c>
      <c r="F789" s="6">
        <f>254</f>
        <v>254</v>
      </c>
      <c r="G789" s="4" t="s">
        <v>46</v>
      </c>
      <c r="H789" s="7">
        <v>3.77</v>
      </c>
      <c r="I789" s="7">
        <v>3.77</v>
      </c>
      <c r="J789" s="8" t="s">
        <v>122</v>
      </c>
      <c r="K789" s="9">
        <f>4.49</f>
        <v>4.49</v>
      </c>
      <c r="L789" s="9">
        <f>1140.46</f>
        <v>1140.46</v>
      </c>
      <c r="M789" s="4"/>
      <c r="N789" s="10">
        <v>1</v>
      </c>
      <c r="O789" s="4" t="s">
        <v>27</v>
      </c>
      <c r="P789" s="11">
        <v>254</v>
      </c>
      <c r="Q789" s="9">
        <f>1140.46</f>
        <v>1140.46</v>
      </c>
    </row>
    <row r="790" spans="1:17" ht="45" customHeight="1" x14ac:dyDescent="0.25">
      <c r="A790" s="4" t="s">
        <v>20</v>
      </c>
      <c r="B790" s="5" t="s">
        <v>1604</v>
      </c>
      <c r="C790" s="4" t="s">
        <v>29</v>
      </c>
      <c r="D790" s="4" t="s">
        <v>1435</v>
      </c>
      <c r="E790" s="4" t="s">
        <v>1436</v>
      </c>
      <c r="F790" s="6">
        <f>1</f>
        <v>1</v>
      </c>
      <c r="G790" s="4" t="s">
        <v>46</v>
      </c>
      <c r="H790" s="7">
        <v>410.33</v>
      </c>
      <c r="I790" s="7">
        <v>410.33</v>
      </c>
      <c r="J790" s="8" t="s">
        <v>122</v>
      </c>
      <c r="K790" s="9">
        <f>488.5</f>
        <v>488.5</v>
      </c>
      <c r="L790" s="9">
        <f>488.5</f>
        <v>488.5</v>
      </c>
      <c r="M790" s="4"/>
      <c r="N790" s="10">
        <v>1</v>
      </c>
      <c r="O790" s="4" t="s">
        <v>27</v>
      </c>
      <c r="P790" s="11">
        <v>1</v>
      </c>
      <c r="Q790" s="9">
        <f>488.5</f>
        <v>488.5</v>
      </c>
    </row>
    <row r="791" spans="1:17" ht="45" customHeight="1" x14ac:dyDescent="0.25">
      <c r="A791" s="4" t="s">
        <v>20</v>
      </c>
      <c r="B791" s="5" t="s">
        <v>1605</v>
      </c>
      <c r="C791" s="4" t="s">
        <v>29</v>
      </c>
      <c r="D791" s="4" t="s">
        <v>1326</v>
      </c>
      <c r="E791" s="4" t="s">
        <v>1327</v>
      </c>
      <c r="F791" s="6">
        <f>2</f>
        <v>2</v>
      </c>
      <c r="G791" s="4" t="s">
        <v>46</v>
      </c>
      <c r="H791" s="7">
        <v>670.91</v>
      </c>
      <c r="I791" s="7">
        <v>670.91</v>
      </c>
      <c r="J791" s="8" t="s">
        <v>122</v>
      </c>
      <c r="K791" s="9">
        <f>798.72</f>
        <v>798.72</v>
      </c>
      <c r="L791" s="9">
        <f>1597.44</f>
        <v>1597.44</v>
      </c>
      <c r="M791" s="4"/>
      <c r="N791" s="10">
        <v>1</v>
      </c>
      <c r="O791" s="4" t="s">
        <v>27</v>
      </c>
      <c r="P791" s="11">
        <v>2</v>
      </c>
      <c r="Q791" s="9">
        <f>1597.44</f>
        <v>1597.44</v>
      </c>
    </row>
    <row r="792" spans="1:17" ht="45" customHeight="1" x14ac:dyDescent="0.25">
      <c r="A792" s="4" t="s">
        <v>20</v>
      </c>
      <c r="B792" s="5" t="s">
        <v>1606</v>
      </c>
      <c r="C792" s="4" t="s">
        <v>29</v>
      </c>
      <c r="D792" s="4" t="s">
        <v>1439</v>
      </c>
      <c r="E792" s="4" t="s">
        <v>1440</v>
      </c>
      <c r="F792" s="6">
        <f>2</f>
        <v>2</v>
      </c>
      <c r="G792" s="4" t="s">
        <v>46</v>
      </c>
      <c r="H792" s="7">
        <v>728.57</v>
      </c>
      <c r="I792" s="7">
        <v>728.57</v>
      </c>
      <c r="J792" s="8" t="s">
        <v>122</v>
      </c>
      <c r="K792" s="9">
        <f>867.36</f>
        <v>867.36</v>
      </c>
      <c r="L792" s="9">
        <f>1734.72</f>
        <v>1734.72</v>
      </c>
      <c r="M792" s="4"/>
      <c r="N792" s="10">
        <v>1</v>
      </c>
      <c r="O792" s="4" t="s">
        <v>27</v>
      </c>
      <c r="P792" s="11">
        <v>2</v>
      </c>
      <c r="Q792" s="9">
        <f>1734.72</f>
        <v>1734.72</v>
      </c>
    </row>
    <row r="793" spans="1:17" ht="45" customHeight="1" x14ac:dyDescent="0.25">
      <c r="A793" s="4" t="s">
        <v>20</v>
      </c>
      <c r="B793" s="5" t="s">
        <v>1607</v>
      </c>
      <c r="C793" s="4" t="s">
        <v>29</v>
      </c>
      <c r="D793" s="4" t="s">
        <v>1442</v>
      </c>
      <c r="E793" s="4" t="s">
        <v>1443</v>
      </c>
      <c r="F793" s="6">
        <f>2</f>
        <v>2</v>
      </c>
      <c r="G793" s="4" t="s">
        <v>46</v>
      </c>
      <c r="H793" s="7">
        <v>52.69</v>
      </c>
      <c r="I793" s="7">
        <v>52.69</v>
      </c>
      <c r="J793" s="8" t="s">
        <v>122</v>
      </c>
      <c r="K793" s="9">
        <f>62.73</f>
        <v>62.73</v>
      </c>
      <c r="L793" s="9">
        <f>125.46</f>
        <v>125.46</v>
      </c>
      <c r="M793" s="4"/>
      <c r="N793" s="10">
        <v>1</v>
      </c>
      <c r="O793" s="4" t="s">
        <v>27</v>
      </c>
      <c r="P793" s="11">
        <v>2</v>
      </c>
      <c r="Q793" s="9">
        <f>125.46</f>
        <v>125.46</v>
      </c>
    </row>
    <row r="794" spans="1:17" ht="45" customHeight="1" x14ac:dyDescent="0.25">
      <c r="A794" s="4" t="s">
        <v>20</v>
      </c>
      <c r="B794" s="5" t="s">
        <v>1608</v>
      </c>
      <c r="C794" s="4" t="s">
        <v>29</v>
      </c>
      <c r="D794" s="4" t="s">
        <v>1445</v>
      </c>
      <c r="E794" s="4" t="s">
        <v>1446</v>
      </c>
      <c r="F794" s="6">
        <f>1</f>
        <v>1</v>
      </c>
      <c r="G794" s="4" t="s">
        <v>46</v>
      </c>
      <c r="H794" s="7">
        <v>293.39999999999998</v>
      </c>
      <c r="I794" s="7">
        <v>293.39999999999998</v>
      </c>
      <c r="J794" s="8" t="s">
        <v>122</v>
      </c>
      <c r="K794" s="9">
        <f>349.29</f>
        <v>349.29</v>
      </c>
      <c r="L794" s="9">
        <f>349.29</f>
        <v>349.29</v>
      </c>
      <c r="M794" s="4"/>
      <c r="N794" s="10">
        <v>1</v>
      </c>
      <c r="O794" s="4" t="s">
        <v>27</v>
      </c>
      <c r="P794" s="11">
        <v>1</v>
      </c>
      <c r="Q794" s="9">
        <f>349.29</f>
        <v>349.29</v>
      </c>
    </row>
    <row r="795" spans="1:17" ht="45" customHeight="1" x14ac:dyDescent="0.25">
      <c r="A795" s="4" t="s">
        <v>20</v>
      </c>
      <c r="B795" s="5" t="s">
        <v>1609</v>
      </c>
      <c r="C795" s="4" t="s">
        <v>29</v>
      </c>
      <c r="D795" s="4" t="s">
        <v>1448</v>
      </c>
      <c r="E795" s="4" t="s">
        <v>1449</v>
      </c>
      <c r="F795" s="6">
        <f>1</f>
        <v>1</v>
      </c>
      <c r="G795" s="4" t="s">
        <v>46</v>
      </c>
      <c r="H795" s="7">
        <v>447.7</v>
      </c>
      <c r="I795" s="7">
        <v>447.7</v>
      </c>
      <c r="J795" s="8" t="s">
        <v>122</v>
      </c>
      <c r="K795" s="9">
        <f>532.99</f>
        <v>532.99</v>
      </c>
      <c r="L795" s="9">
        <f>532.99</f>
        <v>532.99</v>
      </c>
      <c r="M795" s="4"/>
      <c r="N795" s="10">
        <v>1</v>
      </c>
      <c r="O795" s="4" t="s">
        <v>27</v>
      </c>
      <c r="P795" s="11">
        <v>1</v>
      </c>
      <c r="Q795" s="9">
        <f>532.99</f>
        <v>532.99</v>
      </c>
    </row>
    <row r="796" spans="1:17" ht="45" customHeight="1" x14ac:dyDescent="0.25">
      <c r="A796" s="4" t="s">
        <v>20</v>
      </c>
      <c r="B796" s="5" t="s">
        <v>1610</v>
      </c>
      <c r="C796" s="4" t="s">
        <v>29</v>
      </c>
      <c r="D796" s="4" t="s">
        <v>1451</v>
      </c>
      <c r="E796" s="4" t="s">
        <v>1452</v>
      </c>
      <c r="F796" s="6">
        <f>3</f>
        <v>3</v>
      </c>
      <c r="G796" s="4" t="s">
        <v>46</v>
      </c>
      <c r="H796" s="7">
        <v>373.24</v>
      </c>
      <c r="I796" s="7">
        <v>373.24</v>
      </c>
      <c r="J796" s="8" t="s">
        <v>122</v>
      </c>
      <c r="K796" s="9">
        <f>444.34</f>
        <v>444.34</v>
      </c>
      <c r="L796" s="9">
        <f>1333.02</f>
        <v>1333.02</v>
      </c>
      <c r="M796" s="4"/>
      <c r="N796" s="10">
        <v>1</v>
      </c>
      <c r="O796" s="4" t="s">
        <v>27</v>
      </c>
      <c r="P796" s="11">
        <v>3</v>
      </c>
      <c r="Q796" s="9">
        <f>1333.02</f>
        <v>1333.02</v>
      </c>
    </row>
    <row r="797" spans="1:17" ht="45" customHeight="1" x14ac:dyDescent="0.25">
      <c r="A797" s="4" t="s">
        <v>20</v>
      </c>
      <c r="B797" s="5" t="s">
        <v>1611</v>
      </c>
      <c r="C797" s="4" t="s">
        <v>29</v>
      </c>
      <c r="D797" s="4" t="s">
        <v>1454</v>
      </c>
      <c r="E797" s="4" t="s">
        <v>1455</v>
      </c>
      <c r="F797" s="6">
        <f>2</f>
        <v>2</v>
      </c>
      <c r="G797" s="4" t="s">
        <v>46</v>
      </c>
      <c r="H797" s="7">
        <v>279.37</v>
      </c>
      <c r="I797" s="7">
        <v>279.37</v>
      </c>
      <c r="J797" s="8" t="s">
        <v>122</v>
      </c>
      <c r="K797" s="9">
        <f>332.59</f>
        <v>332.59</v>
      </c>
      <c r="L797" s="9">
        <f>665.18</f>
        <v>665.18</v>
      </c>
      <c r="M797" s="4"/>
      <c r="N797" s="10">
        <v>1</v>
      </c>
      <c r="O797" s="4" t="s">
        <v>27</v>
      </c>
      <c r="P797" s="11">
        <v>2</v>
      </c>
      <c r="Q797" s="9">
        <f>665.18</f>
        <v>665.18</v>
      </c>
    </row>
    <row r="798" spans="1:17" ht="45" customHeight="1" x14ac:dyDescent="0.25">
      <c r="A798" s="4" t="s">
        <v>20</v>
      </c>
      <c r="B798" s="5" t="s">
        <v>1612</v>
      </c>
      <c r="C798" s="4" t="s">
        <v>29</v>
      </c>
      <c r="D798" s="4" t="s">
        <v>1457</v>
      </c>
      <c r="E798" s="4" t="s">
        <v>1458</v>
      </c>
      <c r="F798" s="6">
        <f>1</f>
        <v>1</v>
      </c>
      <c r="G798" s="4" t="s">
        <v>46</v>
      </c>
      <c r="H798" s="7">
        <v>530.89</v>
      </c>
      <c r="I798" s="7">
        <v>530.89</v>
      </c>
      <c r="J798" s="8" t="s">
        <v>122</v>
      </c>
      <c r="K798" s="9">
        <f>632.02</f>
        <v>632.02</v>
      </c>
      <c r="L798" s="9">
        <f>632.02</f>
        <v>632.02</v>
      </c>
      <c r="M798" s="4"/>
      <c r="N798" s="10">
        <v>1</v>
      </c>
      <c r="O798" s="4" t="s">
        <v>27</v>
      </c>
      <c r="P798" s="11">
        <v>1</v>
      </c>
      <c r="Q798" s="9">
        <f>632.02</f>
        <v>632.02</v>
      </c>
    </row>
    <row r="799" spans="1:17" ht="45" customHeight="1" x14ac:dyDescent="0.25">
      <c r="A799" s="4" t="s">
        <v>20</v>
      </c>
      <c r="B799" s="5" t="s">
        <v>1613</v>
      </c>
      <c r="C799" s="4" t="s">
        <v>29</v>
      </c>
      <c r="D799" s="4" t="s">
        <v>1460</v>
      </c>
      <c r="E799" s="4" t="s">
        <v>1461</v>
      </c>
      <c r="F799" s="6">
        <f>1</f>
        <v>1</v>
      </c>
      <c r="G799" s="4" t="s">
        <v>46</v>
      </c>
      <c r="H799" s="7">
        <v>2100.21</v>
      </c>
      <c r="I799" s="7">
        <v>2100.21</v>
      </c>
      <c r="J799" s="8" t="s">
        <v>122</v>
      </c>
      <c r="K799" s="9">
        <f>2500.3</f>
        <v>2500.3000000000002</v>
      </c>
      <c r="L799" s="9">
        <f>2500.3</f>
        <v>2500.3000000000002</v>
      </c>
      <c r="M799" s="4"/>
      <c r="N799" s="10">
        <v>1</v>
      </c>
      <c r="O799" s="4" t="s">
        <v>27</v>
      </c>
      <c r="P799" s="11">
        <v>1</v>
      </c>
      <c r="Q799" s="9">
        <f>2500.3</f>
        <v>2500.3000000000002</v>
      </c>
    </row>
    <row r="800" spans="1:17" ht="45" customHeight="1" x14ac:dyDescent="0.25">
      <c r="A800" s="4" t="s">
        <v>20</v>
      </c>
      <c r="B800" s="5" t="s">
        <v>1614</v>
      </c>
      <c r="C800" s="4" t="s">
        <v>29</v>
      </c>
      <c r="D800" s="4" t="s">
        <v>178</v>
      </c>
      <c r="E800" s="4" t="s">
        <v>179</v>
      </c>
      <c r="F800" s="6">
        <f>2</f>
        <v>2</v>
      </c>
      <c r="G800" s="4" t="s">
        <v>46</v>
      </c>
      <c r="H800" s="7">
        <v>1226.43</v>
      </c>
      <c r="I800" s="7">
        <v>1226.43</v>
      </c>
      <c r="J800" s="8" t="s">
        <v>122</v>
      </c>
      <c r="K800" s="9">
        <f>1460.06</f>
        <v>1460.06</v>
      </c>
      <c r="L800" s="9">
        <f>2920.12</f>
        <v>2920.12</v>
      </c>
      <c r="M800" s="4"/>
      <c r="N800" s="10">
        <v>1</v>
      </c>
      <c r="O800" s="4" t="s">
        <v>27</v>
      </c>
      <c r="P800" s="11">
        <v>2</v>
      </c>
      <c r="Q800" s="9">
        <f>2920.12</f>
        <v>2920.12</v>
      </c>
    </row>
    <row r="801" spans="1:17" ht="45" customHeight="1" x14ac:dyDescent="0.25">
      <c r="A801" s="4" t="s">
        <v>20</v>
      </c>
      <c r="B801" s="5" t="s">
        <v>1615</v>
      </c>
      <c r="C801" s="4" t="s">
        <v>29</v>
      </c>
      <c r="D801" s="4" t="s">
        <v>1164</v>
      </c>
      <c r="E801" s="4" t="s">
        <v>1165</v>
      </c>
      <c r="F801" s="6">
        <f>1.8</f>
        <v>1.8</v>
      </c>
      <c r="G801" s="4" t="s">
        <v>96</v>
      </c>
      <c r="H801" s="7">
        <v>269.51</v>
      </c>
      <c r="I801" s="7">
        <v>269.51</v>
      </c>
      <c r="J801" s="8" t="s">
        <v>122</v>
      </c>
      <c r="K801" s="9">
        <f>320.85</f>
        <v>320.85000000000002</v>
      </c>
      <c r="L801" s="9">
        <f>577.53</f>
        <v>577.53</v>
      </c>
      <c r="M801" s="4"/>
      <c r="N801" s="10">
        <v>1</v>
      </c>
      <c r="O801" s="4" t="s">
        <v>27</v>
      </c>
      <c r="P801" s="11">
        <v>1.8</v>
      </c>
      <c r="Q801" s="9">
        <f>577.53</f>
        <v>577.53</v>
      </c>
    </row>
    <row r="802" spans="1:17" ht="45" customHeight="1" x14ac:dyDescent="0.25">
      <c r="A802" s="4" t="s">
        <v>20</v>
      </c>
      <c r="B802" s="5" t="s">
        <v>1616</v>
      </c>
      <c r="C802" s="4" t="s">
        <v>29</v>
      </c>
      <c r="D802" s="4" t="s">
        <v>1465</v>
      </c>
      <c r="E802" s="4" t="s">
        <v>1466</v>
      </c>
      <c r="F802" s="6">
        <f>1</f>
        <v>1</v>
      </c>
      <c r="G802" s="4" t="s">
        <v>46</v>
      </c>
      <c r="H802" s="7">
        <v>1719.63</v>
      </c>
      <c r="I802" s="7">
        <v>1719.63</v>
      </c>
      <c r="J802" s="8" t="s">
        <v>122</v>
      </c>
      <c r="K802" s="9">
        <f>2047.22</f>
        <v>2047.22</v>
      </c>
      <c r="L802" s="9">
        <f>2047.22</f>
        <v>2047.22</v>
      </c>
      <c r="M802" s="4"/>
      <c r="N802" s="10">
        <v>1</v>
      </c>
      <c r="O802" s="4" t="s">
        <v>27</v>
      </c>
      <c r="P802" s="11">
        <v>1</v>
      </c>
      <c r="Q802" s="9">
        <f>2047.22</f>
        <v>2047.22</v>
      </c>
    </row>
    <row r="803" spans="1:17" ht="45" customHeight="1" x14ac:dyDescent="0.25">
      <c r="A803" s="4" t="s">
        <v>20</v>
      </c>
      <c r="B803" s="5" t="s">
        <v>1617</v>
      </c>
      <c r="C803" s="4" t="s">
        <v>29</v>
      </c>
      <c r="D803" s="4" t="s">
        <v>1126</v>
      </c>
      <c r="E803" s="4" t="s">
        <v>1127</v>
      </c>
      <c r="F803" s="6">
        <f>2</f>
        <v>2</v>
      </c>
      <c r="G803" s="4" t="s">
        <v>46</v>
      </c>
      <c r="H803" s="7">
        <v>824.52</v>
      </c>
      <c r="I803" s="7">
        <v>824.52</v>
      </c>
      <c r="J803" s="8" t="s">
        <v>122</v>
      </c>
      <c r="K803" s="9">
        <f>981.59</f>
        <v>981.59</v>
      </c>
      <c r="L803" s="9">
        <f>1963.18</f>
        <v>1963.18</v>
      </c>
      <c r="M803" s="4"/>
      <c r="N803" s="10">
        <v>1</v>
      </c>
      <c r="O803" s="4" t="s">
        <v>27</v>
      </c>
      <c r="P803" s="11">
        <v>2</v>
      </c>
      <c r="Q803" s="9">
        <f>1963.18</f>
        <v>1963.18</v>
      </c>
    </row>
    <row r="804" spans="1:17" ht="45" customHeight="1" x14ac:dyDescent="0.25">
      <c r="A804" s="4" t="s">
        <v>20</v>
      </c>
      <c r="B804" s="5" t="s">
        <v>1618</v>
      </c>
      <c r="C804" s="4" t="s">
        <v>29</v>
      </c>
      <c r="D804" s="4" t="s">
        <v>1469</v>
      </c>
      <c r="E804" s="4" t="s">
        <v>1470</v>
      </c>
      <c r="F804" s="6">
        <f>2</f>
        <v>2</v>
      </c>
      <c r="G804" s="4" t="s">
        <v>46</v>
      </c>
      <c r="H804" s="7">
        <v>1576.99</v>
      </c>
      <c r="I804" s="7">
        <v>1576.99</v>
      </c>
      <c r="J804" s="8" t="s">
        <v>122</v>
      </c>
      <c r="K804" s="9">
        <f>1877.41</f>
        <v>1877.41</v>
      </c>
      <c r="L804" s="9">
        <f>3754.82</f>
        <v>3754.82</v>
      </c>
      <c r="M804" s="4"/>
      <c r="N804" s="10">
        <v>1</v>
      </c>
      <c r="O804" s="4" t="s">
        <v>27</v>
      </c>
      <c r="P804" s="11">
        <v>2</v>
      </c>
      <c r="Q804" s="9">
        <f>3754.82</f>
        <v>3754.82</v>
      </c>
    </row>
    <row r="805" spans="1:17" ht="45" customHeight="1" x14ac:dyDescent="0.25">
      <c r="A805" s="4" t="s">
        <v>20</v>
      </c>
      <c r="B805" s="5" t="s">
        <v>1619</v>
      </c>
      <c r="C805" s="4" t="s">
        <v>29</v>
      </c>
      <c r="D805" s="4" t="s">
        <v>1472</v>
      </c>
      <c r="E805" s="4" t="s">
        <v>1473</v>
      </c>
      <c r="F805" s="6">
        <f>2</f>
        <v>2</v>
      </c>
      <c r="G805" s="4" t="s">
        <v>46</v>
      </c>
      <c r="H805" s="7">
        <v>755.6</v>
      </c>
      <c r="I805" s="7">
        <v>755.6</v>
      </c>
      <c r="J805" s="8" t="s">
        <v>122</v>
      </c>
      <c r="K805" s="9">
        <f>899.54</f>
        <v>899.54</v>
      </c>
      <c r="L805" s="9">
        <f>1799.08</f>
        <v>1799.08</v>
      </c>
      <c r="M805" s="4"/>
      <c r="N805" s="10">
        <v>1</v>
      </c>
      <c r="O805" s="4" t="s">
        <v>27</v>
      </c>
      <c r="P805" s="11">
        <v>2</v>
      </c>
      <c r="Q805" s="9">
        <f>1799.08</f>
        <v>1799.08</v>
      </c>
    </row>
    <row r="806" spans="1:17" ht="45" customHeight="1" x14ac:dyDescent="0.25">
      <c r="A806" s="4" t="s">
        <v>20</v>
      </c>
      <c r="B806" s="5" t="s">
        <v>1620</v>
      </c>
      <c r="C806" s="4" t="s">
        <v>29</v>
      </c>
      <c r="D806" s="4" t="s">
        <v>1475</v>
      </c>
      <c r="E806" s="4" t="s">
        <v>1476</v>
      </c>
      <c r="F806" s="6">
        <f>1</f>
        <v>1</v>
      </c>
      <c r="G806" s="4" t="s">
        <v>46</v>
      </c>
      <c r="H806" s="7">
        <v>997.5</v>
      </c>
      <c r="I806" s="7">
        <v>997.5</v>
      </c>
      <c r="J806" s="8" t="s">
        <v>122</v>
      </c>
      <c r="K806" s="9">
        <f>1187.52</f>
        <v>1187.52</v>
      </c>
      <c r="L806" s="9">
        <f>1187.52</f>
        <v>1187.52</v>
      </c>
      <c r="M806" s="4"/>
      <c r="N806" s="10">
        <v>1</v>
      </c>
      <c r="O806" s="4" t="s">
        <v>27</v>
      </c>
      <c r="P806" s="11">
        <v>1</v>
      </c>
      <c r="Q806" s="9">
        <f>1187.52</f>
        <v>1187.52</v>
      </c>
    </row>
    <row r="807" spans="1:17" ht="45" customHeight="1" x14ac:dyDescent="0.25">
      <c r="A807" s="4" t="s">
        <v>20</v>
      </c>
      <c r="B807" s="5" t="s">
        <v>1621</v>
      </c>
      <c r="C807" s="4" t="s">
        <v>196</v>
      </c>
      <c r="D807" s="4" t="s">
        <v>312</v>
      </c>
      <c r="E807" s="4" t="s">
        <v>1478</v>
      </c>
      <c r="F807" s="6">
        <f>2</f>
        <v>2</v>
      </c>
      <c r="G807" s="4" t="s">
        <v>92</v>
      </c>
      <c r="H807" s="7">
        <v>16078.41</v>
      </c>
      <c r="I807" s="7">
        <v>16078.41</v>
      </c>
      <c r="J807" s="8" t="s">
        <v>122</v>
      </c>
      <c r="K807" s="9">
        <f>19141.35</f>
        <v>19141.349999999999</v>
      </c>
      <c r="L807" s="9">
        <f>38282.7</f>
        <v>38282.699999999997</v>
      </c>
      <c r="M807" s="4"/>
      <c r="N807" s="10">
        <v>1</v>
      </c>
      <c r="O807" s="4" t="s">
        <v>27</v>
      </c>
      <c r="P807" s="11">
        <v>2</v>
      </c>
      <c r="Q807" s="9">
        <f>38282.7</f>
        <v>38282.699999999997</v>
      </c>
    </row>
    <row r="808" spans="1:17" ht="45" customHeight="1" x14ac:dyDescent="0.25">
      <c r="A808" s="4" t="s">
        <v>17</v>
      </c>
      <c r="B808" s="5" t="s">
        <v>1622</v>
      </c>
      <c r="C808" s="4"/>
      <c r="D808" s="4"/>
      <c r="E808" s="4" t="s">
        <v>1623</v>
      </c>
      <c r="F808" s="6"/>
      <c r="G808" s="4"/>
      <c r="H808" s="7"/>
      <c r="I808" s="7"/>
      <c r="J808" s="8"/>
      <c r="K808" s="9"/>
      <c r="L808" s="9">
        <f>307655.82</f>
        <v>307655.82</v>
      </c>
      <c r="M808" s="4"/>
      <c r="N808" s="10"/>
      <c r="O808" s="4"/>
      <c r="P808" s="11"/>
      <c r="Q808" s="9"/>
    </row>
    <row r="809" spans="1:17" ht="45" customHeight="1" x14ac:dyDescent="0.25">
      <c r="A809" s="4" t="s">
        <v>20</v>
      </c>
      <c r="B809" s="5" t="s">
        <v>1624</v>
      </c>
      <c r="C809" s="4" t="s">
        <v>29</v>
      </c>
      <c r="D809" s="4" t="s">
        <v>562</v>
      </c>
      <c r="E809" s="4" t="s">
        <v>563</v>
      </c>
      <c r="F809" s="6">
        <f>3</f>
        <v>3</v>
      </c>
      <c r="G809" s="4" t="s">
        <v>46</v>
      </c>
      <c r="H809" s="7">
        <v>68.73</v>
      </c>
      <c r="I809" s="7">
        <v>68.73</v>
      </c>
      <c r="J809" s="8" t="s">
        <v>26</v>
      </c>
      <c r="K809" s="9">
        <f>86.39</f>
        <v>86.39</v>
      </c>
      <c r="L809" s="9">
        <f>259.17</f>
        <v>259.17</v>
      </c>
      <c r="M809" s="4"/>
      <c r="N809" s="10">
        <v>1</v>
      </c>
      <c r="O809" s="4" t="s">
        <v>27</v>
      </c>
      <c r="P809" s="11">
        <v>3</v>
      </c>
      <c r="Q809" s="9">
        <f>259.17</f>
        <v>259.17</v>
      </c>
    </row>
    <row r="810" spans="1:17" ht="45" customHeight="1" x14ac:dyDescent="0.25">
      <c r="A810" s="4" t="s">
        <v>20</v>
      </c>
      <c r="B810" s="5" t="s">
        <v>1625</v>
      </c>
      <c r="C810" s="4" t="s">
        <v>29</v>
      </c>
      <c r="D810" s="4" t="s">
        <v>565</v>
      </c>
      <c r="E810" s="4" t="s">
        <v>566</v>
      </c>
      <c r="F810" s="6">
        <f>9</f>
        <v>9</v>
      </c>
      <c r="G810" s="4" t="s">
        <v>46</v>
      </c>
      <c r="H810" s="7">
        <v>51.42</v>
      </c>
      <c r="I810" s="7">
        <v>51.42</v>
      </c>
      <c r="J810" s="8" t="s">
        <v>26</v>
      </c>
      <c r="K810" s="9">
        <f>64.63</f>
        <v>64.63</v>
      </c>
      <c r="L810" s="9">
        <f>581.67</f>
        <v>581.66999999999996</v>
      </c>
      <c r="M810" s="4"/>
      <c r="N810" s="10">
        <v>1</v>
      </c>
      <c r="O810" s="4" t="s">
        <v>27</v>
      </c>
      <c r="P810" s="11">
        <v>9</v>
      </c>
      <c r="Q810" s="9">
        <f>581.67</f>
        <v>581.66999999999996</v>
      </c>
    </row>
    <row r="811" spans="1:17" ht="45" customHeight="1" x14ac:dyDescent="0.25">
      <c r="A811" s="4" t="s">
        <v>20</v>
      </c>
      <c r="B811" s="5" t="s">
        <v>1626</v>
      </c>
      <c r="C811" s="4" t="s">
        <v>29</v>
      </c>
      <c r="D811" s="4" t="s">
        <v>568</v>
      </c>
      <c r="E811" s="4" t="s">
        <v>569</v>
      </c>
      <c r="F811" s="6">
        <f>1</f>
        <v>1</v>
      </c>
      <c r="G811" s="4" t="s">
        <v>46</v>
      </c>
      <c r="H811" s="7">
        <v>135.57</v>
      </c>
      <c r="I811" s="7">
        <v>135.57</v>
      </c>
      <c r="J811" s="8" t="s">
        <v>26</v>
      </c>
      <c r="K811" s="9">
        <f>170.41</f>
        <v>170.41</v>
      </c>
      <c r="L811" s="9">
        <f>170.41</f>
        <v>170.41</v>
      </c>
      <c r="M811" s="4"/>
      <c r="N811" s="10">
        <v>1</v>
      </c>
      <c r="O811" s="4" t="s">
        <v>27</v>
      </c>
      <c r="P811" s="11">
        <v>1</v>
      </c>
      <c r="Q811" s="9">
        <f>170.41</f>
        <v>170.41</v>
      </c>
    </row>
    <row r="812" spans="1:17" ht="45" customHeight="1" x14ac:dyDescent="0.25">
      <c r="A812" s="4" t="s">
        <v>20</v>
      </c>
      <c r="B812" s="5" t="s">
        <v>1627</v>
      </c>
      <c r="C812" s="4" t="s">
        <v>29</v>
      </c>
      <c r="D812" s="4" t="s">
        <v>571</v>
      </c>
      <c r="E812" s="4" t="s">
        <v>572</v>
      </c>
      <c r="F812" s="6">
        <f>1</f>
        <v>1</v>
      </c>
      <c r="G812" s="4" t="s">
        <v>46</v>
      </c>
      <c r="H812" s="7">
        <v>590.29</v>
      </c>
      <c r="I812" s="7">
        <v>590.29</v>
      </c>
      <c r="J812" s="8" t="s">
        <v>26</v>
      </c>
      <c r="K812" s="9">
        <f>741.99</f>
        <v>741.99</v>
      </c>
      <c r="L812" s="9">
        <f>741.99</f>
        <v>741.99</v>
      </c>
      <c r="M812" s="4"/>
      <c r="N812" s="10">
        <v>1</v>
      </c>
      <c r="O812" s="4" t="s">
        <v>27</v>
      </c>
      <c r="P812" s="11">
        <v>1</v>
      </c>
      <c r="Q812" s="9">
        <f>741.99</f>
        <v>741.99</v>
      </c>
    </row>
    <row r="813" spans="1:17" ht="45" customHeight="1" x14ac:dyDescent="0.25">
      <c r="A813" s="4" t="s">
        <v>20</v>
      </c>
      <c r="B813" s="5" t="s">
        <v>1628</v>
      </c>
      <c r="C813" s="4" t="s">
        <v>29</v>
      </c>
      <c r="D813" s="4" t="s">
        <v>574</v>
      </c>
      <c r="E813" s="4" t="s">
        <v>575</v>
      </c>
      <c r="F813" s="6">
        <f>2</f>
        <v>2</v>
      </c>
      <c r="G813" s="4" t="s">
        <v>46</v>
      </c>
      <c r="H813" s="7">
        <v>328.05</v>
      </c>
      <c r="I813" s="7">
        <v>328.05</v>
      </c>
      <c r="J813" s="8" t="s">
        <v>26</v>
      </c>
      <c r="K813" s="9">
        <f>412.36</f>
        <v>412.36</v>
      </c>
      <c r="L813" s="9">
        <f>824.72</f>
        <v>824.72</v>
      </c>
      <c r="M813" s="4"/>
      <c r="N813" s="10">
        <v>1</v>
      </c>
      <c r="O813" s="4" t="s">
        <v>27</v>
      </c>
      <c r="P813" s="11">
        <v>2</v>
      </c>
      <c r="Q813" s="9">
        <f>824.72</f>
        <v>824.72</v>
      </c>
    </row>
    <row r="814" spans="1:17" ht="45" customHeight="1" x14ac:dyDescent="0.25">
      <c r="A814" s="4" t="s">
        <v>20</v>
      </c>
      <c r="B814" s="5" t="s">
        <v>1629</v>
      </c>
      <c r="C814" s="4" t="s">
        <v>29</v>
      </c>
      <c r="D814" s="4" t="s">
        <v>577</v>
      </c>
      <c r="E814" s="4" t="s">
        <v>578</v>
      </c>
      <c r="F814" s="6">
        <f>1</f>
        <v>1</v>
      </c>
      <c r="G814" s="4" t="s">
        <v>46</v>
      </c>
      <c r="H814" s="7">
        <v>255.25</v>
      </c>
      <c r="I814" s="7">
        <v>255.25</v>
      </c>
      <c r="J814" s="8" t="s">
        <v>26</v>
      </c>
      <c r="K814" s="9">
        <f>320.85</f>
        <v>320.85000000000002</v>
      </c>
      <c r="L814" s="9">
        <f>320.85</f>
        <v>320.85000000000002</v>
      </c>
      <c r="M814" s="4"/>
      <c r="N814" s="10">
        <v>1</v>
      </c>
      <c r="O814" s="4" t="s">
        <v>27</v>
      </c>
      <c r="P814" s="11">
        <v>1</v>
      </c>
      <c r="Q814" s="9">
        <f>320.85</f>
        <v>320.85000000000002</v>
      </c>
    </row>
    <row r="815" spans="1:17" ht="45" customHeight="1" x14ac:dyDescent="0.25">
      <c r="A815" s="4" t="s">
        <v>20</v>
      </c>
      <c r="B815" s="5" t="s">
        <v>1630</v>
      </c>
      <c r="C815" s="4" t="s">
        <v>29</v>
      </c>
      <c r="D815" s="4" t="s">
        <v>1488</v>
      </c>
      <c r="E815" s="4" t="s">
        <v>1489</v>
      </c>
      <c r="F815" s="6">
        <f>2</f>
        <v>2</v>
      </c>
      <c r="G815" s="4" t="s">
        <v>46</v>
      </c>
      <c r="H815" s="7">
        <v>388.08</v>
      </c>
      <c r="I815" s="7">
        <v>388.08</v>
      </c>
      <c r="J815" s="8" t="s">
        <v>26</v>
      </c>
      <c r="K815" s="9">
        <f>487.82</f>
        <v>487.82</v>
      </c>
      <c r="L815" s="9">
        <f>975.64</f>
        <v>975.64</v>
      </c>
      <c r="M815" s="4"/>
      <c r="N815" s="10">
        <v>1</v>
      </c>
      <c r="O815" s="4" t="s">
        <v>27</v>
      </c>
      <c r="P815" s="11">
        <v>2</v>
      </c>
      <c r="Q815" s="9">
        <f>975.64</f>
        <v>975.64</v>
      </c>
    </row>
    <row r="816" spans="1:17" ht="45" customHeight="1" x14ac:dyDescent="0.25">
      <c r="A816" s="4" t="s">
        <v>20</v>
      </c>
      <c r="B816" s="5" t="s">
        <v>1631</v>
      </c>
      <c r="C816" s="4" t="s">
        <v>29</v>
      </c>
      <c r="D816" s="4" t="s">
        <v>580</v>
      </c>
      <c r="E816" s="4" t="s">
        <v>581</v>
      </c>
      <c r="F816" s="6">
        <f>9</f>
        <v>9</v>
      </c>
      <c r="G816" s="4" t="s">
        <v>46</v>
      </c>
      <c r="H816" s="7">
        <v>41.73</v>
      </c>
      <c r="I816" s="7">
        <v>41.73</v>
      </c>
      <c r="J816" s="8" t="s">
        <v>26</v>
      </c>
      <c r="K816" s="9">
        <f>52.45</f>
        <v>52.45</v>
      </c>
      <c r="L816" s="9">
        <f>472.05</f>
        <v>472.05</v>
      </c>
      <c r="M816" s="4"/>
      <c r="N816" s="10">
        <v>1</v>
      </c>
      <c r="O816" s="4" t="s">
        <v>27</v>
      </c>
      <c r="P816" s="11">
        <v>9</v>
      </c>
      <c r="Q816" s="9">
        <f>472.05</f>
        <v>472.05</v>
      </c>
    </row>
    <row r="817" spans="1:17" ht="45" customHeight="1" x14ac:dyDescent="0.25">
      <c r="A817" s="4" t="s">
        <v>20</v>
      </c>
      <c r="B817" s="5" t="s">
        <v>1632</v>
      </c>
      <c r="C817" s="4" t="s">
        <v>29</v>
      </c>
      <c r="D817" s="4" t="s">
        <v>241</v>
      </c>
      <c r="E817" s="4" t="s">
        <v>242</v>
      </c>
      <c r="F817" s="6">
        <f>9</f>
        <v>9</v>
      </c>
      <c r="G817" s="4" t="s">
        <v>46</v>
      </c>
      <c r="H817" s="7">
        <v>93.29</v>
      </c>
      <c r="I817" s="7">
        <v>93.29</v>
      </c>
      <c r="J817" s="8" t="s">
        <v>26</v>
      </c>
      <c r="K817" s="9">
        <f>117.27</f>
        <v>117.27</v>
      </c>
      <c r="L817" s="9">
        <f>1055.43</f>
        <v>1055.43</v>
      </c>
      <c r="M817" s="4"/>
      <c r="N817" s="10">
        <v>1</v>
      </c>
      <c r="O817" s="4" t="s">
        <v>27</v>
      </c>
      <c r="P817" s="11">
        <v>9</v>
      </c>
      <c r="Q817" s="9">
        <f>1055.43</f>
        <v>1055.43</v>
      </c>
    </row>
    <row r="818" spans="1:17" ht="45" customHeight="1" x14ac:dyDescent="0.25">
      <c r="A818" s="4" t="s">
        <v>20</v>
      </c>
      <c r="B818" s="5" t="s">
        <v>1633</v>
      </c>
      <c r="C818" s="4" t="s">
        <v>29</v>
      </c>
      <c r="D818" s="4" t="s">
        <v>591</v>
      </c>
      <c r="E818" s="4" t="s">
        <v>592</v>
      </c>
      <c r="F818" s="6">
        <f>30</f>
        <v>30</v>
      </c>
      <c r="G818" s="4" t="s">
        <v>46</v>
      </c>
      <c r="H818" s="7">
        <v>89.6</v>
      </c>
      <c r="I818" s="7">
        <v>89.6</v>
      </c>
      <c r="J818" s="8" t="s">
        <v>26</v>
      </c>
      <c r="K818" s="9">
        <f>112.63</f>
        <v>112.63</v>
      </c>
      <c r="L818" s="9">
        <f>3378.9</f>
        <v>3378.9</v>
      </c>
      <c r="M818" s="4"/>
      <c r="N818" s="10">
        <v>1</v>
      </c>
      <c r="O818" s="4" t="s">
        <v>27</v>
      </c>
      <c r="P818" s="11">
        <v>30</v>
      </c>
      <c r="Q818" s="9">
        <f>3378.9</f>
        <v>3378.9</v>
      </c>
    </row>
    <row r="819" spans="1:17" ht="45" customHeight="1" x14ac:dyDescent="0.25">
      <c r="A819" s="4" t="s">
        <v>20</v>
      </c>
      <c r="B819" s="5" t="s">
        <v>1634</v>
      </c>
      <c r="C819" s="4" t="s">
        <v>29</v>
      </c>
      <c r="D819" s="4" t="s">
        <v>594</v>
      </c>
      <c r="E819" s="4" t="s">
        <v>595</v>
      </c>
      <c r="F819" s="6">
        <f>30</f>
        <v>30</v>
      </c>
      <c r="G819" s="4" t="s">
        <v>46</v>
      </c>
      <c r="H819" s="7">
        <v>119</v>
      </c>
      <c r="I819" s="7">
        <v>119</v>
      </c>
      <c r="J819" s="8" t="s">
        <v>26</v>
      </c>
      <c r="K819" s="9">
        <f>149.58</f>
        <v>149.58000000000001</v>
      </c>
      <c r="L819" s="9">
        <f>4487.4</f>
        <v>4487.3999999999996</v>
      </c>
      <c r="M819" s="4"/>
      <c r="N819" s="10">
        <v>1</v>
      </c>
      <c r="O819" s="4" t="s">
        <v>27</v>
      </c>
      <c r="P819" s="11">
        <v>30</v>
      </c>
      <c r="Q819" s="9">
        <f>4487.4</f>
        <v>4487.3999999999996</v>
      </c>
    </row>
    <row r="820" spans="1:17" ht="45" customHeight="1" x14ac:dyDescent="0.25">
      <c r="A820" s="4" t="s">
        <v>20</v>
      </c>
      <c r="B820" s="5" t="s">
        <v>1635</v>
      </c>
      <c r="C820" s="4" t="s">
        <v>29</v>
      </c>
      <c r="D820" s="4" t="s">
        <v>247</v>
      </c>
      <c r="E820" s="4" t="s">
        <v>248</v>
      </c>
      <c r="F820" s="6">
        <f>6</f>
        <v>6</v>
      </c>
      <c r="G820" s="4" t="s">
        <v>46</v>
      </c>
      <c r="H820" s="7">
        <v>206.37</v>
      </c>
      <c r="I820" s="7">
        <v>206.37</v>
      </c>
      <c r="J820" s="8" t="s">
        <v>26</v>
      </c>
      <c r="K820" s="9">
        <f>259.41</f>
        <v>259.41000000000003</v>
      </c>
      <c r="L820" s="9">
        <f>1556.46</f>
        <v>1556.46</v>
      </c>
      <c r="M820" s="4"/>
      <c r="N820" s="10">
        <v>1</v>
      </c>
      <c r="O820" s="4" t="s">
        <v>27</v>
      </c>
      <c r="P820" s="11">
        <v>6</v>
      </c>
      <c r="Q820" s="9">
        <f>1556.46</f>
        <v>1556.46</v>
      </c>
    </row>
    <row r="821" spans="1:17" ht="45" customHeight="1" x14ac:dyDescent="0.25">
      <c r="A821" s="4" t="s">
        <v>20</v>
      </c>
      <c r="B821" s="5" t="s">
        <v>1636</v>
      </c>
      <c r="C821" s="4" t="s">
        <v>29</v>
      </c>
      <c r="D821" s="4" t="s">
        <v>601</v>
      </c>
      <c r="E821" s="4" t="s">
        <v>602</v>
      </c>
      <c r="F821" s="6">
        <f>15</f>
        <v>15</v>
      </c>
      <c r="G821" s="4" t="s">
        <v>46</v>
      </c>
      <c r="H821" s="7">
        <v>12.04</v>
      </c>
      <c r="I821" s="7">
        <v>12.04</v>
      </c>
      <c r="J821" s="8" t="s">
        <v>26</v>
      </c>
      <c r="K821" s="9">
        <f>15.13</f>
        <v>15.13</v>
      </c>
      <c r="L821" s="9">
        <f>226.95</f>
        <v>226.95</v>
      </c>
      <c r="M821" s="4"/>
      <c r="N821" s="10">
        <v>1</v>
      </c>
      <c r="O821" s="4" t="s">
        <v>27</v>
      </c>
      <c r="P821" s="11">
        <v>15</v>
      </c>
      <c r="Q821" s="9">
        <f>226.95</f>
        <v>226.95</v>
      </c>
    </row>
    <row r="822" spans="1:17" ht="45" customHeight="1" x14ac:dyDescent="0.25">
      <c r="A822" s="4" t="s">
        <v>20</v>
      </c>
      <c r="B822" s="5" t="s">
        <v>1637</v>
      </c>
      <c r="C822" s="4" t="s">
        <v>29</v>
      </c>
      <c r="D822" s="4" t="s">
        <v>604</v>
      </c>
      <c r="E822" s="4" t="s">
        <v>605</v>
      </c>
      <c r="F822" s="6">
        <f>4</f>
        <v>4</v>
      </c>
      <c r="G822" s="4" t="s">
        <v>46</v>
      </c>
      <c r="H822" s="7">
        <v>16.12</v>
      </c>
      <c r="I822" s="7">
        <v>16.12</v>
      </c>
      <c r="J822" s="8" t="s">
        <v>26</v>
      </c>
      <c r="K822" s="9">
        <f>20.26</f>
        <v>20.260000000000002</v>
      </c>
      <c r="L822" s="9">
        <f>81.04</f>
        <v>81.040000000000006</v>
      </c>
      <c r="M822" s="4"/>
      <c r="N822" s="10">
        <v>1</v>
      </c>
      <c r="O822" s="4" t="s">
        <v>27</v>
      </c>
      <c r="P822" s="11">
        <v>4</v>
      </c>
      <c r="Q822" s="9">
        <f>81.04</f>
        <v>81.040000000000006</v>
      </c>
    </row>
    <row r="823" spans="1:17" ht="45" customHeight="1" x14ac:dyDescent="0.25">
      <c r="A823" s="4" t="s">
        <v>20</v>
      </c>
      <c r="B823" s="5" t="s">
        <v>1638</v>
      </c>
      <c r="C823" s="4" t="s">
        <v>29</v>
      </c>
      <c r="D823" s="4" t="s">
        <v>253</v>
      </c>
      <c r="E823" s="4" t="s">
        <v>254</v>
      </c>
      <c r="F823" s="6">
        <f>2</f>
        <v>2</v>
      </c>
      <c r="G823" s="4" t="s">
        <v>46</v>
      </c>
      <c r="H823" s="7">
        <v>52.64</v>
      </c>
      <c r="I823" s="7">
        <v>52.64</v>
      </c>
      <c r="J823" s="8" t="s">
        <v>26</v>
      </c>
      <c r="K823" s="9">
        <f>66.17</f>
        <v>66.17</v>
      </c>
      <c r="L823" s="9">
        <f>132.34</f>
        <v>132.34</v>
      </c>
      <c r="M823" s="4"/>
      <c r="N823" s="10">
        <v>1</v>
      </c>
      <c r="O823" s="4" t="s">
        <v>27</v>
      </c>
      <c r="P823" s="11">
        <v>2</v>
      </c>
      <c r="Q823" s="9">
        <f>132.34</f>
        <v>132.34</v>
      </c>
    </row>
    <row r="824" spans="1:17" ht="45" customHeight="1" x14ac:dyDescent="0.25">
      <c r="A824" s="4" t="s">
        <v>20</v>
      </c>
      <c r="B824" s="5" t="s">
        <v>1639</v>
      </c>
      <c r="C824" s="4" t="s">
        <v>29</v>
      </c>
      <c r="D824" s="4" t="s">
        <v>611</v>
      </c>
      <c r="E824" s="4" t="s">
        <v>612</v>
      </c>
      <c r="F824" s="6">
        <f>4</f>
        <v>4</v>
      </c>
      <c r="G824" s="4" t="s">
        <v>46</v>
      </c>
      <c r="H824" s="7">
        <v>8.9600000000000009</v>
      </c>
      <c r="I824" s="7">
        <v>8.9600000000000009</v>
      </c>
      <c r="J824" s="8" t="s">
        <v>26</v>
      </c>
      <c r="K824" s="9">
        <f>11.26</f>
        <v>11.26</v>
      </c>
      <c r="L824" s="9">
        <f>45.04</f>
        <v>45.04</v>
      </c>
      <c r="M824" s="4"/>
      <c r="N824" s="10">
        <v>1</v>
      </c>
      <c r="O824" s="4" t="s">
        <v>27</v>
      </c>
      <c r="P824" s="11">
        <v>4</v>
      </c>
      <c r="Q824" s="9">
        <f>45.04</f>
        <v>45.04</v>
      </c>
    </row>
    <row r="825" spans="1:17" ht="45" customHeight="1" x14ac:dyDescent="0.25">
      <c r="A825" s="4" t="s">
        <v>20</v>
      </c>
      <c r="B825" s="5" t="s">
        <v>1640</v>
      </c>
      <c r="C825" s="4" t="s">
        <v>29</v>
      </c>
      <c r="D825" s="4" t="s">
        <v>614</v>
      </c>
      <c r="E825" s="4" t="s">
        <v>615</v>
      </c>
      <c r="F825" s="6">
        <f>2</f>
        <v>2</v>
      </c>
      <c r="G825" s="4" t="s">
        <v>46</v>
      </c>
      <c r="H825" s="7">
        <v>25.78</v>
      </c>
      <c r="I825" s="7">
        <v>25.78</v>
      </c>
      <c r="J825" s="8" t="s">
        <v>26</v>
      </c>
      <c r="K825" s="9">
        <f>32.41</f>
        <v>32.409999999999997</v>
      </c>
      <c r="L825" s="9">
        <f>64.82</f>
        <v>64.819999999999993</v>
      </c>
      <c r="M825" s="4"/>
      <c r="N825" s="10">
        <v>1</v>
      </c>
      <c r="O825" s="4" t="s">
        <v>27</v>
      </c>
      <c r="P825" s="11">
        <v>2</v>
      </c>
      <c r="Q825" s="9">
        <f>64.82</f>
        <v>64.819999999999993</v>
      </c>
    </row>
    <row r="826" spans="1:17" ht="45" customHeight="1" x14ac:dyDescent="0.25">
      <c r="A826" s="4" t="s">
        <v>20</v>
      </c>
      <c r="B826" s="5" t="s">
        <v>1641</v>
      </c>
      <c r="C826" s="4" t="s">
        <v>29</v>
      </c>
      <c r="D826" s="4" t="s">
        <v>1501</v>
      </c>
      <c r="E826" s="4" t="s">
        <v>1502</v>
      </c>
      <c r="F826" s="6">
        <f>4</f>
        <v>4</v>
      </c>
      <c r="G826" s="4" t="s">
        <v>96</v>
      </c>
      <c r="H826" s="7">
        <v>30.45</v>
      </c>
      <c r="I826" s="7">
        <v>30.45</v>
      </c>
      <c r="J826" s="8" t="s">
        <v>26</v>
      </c>
      <c r="K826" s="9">
        <f>38.28</f>
        <v>38.28</v>
      </c>
      <c r="L826" s="9">
        <f>153.12</f>
        <v>153.12</v>
      </c>
      <c r="M826" s="4"/>
      <c r="N826" s="10">
        <v>1</v>
      </c>
      <c r="O826" s="4" t="s">
        <v>27</v>
      </c>
      <c r="P826" s="11">
        <v>4</v>
      </c>
      <c r="Q826" s="9">
        <f>153.12</f>
        <v>153.12</v>
      </c>
    </row>
    <row r="827" spans="1:17" ht="45" customHeight="1" x14ac:dyDescent="0.25">
      <c r="A827" s="4" t="s">
        <v>20</v>
      </c>
      <c r="B827" s="5" t="s">
        <v>1642</v>
      </c>
      <c r="C827" s="4" t="s">
        <v>29</v>
      </c>
      <c r="D827" s="4" t="s">
        <v>624</v>
      </c>
      <c r="E827" s="4" t="s">
        <v>625</v>
      </c>
      <c r="F827" s="6">
        <f>6</f>
        <v>6</v>
      </c>
      <c r="G827" s="4" t="s">
        <v>46</v>
      </c>
      <c r="H827" s="7">
        <v>30.35</v>
      </c>
      <c r="I827" s="7">
        <v>30.35</v>
      </c>
      <c r="J827" s="8" t="s">
        <v>26</v>
      </c>
      <c r="K827" s="9">
        <f>38.15</f>
        <v>38.15</v>
      </c>
      <c r="L827" s="9">
        <f>228.9</f>
        <v>228.9</v>
      </c>
      <c r="M827" s="4"/>
      <c r="N827" s="10">
        <v>1</v>
      </c>
      <c r="O827" s="4" t="s">
        <v>27</v>
      </c>
      <c r="P827" s="11">
        <v>6</v>
      </c>
      <c r="Q827" s="9">
        <f>228.9</f>
        <v>228.9</v>
      </c>
    </row>
    <row r="828" spans="1:17" ht="45" customHeight="1" x14ac:dyDescent="0.25">
      <c r="A828" s="4" t="s">
        <v>20</v>
      </c>
      <c r="B828" s="5" t="s">
        <v>1643</v>
      </c>
      <c r="C828" s="4" t="s">
        <v>29</v>
      </c>
      <c r="D828" s="4" t="s">
        <v>627</v>
      </c>
      <c r="E828" s="4" t="s">
        <v>628</v>
      </c>
      <c r="F828" s="6">
        <f>9</f>
        <v>9</v>
      </c>
      <c r="G828" s="4" t="s">
        <v>46</v>
      </c>
      <c r="H828" s="7">
        <v>34.18</v>
      </c>
      <c r="I828" s="7">
        <v>34.18</v>
      </c>
      <c r="J828" s="8" t="s">
        <v>26</v>
      </c>
      <c r="K828" s="9">
        <f>42.96</f>
        <v>42.96</v>
      </c>
      <c r="L828" s="9">
        <f>386.64</f>
        <v>386.64</v>
      </c>
      <c r="M828" s="4"/>
      <c r="N828" s="10">
        <v>1</v>
      </c>
      <c r="O828" s="4" t="s">
        <v>27</v>
      </c>
      <c r="P828" s="11">
        <v>9</v>
      </c>
      <c r="Q828" s="9">
        <f>386.64</f>
        <v>386.64</v>
      </c>
    </row>
    <row r="829" spans="1:17" ht="45" customHeight="1" x14ac:dyDescent="0.25">
      <c r="A829" s="4" t="s">
        <v>20</v>
      </c>
      <c r="B829" s="5" t="s">
        <v>1644</v>
      </c>
      <c r="C829" s="4" t="s">
        <v>29</v>
      </c>
      <c r="D829" s="4" t="s">
        <v>630</v>
      </c>
      <c r="E829" s="4" t="s">
        <v>631</v>
      </c>
      <c r="F829" s="6">
        <f>2</f>
        <v>2</v>
      </c>
      <c r="G829" s="4" t="s">
        <v>46</v>
      </c>
      <c r="H829" s="7">
        <v>40.880000000000003</v>
      </c>
      <c r="I829" s="7">
        <v>40.880000000000003</v>
      </c>
      <c r="J829" s="8" t="s">
        <v>26</v>
      </c>
      <c r="K829" s="9">
        <f>51.39</f>
        <v>51.39</v>
      </c>
      <c r="L829" s="9">
        <f>102.78</f>
        <v>102.78</v>
      </c>
      <c r="M829" s="4"/>
      <c r="N829" s="10">
        <v>1</v>
      </c>
      <c r="O829" s="4" t="s">
        <v>27</v>
      </c>
      <c r="P829" s="11">
        <v>2</v>
      </c>
      <c r="Q829" s="9">
        <f>102.78</f>
        <v>102.78</v>
      </c>
    </row>
    <row r="830" spans="1:17" ht="45" customHeight="1" x14ac:dyDescent="0.25">
      <c r="A830" s="4" t="s">
        <v>20</v>
      </c>
      <c r="B830" s="5" t="s">
        <v>1645</v>
      </c>
      <c r="C830" s="4" t="s">
        <v>29</v>
      </c>
      <c r="D830" s="4" t="s">
        <v>633</v>
      </c>
      <c r="E830" s="4" t="s">
        <v>634</v>
      </c>
      <c r="F830" s="6">
        <f>1</f>
        <v>1</v>
      </c>
      <c r="G830" s="4" t="s">
        <v>46</v>
      </c>
      <c r="H830" s="7">
        <v>36.020000000000003</v>
      </c>
      <c r="I830" s="7">
        <v>36.020000000000003</v>
      </c>
      <c r="J830" s="8" t="s">
        <v>26</v>
      </c>
      <c r="K830" s="9">
        <f>45.28</f>
        <v>45.28</v>
      </c>
      <c r="L830" s="9">
        <f>45.28</f>
        <v>45.28</v>
      </c>
      <c r="M830" s="4"/>
      <c r="N830" s="10">
        <v>1</v>
      </c>
      <c r="O830" s="4" t="s">
        <v>27</v>
      </c>
      <c r="P830" s="11">
        <v>1</v>
      </c>
      <c r="Q830" s="9">
        <f>45.28</f>
        <v>45.28</v>
      </c>
    </row>
    <row r="831" spans="1:17" ht="45" customHeight="1" x14ac:dyDescent="0.25">
      <c r="A831" s="4" t="s">
        <v>20</v>
      </c>
      <c r="B831" s="5" t="s">
        <v>1646</v>
      </c>
      <c r="C831" s="4" t="s">
        <v>29</v>
      </c>
      <c r="D831" s="4" t="s">
        <v>636</v>
      </c>
      <c r="E831" s="4" t="s">
        <v>637</v>
      </c>
      <c r="F831" s="6">
        <f>2</f>
        <v>2</v>
      </c>
      <c r="G831" s="4" t="s">
        <v>46</v>
      </c>
      <c r="H831" s="7">
        <v>49.67</v>
      </c>
      <c r="I831" s="7">
        <v>49.67</v>
      </c>
      <c r="J831" s="8" t="s">
        <v>26</v>
      </c>
      <c r="K831" s="9">
        <f>62.44</f>
        <v>62.44</v>
      </c>
      <c r="L831" s="9">
        <f>124.88</f>
        <v>124.88</v>
      </c>
      <c r="M831" s="4"/>
      <c r="N831" s="10">
        <v>1</v>
      </c>
      <c r="O831" s="4" t="s">
        <v>27</v>
      </c>
      <c r="P831" s="11">
        <v>2</v>
      </c>
      <c r="Q831" s="9">
        <f>124.88</f>
        <v>124.88</v>
      </c>
    </row>
    <row r="832" spans="1:17" ht="45" customHeight="1" x14ac:dyDescent="0.25">
      <c r="A832" s="4" t="s">
        <v>20</v>
      </c>
      <c r="B832" s="5" t="s">
        <v>1647</v>
      </c>
      <c r="C832" s="4" t="s">
        <v>29</v>
      </c>
      <c r="D832" s="4" t="s">
        <v>639</v>
      </c>
      <c r="E832" s="4" t="s">
        <v>640</v>
      </c>
      <c r="F832" s="6">
        <f>1</f>
        <v>1</v>
      </c>
      <c r="G832" s="4" t="s">
        <v>46</v>
      </c>
      <c r="H832" s="7">
        <v>45.94</v>
      </c>
      <c r="I832" s="7">
        <v>45.94</v>
      </c>
      <c r="J832" s="8" t="s">
        <v>26</v>
      </c>
      <c r="K832" s="9">
        <f>57.75</f>
        <v>57.75</v>
      </c>
      <c r="L832" s="9">
        <f>57.75</f>
        <v>57.75</v>
      </c>
      <c r="M832" s="4"/>
      <c r="N832" s="10">
        <v>1</v>
      </c>
      <c r="O832" s="4" t="s">
        <v>27</v>
      </c>
      <c r="P832" s="11">
        <v>1</v>
      </c>
      <c r="Q832" s="9">
        <f>57.75</f>
        <v>57.75</v>
      </c>
    </row>
    <row r="833" spans="1:17" ht="45" customHeight="1" x14ac:dyDescent="0.25">
      <c r="A833" s="4" t="s">
        <v>20</v>
      </c>
      <c r="B833" s="5" t="s">
        <v>1648</v>
      </c>
      <c r="C833" s="4" t="s">
        <v>29</v>
      </c>
      <c r="D833" s="4" t="s">
        <v>642</v>
      </c>
      <c r="E833" s="4" t="s">
        <v>643</v>
      </c>
      <c r="F833" s="6">
        <f>600</f>
        <v>600</v>
      </c>
      <c r="G833" s="4" t="s">
        <v>96</v>
      </c>
      <c r="H833" s="7">
        <v>4.8899999999999997</v>
      </c>
      <c r="I833" s="7">
        <v>4.8899999999999997</v>
      </c>
      <c r="J833" s="8" t="s">
        <v>26</v>
      </c>
      <c r="K833" s="9">
        <f>6.15</f>
        <v>6.15</v>
      </c>
      <c r="L833" s="9">
        <f>3690</f>
        <v>3690</v>
      </c>
      <c r="M833" s="4"/>
      <c r="N833" s="10">
        <v>1</v>
      </c>
      <c r="O833" s="4" t="s">
        <v>27</v>
      </c>
      <c r="P833" s="11">
        <v>600</v>
      </c>
      <c r="Q833" s="9">
        <f>3690</f>
        <v>3690</v>
      </c>
    </row>
    <row r="834" spans="1:17" ht="45" customHeight="1" x14ac:dyDescent="0.25">
      <c r="A834" s="4" t="s">
        <v>20</v>
      </c>
      <c r="B834" s="5" t="s">
        <v>1649</v>
      </c>
      <c r="C834" s="4" t="s">
        <v>29</v>
      </c>
      <c r="D834" s="4" t="s">
        <v>274</v>
      </c>
      <c r="E834" s="4" t="s">
        <v>275</v>
      </c>
      <c r="F834" s="6">
        <f>20</f>
        <v>20</v>
      </c>
      <c r="G834" s="4" t="s">
        <v>96</v>
      </c>
      <c r="H834" s="7">
        <v>25.45</v>
      </c>
      <c r="I834" s="7">
        <v>25.45</v>
      </c>
      <c r="J834" s="8" t="s">
        <v>26</v>
      </c>
      <c r="K834" s="9">
        <f>31.99</f>
        <v>31.99</v>
      </c>
      <c r="L834" s="9">
        <f>639.8</f>
        <v>639.79999999999995</v>
      </c>
      <c r="M834" s="4"/>
      <c r="N834" s="10">
        <v>1</v>
      </c>
      <c r="O834" s="4" t="s">
        <v>27</v>
      </c>
      <c r="P834" s="11">
        <v>20</v>
      </c>
      <c r="Q834" s="9">
        <f>639.8</f>
        <v>639.79999999999995</v>
      </c>
    </row>
    <row r="835" spans="1:17" ht="45" customHeight="1" x14ac:dyDescent="0.25">
      <c r="A835" s="4" t="s">
        <v>20</v>
      </c>
      <c r="B835" s="5" t="s">
        <v>1650</v>
      </c>
      <c r="C835" s="4" t="s">
        <v>29</v>
      </c>
      <c r="D835" s="4" t="s">
        <v>647</v>
      </c>
      <c r="E835" s="4" t="s">
        <v>648</v>
      </c>
      <c r="F835" s="6">
        <f>700</f>
        <v>700</v>
      </c>
      <c r="G835" s="4" t="s">
        <v>96</v>
      </c>
      <c r="H835" s="7">
        <v>7.41</v>
      </c>
      <c r="I835" s="7">
        <v>7.41</v>
      </c>
      <c r="J835" s="8" t="s">
        <v>26</v>
      </c>
      <c r="K835" s="9">
        <f>9.31</f>
        <v>9.31</v>
      </c>
      <c r="L835" s="9">
        <f>6517</f>
        <v>6517</v>
      </c>
      <c r="M835" s="4"/>
      <c r="N835" s="10">
        <v>1</v>
      </c>
      <c r="O835" s="4" t="s">
        <v>27</v>
      </c>
      <c r="P835" s="11">
        <v>700</v>
      </c>
      <c r="Q835" s="9">
        <f>6517</f>
        <v>6517</v>
      </c>
    </row>
    <row r="836" spans="1:17" ht="45" customHeight="1" x14ac:dyDescent="0.25">
      <c r="A836" s="4" t="s">
        <v>20</v>
      </c>
      <c r="B836" s="5" t="s">
        <v>1651</v>
      </c>
      <c r="C836" s="4" t="s">
        <v>29</v>
      </c>
      <c r="D836" s="4" t="s">
        <v>280</v>
      </c>
      <c r="E836" s="4" t="s">
        <v>281</v>
      </c>
      <c r="F836" s="6">
        <f>150</f>
        <v>150</v>
      </c>
      <c r="G836" s="4" t="s">
        <v>96</v>
      </c>
      <c r="H836" s="7">
        <v>19.420000000000002</v>
      </c>
      <c r="I836" s="7">
        <v>19.420000000000002</v>
      </c>
      <c r="J836" s="8" t="s">
        <v>26</v>
      </c>
      <c r="K836" s="9">
        <f>24.41</f>
        <v>24.41</v>
      </c>
      <c r="L836" s="9">
        <f>3661.5</f>
        <v>3661.5</v>
      </c>
      <c r="M836" s="4"/>
      <c r="N836" s="10">
        <v>1</v>
      </c>
      <c r="O836" s="4" t="s">
        <v>27</v>
      </c>
      <c r="P836" s="11">
        <v>150</v>
      </c>
      <c r="Q836" s="9">
        <f>3661.5</f>
        <v>3661.5</v>
      </c>
    </row>
    <row r="837" spans="1:17" ht="45" customHeight="1" x14ac:dyDescent="0.25">
      <c r="A837" s="4" t="s">
        <v>20</v>
      </c>
      <c r="B837" s="5" t="s">
        <v>1652</v>
      </c>
      <c r="C837" s="4" t="s">
        <v>29</v>
      </c>
      <c r="D837" s="4" t="s">
        <v>292</v>
      </c>
      <c r="E837" s="4" t="s">
        <v>293</v>
      </c>
      <c r="F837" s="6">
        <f>150</f>
        <v>150</v>
      </c>
      <c r="G837" s="4" t="s">
        <v>96</v>
      </c>
      <c r="H837" s="7">
        <v>9.08</v>
      </c>
      <c r="I837" s="7">
        <v>9.08</v>
      </c>
      <c r="J837" s="8" t="s">
        <v>26</v>
      </c>
      <c r="K837" s="9">
        <f>11.41</f>
        <v>11.41</v>
      </c>
      <c r="L837" s="9">
        <f>1711.5</f>
        <v>1711.5</v>
      </c>
      <c r="M837" s="4"/>
      <c r="N837" s="10">
        <v>1</v>
      </c>
      <c r="O837" s="4" t="s">
        <v>27</v>
      </c>
      <c r="P837" s="11">
        <v>150</v>
      </c>
      <c r="Q837" s="9">
        <f>1711.5</f>
        <v>1711.5</v>
      </c>
    </row>
    <row r="838" spans="1:17" ht="45" customHeight="1" x14ac:dyDescent="0.25">
      <c r="A838" s="4" t="s">
        <v>20</v>
      </c>
      <c r="B838" s="5" t="s">
        <v>1653</v>
      </c>
      <c r="C838" s="4" t="s">
        <v>29</v>
      </c>
      <c r="D838" s="4" t="s">
        <v>295</v>
      </c>
      <c r="E838" s="4" t="s">
        <v>296</v>
      </c>
      <c r="F838" s="6">
        <f>200</f>
        <v>200</v>
      </c>
      <c r="G838" s="4" t="s">
        <v>96</v>
      </c>
      <c r="H838" s="7">
        <v>57.64</v>
      </c>
      <c r="I838" s="7">
        <v>57.64</v>
      </c>
      <c r="J838" s="8" t="s">
        <v>26</v>
      </c>
      <c r="K838" s="9">
        <f>72.45</f>
        <v>72.45</v>
      </c>
      <c r="L838" s="9">
        <f>14490</f>
        <v>14490</v>
      </c>
      <c r="M838" s="4"/>
      <c r="N838" s="10">
        <v>1</v>
      </c>
      <c r="O838" s="4" t="s">
        <v>27</v>
      </c>
      <c r="P838" s="11">
        <v>200</v>
      </c>
      <c r="Q838" s="9">
        <f>14490</f>
        <v>14490</v>
      </c>
    </row>
    <row r="839" spans="1:17" ht="45" customHeight="1" x14ac:dyDescent="0.25">
      <c r="A839" s="4" t="s">
        <v>20</v>
      </c>
      <c r="B839" s="5" t="s">
        <v>1654</v>
      </c>
      <c r="C839" s="4" t="s">
        <v>29</v>
      </c>
      <c r="D839" s="4" t="s">
        <v>668</v>
      </c>
      <c r="E839" s="4" t="s">
        <v>669</v>
      </c>
      <c r="F839" s="6">
        <f>10</f>
        <v>10</v>
      </c>
      <c r="G839" s="4" t="s">
        <v>46</v>
      </c>
      <c r="H839" s="7">
        <v>429.63</v>
      </c>
      <c r="I839" s="7">
        <v>429.63</v>
      </c>
      <c r="J839" s="8" t="s">
        <v>26</v>
      </c>
      <c r="K839" s="9">
        <f>540.04</f>
        <v>540.04</v>
      </c>
      <c r="L839" s="9">
        <f>5400.4</f>
        <v>5400.4</v>
      </c>
      <c r="M839" s="4"/>
      <c r="N839" s="10">
        <v>1</v>
      </c>
      <c r="O839" s="4" t="s">
        <v>27</v>
      </c>
      <c r="P839" s="11">
        <v>10</v>
      </c>
      <c r="Q839" s="9">
        <f>5400.4</f>
        <v>5400.4</v>
      </c>
    </row>
    <row r="840" spans="1:17" ht="45" customHeight="1" x14ac:dyDescent="0.25">
      <c r="A840" s="4" t="s">
        <v>20</v>
      </c>
      <c r="B840" s="5" t="s">
        <v>1655</v>
      </c>
      <c r="C840" s="4" t="s">
        <v>29</v>
      </c>
      <c r="D840" s="4" t="s">
        <v>671</v>
      </c>
      <c r="E840" s="4" t="s">
        <v>672</v>
      </c>
      <c r="F840" s="6">
        <f>8</f>
        <v>8</v>
      </c>
      <c r="G840" s="4" t="s">
        <v>46</v>
      </c>
      <c r="H840" s="7">
        <v>54.62</v>
      </c>
      <c r="I840" s="7">
        <v>54.62</v>
      </c>
      <c r="J840" s="8" t="s">
        <v>26</v>
      </c>
      <c r="K840" s="9">
        <f>68.66</f>
        <v>68.66</v>
      </c>
      <c r="L840" s="9">
        <f>549.28</f>
        <v>549.28</v>
      </c>
      <c r="M840" s="4"/>
      <c r="N840" s="10">
        <v>1</v>
      </c>
      <c r="O840" s="4" t="s">
        <v>27</v>
      </c>
      <c r="P840" s="11">
        <v>8</v>
      </c>
      <c r="Q840" s="9">
        <f>549.28</f>
        <v>549.28</v>
      </c>
    </row>
    <row r="841" spans="1:17" ht="45" customHeight="1" x14ac:dyDescent="0.25">
      <c r="A841" s="4" t="s">
        <v>20</v>
      </c>
      <c r="B841" s="5" t="s">
        <v>1656</v>
      </c>
      <c r="C841" s="4" t="s">
        <v>29</v>
      </c>
      <c r="D841" s="4" t="s">
        <v>674</v>
      </c>
      <c r="E841" s="4" t="s">
        <v>675</v>
      </c>
      <c r="F841" s="6">
        <f>30</f>
        <v>30</v>
      </c>
      <c r="G841" s="4" t="s">
        <v>46</v>
      </c>
      <c r="H841" s="7">
        <v>133.13999999999999</v>
      </c>
      <c r="I841" s="7">
        <v>133.13999999999999</v>
      </c>
      <c r="J841" s="8" t="s">
        <v>26</v>
      </c>
      <c r="K841" s="9">
        <f>167.36</f>
        <v>167.36</v>
      </c>
      <c r="L841" s="9">
        <f>5020.8</f>
        <v>5020.8</v>
      </c>
      <c r="M841" s="4"/>
      <c r="N841" s="10">
        <v>1</v>
      </c>
      <c r="O841" s="4" t="s">
        <v>27</v>
      </c>
      <c r="P841" s="11">
        <v>30</v>
      </c>
      <c r="Q841" s="9">
        <f>5020.8</f>
        <v>5020.8</v>
      </c>
    </row>
    <row r="842" spans="1:17" ht="45" customHeight="1" x14ac:dyDescent="0.25">
      <c r="A842" s="4" t="s">
        <v>20</v>
      </c>
      <c r="B842" s="5" t="s">
        <v>1657</v>
      </c>
      <c r="C842" s="4" t="s">
        <v>29</v>
      </c>
      <c r="D842" s="4" t="s">
        <v>677</v>
      </c>
      <c r="E842" s="4" t="s">
        <v>678</v>
      </c>
      <c r="F842" s="6">
        <f>1</f>
        <v>1</v>
      </c>
      <c r="G842" s="4" t="s">
        <v>46</v>
      </c>
      <c r="H842" s="7">
        <v>123.79</v>
      </c>
      <c r="I842" s="7">
        <v>123.79</v>
      </c>
      <c r="J842" s="8" t="s">
        <v>26</v>
      </c>
      <c r="K842" s="9">
        <f>155.6</f>
        <v>155.6</v>
      </c>
      <c r="L842" s="9">
        <f>155.6</f>
        <v>155.6</v>
      </c>
      <c r="M842" s="4"/>
      <c r="N842" s="10">
        <v>1</v>
      </c>
      <c r="O842" s="4" t="s">
        <v>27</v>
      </c>
      <c r="P842" s="11">
        <v>1</v>
      </c>
      <c r="Q842" s="9">
        <f>155.6</f>
        <v>155.6</v>
      </c>
    </row>
    <row r="843" spans="1:17" ht="45" customHeight="1" x14ac:dyDescent="0.25">
      <c r="A843" s="4" t="s">
        <v>20</v>
      </c>
      <c r="B843" s="5" t="s">
        <v>1658</v>
      </c>
      <c r="C843" s="4" t="s">
        <v>29</v>
      </c>
      <c r="D843" s="4" t="s">
        <v>680</v>
      </c>
      <c r="E843" s="4" t="s">
        <v>681</v>
      </c>
      <c r="F843" s="6">
        <f>4</f>
        <v>4</v>
      </c>
      <c r="G843" s="4" t="s">
        <v>46</v>
      </c>
      <c r="H843" s="7">
        <v>1040.4000000000001</v>
      </c>
      <c r="I843" s="7">
        <v>1040.4000000000001</v>
      </c>
      <c r="J843" s="8" t="s">
        <v>26</v>
      </c>
      <c r="K843" s="9">
        <f>1307.78</f>
        <v>1307.78</v>
      </c>
      <c r="L843" s="9">
        <f>5231.12</f>
        <v>5231.12</v>
      </c>
      <c r="M843" s="4"/>
      <c r="N843" s="10">
        <v>1</v>
      </c>
      <c r="O843" s="4" t="s">
        <v>27</v>
      </c>
      <c r="P843" s="11">
        <v>4</v>
      </c>
      <c r="Q843" s="9">
        <f>5231.12</f>
        <v>5231.12</v>
      </c>
    </row>
    <row r="844" spans="1:17" ht="45" customHeight="1" x14ac:dyDescent="0.25">
      <c r="A844" s="4" t="s">
        <v>20</v>
      </c>
      <c r="B844" s="5" t="s">
        <v>1659</v>
      </c>
      <c r="C844" s="4" t="s">
        <v>29</v>
      </c>
      <c r="D844" s="4" t="s">
        <v>683</v>
      </c>
      <c r="E844" s="4" t="s">
        <v>684</v>
      </c>
      <c r="F844" s="6">
        <f>4</f>
        <v>4</v>
      </c>
      <c r="G844" s="4" t="s">
        <v>46</v>
      </c>
      <c r="H844" s="7">
        <v>850.65</v>
      </c>
      <c r="I844" s="7">
        <v>850.65</v>
      </c>
      <c r="J844" s="8" t="s">
        <v>26</v>
      </c>
      <c r="K844" s="9">
        <f>1069.27</f>
        <v>1069.27</v>
      </c>
      <c r="L844" s="9">
        <f>4277.08</f>
        <v>4277.08</v>
      </c>
      <c r="M844" s="4"/>
      <c r="N844" s="10">
        <v>1</v>
      </c>
      <c r="O844" s="4" t="s">
        <v>27</v>
      </c>
      <c r="P844" s="11">
        <v>4</v>
      </c>
      <c r="Q844" s="9">
        <f>4277.08</f>
        <v>4277.08</v>
      </c>
    </row>
    <row r="845" spans="1:17" ht="45" customHeight="1" x14ac:dyDescent="0.25">
      <c r="A845" s="4" t="s">
        <v>20</v>
      </c>
      <c r="B845" s="5" t="s">
        <v>1660</v>
      </c>
      <c r="C845" s="4" t="s">
        <v>29</v>
      </c>
      <c r="D845" s="4" t="s">
        <v>1522</v>
      </c>
      <c r="E845" s="4" t="s">
        <v>1523</v>
      </c>
      <c r="F845" s="6">
        <f>1</f>
        <v>1</v>
      </c>
      <c r="G845" s="4" t="s">
        <v>46</v>
      </c>
      <c r="H845" s="7">
        <v>4670.09</v>
      </c>
      <c r="I845" s="7">
        <v>4670.09</v>
      </c>
      <c r="J845" s="8" t="s">
        <v>26</v>
      </c>
      <c r="K845" s="9">
        <f>5870.3</f>
        <v>5870.3</v>
      </c>
      <c r="L845" s="9">
        <f>5870.3</f>
        <v>5870.3</v>
      </c>
      <c r="M845" s="4"/>
      <c r="N845" s="10">
        <v>1</v>
      </c>
      <c r="O845" s="4" t="s">
        <v>27</v>
      </c>
      <c r="P845" s="11">
        <v>1</v>
      </c>
      <c r="Q845" s="9">
        <f>5870.3</f>
        <v>5870.3</v>
      </c>
    </row>
    <row r="846" spans="1:17" ht="45" customHeight="1" x14ac:dyDescent="0.25">
      <c r="A846" s="4" t="s">
        <v>20</v>
      </c>
      <c r="B846" s="5" t="s">
        <v>1661</v>
      </c>
      <c r="C846" s="4" t="s">
        <v>29</v>
      </c>
      <c r="D846" s="4" t="s">
        <v>686</v>
      </c>
      <c r="E846" s="4" t="s">
        <v>687</v>
      </c>
      <c r="F846" s="6">
        <f>4</f>
        <v>4</v>
      </c>
      <c r="G846" s="4" t="s">
        <v>46</v>
      </c>
      <c r="H846" s="7">
        <v>170.55</v>
      </c>
      <c r="I846" s="7">
        <v>170.55</v>
      </c>
      <c r="J846" s="8" t="s">
        <v>26</v>
      </c>
      <c r="K846" s="9">
        <f>214.38</f>
        <v>214.38</v>
      </c>
      <c r="L846" s="9">
        <f>857.52</f>
        <v>857.52</v>
      </c>
      <c r="M846" s="4"/>
      <c r="N846" s="10">
        <v>1</v>
      </c>
      <c r="O846" s="4" t="s">
        <v>27</v>
      </c>
      <c r="P846" s="11">
        <v>4</v>
      </c>
      <c r="Q846" s="9">
        <f>857.52</f>
        <v>857.52</v>
      </c>
    </row>
    <row r="847" spans="1:17" ht="45" customHeight="1" x14ac:dyDescent="0.25">
      <c r="A847" s="4" t="s">
        <v>20</v>
      </c>
      <c r="B847" s="5" t="s">
        <v>1662</v>
      </c>
      <c r="C847" s="4" t="s">
        <v>29</v>
      </c>
      <c r="D847" s="4" t="s">
        <v>1526</v>
      </c>
      <c r="E847" s="4" t="s">
        <v>1527</v>
      </c>
      <c r="F847" s="6">
        <f>3</f>
        <v>3</v>
      </c>
      <c r="G847" s="4" t="s">
        <v>46</v>
      </c>
      <c r="H847" s="7">
        <v>284.85000000000002</v>
      </c>
      <c r="I847" s="7">
        <v>284.85000000000002</v>
      </c>
      <c r="J847" s="8" t="s">
        <v>26</v>
      </c>
      <c r="K847" s="9">
        <f>358.06</f>
        <v>358.06</v>
      </c>
      <c r="L847" s="9">
        <f>1074.18</f>
        <v>1074.18</v>
      </c>
      <c r="M847" s="4"/>
      <c r="N847" s="10">
        <v>1</v>
      </c>
      <c r="O847" s="4" t="s">
        <v>27</v>
      </c>
      <c r="P847" s="11">
        <v>3</v>
      </c>
      <c r="Q847" s="9">
        <f>1074.18</f>
        <v>1074.18</v>
      </c>
    </row>
    <row r="848" spans="1:17" ht="45" customHeight="1" x14ac:dyDescent="0.25">
      <c r="A848" s="4" t="s">
        <v>20</v>
      </c>
      <c r="B848" s="5" t="s">
        <v>1663</v>
      </c>
      <c r="C848" s="4" t="s">
        <v>29</v>
      </c>
      <c r="D848" s="4" t="s">
        <v>1529</v>
      </c>
      <c r="E848" s="4" t="s">
        <v>1530</v>
      </c>
      <c r="F848" s="6">
        <f>2</f>
        <v>2</v>
      </c>
      <c r="G848" s="4" t="s">
        <v>46</v>
      </c>
      <c r="H848" s="7">
        <v>122.93</v>
      </c>
      <c r="I848" s="7">
        <v>122.93</v>
      </c>
      <c r="J848" s="8" t="s">
        <v>26</v>
      </c>
      <c r="K848" s="9">
        <f>154.52</f>
        <v>154.52000000000001</v>
      </c>
      <c r="L848" s="9">
        <f>309.04</f>
        <v>309.04000000000002</v>
      </c>
      <c r="M848" s="4"/>
      <c r="N848" s="10">
        <v>1</v>
      </c>
      <c r="O848" s="4" t="s">
        <v>27</v>
      </c>
      <c r="P848" s="11">
        <v>2</v>
      </c>
      <c r="Q848" s="9">
        <f>309.04</f>
        <v>309.04000000000002</v>
      </c>
    </row>
    <row r="849" spans="1:17" ht="45" customHeight="1" x14ac:dyDescent="0.25">
      <c r="A849" s="4" t="s">
        <v>20</v>
      </c>
      <c r="B849" s="5" t="s">
        <v>1664</v>
      </c>
      <c r="C849" s="4" t="s">
        <v>29</v>
      </c>
      <c r="D849" s="4" t="s">
        <v>695</v>
      </c>
      <c r="E849" s="4" t="s">
        <v>696</v>
      </c>
      <c r="F849" s="6">
        <f>2</f>
        <v>2</v>
      </c>
      <c r="G849" s="4" t="s">
        <v>46</v>
      </c>
      <c r="H849" s="7">
        <v>1270.33</v>
      </c>
      <c r="I849" s="7">
        <v>1270.33</v>
      </c>
      <c r="J849" s="8" t="s">
        <v>26</v>
      </c>
      <c r="K849" s="9">
        <f>1596.8</f>
        <v>1596.8</v>
      </c>
      <c r="L849" s="9">
        <f>3193.6</f>
        <v>3193.6</v>
      </c>
      <c r="M849" s="4"/>
      <c r="N849" s="10">
        <v>1</v>
      </c>
      <c r="O849" s="4" t="s">
        <v>27</v>
      </c>
      <c r="P849" s="11">
        <v>2</v>
      </c>
      <c r="Q849" s="9">
        <f>3193.6</f>
        <v>3193.6</v>
      </c>
    </row>
    <row r="850" spans="1:17" ht="45" customHeight="1" x14ac:dyDescent="0.25">
      <c r="A850" s="4" t="s">
        <v>20</v>
      </c>
      <c r="B850" s="5" t="s">
        <v>1665</v>
      </c>
      <c r="C850" s="4" t="s">
        <v>29</v>
      </c>
      <c r="D850" s="4" t="s">
        <v>1533</v>
      </c>
      <c r="E850" s="4" t="s">
        <v>1534</v>
      </c>
      <c r="F850" s="6">
        <f>30</f>
        <v>30</v>
      </c>
      <c r="G850" s="4" t="s">
        <v>96</v>
      </c>
      <c r="H850" s="7">
        <v>40.57</v>
      </c>
      <c r="I850" s="7">
        <v>40.57</v>
      </c>
      <c r="J850" s="8" t="s">
        <v>26</v>
      </c>
      <c r="K850" s="9">
        <f>51</f>
        <v>51</v>
      </c>
      <c r="L850" s="9">
        <f>1530</f>
        <v>1530</v>
      </c>
      <c r="M850" s="4"/>
      <c r="N850" s="10">
        <v>1</v>
      </c>
      <c r="O850" s="4" t="s">
        <v>27</v>
      </c>
      <c r="P850" s="11">
        <v>30</v>
      </c>
      <c r="Q850" s="9">
        <f>1530</f>
        <v>1530</v>
      </c>
    </row>
    <row r="851" spans="1:17" ht="45" customHeight="1" x14ac:dyDescent="0.25">
      <c r="A851" s="4" t="s">
        <v>20</v>
      </c>
      <c r="B851" s="5" t="s">
        <v>1666</v>
      </c>
      <c r="C851" s="4" t="s">
        <v>29</v>
      </c>
      <c r="D851" s="4" t="s">
        <v>698</v>
      </c>
      <c r="E851" s="4" t="s">
        <v>699</v>
      </c>
      <c r="F851" s="6">
        <f>25</f>
        <v>25</v>
      </c>
      <c r="G851" s="4" t="s">
        <v>96</v>
      </c>
      <c r="H851" s="7">
        <v>104.87</v>
      </c>
      <c r="I851" s="7">
        <v>104.87</v>
      </c>
      <c r="J851" s="8" t="s">
        <v>26</v>
      </c>
      <c r="K851" s="9">
        <f>131.82</f>
        <v>131.82</v>
      </c>
      <c r="L851" s="9">
        <f>3295.5</f>
        <v>3295.5</v>
      </c>
      <c r="M851" s="4"/>
      <c r="N851" s="10">
        <v>1</v>
      </c>
      <c r="O851" s="4" t="s">
        <v>27</v>
      </c>
      <c r="P851" s="11">
        <v>25</v>
      </c>
      <c r="Q851" s="9">
        <f>3295.5</f>
        <v>3295.5</v>
      </c>
    </row>
    <row r="852" spans="1:17" ht="45" customHeight="1" x14ac:dyDescent="0.25">
      <c r="A852" s="4" t="s">
        <v>20</v>
      </c>
      <c r="B852" s="5" t="s">
        <v>1667</v>
      </c>
      <c r="C852" s="4" t="s">
        <v>29</v>
      </c>
      <c r="D852" s="4" t="s">
        <v>1537</v>
      </c>
      <c r="E852" s="4" t="s">
        <v>1538</v>
      </c>
      <c r="F852" s="6">
        <f>10</f>
        <v>10</v>
      </c>
      <c r="G852" s="4" t="s">
        <v>96</v>
      </c>
      <c r="H852" s="7">
        <v>147.96</v>
      </c>
      <c r="I852" s="7">
        <v>147.96</v>
      </c>
      <c r="J852" s="8" t="s">
        <v>26</v>
      </c>
      <c r="K852" s="9">
        <f>185.99</f>
        <v>185.99</v>
      </c>
      <c r="L852" s="9">
        <f>1859.9</f>
        <v>1859.9</v>
      </c>
      <c r="M852" s="4"/>
      <c r="N852" s="10">
        <v>1</v>
      </c>
      <c r="O852" s="4" t="s">
        <v>27</v>
      </c>
      <c r="P852" s="11">
        <v>10</v>
      </c>
      <c r="Q852" s="9">
        <f>1859.9</f>
        <v>1859.9</v>
      </c>
    </row>
    <row r="853" spans="1:17" ht="45" customHeight="1" x14ac:dyDescent="0.25">
      <c r="A853" s="4" t="s">
        <v>20</v>
      </c>
      <c r="B853" s="5" t="s">
        <v>1668</v>
      </c>
      <c r="C853" s="4" t="s">
        <v>29</v>
      </c>
      <c r="D853" s="4" t="s">
        <v>706</v>
      </c>
      <c r="E853" s="4" t="s">
        <v>707</v>
      </c>
      <c r="F853" s="6">
        <f>13</f>
        <v>13</v>
      </c>
      <c r="G853" s="4" t="s">
        <v>46</v>
      </c>
      <c r="H853" s="7">
        <v>29.25</v>
      </c>
      <c r="I853" s="7">
        <v>29.25</v>
      </c>
      <c r="J853" s="8" t="s">
        <v>26</v>
      </c>
      <c r="K853" s="9">
        <f>36.77</f>
        <v>36.770000000000003</v>
      </c>
      <c r="L853" s="9">
        <f>478.01</f>
        <v>478.01</v>
      </c>
      <c r="M853" s="4"/>
      <c r="N853" s="10">
        <v>1</v>
      </c>
      <c r="O853" s="4" t="s">
        <v>27</v>
      </c>
      <c r="P853" s="11">
        <v>13</v>
      </c>
      <c r="Q853" s="9">
        <f>478.01</f>
        <v>478.01</v>
      </c>
    </row>
    <row r="854" spans="1:17" ht="45" customHeight="1" x14ac:dyDescent="0.25">
      <c r="A854" s="4" t="s">
        <v>20</v>
      </c>
      <c r="B854" s="5" t="s">
        <v>1669</v>
      </c>
      <c r="C854" s="4" t="s">
        <v>63</v>
      </c>
      <c r="D854" s="4" t="s">
        <v>709</v>
      </c>
      <c r="E854" s="4" t="s">
        <v>710</v>
      </c>
      <c r="F854" s="6">
        <f>10</f>
        <v>10</v>
      </c>
      <c r="G854" s="4" t="s">
        <v>96</v>
      </c>
      <c r="H854" s="7">
        <v>5.0599999999999996</v>
      </c>
      <c r="I854" s="7">
        <v>5.0599999999999996</v>
      </c>
      <c r="J854" s="8" t="s">
        <v>26</v>
      </c>
      <c r="K854" s="9">
        <f>6.36</f>
        <v>6.36</v>
      </c>
      <c r="L854" s="9">
        <f>63.6</f>
        <v>63.6</v>
      </c>
      <c r="M854" s="4"/>
      <c r="N854" s="10">
        <v>1</v>
      </c>
      <c r="O854" s="4" t="s">
        <v>27</v>
      </c>
      <c r="P854" s="11">
        <v>10</v>
      </c>
      <c r="Q854" s="9">
        <f>63.6</f>
        <v>63.6</v>
      </c>
    </row>
    <row r="855" spans="1:17" ht="45" customHeight="1" x14ac:dyDescent="0.25">
      <c r="A855" s="4" t="s">
        <v>20</v>
      </c>
      <c r="B855" s="5" t="s">
        <v>1670</v>
      </c>
      <c r="C855" s="4" t="s">
        <v>63</v>
      </c>
      <c r="D855" s="4" t="s">
        <v>712</v>
      </c>
      <c r="E855" s="4" t="s">
        <v>713</v>
      </c>
      <c r="F855" s="6">
        <f>10</f>
        <v>10</v>
      </c>
      <c r="G855" s="4" t="s">
        <v>46</v>
      </c>
      <c r="H855" s="7">
        <v>57.04</v>
      </c>
      <c r="I855" s="7">
        <v>57.04</v>
      </c>
      <c r="J855" s="8" t="s">
        <v>26</v>
      </c>
      <c r="K855" s="9">
        <f>71.7</f>
        <v>71.7</v>
      </c>
      <c r="L855" s="9">
        <f>717</f>
        <v>717</v>
      </c>
      <c r="M855" s="4"/>
      <c r="N855" s="10">
        <v>1</v>
      </c>
      <c r="O855" s="4" t="s">
        <v>27</v>
      </c>
      <c r="P855" s="11">
        <v>10</v>
      </c>
      <c r="Q855" s="9">
        <f>717</f>
        <v>717</v>
      </c>
    </row>
    <row r="856" spans="1:17" ht="45" customHeight="1" x14ac:dyDescent="0.25">
      <c r="A856" s="4" t="s">
        <v>20</v>
      </c>
      <c r="B856" s="5" t="s">
        <v>1671</v>
      </c>
      <c r="C856" s="4" t="s">
        <v>63</v>
      </c>
      <c r="D856" s="4" t="s">
        <v>298</v>
      </c>
      <c r="E856" s="4" t="s">
        <v>299</v>
      </c>
      <c r="F856" s="6">
        <f>35</f>
        <v>35</v>
      </c>
      <c r="G856" s="4" t="s">
        <v>46</v>
      </c>
      <c r="H856" s="7">
        <v>18.489999999999998</v>
      </c>
      <c r="I856" s="7">
        <v>18.489999999999998</v>
      </c>
      <c r="J856" s="8" t="s">
        <v>26</v>
      </c>
      <c r="K856" s="9">
        <f>23.24</f>
        <v>23.24</v>
      </c>
      <c r="L856" s="9">
        <f>813.4</f>
        <v>813.4</v>
      </c>
      <c r="M856" s="4"/>
      <c r="N856" s="10">
        <v>1</v>
      </c>
      <c r="O856" s="4" t="s">
        <v>27</v>
      </c>
      <c r="P856" s="11">
        <v>35</v>
      </c>
      <c r="Q856" s="9">
        <f>813.4</f>
        <v>813.4</v>
      </c>
    </row>
    <row r="857" spans="1:17" ht="45" customHeight="1" x14ac:dyDescent="0.25">
      <c r="A857" s="4" t="s">
        <v>20</v>
      </c>
      <c r="B857" s="5" t="s">
        <v>1672</v>
      </c>
      <c r="C857" s="4" t="s">
        <v>29</v>
      </c>
      <c r="D857" s="4" t="s">
        <v>725</v>
      </c>
      <c r="E857" s="4" t="s">
        <v>726</v>
      </c>
      <c r="F857" s="6">
        <f>5</f>
        <v>5</v>
      </c>
      <c r="G857" s="4" t="s">
        <v>46</v>
      </c>
      <c r="H857" s="7">
        <v>21.67</v>
      </c>
      <c r="I857" s="7">
        <v>21.67</v>
      </c>
      <c r="J857" s="8" t="s">
        <v>122</v>
      </c>
      <c r="K857" s="9">
        <f>25.8</f>
        <v>25.8</v>
      </c>
      <c r="L857" s="9">
        <f>129</f>
        <v>129</v>
      </c>
      <c r="M857" s="4"/>
      <c r="N857" s="10">
        <v>1</v>
      </c>
      <c r="O857" s="4" t="s">
        <v>27</v>
      </c>
      <c r="P857" s="11">
        <v>5</v>
      </c>
      <c r="Q857" s="9">
        <f>129</f>
        <v>129</v>
      </c>
    </row>
    <row r="858" spans="1:17" ht="45" customHeight="1" x14ac:dyDescent="0.25">
      <c r="A858" s="4" t="s">
        <v>20</v>
      </c>
      <c r="B858" s="5" t="s">
        <v>1673</v>
      </c>
      <c r="C858" s="4" t="s">
        <v>29</v>
      </c>
      <c r="D858" s="4" t="s">
        <v>1545</v>
      </c>
      <c r="E858" s="4" t="s">
        <v>1546</v>
      </c>
      <c r="F858" s="6">
        <f>2</f>
        <v>2</v>
      </c>
      <c r="G858" s="4" t="s">
        <v>46</v>
      </c>
      <c r="H858" s="7">
        <v>50000</v>
      </c>
      <c r="I858" s="7">
        <v>50000</v>
      </c>
      <c r="J858" s="8" t="s">
        <v>122</v>
      </c>
      <c r="K858" s="9">
        <f>59525</f>
        <v>59525</v>
      </c>
      <c r="L858" s="9">
        <f>119050</f>
        <v>119050</v>
      </c>
      <c r="M858" s="4"/>
      <c r="N858" s="10">
        <v>1</v>
      </c>
      <c r="O858" s="4" t="s">
        <v>27</v>
      </c>
      <c r="P858" s="11">
        <v>2</v>
      </c>
      <c r="Q858" s="9">
        <f>119050</f>
        <v>119050</v>
      </c>
    </row>
    <row r="859" spans="1:17" ht="45" customHeight="1" x14ac:dyDescent="0.25">
      <c r="A859" s="4" t="s">
        <v>20</v>
      </c>
      <c r="B859" s="5" t="s">
        <v>1674</v>
      </c>
      <c r="C859" s="4" t="s">
        <v>29</v>
      </c>
      <c r="D859" s="4" t="s">
        <v>1548</v>
      </c>
      <c r="E859" s="4" t="s">
        <v>1549</v>
      </c>
      <c r="F859" s="6">
        <f>1</f>
        <v>1</v>
      </c>
      <c r="G859" s="4" t="s">
        <v>46</v>
      </c>
      <c r="H859" s="7">
        <v>59500</v>
      </c>
      <c r="I859" s="7">
        <v>59500</v>
      </c>
      <c r="J859" s="8" t="s">
        <v>122</v>
      </c>
      <c r="K859" s="9">
        <f>70834.75</f>
        <v>70834.75</v>
      </c>
      <c r="L859" s="9">
        <f>70834.75</f>
        <v>70834.75</v>
      </c>
      <c r="M859" s="4"/>
      <c r="N859" s="10">
        <v>1</v>
      </c>
      <c r="O859" s="4" t="s">
        <v>27</v>
      </c>
      <c r="P859" s="11">
        <v>1</v>
      </c>
      <c r="Q859" s="9">
        <f>70834.75</f>
        <v>70834.75</v>
      </c>
    </row>
    <row r="860" spans="1:17" ht="45" customHeight="1" x14ac:dyDescent="0.25">
      <c r="A860" s="4" t="s">
        <v>20</v>
      </c>
      <c r="B860" s="5" t="s">
        <v>1675</v>
      </c>
      <c r="C860" s="4" t="s">
        <v>29</v>
      </c>
      <c r="D860" s="4" t="s">
        <v>1551</v>
      </c>
      <c r="E860" s="4" t="s">
        <v>1552</v>
      </c>
      <c r="F860" s="6">
        <f>1</f>
        <v>1</v>
      </c>
      <c r="G860" s="4" t="s">
        <v>46</v>
      </c>
      <c r="H860" s="7">
        <v>23200</v>
      </c>
      <c r="I860" s="7">
        <v>23200</v>
      </c>
      <c r="J860" s="8" t="s">
        <v>122</v>
      </c>
      <c r="K860" s="9">
        <f>27619.6</f>
        <v>27619.599999999999</v>
      </c>
      <c r="L860" s="9">
        <f>27619.6</f>
        <v>27619.599999999999</v>
      </c>
      <c r="M860" s="4"/>
      <c r="N860" s="10">
        <v>1</v>
      </c>
      <c r="O860" s="4" t="s">
        <v>27</v>
      </c>
      <c r="P860" s="11">
        <v>1</v>
      </c>
      <c r="Q860" s="9">
        <f>27619.6</f>
        <v>27619.599999999999</v>
      </c>
    </row>
    <row r="861" spans="1:17" ht="45" customHeight="1" x14ac:dyDescent="0.25">
      <c r="A861" s="4" t="s">
        <v>20</v>
      </c>
      <c r="B861" s="5" t="s">
        <v>1676</v>
      </c>
      <c r="C861" s="4" t="s">
        <v>29</v>
      </c>
      <c r="D861" s="4" t="s">
        <v>310</v>
      </c>
      <c r="E861" s="4" t="s">
        <v>311</v>
      </c>
      <c r="F861" s="6">
        <f>1</f>
        <v>1</v>
      </c>
      <c r="G861" s="4" t="s">
        <v>46</v>
      </c>
      <c r="H861" s="7">
        <v>1799.34</v>
      </c>
      <c r="I861" s="7">
        <v>1799.34</v>
      </c>
      <c r="J861" s="8" t="s">
        <v>122</v>
      </c>
      <c r="K861" s="9">
        <f>2142.11</f>
        <v>2142.11</v>
      </c>
      <c r="L861" s="9">
        <f>2142.11</f>
        <v>2142.11</v>
      </c>
      <c r="M861" s="4"/>
      <c r="N861" s="10">
        <v>1</v>
      </c>
      <c r="O861" s="4" t="s">
        <v>27</v>
      </c>
      <c r="P861" s="11">
        <v>1</v>
      </c>
      <c r="Q861" s="9">
        <f>2142.11</f>
        <v>2142.11</v>
      </c>
    </row>
    <row r="862" spans="1:17" ht="45" customHeight="1" x14ac:dyDescent="0.25">
      <c r="A862" s="4" t="s">
        <v>17</v>
      </c>
      <c r="B862" s="5" t="s">
        <v>1677</v>
      </c>
      <c r="C862" s="4"/>
      <c r="D862" s="4"/>
      <c r="E862" s="4" t="s">
        <v>1678</v>
      </c>
      <c r="F862" s="6"/>
      <c r="G862" s="4"/>
      <c r="H862" s="7"/>
      <c r="I862" s="7"/>
      <c r="J862" s="8"/>
      <c r="K862" s="9"/>
      <c r="L862" s="9">
        <f>127334.7</f>
        <v>127334.7</v>
      </c>
      <c r="M862" s="4"/>
      <c r="N862" s="10"/>
      <c r="O862" s="4"/>
      <c r="P862" s="11"/>
      <c r="Q862" s="9"/>
    </row>
    <row r="863" spans="1:17" ht="45" customHeight="1" x14ac:dyDescent="0.25">
      <c r="A863" s="4" t="s">
        <v>20</v>
      </c>
      <c r="B863" s="5" t="s">
        <v>1679</v>
      </c>
      <c r="C863" s="4" t="s">
        <v>29</v>
      </c>
      <c r="D863" s="4" t="s">
        <v>60</v>
      </c>
      <c r="E863" s="4" t="s">
        <v>61</v>
      </c>
      <c r="F863" s="6">
        <f>14.5</f>
        <v>14.5</v>
      </c>
      <c r="G863" s="4" t="s">
        <v>25</v>
      </c>
      <c r="H863" s="7">
        <v>5.8</v>
      </c>
      <c r="I863" s="7">
        <v>5.8</v>
      </c>
      <c r="J863" s="8" t="s">
        <v>26</v>
      </c>
      <c r="K863" s="9">
        <f>7.29</f>
        <v>7.29</v>
      </c>
      <c r="L863" s="9">
        <f>105.71</f>
        <v>105.71</v>
      </c>
      <c r="M863" s="4"/>
      <c r="N863" s="10">
        <v>1</v>
      </c>
      <c r="O863" s="4" t="s">
        <v>27</v>
      </c>
      <c r="P863" s="11">
        <v>14.5</v>
      </c>
      <c r="Q863" s="9">
        <f>105.71</f>
        <v>105.71</v>
      </c>
    </row>
    <row r="864" spans="1:17" ht="45" customHeight="1" x14ac:dyDescent="0.25">
      <c r="A864" s="4" t="s">
        <v>20</v>
      </c>
      <c r="B864" s="5" t="s">
        <v>1680</v>
      </c>
      <c r="C864" s="4" t="s">
        <v>29</v>
      </c>
      <c r="D864" s="4" t="s">
        <v>1347</v>
      </c>
      <c r="E864" s="4" t="s">
        <v>1348</v>
      </c>
      <c r="F864" s="6">
        <f>2.5</f>
        <v>2.5</v>
      </c>
      <c r="G864" s="4" t="s">
        <v>25</v>
      </c>
      <c r="H864" s="7">
        <v>741.01</v>
      </c>
      <c r="I864" s="7">
        <v>741.01</v>
      </c>
      <c r="J864" s="8" t="s">
        <v>26</v>
      </c>
      <c r="K864" s="9">
        <f>931.45</f>
        <v>931.45</v>
      </c>
      <c r="L864" s="9">
        <f>2328.63</f>
        <v>2328.63</v>
      </c>
      <c r="M864" s="4"/>
      <c r="N864" s="10">
        <v>1</v>
      </c>
      <c r="O864" s="4" t="s">
        <v>27</v>
      </c>
      <c r="P864" s="11">
        <v>2.5</v>
      </c>
      <c r="Q864" s="9">
        <f>2328.63</f>
        <v>2328.63</v>
      </c>
    </row>
    <row r="865" spans="1:17" ht="45" customHeight="1" x14ac:dyDescent="0.25">
      <c r="A865" s="4" t="s">
        <v>20</v>
      </c>
      <c r="B865" s="5" t="s">
        <v>1681</v>
      </c>
      <c r="C865" s="4" t="s">
        <v>63</v>
      </c>
      <c r="D865" s="4" t="s">
        <v>1350</v>
      </c>
      <c r="E865" s="4" t="s">
        <v>1351</v>
      </c>
      <c r="F865" s="6">
        <f>2.5</f>
        <v>2.5</v>
      </c>
      <c r="G865" s="4" t="s">
        <v>25</v>
      </c>
      <c r="H865" s="7">
        <v>354.3</v>
      </c>
      <c r="I865" s="7">
        <v>354.3</v>
      </c>
      <c r="J865" s="8" t="s">
        <v>26</v>
      </c>
      <c r="K865" s="9">
        <f>445.36</f>
        <v>445.36</v>
      </c>
      <c r="L865" s="9">
        <f>1113.4</f>
        <v>1113.4000000000001</v>
      </c>
      <c r="M865" s="4"/>
      <c r="N865" s="10">
        <v>1</v>
      </c>
      <c r="O865" s="4" t="s">
        <v>27</v>
      </c>
      <c r="P865" s="11">
        <v>2.5</v>
      </c>
      <c r="Q865" s="9">
        <f>1113.4</f>
        <v>1113.4000000000001</v>
      </c>
    </row>
    <row r="866" spans="1:17" ht="45" customHeight="1" x14ac:dyDescent="0.25">
      <c r="A866" s="4" t="s">
        <v>20</v>
      </c>
      <c r="B866" s="5" t="s">
        <v>1682</v>
      </c>
      <c r="C866" s="4" t="s">
        <v>63</v>
      </c>
      <c r="D866" s="4" t="s">
        <v>316</v>
      </c>
      <c r="E866" s="4" t="s">
        <v>317</v>
      </c>
      <c r="F866" s="6">
        <f>41</f>
        <v>41</v>
      </c>
      <c r="G866" s="4" t="s">
        <v>25</v>
      </c>
      <c r="H866" s="7">
        <v>62.33</v>
      </c>
      <c r="I866" s="7">
        <v>62.33</v>
      </c>
      <c r="J866" s="8" t="s">
        <v>26</v>
      </c>
      <c r="K866" s="9">
        <f>78.35</f>
        <v>78.349999999999994</v>
      </c>
      <c r="L866" s="9">
        <f>3212.35</f>
        <v>3212.35</v>
      </c>
      <c r="M866" s="4"/>
      <c r="N866" s="10">
        <v>1</v>
      </c>
      <c r="O866" s="4" t="s">
        <v>27</v>
      </c>
      <c r="P866" s="11">
        <v>41</v>
      </c>
      <c r="Q866" s="9">
        <f>3212.35</f>
        <v>3212.35</v>
      </c>
    </row>
    <row r="867" spans="1:17" ht="45" customHeight="1" x14ac:dyDescent="0.25">
      <c r="A867" s="4" t="s">
        <v>20</v>
      </c>
      <c r="B867" s="5" t="s">
        <v>1683</v>
      </c>
      <c r="C867" s="4" t="s">
        <v>63</v>
      </c>
      <c r="D867" s="4" t="s">
        <v>319</v>
      </c>
      <c r="E867" s="4" t="s">
        <v>320</v>
      </c>
      <c r="F867" s="6">
        <f>105</f>
        <v>105</v>
      </c>
      <c r="G867" s="4" t="s">
        <v>25</v>
      </c>
      <c r="H867" s="7">
        <v>5.09</v>
      </c>
      <c r="I867" s="7">
        <v>5.09</v>
      </c>
      <c r="J867" s="8" t="s">
        <v>26</v>
      </c>
      <c r="K867" s="9">
        <f>6.4</f>
        <v>6.4</v>
      </c>
      <c r="L867" s="9">
        <f>672</f>
        <v>672</v>
      </c>
      <c r="M867" s="4"/>
      <c r="N867" s="10">
        <v>1</v>
      </c>
      <c r="O867" s="4" t="s">
        <v>27</v>
      </c>
      <c r="P867" s="11">
        <v>105</v>
      </c>
      <c r="Q867" s="9">
        <f>672</f>
        <v>672</v>
      </c>
    </row>
    <row r="868" spans="1:17" ht="45" customHeight="1" x14ac:dyDescent="0.25">
      <c r="A868" s="4" t="s">
        <v>20</v>
      </c>
      <c r="B868" s="5" t="s">
        <v>1684</v>
      </c>
      <c r="C868" s="4" t="s">
        <v>63</v>
      </c>
      <c r="D868" s="4" t="s">
        <v>328</v>
      </c>
      <c r="E868" s="4" t="s">
        <v>329</v>
      </c>
      <c r="F868" s="6">
        <f>105</f>
        <v>105</v>
      </c>
      <c r="G868" s="4" t="s">
        <v>25</v>
      </c>
      <c r="H868" s="7">
        <v>11.95</v>
      </c>
      <c r="I868" s="7">
        <v>11.95</v>
      </c>
      <c r="J868" s="8" t="s">
        <v>26</v>
      </c>
      <c r="K868" s="9">
        <f>15.02</f>
        <v>15.02</v>
      </c>
      <c r="L868" s="9">
        <f>1577.1</f>
        <v>1577.1</v>
      </c>
      <c r="M868" s="4"/>
      <c r="N868" s="10">
        <v>1</v>
      </c>
      <c r="O868" s="4" t="s">
        <v>27</v>
      </c>
      <c r="P868" s="11">
        <v>105</v>
      </c>
      <c r="Q868" s="9">
        <f>1577.1</f>
        <v>1577.1</v>
      </c>
    </row>
    <row r="869" spans="1:17" ht="45" customHeight="1" x14ac:dyDescent="0.25">
      <c r="A869" s="4" t="s">
        <v>20</v>
      </c>
      <c r="B869" s="5" t="s">
        <v>1685</v>
      </c>
      <c r="C869" s="4" t="s">
        <v>63</v>
      </c>
      <c r="D869" s="4" t="s">
        <v>1356</v>
      </c>
      <c r="E869" s="4" t="s">
        <v>1357</v>
      </c>
      <c r="F869" s="6">
        <f>3</f>
        <v>3</v>
      </c>
      <c r="G869" s="4" t="s">
        <v>25</v>
      </c>
      <c r="H869" s="7">
        <v>670.73</v>
      </c>
      <c r="I869" s="7">
        <v>670.73</v>
      </c>
      <c r="J869" s="8" t="s">
        <v>26</v>
      </c>
      <c r="K869" s="9">
        <f>843.11</f>
        <v>843.11</v>
      </c>
      <c r="L869" s="9">
        <f>2529.33</f>
        <v>2529.33</v>
      </c>
      <c r="M869" s="4"/>
      <c r="N869" s="10">
        <v>1</v>
      </c>
      <c r="O869" s="4" t="s">
        <v>27</v>
      </c>
      <c r="P869" s="11">
        <v>3</v>
      </c>
      <c r="Q869" s="9">
        <f>2529.33</f>
        <v>2529.33</v>
      </c>
    </row>
    <row r="870" spans="1:17" ht="45" customHeight="1" x14ac:dyDescent="0.25">
      <c r="A870" s="4" t="s">
        <v>20</v>
      </c>
      <c r="B870" s="5" t="s">
        <v>1686</v>
      </c>
      <c r="C870" s="4" t="s">
        <v>63</v>
      </c>
      <c r="D870" s="4" t="s">
        <v>322</v>
      </c>
      <c r="E870" s="4" t="s">
        <v>323</v>
      </c>
      <c r="F870" s="6">
        <f>105</f>
        <v>105</v>
      </c>
      <c r="G870" s="4" t="s">
        <v>25</v>
      </c>
      <c r="H870" s="7">
        <v>9.6300000000000008</v>
      </c>
      <c r="I870" s="7">
        <v>9.6300000000000008</v>
      </c>
      <c r="J870" s="8" t="s">
        <v>26</v>
      </c>
      <c r="K870" s="9">
        <f>12.1</f>
        <v>12.1</v>
      </c>
      <c r="L870" s="9">
        <f>1270.5</f>
        <v>1270.5</v>
      </c>
      <c r="M870" s="4"/>
      <c r="N870" s="10">
        <v>1</v>
      </c>
      <c r="O870" s="4" t="s">
        <v>27</v>
      </c>
      <c r="P870" s="11">
        <v>105</v>
      </c>
      <c r="Q870" s="9">
        <f>1270.5</f>
        <v>1270.5</v>
      </c>
    </row>
    <row r="871" spans="1:17" ht="45" customHeight="1" x14ac:dyDescent="0.25">
      <c r="A871" s="4" t="s">
        <v>20</v>
      </c>
      <c r="B871" s="5" t="s">
        <v>1687</v>
      </c>
      <c r="C871" s="4" t="s">
        <v>29</v>
      </c>
      <c r="D871" s="4" t="s">
        <v>1360</v>
      </c>
      <c r="E871" s="4" t="s">
        <v>1361</v>
      </c>
      <c r="F871" s="6">
        <f>5.5</f>
        <v>5.5</v>
      </c>
      <c r="G871" s="4" t="s">
        <v>25</v>
      </c>
      <c r="H871" s="7">
        <v>28.98</v>
      </c>
      <c r="I871" s="7">
        <v>28.98</v>
      </c>
      <c r="J871" s="8" t="s">
        <v>26</v>
      </c>
      <c r="K871" s="9">
        <f>36.43</f>
        <v>36.43</v>
      </c>
      <c r="L871" s="9">
        <f>200.37</f>
        <v>200.37</v>
      </c>
      <c r="M871" s="4"/>
      <c r="N871" s="10">
        <v>1</v>
      </c>
      <c r="O871" s="4" t="s">
        <v>27</v>
      </c>
      <c r="P871" s="11">
        <v>5.5</v>
      </c>
      <c r="Q871" s="9">
        <f>200.37</f>
        <v>200.37</v>
      </c>
    </row>
    <row r="872" spans="1:17" ht="45" customHeight="1" x14ac:dyDescent="0.25">
      <c r="A872" s="4" t="s">
        <v>20</v>
      </c>
      <c r="B872" s="5" t="s">
        <v>1688</v>
      </c>
      <c r="C872" s="4" t="s">
        <v>63</v>
      </c>
      <c r="D872" s="4" t="s">
        <v>340</v>
      </c>
      <c r="E872" s="4" t="s">
        <v>341</v>
      </c>
      <c r="F872" s="6">
        <f>9</f>
        <v>9</v>
      </c>
      <c r="G872" s="4" t="s">
        <v>25</v>
      </c>
      <c r="H872" s="7">
        <v>53.01</v>
      </c>
      <c r="I872" s="7">
        <v>53.01</v>
      </c>
      <c r="J872" s="8" t="s">
        <v>26</v>
      </c>
      <c r="K872" s="9">
        <f>66.63</f>
        <v>66.63</v>
      </c>
      <c r="L872" s="9">
        <f>599.67</f>
        <v>599.66999999999996</v>
      </c>
      <c r="M872" s="4"/>
      <c r="N872" s="10">
        <v>1</v>
      </c>
      <c r="O872" s="4" t="s">
        <v>27</v>
      </c>
      <c r="P872" s="11">
        <v>9</v>
      </c>
      <c r="Q872" s="9">
        <f>599.67</f>
        <v>599.66999999999996</v>
      </c>
    </row>
    <row r="873" spans="1:17" ht="45" customHeight="1" x14ac:dyDescent="0.25">
      <c r="A873" s="4" t="s">
        <v>20</v>
      </c>
      <c r="B873" s="5" t="s">
        <v>1689</v>
      </c>
      <c r="C873" s="4" t="s">
        <v>63</v>
      </c>
      <c r="D873" s="4" t="s">
        <v>334</v>
      </c>
      <c r="E873" s="4" t="s">
        <v>335</v>
      </c>
      <c r="F873" s="6">
        <f>28</f>
        <v>28</v>
      </c>
      <c r="G873" s="4" t="s">
        <v>25</v>
      </c>
      <c r="H873" s="7">
        <v>101.28</v>
      </c>
      <c r="I873" s="7">
        <v>101.28</v>
      </c>
      <c r="J873" s="8" t="s">
        <v>26</v>
      </c>
      <c r="K873" s="9">
        <f>127.31</f>
        <v>127.31</v>
      </c>
      <c r="L873" s="9">
        <f>3564.68</f>
        <v>3564.68</v>
      </c>
      <c r="M873" s="4"/>
      <c r="N873" s="10">
        <v>1</v>
      </c>
      <c r="O873" s="4" t="s">
        <v>27</v>
      </c>
      <c r="P873" s="11">
        <v>28</v>
      </c>
      <c r="Q873" s="9">
        <f>3564.68</f>
        <v>3564.68</v>
      </c>
    </row>
    <row r="874" spans="1:17" ht="45" customHeight="1" x14ac:dyDescent="0.25">
      <c r="A874" s="4" t="s">
        <v>20</v>
      </c>
      <c r="B874" s="5" t="s">
        <v>1690</v>
      </c>
      <c r="C874" s="4" t="s">
        <v>29</v>
      </c>
      <c r="D874" s="4" t="s">
        <v>1365</v>
      </c>
      <c r="E874" s="4" t="s">
        <v>1366</v>
      </c>
      <c r="F874" s="6">
        <f>5.5</f>
        <v>5.5</v>
      </c>
      <c r="G874" s="4" t="s">
        <v>25</v>
      </c>
      <c r="H874" s="7">
        <v>675.65</v>
      </c>
      <c r="I874" s="7">
        <v>675.65</v>
      </c>
      <c r="J874" s="8" t="s">
        <v>26</v>
      </c>
      <c r="K874" s="9">
        <f>849.29</f>
        <v>849.29</v>
      </c>
      <c r="L874" s="9">
        <f>4671.1</f>
        <v>4671.1000000000004</v>
      </c>
      <c r="M874" s="4"/>
      <c r="N874" s="10">
        <v>1</v>
      </c>
      <c r="O874" s="4" t="s">
        <v>27</v>
      </c>
      <c r="P874" s="11">
        <v>5.5</v>
      </c>
      <c r="Q874" s="9">
        <f>4671.1</f>
        <v>4671.1000000000004</v>
      </c>
    </row>
    <row r="875" spans="1:17" ht="45" customHeight="1" x14ac:dyDescent="0.25">
      <c r="A875" s="4" t="s">
        <v>20</v>
      </c>
      <c r="B875" s="5" t="s">
        <v>1691</v>
      </c>
      <c r="C875" s="4" t="s">
        <v>63</v>
      </c>
      <c r="D875" s="4" t="s">
        <v>1368</v>
      </c>
      <c r="E875" s="4" t="s">
        <v>1369</v>
      </c>
      <c r="F875" s="6">
        <f>0.5</f>
        <v>0.5</v>
      </c>
      <c r="G875" s="4" t="s">
        <v>96</v>
      </c>
      <c r="H875" s="7">
        <v>115.34</v>
      </c>
      <c r="I875" s="7">
        <v>115.34</v>
      </c>
      <c r="J875" s="8" t="s">
        <v>26</v>
      </c>
      <c r="K875" s="9">
        <f>144.98</f>
        <v>144.97999999999999</v>
      </c>
      <c r="L875" s="9">
        <f>72.49</f>
        <v>72.489999999999995</v>
      </c>
      <c r="M875" s="4"/>
      <c r="N875" s="10">
        <v>1</v>
      </c>
      <c r="O875" s="4" t="s">
        <v>27</v>
      </c>
      <c r="P875" s="11">
        <v>0.5</v>
      </c>
      <c r="Q875" s="9">
        <f>72.49</f>
        <v>72.489999999999995</v>
      </c>
    </row>
    <row r="876" spans="1:17" ht="45" customHeight="1" x14ac:dyDescent="0.25">
      <c r="A876" s="4" t="s">
        <v>20</v>
      </c>
      <c r="B876" s="5" t="s">
        <v>1692</v>
      </c>
      <c r="C876" s="4" t="s">
        <v>63</v>
      </c>
      <c r="D876" s="4" t="s">
        <v>1371</v>
      </c>
      <c r="E876" s="4" t="s">
        <v>1372</v>
      </c>
      <c r="F876" s="6">
        <f>0.5</f>
        <v>0.5</v>
      </c>
      <c r="G876" s="4" t="s">
        <v>96</v>
      </c>
      <c r="H876" s="7">
        <v>91.55</v>
      </c>
      <c r="I876" s="7">
        <v>91.55</v>
      </c>
      <c r="J876" s="8" t="s">
        <v>26</v>
      </c>
      <c r="K876" s="9">
        <f>115.08</f>
        <v>115.08</v>
      </c>
      <c r="L876" s="9">
        <f>57.54</f>
        <v>57.54</v>
      </c>
      <c r="M876" s="4"/>
      <c r="N876" s="10">
        <v>1</v>
      </c>
      <c r="O876" s="4" t="s">
        <v>27</v>
      </c>
      <c r="P876" s="11">
        <v>0.5</v>
      </c>
      <c r="Q876" s="9">
        <f>57.54</f>
        <v>57.54</v>
      </c>
    </row>
    <row r="877" spans="1:17" ht="45" customHeight="1" x14ac:dyDescent="0.25">
      <c r="A877" s="4" t="s">
        <v>20</v>
      </c>
      <c r="B877" s="5" t="s">
        <v>1693</v>
      </c>
      <c r="C877" s="4" t="s">
        <v>63</v>
      </c>
      <c r="D877" s="4" t="s">
        <v>210</v>
      </c>
      <c r="E877" s="4" t="s">
        <v>211</v>
      </c>
      <c r="F877" s="6">
        <f>10.5</f>
        <v>10.5</v>
      </c>
      <c r="G877" s="4" t="s">
        <v>75</v>
      </c>
      <c r="H877" s="7">
        <v>82.75</v>
      </c>
      <c r="I877" s="7">
        <v>82.75</v>
      </c>
      <c r="J877" s="8" t="s">
        <v>26</v>
      </c>
      <c r="K877" s="9">
        <f>104.02</f>
        <v>104.02</v>
      </c>
      <c r="L877" s="9">
        <f>1092.21</f>
        <v>1092.21</v>
      </c>
      <c r="M877" s="4"/>
      <c r="N877" s="10">
        <v>1</v>
      </c>
      <c r="O877" s="4" t="s">
        <v>27</v>
      </c>
      <c r="P877" s="11">
        <v>10.5</v>
      </c>
      <c r="Q877" s="9">
        <f>1092.21</f>
        <v>1092.21</v>
      </c>
    </row>
    <row r="878" spans="1:17" ht="45" customHeight="1" x14ac:dyDescent="0.25">
      <c r="A878" s="4" t="s">
        <v>20</v>
      </c>
      <c r="B878" s="5" t="s">
        <v>1694</v>
      </c>
      <c r="C878" s="4" t="s">
        <v>29</v>
      </c>
      <c r="D878" s="4" t="s">
        <v>216</v>
      </c>
      <c r="E878" s="4" t="s">
        <v>217</v>
      </c>
      <c r="F878" s="6">
        <f>8.5</f>
        <v>8.5</v>
      </c>
      <c r="G878" s="4" t="s">
        <v>75</v>
      </c>
      <c r="H878" s="7">
        <v>35.19</v>
      </c>
      <c r="I878" s="7">
        <v>35.19</v>
      </c>
      <c r="J878" s="8" t="s">
        <v>26</v>
      </c>
      <c r="K878" s="9">
        <f>44.23</f>
        <v>44.23</v>
      </c>
      <c r="L878" s="9">
        <f>375.96</f>
        <v>375.96</v>
      </c>
      <c r="M878" s="4"/>
      <c r="N878" s="10">
        <v>1</v>
      </c>
      <c r="O878" s="4" t="s">
        <v>27</v>
      </c>
      <c r="P878" s="11">
        <v>8.5</v>
      </c>
      <c r="Q878" s="9">
        <f>375.96</f>
        <v>375.96</v>
      </c>
    </row>
    <row r="879" spans="1:17" ht="45" customHeight="1" x14ac:dyDescent="0.25">
      <c r="A879" s="4" t="s">
        <v>20</v>
      </c>
      <c r="B879" s="5" t="s">
        <v>1695</v>
      </c>
      <c r="C879" s="4" t="s">
        <v>63</v>
      </c>
      <c r="D879" s="4" t="s">
        <v>107</v>
      </c>
      <c r="E879" s="4" t="s">
        <v>108</v>
      </c>
      <c r="F879" s="6">
        <f>3</f>
        <v>3</v>
      </c>
      <c r="G879" s="4" t="s">
        <v>75</v>
      </c>
      <c r="H879" s="7">
        <v>8.64</v>
      </c>
      <c r="I879" s="7">
        <v>8.64</v>
      </c>
      <c r="J879" s="8" t="s">
        <v>26</v>
      </c>
      <c r="K879" s="9">
        <f>10.86</f>
        <v>10.86</v>
      </c>
      <c r="L879" s="9">
        <f>32.58</f>
        <v>32.58</v>
      </c>
      <c r="M879" s="4"/>
      <c r="N879" s="10">
        <v>1</v>
      </c>
      <c r="O879" s="4" t="s">
        <v>27</v>
      </c>
      <c r="P879" s="11">
        <v>3</v>
      </c>
      <c r="Q879" s="9">
        <f>32.58</f>
        <v>32.58</v>
      </c>
    </row>
    <row r="880" spans="1:17" ht="45" customHeight="1" x14ac:dyDescent="0.25">
      <c r="A880" s="4" t="s">
        <v>20</v>
      </c>
      <c r="B880" s="5" t="s">
        <v>1696</v>
      </c>
      <c r="C880" s="4" t="s">
        <v>63</v>
      </c>
      <c r="D880" s="4" t="s">
        <v>114</v>
      </c>
      <c r="E880" s="4" t="s">
        <v>115</v>
      </c>
      <c r="F880" s="6">
        <f>3</f>
        <v>3</v>
      </c>
      <c r="G880" s="4" t="s">
        <v>75</v>
      </c>
      <c r="H880" s="7">
        <v>1.45</v>
      </c>
      <c r="I880" s="7">
        <v>1.45</v>
      </c>
      <c r="J880" s="8" t="s">
        <v>26</v>
      </c>
      <c r="K880" s="9">
        <f>1.82</f>
        <v>1.82</v>
      </c>
      <c r="L880" s="9">
        <f>5.46</f>
        <v>5.46</v>
      </c>
      <c r="M880" s="4"/>
      <c r="N880" s="10">
        <v>1</v>
      </c>
      <c r="O880" s="4" t="s">
        <v>27</v>
      </c>
      <c r="P880" s="11">
        <v>3</v>
      </c>
      <c r="Q880" s="9">
        <f>5.46</f>
        <v>5.46</v>
      </c>
    </row>
    <row r="881" spans="1:17" ht="45" customHeight="1" x14ac:dyDescent="0.25">
      <c r="A881" s="4" t="s">
        <v>20</v>
      </c>
      <c r="B881" s="5" t="s">
        <v>1697</v>
      </c>
      <c r="C881" s="4" t="s">
        <v>63</v>
      </c>
      <c r="D881" s="4" t="s">
        <v>110</v>
      </c>
      <c r="E881" s="4" t="s">
        <v>111</v>
      </c>
      <c r="F881" s="6">
        <f>12</f>
        <v>12</v>
      </c>
      <c r="G881" s="4" t="s">
        <v>112</v>
      </c>
      <c r="H881" s="7">
        <v>3.31</v>
      </c>
      <c r="I881" s="7">
        <v>3.31</v>
      </c>
      <c r="J881" s="8" t="s">
        <v>26</v>
      </c>
      <c r="K881" s="9">
        <f>4.16</f>
        <v>4.16</v>
      </c>
      <c r="L881" s="9">
        <f>49.92</f>
        <v>49.92</v>
      </c>
      <c r="M881" s="4"/>
      <c r="N881" s="10">
        <v>1</v>
      </c>
      <c r="O881" s="4" t="s">
        <v>27</v>
      </c>
      <c r="P881" s="11">
        <v>12</v>
      </c>
      <c r="Q881" s="9">
        <f>49.92</f>
        <v>49.92</v>
      </c>
    </row>
    <row r="882" spans="1:17" ht="45" customHeight="1" x14ac:dyDescent="0.25">
      <c r="A882" s="4" t="s">
        <v>20</v>
      </c>
      <c r="B882" s="5" t="s">
        <v>1698</v>
      </c>
      <c r="C882" s="4" t="s">
        <v>29</v>
      </c>
      <c r="D882" s="4" t="s">
        <v>1379</v>
      </c>
      <c r="E882" s="4" t="s">
        <v>1380</v>
      </c>
      <c r="F882" s="6">
        <f>41</f>
        <v>41</v>
      </c>
      <c r="G882" s="4" t="s">
        <v>25</v>
      </c>
      <c r="H882" s="7">
        <v>98.8</v>
      </c>
      <c r="I882" s="7">
        <v>98.8</v>
      </c>
      <c r="J882" s="8" t="s">
        <v>26</v>
      </c>
      <c r="K882" s="9">
        <f>124.19</f>
        <v>124.19</v>
      </c>
      <c r="L882" s="9">
        <f>5091.79</f>
        <v>5091.79</v>
      </c>
      <c r="M882" s="4"/>
      <c r="N882" s="10">
        <v>1</v>
      </c>
      <c r="O882" s="4" t="s">
        <v>27</v>
      </c>
      <c r="P882" s="11">
        <v>41</v>
      </c>
      <c r="Q882" s="9">
        <f>5091.79</f>
        <v>5091.79</v>
      </c>
    </row>
    <row r="883" spans="1:17" ht="45" customHeight="1" x14ac:dyDescent="0.25">
      <c r="A883" s="4" t="s">
        <v>20</v>
      </c>
      <c r="B883" s="5" t="s">
        <v>1699</v>
      </c>
      <c r="C883" s="4" t="s">
        <v>29</v>
      </c>
      <c r="D883" s="4" t="s">
        <v>361</v>
      </c>
      <c r="E883" s="4" t="s">
        <v>362</v>
      </c>
      <c r="F883" s="6">
        <f>41</f>
        <v>41</v>
      </c>
      <c r="G883" s="4" t="s">
        <v>25</v>
      </c>
      <c r="H883" s="7">
        <v>27.05</v>
      </c>
      <c r="I883" s="7">
        <v>27.05</v>
      </c>
      <c r="J883" s="8" t="s">
        <v>26</v>
      </c>
      <c r="K883" s="9">
        <f>34</f>
        <v>34</v>
      </c>
      <c r="L883" s="9">
        <f>1394</f>
        <v>1394</v>
      </c>
      <c r="M883" s="4"/>
      <c r="N883" s="10">
        <v>1</v>
      </c>
      <c r="O883" s="4" t="s">
        <v>27</v>
      </c>
      <c r="P883" s="11">
        <v>41</v>
      </c>
      <c r="Q883" s="9">
        <f>1394</f>
        <v>1394</v>
      </c>
    </row>
    <row r="884" spans="1:17" ht="45" customHeight="1" x14ac:dyDescent="0.25">
      <c r="A884" s="4" t="s">
        <v>20</v>
      </c>
      <c r="B884" s="5" t="s">
        <v>1700</v>
      </c>
      <c r="C884" s="4" t="s">
        <v>29</v>
      </c>
      <c r="D884" s="4" t="s">
        <v>364</v>
      </c>
      <c r="E884" s="4" t="s">
        <v>365</v>
      </c>
      <c r="F884" s="6">
        <f>7</f>
        <v>7</v>
      </c>
      <c r="G884" s="4" t="s">
        <v>75</v>
      </c>
      <c r="H884" s="7">
        <v>706.98</v>
      </c>
      <c r="I884" s="7">
        <v>706.98</v>
      </c>
      <c r="J884" s="8" t="s">
        <v>26</v>
      </c>
      <c r="K884" s="9">
        <f>888.67</f>
        <v>888.67</v>
      </c>
      <c r="L884" s="9">
        <f>6220.69</f>
        <v>6220.69</v>
      </c>
      <c r="M884" s="4"/>
      <c r="N884" s="10">
        <v>1</v>
      </c>
      <c r="O884" s="4" t="s">
        <v>27</v>
      </c>
      <c r="P884" s="11">
        <v>7</v>
      </c>
      <c r="Q884" s="9">
        <f>6220.69</f>
        <v>6220.69</v>
      </c>
    </row>
    <row r="885" spans="1:17" ht="45" customHeight="1" x14ac:dyDescent="0.25">
      <c r="A885" s="4" t="s">
        <v>20</v>
      </c>
      <c r="B885" s="5" t="s">
        <v>1701</v>
      </c>
      <c r="C885" s="4" t="s">
        <v>29</v>
      </c>
      <c r="D885" s="4" t="s">
        <v>77</v>
      </c>
      <c r="E885" s="4" t="s">
        <v>78</v>
      </c>
      <c r="F885" s="6">
        <f>571</f>
        <v>571</v>
      </c>
      <c r="G885" s="4" t="s">
        <v>79</v>
      </c>
      <c r="H885" s="7">
        <v>13.28</v>
      </c>
      <c r="I885" s="7">
        <v>13.28</v>
      </c>
      <c r="J885" s="8" t="s">
        <v>26</v>
      </c>
      <c r="K885" s="9">
        <f>16.69</f>
        <v>16.690000000000001</v>
      </c>
      <c r="L885" s="9">
        <f>9529.99</f>
        <v>9529.99</v>
      </c>
      <c r="M885" s="4"/>
      <c r="N885" s="10">
        <v>1</v>
      </c>
      <c r="O885" s="4" t="s">
        <v>27</v>
      </c>
      <c r="P885" s="11">
        <v>571</v>
      </c>
      <c r="Q885" s="9">
        <f>9529.99</f>
        <v>9529.99</v>
      </c>
    </row>
    <row r="886" spans="1:17" ht="45" customHeight="1" x14ac:dyDescent="0.25">
      <c r="A886" s="4" t="s">
        <v>20</v>
      </c>
      <c r="B886" s="5" t="s">
        <v>1702</v>
      </c>
      <c r="C886" s="4" t="s">
        <v>63</v>
      </c>
      <c r="D886" s="4" t="s">
        <v>369</v>
      </c>
      <c r="E886" s="4" t="s">
        <v>370</v>
      </c>
      <c r="F886" s="6">
        <f>1</f>
        <v>1</v>
      </c>
      <c r="G886" s="4" t="s">
        <v>75</v>
      </c>
      <c r="H886" s="7">
        <v>514.52</v>
      </c>
      <c r="I886" s="7">
        <v>514.52</v>
      </c>
      <c r="J886" s="8" t="s">
        <v>26</v>
      </c>
      <c r="K886" s="9">
        <f>646.75</f>
        <v>646.75</v>
      </c>
      <c r="L886" s="9">
        <f>646.75</f>
        <v>646.75</v>
      </c>
      <c r="M886" s="4"/>
      <c r="N886" s="10">
        <v>1</v>
      </c>
      <c r="O886" s="4" t="s">
        <v>27</v>
      </c>
      <c r="P886" s="11">
        <v>1</v>
      </c>
      <c r="Q886" s="9">
        <f>646.75</f>
        <v>646.75</v>
      </c>
    </row>
    <row r="887" spans="1:17" ht="45" customHeight="1" x14ac:dyDescent="0.25">
      <c r="A887" s="4" t="s">
        <v>20</v>
      </c>
      <c r="B887" s="5" t="s">
        <v>1703</v>
      </c>
      <c r="C887" s="4" t="s">
        <v>63</v>
      </c>
      <c r="D887" s="4" t="s">
        <v>1246</v>
      </c>
      <c r="E887" s="4" t="s">
        <v>1247</v>
      </c>
      <c r="F887" s="6">
        <f>1.8</f>
        <v>1.8</v>
      </c>
      <c r="G887" s="4" t="s">
        <v>96</v>
      </c>
      <c r="H887" s="7">
        <v>7.65</v>
      </c>
      <c r="I887" s="7">
        <v>7.65</v>
      </c>
      <c r="J887" s="8" t="s">
        <v>26</v>
      </c>
      <c r="K887" s="9">
        <f>9.62</f>
        <v>9.6199999999999992</v>
      </c>
      <c r="L887" s="9">
        <f>17.32</f>
        <v>17.32</v>
      </c>
      <c r="M887" s="4"/>
      <c r="N887" s="10">
        <v>1</v>
      </c>
      <c r="O887" s="4" t="s">
        <v>27</v>
      </c>
      <c r="P887" s="11">
        <v>1.8</v>
      </c>
      <c r="Q887" s="9">
        <f>17.32</f>
        <v>17.32</v>
      </c>
    </row>
    <row r="888" spans="1:17" ht="45" customHeight="1" x14ac:dyDescent="0.25">
      <c r="A888" s="4" t="s">
        <v>20</v>
      </c>
      <c r="B888" s="5" t="s">
        <v>1704</v>
      </c>
      <c r="C888" s="4" t="s">
        <v>29</v>
      </c>
      <c r="D888" s="4" t="s">
        <v>1387</v>
      </c>
      <c r="E888" s="4" t="s">
        <v>1388</v>
      </c>
      <c r="F888" s="6">
        <f>2</f>
        <v>2</v>
      </c>
      <c r="G888" s="4" t="s">
        <v>46</v>
      </c>
      <c r="H888" s="7">
        <v>1254.24</v>
      </c>
      <c r="I888" s="7">
        <v>1254.24</v>
      </c>
      <c r="J888" s="8" t="s">
        <v>26</v>
      </c>
      <c r="K888" s="9">
        <f>1576.58</f>
        <v>1576.58</v>
      </c>
      <c r="L888" s="9">
        <f>3153.16</f>
        <v>3153.16</v>
      </c>
      <c r="M888" s="4"/>
      <c r="N888" s="10">
        <v>1</v>
      </c>
      <c r="O888" s="4" t="s">
        <v>27</v>
      </c>
      <c r="P888" s="11">
        <v>2</v>
      </c>
      <c r="Q888" s="9">
        <f>3153.16</f>
        <v>3153.16</v>
      </c>
    </row>
    <row r="889" spans="1:17" ht="45" customHeight="1" x14ac:dyDescent="0.25">
      <c r="A889" s="4" t="s">
        <v>20</v>
      </c>
      <c r="B889" s="5" t="s">
        <v>1705</v>
      </c>
      <c r="C889" s="4" t="s">
        <v>29</v>
      </c>
      <c r="D889" s="4" t="s">
        <v>1390</v>
      </c>
      <c r="E889" s="4" t="s">
        <v>1391</v>
      </c>
      <c r="F889" s="6">
        <f>2</f>
        <v>2</v>
      </c>
      <c r="G889" s="4" t="s">
        <v>46</v>
      </c>
      <c r="H889" s="7">
        <v>10.8</v>
      </c>
      <c r="I889" s="7">
        <v>10.8</v>
      </c>
      <c r="J889" s="8" t="s">
        <v>26</v>
      </c>
      <c r="K889" s="9">
        <f>13.58</f>
        <v>13.58</v>
      </c>
      <c r="L889" s="9">
        <f>27.16</f>
        <v>27.16</v>
      </c>
      <c r="M889" s="4"/>
      <c r="N889" s="10">
        <v>1</v>
      </c>
      <c r="O889" s="4" t="s">
        <v>27</v>
      </c>
      <c r="P889" s="11">
        <v>2</v>
      </c>
      <c r="Q889" s="9">
        <f>27.16</f>
        <v>27.16</v>
      </c>
    </row>
    <row r="890" spans="1:17" ht="45" customHeight="1" x14ac:dyDescent="0.25">
      <c r="A890" s="4" t="s">
        <v>20</v>
      </c>
      <c r="B890" s="5" t="s">
        <v>1706</v>
      </c>
      <c r="C890" s="4" t="s">
        <v>29</v>
      </c>
      <c r="D890" s="4" t="s">
        <v>87</v>
      </c>
      <c r="E890" s="4" t="s">
        <v>88</v>
      </c>
      <c r="F890" s="6">
        <f>300</f>
        <v>300</v>
      </c>
      <c r="G890" s="4" t="s">
        <v>79</v>
      </c>
      <c r="H890" s="7">
        <v>4.54</v>
      </c>
      <c r="I890" s="7">
        <v>4.54</v>
      </c>
      <c r="J890" s="8" t="s">
        <v>26</v>
      </c>
      <c r="K890" s="9">
        <f>5.71</f>
        <v>5.71</v>
      </c>
      <c r="L890" s="9">
        <f>1713</f>
        <v>1713</v>
      </c>
      <c r="M890" s="4"/>
      <c r="N890" s="10">
        <v>1</v>
      </c>
      <c r="O890" s="4" t="s">
        <v>27</v>
      </c>
      <c r="P890" s="11">
        <v>300</v>
      </c>
      <c r="Q890" s="9">
        <f>1713</f>
        <v>1713</v>
      </c>
    </row>
    <row r="891" spans="1:17" ht="45" customHeight="1" x14ac:dyDescent="0.25">
      <c r="A891" s="4" t="s">
        <v>20</v>
      </c>
      <c r="B891" s="5" t="s">
        <v>1707</v>
      </c>
      <c r="C891" s="4" t="s">
        <v>29</v>
      </c>
      <c r="D891" s="4" t="s">
        <v>1393</v>
      </c>
      <c r="E891" s="4" t="s">
        <v>1394</v>
      </c>
      <c r="F891" s="6">
        <f>4</f>
        <v>4</v>
      </c>
      <c r="G891" s="4" t="s">
        <v>46</v>
      </c>
      <c r="H891" s="7">
        <v>12.73</v>
      </c>
      <c r="I891" s="7">
        <v>12.73</v>
      </c>
      <c r="J891" s="8" t="s">
        <v>26</v>
      </c>
      <c r="K891" s="9">
        <f>16</f>
        <v>16</v>
      </c>
      <c r="L891" s="9">
        <f>64</f>
        <v>64</v>
      </c>
      <c r="M891" s="4"/>
      <c r="N891" s="10">
        <v>1</v>
      </c>
      <c r="O891" s="4" t="s">
        <v>27</v>
      </c>
      <c r="P891" s="11">
        <v>4</v>
      </c>
      <c r="Q891" s="9">
        <f>64</f>
        <v>64</v>
      </c>
    </row>
    <row r="892" spans="1:17" ht="45" customHeight="1" x14ac:dyDescent="0.25">
      <c r="A892" s="4" t="s">
        <v>20</v>
      </c>
      <c r="B892" s="5" t="s">
        <v>1708</v>
      </c>
      <c r="C892" s="4" t="s">
        <v>63</v>
      </c>
      <c r="D892" s="4" t="s">
        <v>1396</v>
      </c>
      <c r="E892" s="4" t="s">
        <v>1397</v>
      </c>
      <c r="F892" s="6">
        <f>13.5</f>
        <v>13.5</v>
      </c>
      <c r="G892" s="4" t="s">
        <v>25</v>
      </c>
      <c r="H892" s="7">
        <v>81.95</v>
      </c>
      <c r="I892" s="7">
        <v>81.95</v>
      </c>
      <c r="J892" s="8" t="s">
        <v>26</v>
      </c>
      <c r="K892" s="9">
        <f>103.01</f>
        <v>103.01</v>
      </c>
      <c r="L892" s="9">
        <f>1390.64</f>
        <v>1390.64</v>
      </c>
      <c r="M892" s="4"/>
      <c r="N892" s="10">
        <v>1</v>
      </c>
      <c r="O892" s="4" t="s">
        <v>27</v>
      </c>
      <c r="P892" s="11">
        <v>13.5</v>
      </c>
      <c r="Q892" s="9">
        <f>1390.64</f>
        <v>1390.64</v>
      </c>
    </row>
    <row r="893" spans="1:17" ht="45" customHeight="1" x14ac:dyDescent="0.25">
      <c r="A893" s="4" t="s">
        <v>20</v>
      </c>
      <c r="B893" s="5" t="s">
        <v>1709</v>
      </c>
      <c r="C893" s="4" t="s">
        <v>29</v>
      </c>
      <c r="D893" s="4" t="s">
        <v>802</v>
      </c>
      <c r="E893" s="4" t="s">
        <v>803</v>
      </c>
      <c r="F893" s="6">
        <f>1</f>
        <v>1</v>
      </c>
      <c r="G893" s="4" t="s">
        <v>46</v>
      </c>
      <c r="H893" s="7">
        <v>724.35</v>
      </c>
      <c r="I893" s="7">
        <v>724.35</v>
      </c>
      <c r="J893" s="8" t="s">
        <v>26</v>
      </c>
      <c r="K893" s="9">
        <f>910.51</f>
        <v>910.51</v>
      </c>
      <c r="L893" s="9">
        <f>910.51</f>
        <v>910.51</v>
      </c>
      <c r="M893" s="4"/>
      <c r="N893" s="10">
        <v>1</v>
      </c>
      <c r="O893" s="4" t="s">
        <v>27</v>
      </c>
      <c r="P893" s="11">
        <v>1</v>
      </c>
      <c r="Q893" s="9">
        <f>910.51</f>
        <v>910.51</v>
      </c>
    </row>
    <row r="894" spans="1:17" ht="45" customHeight="1" x14ac:dyDescent="0.25">
      <c r="A894" s="4" t="s">
        <v>20</v>
      </c>
      <c r="B894" s="5" t="s">
        <v>1710</v>
      </c>
      <c r="C894" s="4" t="s">
        <v>29</v>
      </c>
      <c r="D894" s="4" t="s">
        <v>386</v>
      </c>
      <c r="E894" s="4" t="s">
        <v>387</v>
      </c>
      <c r="F894" s="6">
        <f>3</f>
        <v>3</v>
      </c>
      <c r="G894" s="4" t="s">
        <v>25</v>
      </c>
      <c r="H894" s="7">
        <v>29.4</v>
      </c>
      <c r="I894" s="7">
        <v>29.4</v>
      </c>
      <c r="J894" s="8" t="s">
        <v>26</v>
      </c>
      <c r="K894" s="9">
        <f>36.96</f>
        <v>36.96</v>
      </c>
      <c r="L894" s="9">
        <f>110.88</f>
        <v>110.88</v>
      </c>
      <c r="M894" s="4"/>
      <c r="N894" s="10">
        <v>1</v>
      </c>
      <c r="O894" s="4" t="s">
        <v>27</v>
      </c>
      <c r="P894" s="11">
        <v>3</v>
      </c>
      <c r="Q894" s="9">
        <f>110.88</f>
        <v>110.88</v>
      </c>
    </row>
    <row r="895" spans="1:17" ht="45" customHeight="1" x14ac:dyDescent="0.25">
      <c r="A895" s="4" t="s">
        <v>20</v>
      </c>
      <c r="B895" s="5" t="s">
        <v>1711</v>
      </c>
      <c r="C895" s="4" t="s">
        <v>63</v>
      </c>
      <c r="D895" s="4" t="s">
        <v>1401</v>
      </c>
      <c r="E895" s="4" t="s">
        <v>1402</v>
      </c>
      <c r="F895" s="6">
        <f>1</f>
        <v>1</v>
      </c>
      <c r="G895" s="4" t="s">
        <v>46</v>
      </c>
      <c r="H895" s="7">
        <v>559.33000000000004</v>
      </c>
      <c r="I895" s="7">
        <v>559.33000000000004</v>
      </c>
      <c r="J895" s="8" t="s">
        <v>26</v>
      </c>
      <c r="K895" s="9">
        <f>703.08</f>
        <v>703.08</v>
      </c>
      <c r="L895" s="9">
        <f>703.08</f>
        <v>703.08</v>
      </c>
      <c r="M895" s="4"/>
      <c r="N895" s="10">
        <v>1</v>
      </c>
      <c r="O895" s="4" t="s">
        <v>27</v>
      </c>
      <c r="P895" s="11">
        <v>1</v>
      </c>
      <c r="Q895" s="9">
        <f>703.08</f>
        <v>703.08</v>
      </c>
    </row>
    <row r="896" spans="1:17" ht="45" customHeight="1" x14ac:dyDescent="0.25">
      <c r="A896" s="4" t="s">
        <v>20</v>
      </c>
      <c r="B896" s="5" t="s">
        <v>1712</v>
      </c>
      <c r="C896" s="4" t="s">
        <v>29</v>
      </c>
      <c r="D896" s="4" t="s">
        <v>120</v>
      </c>
      <c r="E896" s="4" t="s">
        <v>121</v>
      </c>
      <c r="F896" s="6">
        <f>10</f>
        <v>10</v>
      </c>
      <c r="G896" s="4" t="s">
        <v>46</v>
      </c>
      <c r="H896" s="7">
        <v>3.34</v>
      </c>
      <c r="I896" s="7">
        <v>3.34</v>
      </c>
      <c r="J896" s="8" t="s">
        <v>122</v>
      </c>
      <c r="K896" s="9">
        <f>3.98</f>
        <v>3.98</v>
      </c>
      <c r="L896" s="9">
        <f>39.8</f>
        <v>39.799999999999997</v>
      </c>
      <c r="M896" s="4"/>
      <c r="N896" s="10">
        <v>1</v>
      </c>
      <c r="O896" s="4" t="s">
        <v>27</v>
      </c>
      <c r="P896" s="11">
        <v>10</v>
      </c>
      <c r="Q896" s="9">
        <f>39.8</f>
        <v>39.799999999999997</v>
      </c>
    </row>
    <row r="897" spans="1:17" ht="45" customHeight="1" x14ac:dyDescent="0.25">
      <c r="A897" s="4" t="s">
        <v>20</v>
      </c>
      <c r="B897" s="5" t="s">
        <v>1713</v>
      </c>
      <c r="C897" s="4" t="s">
        <v>29</v>
      </c>
      <c r="D897" s="4" t="s">
        <v>1405</v>
      </c>
      <c r="E897" s="4" t="s">
        <v>1406</v>
      </c>
      <c r="F897" s="6">
        <f>4</f>
        <v>4</v>
      </c>
      <c r="G897" s="4" t="s">
        <v>46</v>
      </c>
      <c r="H897" s="7">
        <v>2.0699999999999998</v>
      </c>
      <c r="I897" s="7">
        <v>2.0699999999999998</v>
      </c>
      <c r="J897" s="8" t="s">
        <v>122</v>
      </c>
      <c r="K897" s="9">
        <f>2.46</f>
        <v>2.46</v>
      </c>
      <c r="L897" s="9">
        <f>9.84</f>
        <v>9.84</v>
      </c>
      <c r="M897" s="4"/>
      <c r="N897" s="10">
        <v>1</v>
      </c>
      <c r="O897" s="4" t="s">
        <v>27</v>
      </c>
      <c r="P897" s="11">
        <v>4</v>
      </c>
      <c r="Q897" s="9">
        <f>9.84</f>
        <v>9.84</v>
      </c>
    </row>
    <row r="898" spans="1:17" ht="45" customHeight="1" x14ac:dyDescent="0.25">
      <c r="A898" s="4" t="s">
        <v>20</v>
      </c>
      <c r="B898" s="5" t="s">
        <v>1714</v>
      </c>
      <c r="C898" s="4" t="s">
        <v>29</v>
      </c>
      <c r="D898" s="4" t="s">
        <v>130</v>
      </c>
      <c r="E898" s="4" t="s">
        <v>131</v>
      </c>
      <c r="F898" s="6">
        <f>20</f>
        <v>20</v>
      </c>
      <c r="G898" s="4" t="s">
        <v>46</v>
      </c>
      <c r="H898" s="7">
        <v>2.59</v>
      </c>
      <c r="I898" s="7">
        <v>2.59</v>
      </c>
      <c r="J898" s="8" t="s">
        <v>122</v>
      </c>
      <c r="K898" s="9">
        <f>3.08</f>
        <v>3.08</v>
      </c>
      <c r="L898" s="9">
        <f>61.6</f>
        <v>61.6</v>
      </c>
      <c r="M898" s="4"/>
      <c r="N898" s="10">
        <v>1</v>
      </c>
      <c r="O898" s="4" t="s">
        <v>27</v>
      </c>
      <c r="P898" s="11">
        <v>20</v>
      </c>
      <c r="Q898" s="9">
        <f>61.6</f>
        <v>61.6</v>
      </c>
    </row>
    <row r="899" spans="1:17" ht="45" customHeight="1" x14ac:dyDescent="0.25">
      <c r="A899" s="4" t="s">
        <v>20</v>
      </c>
      <c r="B899" s="5" t="s">
        <v>1715</v>
      </c>
      <c r="C899" s="4" t="s">
        <v>29</v>
      </c>
      <c r="D899" s="4" t="s">
        <v>1409</v>
      </c>
      <c r="E899" s="4" t="s">
        <v>1410</v>
      </c>
      <c r="F899" s="6">
        <f>2</f>
        <v>2</v>
      </c>
      <c r="G899" s="4" t="s">
        <v>46</v>
      </c>
      <c r="H899" s="7">
        <v>53.34</v>
      </c>
      <c r="I899" s="7">
        <v>53.34</v>
      </c>
      <c r="J899" s="8" t="s">
        <v>122</v>
      </c>
      <c r="K899" s="9">
        <f>63.5</f>
        <v>63.5</v>
      </c>
      <c r="L899" s="9">
        <f>127</f>
        <v>127</v>
      </c>
      <c r="M899" s="4"/>
      <c r="N899" s="10">
        <v>1</v>
      </c>
      <c r="O899" s="4" t="s">
        <v>27</v>
      </c>
      <c r="P899" s="11">
        <v>2</v>
      </c>
      <c r="Q899" s="9">
        <f>127</f>
        <v>127</v>
      </c>
    </row>
    <row r="900" spans="1:17" ht="45" customHeight="1" x14ac:dyDescent="0.25">
      <c r="A900" s="4" t="s">
        <v>20</v>
      </c>
      <c r="B900" s="5" t="s">
        <v>1716</v>
      </c>
      <c r="C900" s="4" t="s">
        <v>29</v>
      </c>
      <c r="D900" s="4" t="s">
        <v>1412</v>
      </c>
      <c r="E900" s="4" t="s">
        <v>1413</v>
      </c>
      <c r="F900" s="6">
        <f>1</f>
        <v>1</v>
      </c>
      <c r="G900" s="4" t="s">
        <v>46</v>
      </c>
      <c r="H900" s="7">
        <v>73.41</v>
      </c>
      <c r="I900" s="7">
        <v>73.41</v>
      </c>
      <c r="J900" s="8" t="s">
        <v>122</v>
      </c>
      <c r="K900" s="9">
        <f>87.39</f>
        <v>87.39</v>
      </c>
      <c r="L900" s="9">
        <f>87.39</f>
        <v>87.39</v>
      </c>
      <c r="M900" s="4"/>
      <c r="N900" s="10">
        <v>1</v>
      </c>
      <c r="O900" s="4" t="s">
        <v>27</v>
      </c>
      <c r="P900" s="11">
        <v>1</v>
      </c>
      <c r="Q900" s="9">
        <f>87.39</f>
        <v>87.39</v>
      </c>
    </row>
    <row r="901" spans="1:17" ht="45" customHeight="1" x14ac:dyDescent="0.25">
      <c r="A901" s="4" t="s">
        <v>20</v>
      </c>
      <c r="B901" s="5" t="s">
        <v>1717</v>
      </c>
      <c r="C901" s="4" t="s">
        <v>29</v>
      </c>
      <c r="D901" s="4" t="s">
        <v>1415</v>
      </c>
      <c r="E901" s="4" t="s">
        <v>1416</v>
      </c>
      <c r="F901" s="6">
        <f>1</f>
        <v>1</v>
      </c>
      <c r="G901" s="4" t="s">
        <v>46</v>
      </c>
      <c r="H901" s="7">
        <v>184.51</v>
      </c>
      <c r="I901" s="7">
        <v>184.51</v>
      </c>
      <c r="J901" s="8" t="s">
        <v>122</v>
      </c>
      <c r="K901" s="9">
        <f>219.66</f>
        <v>219.66</v>
      </c>
      <c r="L901" s="9">
        <f>219.66</f>
        <v>219.66</v>
      </c>
      <c r="M901" s="4"/>
      <c r="N901" s="10">
        <v>1</v>
      </c>
      <c r="O901" s="4" t="s">
        <v>27</v>
      </c>
      <c r="P901" s="11">
        <v>1</v>
      </c>
      <c r="Q901" s="9">
        <f>219.66</f>
        <v>219.66</v>
      </c>
    </row>
    <row r="902" spans="1:17" ht="45" customHeight="1" x14ac:dyDescent="0.25">
      <c r="A902" s="4" t="s">
        <v>20</v>
      </c>
      <c r="B902" s="5" t="s">
        <v>1718</v>
      </c>
      <c r="C902" s="4" t="s">
        <v>29</v>
      </c>
      <c r="D902" s="4" t="s">
        <v>1071</v>
      </c>
      <c r="E902" s="4" t="s">
        <v>1072</v>
      </c>
      <c r="F902" s="6">
        <f>3</f>
        <v>3</v>
      </c>
      <c r="G902" s="4" t="s">
        <v>46</v>
      </c>
      <c r="H902" s="7">
        <v>214.64</v>
      </c>
      <c r="I902" s="7">
        <v>214.64</v>
      </c>
      <c r="J902" s="8" t="s">
        <v>122</v>
      </c>
      <c r="K902" s="9">
        <f>255.53</f>
        <v>255.53</v>
      </c>
      <c r="L902" s="9">
        <f>766.59</f>
        <v>766.59</v>
      </c>
      <c r="M902" s="4"/>
      <c r="N902" s="10">
        <v>1</v>
      </c>
      <c r="O902" s="4" t="s">
        <v>27</v>
      </c>
      <c r="P902" s="11">
        <v>3</v>
      </c>
      <c r="Q902" s="9">
        <f>766.59</f>
        <v>766.59</v>
      </c>
    </row>
    <row r="903" spans="1:17" ht="45" customHeight="1" x14ac:dyDescent="0.25">
      <c r="A903" s="4" t="s">
        <v>20</v>
      </c>
      <c r="B903" s="5" t="s">
        <v>1719</v>
      </c>
      <c r="C903" s="4" t="s">
        <v>29</v>
      </c>
      <c r="D903" s="4" t="s">
        <v>1419</v>
      </c>
      <c r="E903" s="4" t="s">
        <v>1420</v>
      </c>
      <c r="F903" s="6">
        <f>3</f>
        <v>3</v>
      </c>
      <c r="G903" s="4" t="s">
        <v>46</v>
      </c>
      <c r="H903" s="7">
        <v>300.33</v>
      </c>
      <c r="I903" s="7">
        <v>300.33</v>
      </c>
      <c r="J903" s="8" t="s">
        <v>122</v>
      </c>
      <c r="K903" s="9">
        <f>357.54</f>
        <v>357.54</v>
      </c>
      <c r="L903" s="9">
        <f>1072.62</f>
        <v>1072.6199999999999</v>
      </c>
      <c r="M903" s="4"/>
      <c r="N903" s="10">
        <v>1</v>
      </c>
      <c r="O903" s="4" t="s">
        <v>27</v>
      </c>
      <c r="P903" s="11">
        <v>3</v>
      </c>
      <c r="Q903" s="9">
        <f>1072.62</f>
        <v>1072.6199999999999</v>
      </c>
    </row>
    <row r="904" spans="1:17" ht="45" customHeight="1" x14ac:dyDescent="0.25">
      <c r="A904" s="4" t="s">
        <v>20</v>
      </c>
      <c r="B904" s="5" t="s">
        <v>1720</v>
      </c>
      <c r="C904" s="4" t="s">
        <v>29</v>
      </c>
      <c r="D904" s="4" t="s">
        <v>411</v>
      </c>
      <c r="E904" s="4" t="s">
        <v>412</v>
      </c>
      <c r="F904" s="6">
        <f>2</f>
        <v>2</v>
      </c>
      <c r="G904" s="4" t="s">
        <v>46</v>
      </c>
      <c r="H904" s="7">
        <v>222.22</v>
      </c>
      <c r="I904" s="7">
        <v>222.22</v>
      </c>
      <c r="J904" s="8" t="s">
        <v>122</v>
      </c>
      <c r="K904" s="9">
        <f>264.55</f>
        <v>264.55</v>
      </c>
      <c r="L904" s="9">
        <f>529.1</f>
        <v>529.1</v>
      </c>
      <c r="M904" s="4"/>
      <c r="N904" s="10">
        <v>1</v>
      </c>
      <c r="O904" s="4" t="s">
        <v>27</v>
      </c>
      <c r="P904" s="11">
        <v>2</v>
      </c>
      <c r="Q904" s="9">
        <f>529.1</f>
        <v>529.1</v>
      </c>
    </row>
    <row r="905" spans="1:17" ht="45" customHeight="1" x14ac:dyDescent="0.25">
      <c r="A905" s="4" t="s">
        <v>20</v>
      </c>
      <c r="B905" s="5" t="s">
        <v>1721</v>
      </c>
      <c r="C905" s="4" t="s">
        <v>29</v>
      </c>
      <c r="D905" s="4" t="s">
        <v>1423</v>
      </c>
      <c r="E905" s="4" t="s">
        <v>1424</v>
      </c>
      <c r="F905" s="6">
        <f>1</f>
        <v>1</v>
      </c>
      <c r="G905" s="4" t="s">
        <v>46</v>
      </c>
      <c r="H905" s="7">
        <v>125.63</v>
      </c>
      <c r="I905" s="7">
        <v>125.63</v>
      </c>
      <c r="J905" s="8" t="s">
        <v>122</v>
      </c>
      <c r="K905" s="9">
        <f>149.56</f>
        <v>149.56</v>
      </c>
      <c r="L905" s="9">
        <f>149.56</f>
        <v>149.56</v>
      </c>
      <c r="M905" s="4"/>
      <c r="N905" s="10">
        <v>1</v>
      </c>
      <c r="O905" s="4" t="s">
        <v>27</v>
      </c>
      <c r="P905" s="11">
        <v>1</v>
      </c>
      <c r="Q905" s="9">
        <f>149.56</f>
        <v>149.56</v>
      </c>
    </row>
    <row r="906" spans="1:17" ht="45" customHeight="1" x14ac:dyDescent="0.25">
      <c r="A906" s="4" t="s">
        <v>20</v>
      </c>
      <c r="B906" s="5" t="s">
        <v>1722</v>
      </c>
      <c r="C906" s="4" t="s">
        <v>29</v>
      </c>
      <c r="D906" s="4" t="s">
        <v>1426</v>
      </c>
      <c r="E906" s="4" t="s">
        <v>1427</v>
      </c>
      <c r="F906" s="6">
        <f>2</f>
        <v>2</v>
      </c>
      <c r="G906" s="4" t="s">
        <v>46</v>
      </c>
      <c r="H906" s="7">
        <v>567.19000000000005</v>
      </c>
      <c r="I906" s="7">
        <v>567.19000000000005</v>
      </c>
      <c r="J906" s="8" t="s">
        <v>122</v>
      </c>
      <c r="K906" s="9">
        <f>675.24</f>
        <v>675.24</v>
      </c>
      <c r="L906" s="9">
        <f>1350.48</f>
        <v>1350.48</v>
      </c>
      <c r="M906" s="4"/>
      <c r="N906" s="10">
        <v>1</v>
      </c>
      <c r="O906" s="4" t="s">
        <v>27</v>
      </c>
      <c r="P906" s="11">
        <v>2</v>
      </c>
      <c r="Q906" s="9">
        <f>1350.48</f>
        <v>1350.48</v>
      </c>
    </row>
    <row r="907" spans="1:17" ht="45" customHeight="1" x14ac:dyDescent="0.25">
      <c r="A907" s="4" t="s">
        <v>20</v>
      </c>
      <c r="B907" s="5" t="s">
        <v>1723</v>
      </c>
      <c r="C907" s="4" t="s">
        <v>29</v>
      </c>
      <c r="D907" s="4" t="s">
        <v>1320</v>
      </c>
      <c r="E907" s="4" t="s">
        <v>1321</v>
      </c>
      <c r="F907" s="6">
        <f>2</f>
        <v>2</v>
      </c>
      <c r="G907" s="4" t="s">
        <v>46</v>
      </c>
      <c r="H907" s="7">
        <v>1994.46</v>
      </c>
      <c r="I907" s="7">
        <v>1994.46</v>
      </c>
      <c r="J907" s="8" t="s">
        <v>122</v>
      </c>
      <c r="K907" s="9">
        <f>2374.4</f>
        <v>2374.4</v>
      </c>
      <c r="L907" s="9">
        <f>4748.8</f>
        <v>4748.8</v>
      </c>
      <c r="M907" s="4"/>
      <c r="N907" s="10">
        <v>1</v>
      </c>
      <c r="O907" s="4" t="s">
        <v>27</v>
      </c>
      <c r="P907" s="11">
        <v>2</v>
      </c>
      <c r="Q907" s="9">
        <f>4748.8</f>
        <v>4748.8</v>
      </c>
    </row>
    <row r="908" spans="1:17" ht="45" customHeight="1" x14ac:dyDescent="0.25">
      <c r="A908" s="4" t="s">
        <v>20</v>
      </c>
      <c r="B908" s="5" t="s">
        <v>1724</v>
      </c>
      <c r="C908" s="4" t="s">
        <v>29</v>
      </c>
      <c r="D908" s="4" t="s">
        <v>1430</v>
      </c>
      <c r="E908" s="4" t="s">
        <v>1431</v>
      </c>
      <c r="F908" s="6">
        <f>4</f>
        <v>4</v>
      </c>
      <c r="G908" s="4" t="s">
        <v>46</v>
      </c>
      <c r="H908" s="7">
        <v>5.91</v>
      </c>
      <c r="I908" s="7">
        <v>5.91</v>
      </c>
      <c r="J908" s="8" t="s">
        <v>122</v>
      </c>
      <c r="K908" s="9">
        <f>7.04</f>
        <v>7.04</v>
      </c>
      <c r="L908" s="9">
        <f>28.16</f>
        <v>28.16</v>
      </c>
      <c r="M908" s="4"/>
      <c r="N908" s="10">
        <v>1</v>
      </c>
      <c r="O908" s="4" t="s">
        <v>27</v>
      </c>
      <c r="P908" s="11">
        <v>4</v>
      </c>
      <c r="Q908" s="9">
        <f>28.16</f>
        <v>28.16</v>
      </c>
    </row>
    <row r="909" spans="1:17" ht="45" customHeight="1" x14ac:dyDescent="0.25">
      <c r="A909" s="4" t="s">
        <v>20</v>
      </c>
      <c r="B909" s="5" t="s">
        <v>1725</v>
      </c>
      <c r="C909" s="4" t="s">
        <v>29</v>
      </c>
      <c r="D909" s="4" t="s">
        <v>441</v>
      </c>
      <c r="E909" s="4" t="s">
        <v>442</v>
      </c>
      <c r="F909" s="6">
        <f>2</f>
        <v>2</v>
      </c>
      <c r="G909" s="4" t="s">
        <v>46</v>
      </c>
      <c r="H909" s="7">
        <v>3.6</v>
      </c>
      <c r="I909" s="7">
        <v>3.6</v>
      </c>
      <c r="J909" s="8" t="s">
        <v>122</v>
      </c>
      <c r="K909" s="9">
        <f>4.29</f>
        <v>4.29</v>
      </c>
      <c r="L909" s="9">
        <f>8.58</f>
        <v>8.58</v>
      </c>
      <c r="M909" s="4"/>
      <c r="N909" s="10">
        <v>1</v>
      </c>
      <c r="O909" s="4" t="s">
        <v>27</v>
      </c>
      <c r="P909" s="11">
        <v>2</v>
      </c>
      <c r="Q909" s="9">
        <f>8.58</f>
        <v>8.58</v>
      </c>
    </row>
    <row r="910" spans="1:17" ht="45" customHeight="1" x14ac:dyDescent="0.25">
      <c r="A910" s="4" t="s">
        <v>20</v>
      </c>
      <c r="B910" s="5" t="s">
        <v>1726</v>
      </c>
      <c r="C910" s="4" t="s">
        <v>29</v>
      </c>
      <c r="D910" s="4" t="s">
        <v>154</v>
      </c>
      <c r="E910" s="4" t="s">
        <v>155</v>
      </c>
      <c r="F910" s="6">
        <f>254</f>
        <v>254</v>
      </c>
      <c r="G910" s="4" t="s">
        <v>46</v>
      </c>
      <c r="H910" s="7">
        <v>3.77</v>
      </c>
      <c r="I910" s="7">
        <v>3.77</v>
      </c>
      <c r="J910" s="8" t="s">
        <v>122</v>
      </c>
      <c r="K910" s="9">
        <f>4.49</f>
        <v>4.49</v>
      </c>
      <c r="L910" s="9">
        <f>1140.46</f>
        <v>1140.46</v>
      </c>
      <c r="M910" s="4"/>
      <c r="N910" s="10">
        <v>1</v>
      </c>
      <c r="O910" s="4" t="s">
        <v>27</v>
      </c>
      <c r="P910" s="11">
        <v>254</v>
      </c>
      <c r="Q910" s="9">
        <f>1140.46</f>
        <v>1140.46</v>
      </c>
    </row>
    <row r="911" spans="1:17" ht="45" customHeight="1" x14ac:dyDescent="0.25">
      <c r="A911" s="4" t="s">
        <v>20</v>
      </c>
      <c r="B911" s="5" t="s">
        <v>1727</v>
      </c>
      <c r="C911" s="4" t="s">
        <v>29</v>
      </c>
      <c r="D911" s="4" t="s">
        <v>1435</v>
      </c>
      <c r="E911" s="4" t="s">
        <v>1436</v>
      </c>
      <c r="F911" s="6">
        <f>1</f>
        <v>1</v>
      </c>
      <c r="G911" s="4" t="s">
        <v>46</v>
      </c>
      <c r="H911" s="7">
        <v>410.33</v>
      </c>
      <c r="I911" s="7">
        <v>410.33</v>
      </c>
      <c r="J911" s="8" t="s">
        <v>122</v>
      </c>
      <c r="K911" s="9">
        <f>488.5</f>
        <v>488.5</v>
      </c>
      <c r="L911" s="9">
        <f>488.5</f>
        <v>488.5</v>
      </c>
      <c r="M911" s="4"/>
      <c r="N911" s="10">
        <v>1</v>
      </c>
      <c r="O911" s="4" t="s">
        <v>27</v>
      </c>
      <c r="P911" s="11">
        <v>1</v>
      </c>
      <c r="Q911" s="9">
        <f>488.5</f>
        <v>488.5</v>
      </c>
    </row>
    <row r="912" spans="1:17" ht="45" customHeight="1" x14ac:dyDescent="0.25">
      <c r="A912" s="4" t="s">
        <v>20</v>
      </c>
      <c r="B912" s="5" t="s">
        <v>1728</v>
      </c>
      <c r="C912" s="4" t="s">
        <v>29</v>
      </c>
      <c r="D912" s="4" t="s">
        <v>1326</v>
      </c>
      <c r="E912" s="4" t="s">
        <v>1327</v>
      </c>
      <c r="F912" s="6">
        <f>2</f>
        <v>2</v>
      </c>
      <c r="G912" s="4" t="s">
        <v>46</v>
      </c>
      <c r="H912" s="7">
        <v>670.91</v>
      </c>
      <c r="I912" s="7">
        <v>670.91</v>
      </c>
      <c r="J912" s="8" t="s">
        <v>122</v>
      </c>
      <c r="K912" s="9">
        <f>798.72</f>
        <v>798.72</v>
      </c>
      <c r="L912" s="9">
        <f>1597.44</f>
        <v>1597.44</v>
      </c>
      <c r="M912" s="4"/>
      <c r="N912" s="10">
        <v>1</v>
      </c>
      <c r="O912" s="4" t="s">
        <v>27</v>
      </c>
      <c r="P912" s="11">
        <v>2</v>
      </c>
      <c r="Q912" s="9">
        <f>1597.44</f>
        <v>1597.44</v>
      </c>
    </row>
    <row r="913" spans="1:17" ht="45" customHeight="1" x14ac:dyDescent="0.25">
      <c r="A913" s="4" t="s">
        <v>20</v>
      </c>
      <c r="B913" s="5" t="s">
        <v>1729</v>
      </c>
      <c r="C913" s="4" t="s">
        <v>29</v>
      </c>
      <c r="D913" s="4" t="s">
        <v>1439</v>
      </c>
      <c r="E913" s="4" t="s">
        <v>1440</v>
      </c>
      <c r="F913" s="6">
        <f>2</f>
        <v>2</v>
      </c>
      <c r="G913" s="4" t="s">
        <v>46</v>
      </c>
      <c r="H913" s="7">
        <v>728.57</v>
      </c>
      <c r="I913" s="7">
        <v>728.57</v>
      </c>
      <c r="J913" s="8" t="s">
        <v>122</v>
      </c>
      <c r="K913" s="9">
        <f>867.36</f>
        <v>867.36</v>
      </c>
      <c r="L913" s="9">
        <f>1734.72</f>
        <v>1734.72</v>
      </c>
      <c r="M913" s="4"/>
      <c r="N913" s="10">
        <v>1</v>
      </c>
      <c r="O913" s="4" t="s">
        <v>27</v>
      </c>
      <c r="P913" s="11">
        <v>2</v>
      </c>
      <c r="Q913" s="9">
        <f>1734.72</f>
        <v>1734.72</v>
      </c>
    </row>
    <row r="914" spans="1:17" ht="45" customHeight="1" x14ac:dyDescent="0.25">
      <c r="A914" s="4" t="s">
        <v>20</v>
      </c>
      <c r="B914" s="5" t="s">
        <v>1730</v>
      </c>
      <c r="C914" s="4" t="s">
        <v>29</v>
      </c>
      <c r="D914" s="4" t="s">
        <v>1442</v>
      </c>
      <c r="E914" s="4" t="s">
        <v>1443</v>
      </c>
      <c r="F914" s="6">
        <f>2</f>
        <v>2</v>
      </c>
      <c r="G914" s="4" t="s">
        <v>46</v>
      </c>
      <c r="H914" s="7">
        <v>52.69</v>
      </c>
      <c r="I914" s="7">
        <v>52.69</v>
      </c>
      <c r="J914" s="8" t="s">
        <v>122</v>
      </c>
      <c r="K914" s="9">
        <f>62.73</f>
        <v>62.73</v>
      </c>
      <c r="L914" s="9">
        <f>125.46</f>
        <v>125.46</v>
      </c>
      <c r="M914" s="4"/>
      <c r="N914" s="10">
        <v>1</v>
      </c>
      <c r="O914" s="4" t="s">
        <v>27</v>
      </c>
      <c r="P914" s="11">
        <v>2</v>
      </c>
      <c r="Q914" s="9">
        <f>125.46</f>
        <v>125.46</v>
      </c>
    </row>
    <row r="915" spans="1:17" ht="45" customHeight="1" x14ac:dyDescent="0.25">
      <c r="A915" s="4" t="s">
        <v>20</v>
      </c>
      <c r="B915" s="5" t="s">
        <v>1731</v>
      </c>
      <c r="C915" s="4" t="s">
        <v>29</v>
      </c>
      <c r="D915" s="4" t="s">
        <v>1445</v>
      </c>
      <c r="E915" s="4" t="s">
        <v>1446</v>
      </c>
      <c r="F915" s="6">
        <f>1</f>
        <v>1</v>
      </c>
      <c r="G915" s="4" t="s">
        <v>46</v>
      </c>
      <c r="H915" s="7">
        <v>293.39999999999998</v>
      </c>
      <c r="I915" s="7">
        <v>293.39999999999998</v>
      </c>
      <c r="J915" s="8" t="s">
        <v>122</v>
      </c>
      <c r="K915" s="9">
        <f>349.29</f>
        <v>349.29</v>
      </c>
      <c r="L915" s="9">
        <f>349.29</f>
        <v>349.29</v>
      </c>
      <c r="M915" s="4"/>
      <c r="N915" s="10">
        <v>1</v>
      </c>
      <c r="O915" s="4" t="s">
        <v>27</v>
      </c>
      <c r="P915" s="11">
        <v>1</v>
      </c>
      <c r="Q915" s="9">
        <f>349.29</f>
        <v>349.29</v>
      </c>
    </row>
    <row r="916" spans="1:17" ht="45" customHeight="1" x14ac:dyDescent="0.25">
      <c r="A916" s="4" t="s">
        <v>20</v>
      </c>
      <c r="B916" s="5" t="s">
        <v>1732</v>
      </c>
      <c r="C916" s="4" t="s">
        <v>29</v>
      </c>
      <c r="D916" s="4" t="s">
        <v>1448</v>
      </c>
      <c r="E916" s="4" t="s">
        <v>1449</v>
      </c>
      <c r="F916" s="6">
        <f>1</f>
        <v>1</v>
      </c>
      <c r="G916" s="4" t="s">
        <v>46</v>
      </c>
      <c r="H916" s="7">
        <v>447.7</v>
      </c>
      <c r="I916" s="7">
        <v>447.7</v>
      </c>
      <c r="J916" s="8" t="s">
        <v>122</v>
      </c>
      <c r="K916" s="9">
        <f>532.99</f>
        <v>532.99</v>
      </c>
      <c r="L916" s="9">
        <f>532.99</f>
        <v>532.99</v>
      </c>
      <c r="M916" s="4"/>
      <c r="N916" s="10">
        <v>1</v>
      </c>
      <c r="O916" s="4" t="s">
        <v>27</v>
      </c>
      <c r="P916" s="11">
        <v>1</v>
      </c>
      <c r="Q916" s="9">
        <f>532.99</f>
        <v>532.99</v>
      </c>
    </row>
    <row r="917" spans="1:17" ht="45" customHeight="1" x14ac:dyDescent="0.25">
      <c r="A917" s="4" t="s">
        <v>20</v>
      </c>
      <c r="B917" s="5" t="s">
        <v>1733</v>
      </c>
      <c r="C917" s="4" t="s">
        <v>29</v>
      </c>
      <c r="D917" s="4" t="s">
        <v>1451</v>
      </c>
      <c r="E917" s="4" t="s">
        <v>1452</v>
      </c>
      <c r="F917" s="6">
        <f>3</f>
        <v>3</v>
      </c>
      <c r="G917" s="4" t="s">
        <v>46</v>
      </c>
      <c r="H917" s="7">
        <v>373.24</v>
      </c>
      <c r="I917" s="7">
        <v>373.24</v>
      </c>
      <c r="J917" s="8" t="s">
        <v>122</v>
      </c>
      <c r="K917" s="9">
        <f>444.34</f>
        <v>444.34</v>
      </c>
      <c r="L917" s="9">
        <f>1333.02</f>
        <v>1333.02</v>
      </c>
      <c r="M917" s="4"/>
      <c r="N917" s="10">
        <v>1</v>
      </c>
      <c r="O917" s="4" t="s">
        <v>27</v>
      </c>
      <c r="P917" s="11">
        <v>3</v>
      </c>
      <c r="Q917" s="9">
        <f>1333.02</f>
        <v>1333.02</v>
      </c>
    </row>
    <row r="918" spans="1:17" ht="45" customHeight="1" x14ac:dyDescent="0.25">
      <c r="A918" s="4" t="s">
        <v>20</v>
      </c>
      <c r="B918" s="5" t="s">
        <v>1734</v>
      </c>
      <c r="C918" s="4" t="s">
        <v>29</v>
      </c>
      <c r="D918" s="4" t="s">
        <v>1454</v>
      </c>
      <c r="E918" s="4" t="s">
        <v>1455</v>
      </c>
      <c r="F918" s="6">
        <f>2</f>
        <v>2</v>
      </c>
      <c r="G918" s="4" t="s">
        <v>46</v>
      </c>
      <c r="H918" s="7">
        <v>279.37</v>
      </c>
      <c r="I918" s="7">
        <v>279.37</v>
      </c>
      <c r="J918" s="8" t="s">
        <v>122</v>
      </c>
      <c r="K918" s="9">
        <f>332.59</f>
        <v>332.59</v>
      </c>
      <c r="L918" s="9">
        <f>665.18</f>
        <v>665.18</v>
      </c>
      <c r="M918" s="4"/>
      <c r="N918" s="10">
        <v>1</v>
      </c>
      <c r="O918" s="4" t="s">
        <v>27</v>
      </c>
      <c r="P918" s="11">
        <v>2</v>
      </c>
      <c r="Q918" s="9">
        <f>665.18</f>
        <v>665.18</v>
      </c>
    </row>
    <row r="919" spans="1:17" ht="45" customHeight="1" x14ac:dyDescent="0.25">
      <c r="A919" s="4" t="s">
        <v>20</v>
      </c>
      <c r="B919" s="5" t="s">
        <v>1735</v>
      </c>
      <c r="C919" s="4" t="s">
        <v>29</v>
      </c>
      <c r="D919" s="4" t="s">
        <v>1457</v>
      </c>
      <c r="E919" s="4" t="s">
        <v>1458</v>
      </c>
      <c r="F919" s="6">
        <f>1</f>
        <v>1</v>
      </c>
      <c r="G919" s="4" t="s">
        <v>46</v>
      </c>
      <c r="H919" s="7">
        <v>530.89</v>
      </c>
      <c r="I919" s="7">
        <v>530.89</v>
      </c>
      <c r="J919" s="8" t="s">
        <v>122</v>
      </c>
      <c r="K919" s="9">
        <f>632.02</f>
        <v>632.02</v>
      </c>
      <c r="L919" s="9">
        <f>632.02</f>
        <v>632.02</v>
      </c>
      <c r="M919" s="4"/>
      <c r="N919" s="10">
        <v>1</v>
      </c>
      <c r="O919" s="4" t="s">
        <v>27</v>
      </c>
      <c r="P919" s="11">
        <v>1</v>
      </c>
      <c r="Q919" s="9">
        <f>632.02</f>
        <v>632.02</v>
      </c>
    </row>
    <row r="920" spans="1:17" ht="45" customHeight="1" x14ac:dyDescent="0.25">
      <c r="A920" s="4" t="s">
        <v>20</v>
      </c>
      <c r="B920" s="5" t="s">
        <v>1736</v>
      </c>
      <c r="C920" s="4" t="s">
        <v>29</v>
      </c>
      <c r="D920" s="4" t="s">
        <v>1460</v>
      </c>
      <c r="E920" s="4" t="s">
        <v>1461</v>
      </c>
      <c r="F920" s="6">
        <f>1</f>
        <v>1</v>
      </c>
      <c r="G920" s="4" t="s">
        <v>46</v>
      </c>
      <c r="H920" s="7">
        <v>2100.21</v>
      </c>
      <c r="I920" s="7">
        <v>2100.21</v>
      </c>
      <c r="J920" s="8" t="s">
        <v>122</v>
      </c>
      <c r="K920" s="9">
        <f>2500.3</f>
        <v>2500.3000000000002</v>
      </c>
      <c r="L920" s="9">
        <f>2500.3</f>
        <v>2500.3000000000002</v>
      </c>
      <c r="M920" s="4"/>
      <c r="N920" s="10">
        <v>1</v>
      </c>
      <c r="O920" s="4" t="s">
        <v>27</v>
      </c>
      <c r="P920" s="11">
        <v>1</v>
      </c>
      <c r="Q920" s="9">
        <f>2500.3</f>
        <v>2500.3000000000002</v>
      </c>
    </row>
    <row r="921" spans="1:17" ht="45" customHeight="1" x14ac:dyDescent="0.25">
      <c r="A921" s="4" t="s">
        <v>20</v>
      </c>
      <c r="B921" s="5" t="s">
        <v>1737</v>
      </c>
      <c r="C921" s="4" t="s">
        <v>29</v>
      </c>
      <c r="D921" s="4" t="s">
        <v>178</v>
      </c>
      <c r="E921" s="4" t="s">
        <v>179</v>
      </c>
      <c r="F921" s="6">
        <f>2</f>
        <v>2</v>
      </c>
      <c r="G921" s="4" t="s">
        <v>46</v>
      </c>
      <c r="H921" s="7">
        <v>1226.43</v>
      </c>
      <c r="I921" s="7">
        <v>1226.43</v>
      </c>
      <c r="J921" s="8" t="s">
        <v>122</v>
      </c>
      <c r="K921" s="9">
        <f>1460.06</f>
        <v>1460.06</v>
      </c>
      <c r="L921" s="9">
        <f>2920.12</f>
        <v>2920.12</v>
      </c>
      <c r="M921" s="4"/>
      <c r="N921" s="10">
        <v>1</v>
      </c>
      <c r="O921" s="4" t="s">
        <v>27</v>
      </c>
      <c r="P921" s="11">
        <v>2</v>
      </c>
      <c r="Q921" s="9">
        <f>2920.12</f>
        <v>2920.12</v>
      </c>
    </row>
    <row r="922" spans="1:17" ht="45" customHeight="1" x14ac:dyDescent="0.25">
      <c r="A922" s="4" t="s">
        <v>20</v>
      </c>
      <c r="B922" s="5" t="s">
        <v>1738</v>
      </c>
      <c r="C922" s="4" t="s">
        <v>29</v>
      </c>
      <c r="D922" s="4" t="s">
        <v>1164</v>
      </c>
      <c r="E922" s="4" t="s">
        <v>1165</v>
      </c>
      <c r="F922" s="6">
        <f>1.8</f>
        <v>1.8</v>
      </c>
      <c r="G922" s="4" t="s">
        <v>96</v>
      </c>
      <c r="H922" s="7">
        <v>269.51</v>
      </c>
      <c r="I922" s="7">
        <v>269.51</v>
      </c>
      <c r="J922" s="8" t="s">
        <v>122</v>
      </c>
      <c r="K922" s="9">
        <f>320.85</f>
        <v>320.85000000000002</v>
      </c>
      <c r="L922" s="9">
        <f>577.53</f>
        <v>577.53</v>
      </c>
      <c r="M922" s="4"/>
      <c r="N922" s="10">
        <v>1</v>
      </c>
      <c r="O922" s="4" t="s">
        <v>27</v>
      </c>
      <c r="P922" s="11">
        <v>1.8</v>
      </c>
      <c r="Q922" s="9">
        <f>577.53</f>
        <v>577.53</v>
      </c>
    </row>
    <row r="923" spans="1:17" ht="45" customHeight="1" x14ac:dyDescent="0.25">
      <c r="A923" s="4" t="s">
        <v>20</v>
      </c>
      <c r="B923" s="5" t="s">
        <v>1739</v>
      </c>
      <c r="C923" s="4" t="s">
        <v>29</v>
      </c>
      <c r="D923" s="4" t="s">
        <v>1465</v>
      </c>
      <c r="E923" s="4" t="s">
        <v>1466</v>
      </c>
      <c r="F923" s="6">
        <f>1</f>
        <v>1</v>
      </c>
      <c r="G923" s="4" t="s">
        <v>46</v>
      </c>
      <c r="H923" s="7">
        <v>1719.63</v>
      </c>
      <c r="I923" s="7">
        <v>1719.63</v>
      </c>
      <c r="J923" s="8" t="s">
        <v>122</v>
      </c>
      <c r="K923" s="9">
        <f>2047.22</f>
        <v>2047.22</v>
      </c>
      <c r="L923" s="9">
        <f>2047.22</f>
        <v>2047.22</v>
      </c>
      <c r="M923" s="4"/>
      <c r="N923" s="10">
        <v>1</v>
      </c>
      <c r="O923" s="4" t="s">
        <v>27</v>
      </c>
      <c r="P923" s="11">
        <v>1</v>
      </c>
      <c r="Q923" s="9">
        <f>2047.22</f>
        <v>2047.22</v>
      </c>
    </row>
    <row r="924" spans="1:17" ht="45" customHeight="1" x14ac:dyDescent="0.25">
      <c r="A924" s="4" t="s">
        <v>20</v>
      </c>
      <c r="B924" s="5" t="s">
        <v>1740</v>
      </c>
      <c r="C924" s="4" t="s">
        <v>29</v>
      </c>
      <c r="D924" s="4" t="s">
        <v>1126</v>
      </c>
      <c r="E924" s="4" t="s">
        <v>1127</v>
      </c>
      <c r="F924" s="6">
        <f>2</f>
        <v>2</v>
      </c>
      <c r="G924" s="4" t="s">
        <v>46</v>
      </c>
      <c r="H924" s="7">
        <v>824.52</v>
      </c>
      <c r="I924" s="7">
        <v>824.52</v>
      </c>
      <c r="J924" s="8" t="s">
        <v>122</v>
      </c>
      <c r="K924" s="9">
        <f>981.59</f>
        <v>981.59</v>
      </c>
      <c r="L924" s="9">
        <f>1963.18</f>
        <v>1963.18</v>
      </c>
      <c r="M924" s="4"/>
      <c r="N924" s="10">
        <v>1</v>
      </c>
      <c r="O924" s="4" t="s">
        <v>27</v>
      </c>
      <c r="P924" s="11">
        <v>2</v>
      </c>
      <c r="Q924" s="9">
        <f>1963.18</f>
        <v>1963.18</v>
      </c>
    </row>
    <row r="925" spans="1:17" ht="45" customHeight="1" x14ac:dyDescent="0.25">
      <c r="A925" s="4" t="s">
        <v>20</v>
      </c>
      <c r="B925" s="5" t="s">
        <v>1741</v>
      </c>
      <c r="C925" s="4" t="s">
        <v>29</v>
      </c>
      <c r="D925" s="4" t="s">
        <v>1469</v>
      </c>
      <c r="E925" s="4" t="s">
        <v>1470</v>
      </c>
      <c r="F925" s="6">
        <f>2</f>
        <v>2</v>
      </c>
      <c r="G925" s="4" t="s">
        <v>46</v>
      </c>
      <c r="H925" s="7">
        <v>1576.99</v>
      </c>
      <c r="I925" s="7">
        <v>1576.99</v>
      </c>
      <c r="J925" s="8" t="s">
        <v>122</v>
      </c>
      <c r="K925" s="9">
        <f>1877.41</f>
        <v>1877.41</v>
      </c>
      <c r="L925" s="9">
        <f>3754.82</f>
        <v>3754.82</v>
      </c>
      <c r="M925" s="4"/>
      <c r="N925" s="10">
        <v>1</v>
      </c>
      <c r="O925" s="4" t="s">
        <v>27</v>
      </c>
      <c r="P925" s="11">
        <v>2</v>
      </c>
      <c r="Q925" s="9">
        <f>3754.82</f>
        <v>3754.82</v>
      </c>
    </row>
    <row r="926" spans="1:17" ht="45" customHeight="1" x14ac:dyDescent="0.25">
      <c r="A926" s="4" t="s">
        <v>20</v>
      </c>
      <c r="B926" s="5" t="s">
        <v>1742</v>
      </c>
      <c r="C926" s="4" t="s">
        <v>29</v>
      </c>
      <c r="D926" s="4" t="s">
        <v>1472</v>
      </c>
      <c r="E926" s="4" t="s">
        <v>1473</v>
      </c>
      <c r="F926" s="6">
        <f>2</f>
        <v>2</v>
      </c>
      <c r="G926" s="4" t="s">
        <v>46</v>
      </c>
      <c r="H926" s="7">
        <v>755.6</v>
      </c>
      <c r="I926" s="7">
        <v>755.6</v>
      </c>
      <c r="J926" s="8" t="s">
        <v>122</v>
      </c>
      <c r="K926" s="9">
        <f>899.54</f>
        <v>899.54</v>
      </c>
      <c r="L926" s="9">
        <f>1799.08</f>
        <v>1799.08</v>
      </c>
      <c r="M926" s="4"/>
      <c r="N926" s="10">
        <v>1</v>
      </c>
      <c r="O926" s="4" t="s">
        <v>27</v>
      </c>
      <c r="P926" s="11">
        <v>2</v>
      </c>
      <c r="Q926" s="9">
        <f>1799.08</f>
        <v>1799.08</v>
      </c>
    </row>
    <row r="927" spans="1:17" ht="45" customHeight="1" x14ac:dyDescent="0.25">
      <c r="A927" s="4" t="s">
        <v>20</v>
      </c>
      <c r="B927" s="5" t="s">
        <v>1743</v>
      </c>
      <c r="C927" s="4" t="s">
        <v>29</v>
      </c>
      <c r="D927" s="4" t="s">
        <v>1475</v>
      </c>
      <c r="E927" s="4" t="s">
        <v>1476</v>
      </c>
      <c r="F927" s="6">
        <f>1</f>
        <v>1</v>
      </c>
      <c r="G927" s="4" t="s">
        <v>46</v>
      </c>
      <c r="H927" s="7">
        <v>997.5</v>
      </c>
      <c r="I927" s="7">
        <v>997.5</v>
      </c>
      <c r="J927" s="8" t="s">
        <v>122</v>
      </c>
      <c r="K927" s="9">
        <f>1187.52</f>
        <v>1187.52</v>
      </c>
      <c r="L927" s="9">
        <f>1187.52</f>
        <v>1187.52</v>
      </c>
      <c r="M927" s="4"/>
      <c r="N927" s="10">
        <v>1</v>
      </c>
      <c r="O927" s="4" t="s">
        <v>27</v>
      </c>
      <c r="P927" s="11">
        <v>1</v>
      </c>
      <c r="Q927" s="9">
        <f>1187.52</f>
        <v>1187.52</v>
      </c>
    </row>
    <row r="928" spans="1:17" ht="45" customHeight="1" x14ac:dyDescent="0.25">
      <c r="A928" s="4" t="s">
        <v>20</v>
      </c>
      <c r="B928" s="5" t="s">
        <v>1744</v>
      </c>
      <c r="C928" s="4" t="s">
        <v>196</v>
      </c>
      <c r="D928" s="4" t="s">
        <v>312</v>
      </c>
      <c r="E928" s="4" t="s">
        <v>1478</v>
      </c>
      <c r="F928" s="6">
        <f>2</f>
        <v>2</v>
      </c>
      <c r="G928" s="4" t="s">
        <v>92</v>
      </c>
      <c r="H928" s="7">
        <v>16078.41</v>
      </c>
      <c r="I928" s="7">
        <v>16078.41</v>
      </c>
      <c r="J928" s="8" t="s">
        <v>122</v>
      </c>
      <c r="K928" s="9">
        <f>19141.35</f>
        <v>19141.349999999999</v>
      </c>
      <c r="L928" s="9">
        <f>38282.7</f>
        <v>38282.699999999997</v>
      </c>
      <c r="M928" s="4"/>
      <c r="N928" s="10">
        <v>1</v>
      </c>
      <c r="O928" s="4" t="s">
        <v>27</v>
      </c>
      <c r="P928" s="11">
        <v>2</v>
      </c>
      <c r="Q928" s="9">
        <f>38282.7</f>
        <v>38282.699999999997</v>
      </c>
    </row>
    <row r="929" spans="1:17" ht="45" customHeight="1" x14ac:dyDescent="0.25">
      <c r="A929" s="4" t="s">
        <v>17</v>
      </c>
      <c r="B929" s="5" t="s">
        <v>1745</v>
      </c>
      <c r="C929" s="4"/>
      <c r="D929" s="4"/>
      <c r="E929" s="4" t="s">
        <v>1746</v>
      </c>
      <c r="F929" s="6"/>
      <c r="G929" s="4"/>
      <c r="H929" s="7"/>
      <c r="I929" s="7"/>
      <c r="J929" s="8"/>
      <c r="K929" s="9"/>
      <c r="L929" s="9">
        <f>303416.14</f>
        <v>303416.14</v>
      </c>
      <c r="M929" s="4"/>
      <c r="N929" s="10"/>
      <c r="O929" s="4"/>
      <c r="P929" s="11"/>
      <c r="Q929" s="9"/>
    </row>
    <row r="930" spans="1:17" ht="45" customHeight="1" x14ac:dyDescent="0.25">
      <c r="A930" s="4" t="s">
        <v>20</v>
      </c>
      <c r="B930" s="5" t="s">
        <v>1747</v>
      </c>
      <c r="C930" s="4" t="s">
        <v>29</v>
      </c>
      <c r="D930" s="4" t="s">
        <v>562</v>
      </c>
      <c r="E930" s="4" t="s">
        <v>563</v>
      </c>
      <c r="F930" s="6">
        <f>3</f>
        <v>3</v>
      </c>
      <c r="G930" s="4" t="s">
        <v>46</v>
      </c>
      <c r="H930" s="7">
        <v>68.73</v>
      </c>
      <c r="I930" s="7">
        <v>68.73</v>
      </c>
      <c r="J930" s="8" t="s">
        <v>26</v>
      </c>
      <c r="K930" s="9">
        <f>86.39</f>
        <v>86.39</v>
      </c>
      <c r="L930" s="9">
        <f>259.17</f>
        <v>259.17</v>
      </c>
      <c r="M930" s="4"/>
      <c r="N930" s="10">
        <v>1</v>
      </c>
      <c r="O930" s="4" t="s">
        <v>27</v>
      </c>
      <c r="P930" s="11">
        <v>3</v>
      </c>
      <c r="Q930" s="9">
        <f>259.17</f>
        <v>259.17</v>
      </c>
    </row>
    <row r="931" spans="1:17" ht="45" customHeight="1" x14ac:dyDescent="0.25">
      <c r="A931" s="4" t="s">
        <v>20</v>
      </c>
      <c r="B931" s="5" t="s">
        <v>1748</v>
      </c>
      <c r="C931" s="4" t="s">
        <v>29</v>
      </c>
      <c r="D931" s="4" t="s">
        <v>565</v>
      </c>
      <c r="E931" s="4" t="s">
        <v>566</v>
      </c>
      <c r="F931" s="6">
        <f>9</f>
        <v>9</v>
      </c>
      <c r="G931" s="4" t="s">
        <v>46</v>
      </c>
      <c r="H931" s="7">
        <v>51.42</v>
      </c>
      <c r="I931" s="7">
        <v>51.42</v>
      </c>
      <c r="J931" s="8" t="s">
        <v>26</v>
      </c>
      <c r="K931" s="9">
        <f>64.63</f>
        <v>64.63</v>
      </c>
      <c r="L931" s="9">
        <f>581.67</f>
        <v>581.66999999999996</v>
      </c>
      <c r="M931" s="4"/>
      <c r="N931" s="10">
        <v>1</v>
      </c>
      <c r="O931" s="4" t="s">
        <v>27</v>
      </c>
      <c r="P931" s="11">
        <v>9</v>
      </c>
      <c r="Q931" s="9">
        <f>581.67</f>
        <v>581.66999999999996</v>
      </c>
    </row>
    <row r="932" spans="1:17" ht="45" customHeight="1" x14ac:dyDescent="0.25">
      <c r="A932" s="4" t="s">
        <v>20</v>
      </c>
      <c r="B932" s="5" t="s">
        <v>1749</v>
      </c>
      <c r="C932" s="4" t="s">
        <v>29</v>
      </c>
      <c r="D932" s="4" t="s">
        <v>568</v>
      </c>
      <c r="E932" s="4" t="s">
        <v>569</v>
      </c>
      <c r="F932" s="6">
        <f>1</f>
        <v>1</v>
      </c>
      <c r="G932" s="4" t="s">
        <v>46</v>
      </c>
      <c r="H932" s="7">
        <v>135.57</v>
      </c>
      <c r="I932" s="7">
        <v>135.57</v>
      </c>
      <c r="J932" s="8" t="s">
        <v>26</v>
      </c>
      <c r="K932" s="9">
        <f>170.41</f>
        <v>170.41</v>
      </c>
      <c r="L932" s="9">
        <f>170.41</f>
        <v>170.41</v>
      </c>
      <c r="M932" s="4"/>
      <c r="N932" s="10">
        <v>1</v>
      </c>
      <c r="O932" s="4" t="s">
        <v>27</v>
      </c>
      <c r="P932" s="11">
        <v>1</v>
      </c>
      <c r="Q932" s="9">
        <f>170.41</f>
        <v>170.41</v>
      </c>
    </row>
    <row r="933" spans="1:17" ht="45" customHeight="1" x14ac:dyDescent="0.25">
      <c r="A933" s="4" t="s">
        <v>20</v>
      </c>
      <c r="B933" s="5" t="s">
        <v>1750</v>
      </c>
      <c r="C933" s="4" t="s">
        <v>29</v>
      </c>
      <c r="D933" s="4" t="s">
        <v>571</v>
      </c>
      <c r="E933" s="4" t="s">
        <v>572</v>
      </c>
      <c r="F933" s="6">
        <f>1</f>
        <v>1</v>
      </c>
      <c r="G933" s="4" t="s">
        <v>46</v>
      </c>
      <c r="H933" s="7">
        <v>590.29</v>
      </c>
      <c r="I933" s="7">
        <v>590.29</v>
      </c>
      <c r="J933" s="8" t="s">
        <v>26</v>
      </c>
      <c r="K933" s="9">
        <f>741.99</f>
        <v>741.99</v>
      </c>
      <c r="L933" s="9">
        <f>741.99</f>
        <v>741.99</v>
      </c>
      <c r="M933" s="4"/>
      <c r="N933" s="10">
        <v>1</v>
      </c>
      <c r="O933" s="4" t="s">
        <v>27</v>
      </c>
      <c r="P933" s="11">
        <v>1</v>
      </c>
      <c r="Q933" s="9">
        <f>741.99</f>
        <v>741.99</v>
      </c>
    </row>
    <row r="934" spans="1:17" ht="45" customHeight="1" x14ac:dyDescent="0.25">
      <c r="A934" s="4" t="s">
        <v>20</v>
      </c>
      <c r="B934" s="5" t="s">
        <v>1751</v>
      </c>
      <c r="C934" s="4" t="s">
        <v>29</v>
      </c>
      <c r="D934" s="4" t="s">
        <v>574</v>
      </c>
      <c r="E934" s="4" t="s">
        <v>575</v>
      </c>
      <c r="F934" s="6">
        <f>2</f>
        <v>2</v>
      </c>
      <c r="G934" s="4" t="s">
        <v>46</v>
      </c>
      <c r="H934" s="7">
        <v>328.05</v>
      </c>
      <c r="I934" s="7">
        <v>328.05</v>
      </c>
      <c r="J934" s="8" t="s">
        <v>26</v>
      </c>
      <c r="K934" s="9">
        <f>412.36</f>
        <v>412.36</v>
      </c>
      <c r="L934" s="9">
        <f>824.72</f>
        <v>824.72</v>
      </c>
      <c r="M934" s="4"/>
      <c r="N934" s="10">
        <v>1</v>
      </c>
      <c r="O934" s="4" t="s">
        <v>27</v>
      </c>
      <c r="P934" s="11">
        <v>2</v>
      </c>
      <c r="Q934" s="9">
        <f>824.72</f>
        <v>824.72</v>
      </c>
    </row>
    <row r="935" spans="1:17" ht="45" customHeight="1" x14ac:dyDescent="0.25">
      <c r="A935" s="4" t="s">
        <v>20</v>
      </c>
      <c r="B935" s="5" t="s">
        <v>1752</v>
      </c>
      <c r="C935" s="4" t="s">
        <v>29</v>
      </c>
      <c r="D935" s="4" t="s">
        <v>577</v>
      </c>
      <c r="E935" s="4" t="s">
        <v>578</v>
      </c>
      <c r="F935" s="6">
        <f>1</f>
        <v>1</v>
      </c>
      <c r="G935" s="4" t="s">
        <v>46</v>
      </c>
      <c r="H935" s="7">
        <v>255.25</v>
      </c>
      <c r="I935" s="7">
        <v>255.25</v>
      </c>
      <c r="J935" s="8" t="s">
        <v>26</v>
      </c>
      <c r="K935" s="9">
        <f>320.85</f>
        <v>320.85000000000002</v>
      </c>
      <c r="L935" s="9">
        <f>320.85</f>
        <v>320.85000000000002</v>
      </c>
      <c r="M935" s="4"/>
      <c r="N935" s="10">
        <v>1</v>
      </c>
      <c r="O935" s="4" t="s">
        <v>27</v>
      </c>
      <c r="P935" s="11">
        <v>1</v>
      </c>
      <c r="Q935" s="9">
        <f>320.85</f>
        <v>320.85000000000002</v>
      </c>
    </row>
    <row r="936" spans="1:17" ht="45" customHeight="1" x14ac:dyDescent="0.25">
      <c r="A936" s="4" t="s">
        <v>20</v>
      </c>
      <c r="B936" s="5" t="s">
        <v>1753</v>
      </c>
      <c r="C936" s="4" t="s">
        <v>29</v>
      </c>
      <c r="D936" s="4" t="s">
        <v>1488</v>
      </c>
      <c r="E936" s="4" t="s">
        <v>1489</v>
      </c>
      <c r="F936" s="6">
        <f>2</f>
        <v>2</v>
      </c>
      <c r="G936" s="4" t="s">
        <v>46</v>
      </c>
      <c r="H936" s="7">
        <v>388.08</v>
      </c>
      <c r="I936" s="7">
        <v>388.08</v>
      </c>
      <c r="J936" s="8" t="s">
        <v>26</v>
      </c>
      <c r="K936" s="9">
        <f>487.82</f>
        <v>487.82</v>
      </c>
      <c r="L936" s="9">
        <f>975.64</f>
        <v>975.64</v>
      </c>
      <c r="M936" s="4"/>
      <c r="N936" s="10">
        <v>1</v>
      </c>
      <c r="O936" s="4" t="s">
        <v>27</v>
      </c>
      <c r="P936" s="11">
        <v>2</v>
      </c>
      <c r="Q936" s="9">
        <f>975.64</f>
        <v>975.64</v>
      </c>
    </row>
    <row r="937" spans="1:17" ht="45" customHeight="1" x14ac:dyDescent="0.25">
      <c r="A937" s="4" t="s">
        <v>20</v>
      </c>
      <c r="B937" s="5" t="s">
        <v>1754</v>
      </c>
      <c r="C937" s="4" t="s">
        <v>29</v>
      </c>
      <c r="D937" s="4" t="s">
        <v>580</v>
      </c>
      <c r="E937" s="4" t="s">
        <v>581</v>
      </c>
      <c r="F937" s="6">
        <f>9</f>
        <v>9</v>
      </c>
      <c r="G937" s="4" t="s">
        <v>46</v>
      </c>
      <c r="H937" s="7">
        <v>41.73</v>
      </c>
      <c r="I937" s="7">
        <v>41.73</v>
      </c>
      <c r="J937" s="8" t="s">
        <v>26</v>
      </c>
      <c r="K937" s="9">
        <f>52.45</f>
        <v>52.45</v>
      </c>
      <c r="L937" s="9">
        <f>472.05</f>
        <v>472.05</v>
      </c>
      <c r="M937" s="4"/>
      <c r="N937" s="10">
        <v>1</v>
      </c>
      <c r="O937" s="4" t="s">
        <v>27</v>
      </c>
      <c r="P937" s="11">
        <v>9</v>
      </c>
      <c r="Q937" s="9">
        <f>472.05</f>
        <v>472.05</v>
      </c>
    </row>
    <row r="938" spans="1:17" ht="45" customHeight="1" x14ac:dyDescent="0.25">
      <c r="A938" s="4" t="s">
        <v>20</v>
      </c>
      <c r="B938" s="5" t="s">
        <v>1755</v>
      </c>
      <c r="C938" s="4" t="s">
        <v>29</v>
      </c>
      <c r="D938" s="4" t="s">
        <v>241</v>
      </c>
      <c r="E938" s="4" t="s">
        <v>242</v>
      </c>
      <c r="F938" s="6">
        <f>9</f>
        <v>9</v>
      </c>
      <c r="G938" s="4" t="s">
        <v>46</v>
      </c>
      <c r="H938" s="7">
        <v>93.29</v>
      </c>
      <c r="I938" s="7">
        <v>93.29</v>
      </c>
      <c r="J938" s="8" t="s">
        <v>26</v>
      </c>
      <c r="K938" s="9">
        <f>117.27</f>
        <v>117.27</v>
      </c>
      <c r="L938" s="9">
        <f>1055.43</f>
        <v>1055.43</v>
      </c>
      <c r="M938" s="4"/>
      <c r="N938" s="10">
        <v>1</v>
      </c>
      <c r="O938" s="4" t="s">
        <v>27</v>
      </c>
      <c r="P938" s="11">
        <v>9</v>
      </c>
      <c r="Q938" s="9">
        <f>1055.43</f>
        <v>1055.43</v>
      </c>
    </row>
    <row r="939" spans="1:17" ht="45" customHeight="1" x14ac:dyDescent="0.25">
      <c r="A939" s="4" t="s">
        <v>20</v>
      </c>
      <c r="B939" s="5" t="s">
        <v>1756</v>
      </c>
      <c r="C939" s="4" t="s">
        <v>29</v>
      </c>
      <c r="D939" s="4" t="s">
        <v>591</v>
      </c>
      <c r="E939" s="4" t="s">
        <v>592</v>
      </c>
      <c r="F939" s="6">
        <f>30</f>
        <v>30</v>
      </c>
      <c r="G939" s="4" t="s">
        <v>46</v>
      </c>
      <c r="H939" s="7">
        <v>89.6</v>
      </c>
      <c r="I939" s="7">
        <v>89.6</v>
      </c>
      <c r="J939" s="8" t="s">
        <v>26</v>
      </c>
      <c r="K939" s="9">
        <f>112.63</f>
        <v>112.63</v>
      </c>
      <c r="L939" s="9">
        <f>3378.9</f>
        <v>3378.9</v>
      </c>
      <c r="M939" s="4"/>
      <c r="N939" s="10">
        <v>1</v>
      </c>
      <c r="O939" s="4" t="s">
        <v>27</v>
      </c>
      <c r="P939" s="11">
        <v>30</v>
      </c>
      <c r="Q939" s="9">
        <f>3378.9</f>
        <v>3378.9</v>
      </c>
    </row>
    <row r="940" spans="1:17" ht="45" customHeight="1" x14ac:dyDescent="0.25">
      <c r="A940" s="4" t="s">
        <v>20</v>
      </c>
      <c r="B940" s="5" t="s">
        <v>1757</v>
      </c>
      <c r="C940" s="4" t="s">
        <v>29</v>
      </c>
      <c r="D940" s="4" t="s">
        <v>594</v>
      </c>
      <c r="E940" s="4" t="s">
        <v>595</v>
      </c>
      <c r="F940" s="6">
        <f>30</f>
        <v>30</v>
      </c>
      <c r="G940" s="4" t="s">
        <v>46</v>
      </c>
      <c r="H940" s="7">
        <v>119</v>
      </c>
      <c r="I940" s="7">
        <v>119</v>
      </c>
      <c r="J940" s="8" t="s">
        <v>26</v>
      </c>
      <c r="K940" s="9">
        <f>149.58</f>
        <v>149.58000000000001</v>
      </c>
      <c r="L940" s="9">
        <f>4487.4</f>
        <v>4487.3999999999996</v>
      </c>
      <c r="M940" s="4"/>
      <c r="N940" s="10">
        <v>1</v>
      </c>
      <c r="O940" s="4" t="s">
        <v>27</v>
      </c>
      <c r="P940" s="11">
        <v>30</v>
      </c>
      <c r="Q940" s="9">
        <f>4487.4</f>
        <v>4487.3999999999996</v>
      </c>
    </row>
    <row r="941" spans="1:17" ht="45" customHeight="1" x14ac:dyDescent="0.25">
      <c r="A941" s="4" t="s">
        <v>20</v>
      </c>
      <c r="B941" s="5" t="s">
        <v>1758</v>
      </c>
      <c r="C941" s="4" t="s">
        <v>29</v>
      </c>
      <c r="D941" s="4" t="s">
        <v>247</v>
      </c>
      <c r="E941" s="4" t="s">
        <v>248</v>
      </c>
      <c r="F941" s="6">
        <f>6</f>
        <v>6</v>
      </c>
      <c r="G941" s="4" t="s">
        <v>46</v>
      </c>
      <c r="H941" s="7">
        <v>206.37</v>
      </c>
      <c r="I941" s="7">
        <v>206.37</v>
      </c>
      <c r="J941" s="8" t="s">
        <v>26</v>
      </c>
      <c r="K941" s="9">
        <f>259.41</f>
        <v>259.41000000000003</v>
      </c>
      <c r="L941" s="9">
        <f>1556.46</f>
        <v>1556.46</v>
      </c>
      <c r="M941" s="4"/>
      <c r="N941" s="10">
        <v>1</v>
      </c>
      <c r="O941" s="4" t="s">
        <v>27</v>
      </c>
      <c r="P941" s="11">
        <v>6</v>
      </c>
      <c r="Q941" s="9">
        <f>1556.46</f>
        <v>1556.46</v>
      </c>
    </row>
    <row r="942" spans="1:17" ht="45" customHeight="1" x14ac:dyDescent="0.25">
      <c r="A942" s="4" t="s">
        <v>20</v>
      </c>
      <c r="B942" s="5" t="s">
        <v>1759</v>
      </c>
      <c r="C942" s="4" t="s">
        <v>29</v>
      </c>
      <c r="D942" s="4" t="s">
        <v>601</v>
      </c>
      <c r="E942" s="4" t="s">
        <v>602</v>
      </c>
      <c r="F942" s="6">
        <f>15</f>
        <v>15</v>
      </c>
      <c r="G942" s="4" t="s">
        <v>46</v>
      </c>
      <c r="H942" s="7">
        <v>12.04</v>
      </c>
      <c r="I942" s="7">
        <v>12.04</v>
      </c>
      <c r="J942" s="8" t="s">
        <v>26</v>
      </c>
      <c r="K942" s="9">
        <f>15.13</f>
        <v>15.13</v>
      </c>
      <c r="L942" s="9">
        <f>226.95</f>
        <v>226.95</v>
      </c>
      <c r="M942" s="4"/>
      <c r="N942" s="10">
        <v>1</v>
      </c>
      <c r="O942" s="4" t="s">
        <v>27</v>
      </c>
      <c r="P942" s="11">
        <v>15</v>
      </c>
      <c r="Q942" s="9">
        <f>226.95</f>
        <v>226.95</v>
      </c>
    </row>
    <row r="943" spans="1:17" ht="45" customHeight="1" x14ac:dyDescent="0.25">
      <c r="A943" s="4" t="s">
        <v>20</v>
      </c>
      <c r="B943" s="5" t="s">
        <v>1760</v>
      </c>
      <c r="C943" s="4" t="s">
        <v>29</v>
      </c>
      <c r="D943" s="4" t="s">
        <v>604</v>
      </c>
      <c r="E943" s="4" t="s">
        <v>605</v>
      </c>
      <c r="F943" s="6">
        <f>4</f>
        <v>4</v>
      </c>
      <c r="G943" s="4" t="s">
        <v>46</v>
      </c>
      <c r="H943" s="7">
        <v>16.12</v>
      </c>
      <c r="I943" s="7">
        <v>16.12</v>
      </c>
      <c r="J943" s="8" t="s">
        <v>26</v>
      </c>
      <c r="K943" s="9">
        <f>20.26</f>
        <v>20.260000000000002</v>
      </c>
      <c r="L943" s="9">
        <f>81.04</f>
        <v>81.040000000000006</v>
      </c>
      <c r="M943" s="4"/>
      <c r="N943" s="10">
        <v>1</v>
      </c>
      <c r="O943" s="4" t="s">
        <v>27</v>
      </c>
      <c r="P943" s="11">
        <v>4</v>
      </c>
      <c r="Q943" s="9">
        <f>81.04</f>
        <v>81.040000000000006</v>
      </c>
    </row>
    <row r="944" spans="1:17" ht="45" customHeight="1" x14ac:dyDescent="0.25">
      <c r="A944" s="4" t="s">
        <v>20</v>
      </c>
      <c r="B944" s="5" t="s">
        <v>1761</v>
      </c>
      <c r="C944" s="4" t="s">
        <v>29</v>
      </c>
      <c r="D944" s="4" t="s">
        <v>253</v>
      </c>
      <c r="E944" s="4" t="s">
        <v>254</v>
      </c>
      <c r="F944" s="6">
        <f>2</f>
        <v>2</v>
      </c>
      <c r="G944" s="4" t="s">
        <v>46</v>
      </c>
      <c r="H944" s="7">
        <v>52.64</v>
      </c>
      <c r="I944" s="7">
        <v>52.64</v>
      </c>
      <c r="J944" s="8" t="s">
        <v>26</v>
      </c>
      <c r="K944" s="9">
        <f>66.17</f>
        <v>66.17</v>
      </c>
      <c r="L944" s="9">
        <f>132.34</f>
        <v>132.34</v>
      </c>
      <c r="M944" s="4"/>
      <c r="N944" s="10">
        <v>1</v>
      </c>
      <c r="O944" s="4" t="s">
        <v>27</v>
      </c>
      <c r="P944" s="11">
        <v>2</v>
      </c>
      <c r="Q944" s="9">
        <f>132.34</f>
        <v>132.34</v>
      </c>
    </row>
    <row r="945" spans="1:17" ht="45" customHeight="1" x14ac:dyDescent="0.25">
      <c r="A945" s="4" t="s">
        <v>20</v>
      </c>
      <c r="B945" s="5" t="s">
        <v>1762</v>
      </c>
      <c r="C945" s="4" t="s">
        <v>29</v>
      </c>
      <c r="D945" s="4" t="s">
        <v>611</v>
      </c>
      <c r="E945" s="4" t="s">
        <v>612</v>
      </c>
      <c r="F945" s="6">
        <f>4</f>
        <v>4</v>
      </c>
      <c r="G945" s="4" t="s">
        <v>46</v>
      </c>
      <c r="H945" s="7">
        <v>8.9600000000000009</v>
      </c>
      <c r="I945" s="7">
        <v>8.9600000000000009</v>
      </c>
      <c r="J945" s="8" t="s">
        <v>26</v>
      </c>
      <c r="K945" s="9">
        <f>11.26</f>
        <v>11.26</v>
      </c>
      <c r="L945" s="9">
        <f>45.04</f>
        <v>45.04</v>
      </c>
      <c r="M945" s="4"/>
      <c r="N945" s="10">
        <v>1</v>
      </c>
      <c r="O945" s="4" t="s">
        <v>27</v>
      </c>
      <c r="P945" s="11">
        <v>4</v>
      </c>
      <c r="Q945" s="9">
        <f>45.04</f>
        <v>45.04</v>
      </c>
    </row>
    <row r="946" spans="1:17" ht="45" customHeight="1" x14ac:dyDescent="0.25">
      <c r="A946" s="4" t="s">
        <v>20</v>
      </c>
      <c r="B946" s="5" t="s">
        <v>1763</v>
      </c>
      <c r="C946" s="4" t="s">
        <v>29</v>
      </c>
      <c r="D946" s="4" t="s">
        <v>614</v>
      </c>
      <c r="E946" s="4" t="s">
        <v>615</v>
      </c>
      <c r="F946" s="6">
        <f>2</f>
        <v>2</v>
      </c>
      <c r="G946" s="4" t="s">
        <v>46</v>
      </c>
      <c r="H946" s="7">
        <v>25.78</v>
      </c>
      <c r="I946" s="7">
        <v>25.78</v>
      </c>
      <c r="J946" s="8" t="s">
        <v>26</v>
      </c>
      <c r="K946" s="9">
        <f>32.41</f>
        <v>32.409999999999997</v>
      </c>
      <c r="L946" s="9">
        <f>64.82</f>
        <v>64.819999999999993</v>
      </c>
      <c r="M946" s="4"/>
      <c r="N946" s="10">
        <v>1</v>
      </c>
      <c r="O946" s="4" t="s">
        <v>27</v>
      </c>
      <c r="P946" s="11">
        <v>2</v>
      </c>
      <c r="Q946" s="9">
        <f>64.82</f>
        <v>64.819999999999993</v>
      </c>
    </row>
    <row r="947" spans="1:17" ht="45" customHeight="1" x14ac:dyDescent="0.25">
      <c r="A947" s="4" t="s">
        <v>20</v>
      </c>
      <c r="B947" s="5" t="s">
        <v>1764</v>
      </c>
      <c r="C947" s="4" t="s">
        <v>29</v>
      </c>
      <c r="D947" s="4" t="s">
        <v>1501</v>
      </c>
      <c r="E947" s="4" t="s">
        <v>1502</v>
      </c>
      <c r="F947" s="6">
        <f>4</f>
        <v>4</v>
      </c>
      <c r="G947" s="4" t="s">
        <v>96</v>
      </c>
      <c r="H947" s="7">
        <v>30.45</v>
      </c>
      <c r="I947" s="7">
        <v>30.45</v>
      </c>
      <c r="J947" s="8" t="s">
        <v>26</v>
      </c>
      <c r="K947" s="9">
        <f>38.28</f>
        <v>38.28</v>
      </c>
      <c r="L947" s="9">
        <f>153.12</f>
        <v>153.12</v>
      </c>
      <c r="M947" s="4"/>
      <c r="N947" s="10">
        <v>1</v>
      </c>
      <c r="O947" s="4" t="s">
        <v>27</v>
      </c>
      <c r="P947" s="11">
        <v>4</v>
      </c>
      <c r="Q947" s="9">
        <f>153.12</f>
        <v>153.12</v>
      </c>
    </row>
    <row r="948" spans="1:17" ht="45" customHeight="1" x14ac:dyDescent="0.25">
      <c r="A948" s="4" t="s">
        <v>20</v>
      </c>
      <c r="B948" s="5" t="s">
        <v>1765</v>
      </c>
      <c r="C948" s="4" t="s">
        <v>29</v>
      </c>
      <c r="D948" s="4" t="s">
        <v>624</v>
      </c>
      <c r="E948" s="4" t="s">
        <v>625</v>
      </c>
      <c r="F948" s="6">
        <f>6</f>
        <v>6</v>
      </c>
      <c r="G948" s="4" t="s">
        <v>46</v>
      </c>
      <c r="H948" s="7">
        <v>30.35</v>
      </c>
      <c r="I948" s="7">
        <v>30.35</v>
      </c>
      <c r="J948" s="8" t="s">
        <v>26</v>
      </c>
      <c r="K948" s="9">
        <f>38.15</f>
        <v>38.15</v>
      </c>
      <c r="L948" s="9">
        <f>228.9</f>
        <v>228.9</v>
      </c>
      <c r="M948" s="4"/>
      <c r="N948" s="10">
        <v>1</v>
      </c>
      <c r="O948" s="4" t="s">
        <v>27</v>
      </c>
      <c r="P948" s="11">
        <v>6</v>
      </c>
      <c r="Q948" s="9">
        <f>228.9</f>
        <v>228.9</v>
      </c>
    </row>
    <row r="949" spans="1:17" ht="45" customHeight="1" x14ac:dyDescent="0.25">
      <c r="A949" s="4" t="s">
        <v>20</v>
      </c>
      <c r="B949" s="5" t="s">
        <v>1766</v>
      </c>
      <c r="C949" s="4" t="s">
        <v>29</v>
      </c>
      <c r="D949" s="4" t="s">
        <v>627</v>
      </c>
      <c r="E949" s="4" t="s">
        <v>628</v>
      </c>
      <c r="F949" s="6">
        <f>9</f>
        <v>9</v>
      </c>
      <c r="G949" s="4" t="s">
        <v>46</v>
      </c>
      <c r="H949" s="7">
        <v>34.18</v>
      </c>
      <c r="I949" s="7">
        <v>34.18</v>
      </c>
      <c r="J949" s="8" t="s">
        <v>26</v>
      </c>
      <c r="K949" s="9">
        <f>42.96</f>
        <v>42.96</v>
      </c>
      <c r="L949" s="9">
        <f>386.64</f>
        <v>386.64</v>
      </c>
      <c r="M949" s="4"/>
      <c r="N949" s="10">
        <v>1</v>
      </c>
      <c r="O949" s="4" t="s">
        <v>27</v>
      </c>
      <c r="P949" s="11">
        <v>9</v>
      </c>
      <c r="Q949" s="9">
        <f>386.64</f>
        <v>386.64</v>
      </c>
    </row>
    <row r="950" spans="1:17" ht="45" customHeight="1" x14ac:dyDescent="0.25">
      <c r="A950" s="4" t="s">
        <v>20</v>
      </c>
      <c r="B950" s="5" t="s">
        <v>1767</v>
      </c>
      <c r="C950" s="4" t="s">
        <v>29</v>
      </c>
      <c r="D950" s="4" t="s">
        <v>630</v>
      </c>
      <c r="E950" s="4" t="s">
        <v>631</v>
      </c>
      <c r="F950" s="6">
        <f>2</f>
        <v>2</v>
      </c>
      <c r="G950" s="4" t="s">
        <v>46</v>
      </c>
      <c r="H950" s="7">
        <v>40.880000000000003</v>
      </c>
      <c r="I950" s="7">
        <v>40.880000000000003</v>
      </c>
      <c r="J950" s="8" t="s">
        <v>26</v>
      </c>
      <c r="K950" s="9">
        <f>51.39</f>
        <v>51.39</v>
      </c>
      <c r="L950" s="9">
        <f>102.78</f>
        <v>102.78</v>
      </c>
      <c r="M950" s="4"/>
      <c r="N950" s="10">
        <v>1</v>
      </c>
      <c r="O950" s="4" t="s">
        <v>27</v>
      </c>
      <c r="P950" s="11">
        <v>2</v>
      </c>
      <c r="Q950" s="9">
        <f>102.78</f>
        <v>102.78</v>
      </c>
    </row>
    <row r="951" spans="1:17" ht="45" customHeight="1" x14ac:dyDescent="0.25">
      <c r="A951" s="4" t="s">
        <v>20</v>
      </c>
      <c r="B951" s="5" t="s">
        <v>1768</v>
      </c>
      <c r="C951" s="4" t="s">
        <v>29</v>
      </c>
      <c r="D951" s="4" t="s">
        <v>633</v>
      </c>
      <c r="E951" s="4" t="s">
        <v>634</v>
      </c>
      <c r="F951" s="6">
        <f>1</f>
        <v>1</v>
      </c>
      <c r="G951" s="4" t="s">
        <v>46</v>
      </c>
      <c r="H951" s="7">
        <v>36.020000000000003</v>
      </c>
      <c r="I951" s="7">
        <v>36.020000000000003</v>
      </c>
      <c r="J951" s="8" t="s">
        <v>26</v>
      </c>
      <c r="K951" s="9">
        <f>45.28</f>
        <v>45.28</v>
      </c>
      <c r="L951" s="9">
        <f>45.28</f>
        <v>45.28</v>
      </c>
      <c r="M951" s="4"/>
      <c r="N951" s="10">
        <v>1</v>
      </c>
      <c r="O951" s="4" t="s">
        <v>27</v>
      </c>
      <c r="P951" s="11">
        <v>1</v>
      </c>
      <c r="Q951" s="9">
        <f>45.28</f>
        <v>45.28</v>
      </c>
    </row>
    <row r="952" spans="1:17" ht="45" customHeight="1" x14ac:dyDescent="0.25">
      <c r="A952" s="4" t="s">
        <v>20</v>
      </c>
      <c r="B952" s="5" t="s">
        <v>1769</v>
      </c>
      <c r="C952" s="4" t="s">
        <v>29</v>
      </c>
      <c r="D952" s="4" t="s">
        <v>636</v>
      </c>
      <c r="E952" s="4" t="s">
        <v>637</v>
      </c>
      <c r="F952" s="6">
        <f>2</f>
        <v>2</v>
      </c>
      <c r="G952" s="4" t="s">
        <v>46</v>
      </c>
      <c r="H952" s="7">
        <v>49.67</v>
      </c>
      <c r="I952" s="7">
        <v>49.67</v>
      </c>
      <c r="J952" s="8" t="s">
        <v>26</v>
      </c>
      <c r="K952" s="9">
        <f>62.44</f>
        <v>62.44</v>
      </c>
      <c r="L952" s="9">
        <f>124.88</f>
        <v>124.88</v>
      </c>
      <c r="M952" s="4"/>
      <c r="N952" s="10">
        <v>1</v>
      </c>
      <c r="O952" s="4" t="s">
        <v>27</v>
      </c>
      <c r="P952" s="11">
        <v>2</v>
      </c>
      <c r="Q952" s="9">
        <f>124.88</f>
        <v>124.88</v>
      </c>
    </row>
    <row r="953" spans="1:17" ht="45" customHeight="1" x14ac:dyDescent="0.25">
      <c r="A953" s="4" t="s">
        <v>20</v>
      </c>
      <c r="B953" s="5" t="s">
        <v>1770</v>
      </c>
      <c r="C953" s="4" t="s">
        <v>29</v>
      </c>
      <c r="D953" s="4" t="s">
        <v>639</v>
      </c>
      <c r="E953" s="4" t="s">
        <v>640</v>
      </c>
      <c r="F953" s="6">
        <f>1</f>
        <v>1</v>
      </c>
      <c r="G953" s="4" t="s">
        <v>46</v>
      </c>
      <c r="H953" s="7">
        <v>45.94</v>
      </c>
      <c r="I953" s="7">
        <v>45.94</v>
      </c>
      <c r="J953" s="8" t="s">
        <v>26</v>
      </c>
      <c r="K953" s="9">
        <f>57.75</f>
        <v>57.75</v>
      </c>
      <c r="L953" s="9">
        <f>57.75</f>
        <v>57.75</v>
      </c>
      <c r="M953" s="4"/>
      <c r="N953" s="10">
        <v>1</v>
      </c>
      <c r="O953" s="4" t="s">
        <v>27</v>
      </c>
      <c r="P953" s="11">
        <v>1</v>
      </c>
      <c r="Q953" s="9">
        <f>57.75</f>
        <v>57.75</v>
      </c>
    </row>
    <row r="954" spans="1:17" ht="45" customHeight="1" x14ac:dyDescent="0.25">
      <c r="A954" s="4" t="s">
        <v>20</v>
      </c>
      <c r="B954" s="5" t="s">
        <v>1771</v>
      </c>
      <c r="C954" s="4" t="s">
        <v>29</v>
      </c>
      <c r="D954" s="4" t="s">
        <v>642</v>
      </c>
      <c r="E954" s="4" t="s">
        <v>643</v>
      </c>
      <c r="F954" s="6">
        <f>600</f>
        <v>600</v>
      </c>
      <c r="G954" s="4" t="s">
        <v>96</v>
      </c>
      <c r="H954" s="7">
        <v>4.8899999999999997</v>
      </c>
      <c r="I954" s="7">
        <v>4.8899999999999997</v>
      </c>
      <c r="J954" s="8" t="s">
        <v>26</v>
      </c>
      <c r="K954" s="9">
        <f>6.15</f>
        <v>6.15</v>
      </c>
      <c r="L954" s="9">
        <f>3690</f>
        <v>3690</v>
      </c>
      <c r="M954" s="4"/>
      <c r="N954" s="10">
        <v>1</v>
      </c>
      <c r="O954" s="4" t="s">
        <v>27</v>
      </c>
      <c r="P954" s="11">
        <v>600</v>
      </c>
      <c r="Q954" s="9">
        <f>3690</f>
        <v>3690</v>
      </c>
    </row>
    <row r="955" spans="1:17" ht="45" customHeight="1" x14ac:dyDescent="0.25">
      <c r="A955" s="4" t="s">
        <v>20</v>
      </c>
      <c r="B955" s="5" t="s">
        <v>1772</v>
      </c>
      <c r="C955" s="4" t="s">
        <v>29</v>
      </c>
      <c r="D955" s="4" t="s">
        <v>274</v>
      </c>
      <c r="E955" s="4" t="s">
        <v>275</v>
      </c>
      <c r="F955" s="6">
        <f>20</f>
        <v>20</v>
      </c>
      <c r="G955" s="4" t="s">
        <v>96</v>
      </c>
      <c r="H955" s="7">
        <v>25.45</v>
      </c>
      <c r="I955" s="7">
        <v>25.45</v>
      </c>
      <c r="J955" s="8" t="s">
        <v>26</v>
      </c>
      <c r="K955" s="9">
        <f>31.99</f>
        <v>31.99</v>
      </c>
      <c r="L955" s="9">
        <f>639.8</f>
        <v>639.79999999999995</v>
      </c>
      <c r="M955" s="4"/>
      <c r="N955" s="10">
        <v>1</v>
      </c>
      <c r="O955" s="4" t="s">
        <v>27</v>
      </c>
      <c r="P955" s="11">
        <v>20</v>
      </c>
      <c r="Q955" s="9">
        <f>639.8</f>
        <v>639.79999999999995</v>
      </c>
    </row>
    <row r="956" spans="1:17" ht="45" customHeight="1" x14ac:dyDescent="0.25">
      <c r="A956" s="4" t="s">
        <v>20</v>
      </c>
      <c r="B956" s="5" t="s">
        <v>1773</v>
      </c>
      <c r="C956" s="4" t="s">
        <v>29</v>
      </c>
      <c r="D956" s="4" t="s">
        <v>647</v>
      </c>
      <c r="E956" s="4" t="s">
        <v>648</v>
      </c>
      <c r="F956" s="6">
        <f>600</f>
        <v>600</v>
      </c>
      <c r="G956" s="4" t="s">
        <v>96</v>
      </c>
      <c r="H956" s="7">
        <v>7.41</v>
      </c>
      <c r="I956" s="7">
        <v>7.41</v>
      </c>
      <c r="J956" s="8" t="s">
        <v>26</v>
      </c>
      <c r="K956" s="9">
        <f>9.31</f>
        <v>9.31</v>
      </c>
      <c r="L956" s="9">
        <f>5586</f>
        <v>5586</v>
      </c>
      <c r="M956" s="4"/>
      <c r="N956" s="10">
        <v>1</v>
      </c>
      <c r="O956" s="4" t="s">
        <v>27</v>
      </c>
      <c r="P956" s="11">
        <v>600</v>
      </c>
      <c r="Q956" s="9">
        <f>5586</f>
        <v>5586</v>
      </c>
    </row>
    <row r="957" spans="1:17" ht="45" customHeight="1" x14ac:dyDescent="0.25">
      <c r="A957" s="4" t="s">
        <v>20</v>
      </c>
      <c r="B957" s="5" t="s">
        <v>1774</v>
      </c>
      <c r="C957" s="4" t="s">
        <v>29</v>
      </c>
      <c r="D957" s="4" t="s">
        <v>280</v>
      </c>
      <c r="E957" s="4" t="s">
        <v>281</v>
      </c>
      <c r="F957" s="6">
        <f>120</f>
        <v>120</v>
      </c>
      <c r="G957" s="4" t="s">
        <v>96</v>
      </c>
      <c r="H957" s="7">
        <v>19.420000000000002</v>
      </c>
      <c r="I957" s="7">
        <v>19.420000000000002</v>
      </c>
      <c r="J957" s="8" t="s">
        <v>26</v>
      </c>
      <c r="K957" s="9">
        <f>24.41</f>
        <v>24.41</v>
      </c>
      <c r="L957" s="9">
        <f>2929.2</f>
        <v>2929.2</v>
      </c>
      <c r="M957" s="4"/>
      <c r="N957" s="10">
        <v>1</v>
      </c>
      <c r="O957" s="4" t="s">
        <v>27</v>
      </c>
      <c r="P957" s="11">
        <v>120</v>
      </c>
      <c r="Q957" s="9">
        <f>2929.2</f>
        <v>2929.2</v>
      </c>
    </row>
    <row r="958" spans="1:17" ht="45" customHeight="1" x14ac:dyDescent="0.25">
      <c r="A958" s="4" t="s">
        <v>20</v>
      </c>
      <c r="B958" s="5" t="s">
        <v>1775</v>
      </c>
      <c r="C958" s="4" t="s">
        <v>29</v>
      </c>
      <c r="D958" s="4" t="s">
        <v>292</v>
      </c>
      <c r="E958" s="4" t="s">
        <v>293</v>
      </c>
      <c r="F958" s="6">
        <f>80</f>
        <v>80</v>
      </c>
      <c r="G958" s="4" t="s">
        <v>96</v>
      </c>
      <c r="H958" s="7">
        <v>9.08</v>
      </c>
      <c r="I958" s="7">
        <v>9.08</v>
      </c>
      <c r="J958" s="8" t="s">
        <v>26</v>
      </c>
      <c r="K958" s="9">
        <f>11.41</f>
        <v>11.41</v>
      </c>
      <c r="L958" s="9">
        <f>912.8</f>
        <v>912.8</v>
      </c>
      <c r="M958" s="4"/>
      <c r="N958" s="10">
        <v>1</v>
      </c>
      <c r="O958" s="4" t="s">
        <v>27</v>
      </c>
      <c r="P958" s="11">
        <v>80</v>
      </c>
      <c r="Q958" s="9">
        <f>912.8</f>
        <v>912.8</v>
      </c>
    </row>
    <row r="959" spans="1:17" ht="45" customHeight="1" x14ac:dyDescent="0.25">
      <c r="A959" s="4" t="s">
        <v>20</v>
      </c>
      <c r="B959" s="5" t="s">
        <v>1776</v>
      </c>
      <c r="C959" s="4" t="s">
        <v>29</v>
      </c>
      <c r="D959" s="4" t="s">
        <v>295</v>
      </c>
      <c r="E959" s="4" t="s">
        <v>296</v>
      </c>
      <c r="F959" s="6">
        <f>200</f>
        <v>200</v>
      </c>
      <c r="G959" s="4" t="s">
        <v>96</v>
      </c>
      <c r="H959" s="7">
        <v>57.64</v>
      </c>
      <c r="I959" s="7">
        <v>57.64</v>
      </c>
      <c r="J959" s="8" t="s">
        <v>26</v>
      </c>
      <c r="K959" s="9">
        <f>72.45</f>
        <v>72.45</v>
      </c>
      <c r="L959" s="9">
        <f>14490</f>
        <v>14490</v>
      </c>
      <c r="M959" s="4"/>
      <c r="N959" s="10">
        <v>1</v>
      </c>
      <c r="O959" s="4" t="s">
        <v>27</v>
      </c>
      <c r="P959" s="11">
        <v>200</v>
      </c>
      <c r="Q959" s="9">
        <f>14490</f>
        <v>14490</v>
      </c>
    </row>
    <row r="960" spans="1:17" ht="45" customHeight="1" x14ac:dyDescent="0.25">
      <c r="A960" s="4" t="s">
        <v>20</v>
      </c>
      <c r="B960" s="5" t="s">
        <v>1777</v>
      </c>
      <c r="C960" s="4" t="s">
        <v>29</v>
      </c>
      <c r="D960" s="4" t="s">
        <v>668</v>
      </c>
      <c r="E960" s="4" t="s">
        <v>669</v>
      </c>
      <c r="F960" s="6">
        <f>8</f>
        <v>8</v>
      </c>
      <c r="G960" s="4" t="s">
        <v>46</v>
      </c>
      <c r="H960" s="7">
        <v>429.63</v>
      </c>
      <c r="I960" s="7">
        <v>429.63</v>
      </c>
      <c r="J960" s="8" t="s">
        <v>26</v>
      </c>
      <c r="K960" s="9">
        <f>540.04</f>
        <v>540.04</v>
      </c>
      <c r="L960" s="9">
        <f>4320.32</f>
        <v>4320.32</v>
      </c>
      <c r="M960" s="4"/>
      <c r="N960" s="10">
        <v>1</v>
      </c>
      <c r="O960" s="4" t="s">
        <v>27</v>
      </c>
      <c r="P960" s="11">
        <v>8</v>
      </c>
      <c r="Q960" s="9">
        <f>4320.32</f>
        <v>4320.32</v>
      </c>
    </row>
    <row r="961" spans="1:17" ht="45" customHeight="1" x14ac:dyDescent="0.25">
      <c r="A961" s="4" t="s">
        <v>20</v>
      </c>
      <c r="B961" s="5" t="s">
        <v>1778</v>
      </c>
      <c r="C961" s="4" t="s">
        <v>29</v>
      </c>
      <c r="D961" s="4" t="s">
        <v>671</v>
      </c>
      <c r="E961" s="4" t="s">
        <v>672</v>
      </c>
      <c r="F961" s="6">
        <f>8</f>
        <v>8</v>
      </c>
      <c r="G961" s="4" t="s">
        <v>46</v>
      </c>
      <c r="H961" s="7">
        <v>54.62</v>
      </c>
      <c r="I961" s="7">
        <v>54.62</v>
      </c>
      <c r="J961" s="8" t="s">
        <v>26</v>
      </c>
      <c r="K961" s="9">
        <f>68.66</f>
        <v>68.66</v>
      </c>
      <c r="L961" s="9">
        <f>549.28</f>
        <v>549.28</v>
      </c>
      <c r="M961" s="4"/>
      <c r="N961" s="10">
        <v>1</v>
      </c>
      <c r="O961" s="4" t="s">
        <v>27</v>
      </c>
      <c r="P961" s="11">
        <v>8</v>
      </c>
      <c r="Q961" s="9">
        <f>549.28</f>
        <v>549.28</v>
      </c>
    </row>
    <row r="962" spans="1:17" ht="45" customHeight="1" x14ac:dyDescent="0.25">
      <c r="A962" s="4" t="s">
        <v>20</v>
      </c>
      <c r="B962" s="5" t="s">
        <v>1779</v>
      </c>
      <c r="C962" s="4" t="s">
        <v>29</v>
      </c>
      <c r="D962" s="4" t="s">
        <v>674</v>
      </c>
      <c r="E962" s="4" t="s">
        <v>675</v>
      </c>
      <c r="F962" s="6">
        <f>30</f>
        <v>30</v>
      </c>
      <c r="G962" s="4" t="s">
        <v>46</v>
      </c>
      <c r="H962" s="7">
        <v>133.13999999999999</v>
      </c>
      <c r="I962" s="7">
        <v>133.13999999999999</v>
      </c>
      <c r="J962" s="8" t="s">
        <v>26</v>
      </c>
      <c r="K962" s="9">
        <f>167.36</f>
        <v>167.36</v>
      </c>
      <c r="L962" s="9">
        <f>5020.8</f>
        <v>5020.8</v>
      </c>
      <c r="M962" s="4"/>
      <c r="N962" s="10">
        <v>1</v>
      </c>
      <c r="O962" s="4" t="s">
        <v>27</v>
      </c>
      <c r="P962" s="11">
        <v>30</v>
      </c>
      <c r="Q962" s="9">
        <f>5020.8</f>
        <v>5020.8</v>
      </c>
    </row>
    <row r="963" spans="1:17" ht="45" customHeight="1" x14ac:dyDescent="0.25">
      <c r="A963" s="4" t="s">
        <v>20</v>
      </c>
      <c r="B963" s="5" t="s">
        <v>1780</v>
      </c>
      <c r="C963" s="4" t="s">
        <v>29</v>
      </c>
      <c r="D963" s="4" t="s">
        <v>677</v>
      </c>
      <c r="E963" s="4" t="s">
        <v>678</v>
      </c>
      <c r="F963" s="6">
        <f>1</f>
        <v>1</v>
      </c>
      <c r="G963" s="4" t="s">
        <v>46</v>
      </c>
      <c r="H963" s="7">
        <v>123.79</v>
      </c>
      <c r="I963" s="7">
        <v>123.79</v>
      </c>
      <c r="J963" s="8" t="s">
        <v>26</v>
      </c>
      <c r="K963" s="9">
        <f>155.6</f>
        <v>155.6</v>
      </c>
      <c r="L963" s="9">
        <f>155.6</f>
        <v>155.6</v>
      </c>
      <c r="M963" s="4"/>
      <c r="N963" s="10">
        <v>1</v>
      </c>
      <c r="O963" s="4" t="s">
        <v>27</v>
      </c>
      <c r="P963" s="11">
        <v>1</v>
      </c>
      <c r="Q963" s="9">
        <f>155.6</f>
        <v>155.6</v>
      </c>
    </row>
    <row r="964" spans="1:17" ht="45" customHeight="1" x14ac:dyDescent="0.25">
      <c r="A964" s="4" t="s">
        <v>20</v>
      </c>
      <c r="B964" s="5" t="s">
        <v>1781</v>
      </c>
      <c r="C964" s="4" t="s">
        <v>29</v>
      </c>
      <c r="D964" s="4" t="s">
        <v>680</v>
      </c>
      <c r="E964" s="4" t="s">
        <v>681</v>
      </c>
      <c r="F964" s="6">
        <f>4</f>
        <v>4</v>
      </c>
      <c r="G964" s="4" t="s">
        <v>46</v>
      </c>
      <c r="H964" s="7">
        <v>1040.4000000000001</v>
      </c>
      <c r="I964" s="7">
        <v>1040.4000000000001</v>
      </c>
      <c r="J964" s="8" t="s">
        <v>26</v>
      </c>
      <c r="K964" s="9">
        <f>1307.78</f>
        <v>1307.78</v>
      </c>
      <c r="L964" s="9">
        <f>5231.12</f>
        <v>5231.12</v>
      </c>
      <c r="M964" s="4"/>
      <c r="N964" s="10">
        <v>1</v>
      </c>
      <c r="O964" s="4" t="s">
        <v>27</v>
      </c>
      <c r="P964" s="11">
        <v>4</v>
      </c>
      <c r="Q964" s="9">
        <f>5231.12</f>
        <v>5231.12</v>
      </c>
    </row>
    <row r="965" spans="1:17" ht="45" customHeight="1" x14ac:dyDescent="0.25">
      <c r="A965" s="4" t="s">
        <v>20</v>
      </c>
      <c r="B965" s="5" t="s">
        <v>1782</v>
      </c>
      <c r="C965" s="4" t="s">
        <v>29</v>
      </c>
      <c r="D965" s="4" t="s">
        <v>683</v>
      </c>
      <c r="E965" s="4" t="s">
        <v>684</v>
      </c>
      <c r="F965" s="6">
        <f>4</f>
        <v>4</v>
      </c>
      <c r="G965" s="4" t="s">
        <v>46</v>
      </c>
      <c r="H965" s="7">
        <v>850.65</v>
      </c>
      <c r="I965" s="7">
        <v>850.65</v>
      </c>
      <c r="J965" s="8" t="s">
        <v>26</v>
      </c>
      <c r="K965" s="9">
        <f>1069.27</f>
        <v>1069.27</v>
      </c>
      <c r="L965" s="9">
        <f>4277.08</f>
        <v>4277.08</v>
      </c>
      <c r="M965" s="4"/>
      <c r="N965" s="10">
        <v>1</v>
      </c>
      <c r="O965" s="4" t="s">
        <v>27</v>
      </c>
      <c r="P965" s="11">
        <v>4</v>
      </c>
      <c r="Q965" s="9">
        <f>4277.08</f>
        <v>4277.08</v>
      </c>
    </row>
    <row r="966" spans="1:17" ht="45" customHeight="1" x14ac:dyDescent="0.25">
      <c r="A966" s="4" t="s">
        <v>20</v>
      </c>
      <c r="B966" s="5" t="s">
        <v>1783</v>
      </c>
      <c r="C966" s="4" t="s">
        <v>29</v>
      </c>
      <c r="D966" s="4" t="s">
        <v>1522</v>
      </c>
      <c r="E966" s="4" t="s">
        <v>1523</v>
      </c>
      <c r="F966" s="6">
        <f>1</f>
        <v>1</v>
      </c>
      <c r="G966" s="4" t="s">
        <v>46</v>
      </c>
      <c r="H966" s="7">
        <v>4670.09</v>
      </c>
      <c r="I966" s="7">
        <v>4670.09</v>
      </c>
      <c r="J966" s="8" t="s">
        <v>26</v>
      </c>
      <c r="K966" s="9">
        <f>5870.3</f>
        <v>5870.3</v>
      </c>
      <c r="L966" s="9">
        <f>5870.3</f>
        <v>5870.3</v>
      </c>
      <c r="M966" s="4"/>
      <c r="N966" s="10">
        <v>1</v>
      </c>
      <c r="O966" s="4" t="s">
        <v>27</v>
      </c>
      <c r="P966" s="11">
        <v>1</v>
      </c>
      <c r="Q966" s="9">
        <f>5870.3</f>
        <v>5870.3</v>
      </c>
    </row>
    <row r="967" spans="1:17" ht="45" customHeight="1" x14ac:dyDescent="0.25">
      <c r="A967" s="4" t="s">
        <v>20</v>
      </c>
      <c r="B967" s="5" t="s">
        <v>1784</v>
      </c>
      <c r="C967" s="4" t="s">
        <v>29</v>
      </c>
      <c r="D967" s="4" t="s">
        <v>686</v>
      </c>
      <c r="E967" s="4" t="s">
        <v>687</v>
      </c>
      <c r="F967" s="6">
        <f>6</f>
        <v>6</v>
      </c>
      <c r="G967" s="4" t="s">
        <v>46</v>
      </c>
      <c r="H967" s="7">
        <v>170.55</v>
      </c>
      <c r="I967" s="7">
        <v>170.55</v>
      </c>
      <c r="J967" s="8" t="s">
        <v>26</v>
      </c>
      <c r="K967" s="9">
        <f>214.38</f>
        <v>214.38</v>
      </c>
      <c r="L967" s="9">
        <f>1286.28</f>
        <v>1286.28</v>
      </c>
      <c r="M967" s="4"/>
      <c r="N967" s="10">
        <v>1</v>
      </c>
      <c r="O967" s="4" t="s">
        <v>27</v>
      </c>
      <c r="P967" s="11">
        <v>6</v>
      </c>
      <c r="Q967" s="9">
        <f>1286.28</f>
        <v>1286.28</v>
      </c>
    </row>
    <row r="968" spans="1:17" ht="45" customHeight="1" x14ac:dyDescent="0.25">
      <c r="A968" s="4" t="s">
        <v>20</v>
      </c>
      <c r="B968" s="5" t="s">
        <v>1785</v>
      </c>
      <c r="C968" s="4" t="s">
        <v>29</v>
      </c>
      <c r="D968" s="4" t="s">
        <v>1526</v>
      </c>
      <c r="E968" s="4" t="s">
        <v>1527</v>
      </c>
      <c r="F968" s="6">
        <f>4</f>
        <v>4</v>
      </c>
      <c r="G968" s="4" t="s">
        <v>46</v>
      </c>
      <c r="H968" s="7">
        <v>284.85000000000002</v>
      </c>
      <c r="I968" s="7">
        <v>284.85000000000002</v>
      </c>
      <c r="J968" s="8" t="s">
        <v>26</v>
      </c>
      <c r="K968" s="9">
        <f>358.06</f>
        <v>358.06</v>
      </c>
      <c r="L968" s="9">
        <f>1432.24</f>
        <v>1432.24</v>
      </c>
      <c r="M968" s="4"/>
      <c r="N968" s="10">
        <v>1</v>
      </c>
      <c r="O968" s="4" t="s">
        <v>27</v>
      </c>
      <c r="P968" s="11">
        <v>4</v>
      </c>
      <c r="Q968" s="9">
        <f>1432.24</f>
        <v>1432.24</v>
      </c>
    </row>
    <row r="969" spans="1:17" ht="45" customHeight="1" x14ac:dyDescent="0.25">
      <c r="A969" s="4" t="s">
        <v>20</v>
      </c>
      <c r="B969" s="5" t="s">
        <v>1786</v>
      </c>
      <c r="C969" s="4" t="s">
        <v>29</v>
      </c>
      <c r="D969" s="4" t="s">
        <v>1529</v>
      </c>
      <c r="E969" s="4" t="s">
        <v>1530</v>
      </c>
      <c r="F969" s="6">
        <f>2</f>
        <v>2</v>
      </c>
      <c r="G969" s="4" t="s">
        <v>46</v>
      </c>
      <c r="H969" s="7">
        <v>122.93</v>
      </c>
      <c r="I969" s="7">
        <v>122.93</v>
      </c>
      <c r="J969" s="8" t="s">
        <v>26</v>
      </c>
      <c r="K969" s="9">
        <f>154.52</f>
        <v>154.52000000000001</v>
      </c>
      <c r="L969" s="9">
        <f>309.04</f>
        <v>309.04000000000002</v>
      </c>
      <c r="M969" s="4"/>
      <c r="N969" s="10">
        <v>1</v>
      </c>
      <c r="O969" s="4" t="s">
        <v>27</v>
      </c>
      <c r="P969" s="11">
        <v>2</v>
      </c>
      <c r="Q969" s="9">
        <f>309.04</f>
        <v>309.04000000000002</v>
      </c>
    </row>
    <row r="970" spans="1:17" ht="45" customHeight="1" x14ac:dyDescent="0.25">
      <c r="A970" s="4" t="s">
        <v>20</v>
      </c>
      <c r="B970" s="5" t="s">
        <v>1787</v>
      </c>
      <c r="C970" s="4" t="s">
        <v>29</v>
      </c>
      <c r="D970" s="4" t="s">
        <v>695</v>
      </c>
      <c r="E970" s="4" t="s">
        <v>696</v>
      </c>
      <c r="F970" s="6">
        <f>1</f>
        <v>1</v>
      </c>
      <c r="G970" s="4" t="s">
        <v>46</v>
      </c>
      <c r="H970" s="7">
        <v>1270.33</v>
      </c>
      <c r="I970" s="7">
        <v>1270.33</v>
      </c>
      <c r="J970" s="8" t="s">
        <v>26</v>
      </c>
      <c r="K970" s="9">
        <f>1596.8</f>
        <v>1596.8</v>
      </c>
      <c r="L970" s="9">
        <f>1596.8</f>
        <v>1596.8</v>
      </c>
      <c r="M970" s="4"/>
      <c r="N970" s="10">
        <v>1</v>
      </c>
      <c r="O970" s="4" t="s">
        <v>27</v>
      </c>
      <c r="P970" s="11">
        <v>1</v>
      </c>
      <c r="Q970" s="9">
        <f>1596.8</f>
        <v>1596.8</v>
      </c>
    </row>
    <row r="971" spans="1:17" ht="45" customHeight="1" x14ac:dyDescent="0.25">
      <c r="A971" s="4" t="s">
        <v>20</v>
      </c>
      <c r="B971" s="5" t="s">
        <v>1788</v>
      </c>
      <c r="C971" s="4" t="s">
        <v>29</v>
      </c>
      <c r="D971" s="4" t="s">
        <v>1533</v>
      </c>
      <c r="E971" s="4" t="s">
        <v>1534</v>
      </c>
      <c r="F971" s="6">
        <f>30</f>
        <v>30</v>
      </c>
      <c r="G971" s="4" t="s">
        <v>96</v>
      </c>
      <c r="H971" s="7">
        <v>40.57</v>
      </c>
      <c r="I971" s="7">
        <v>40.57</v>
      </c>
      <c r="J971" s="8" t="s">
        <v>26</v>
      </c>
      <c r="K971" s="9">
        <f>51</f>
        <v>51</v>
      </c>
      <c r="L971" s="9">
        <f>1530</f>
        <v>1530</v>
      </c>
      <c r="M971" s="4"/>
      <c r="N971" s="10">
        <v>1</v>
      </c>
      <c r="O971" s="4" t="s">
        <v>27</v>
      </c>
      <c r="P971" s="11">
        <v>30</v>
      </c>
      <c r="Q971" s="9">
        <f>1530</f>
        <v>1530</v>
      </c>
    </row>
    <row r="972" spans="1:17" ht="45" customHeight="1" x14ac:dyDescent="0.25">
      <c r="A972" s="4" t="s">
        <v>20</v>
      </c>
      <c r="B972" s="5" t="s">
        <v>1789</v>
      </c>
      <c r="C972" s="4" t="s">
        <v>29</v>
      </c>
      <c r="D972" s="4" t="s">
        <v>698</v>
      </c>
      <c r="E972" s="4" t="s">
        <v>699</v>
      </c>
      <c r="F972" s="6">
        <f>25</f>
        <v>25</v>
      </c>
      <c r="G972" s="4" t="s">
        <v>96</v>
      </c>
      <c r="H972" s="7">
        <v>104.87</v>
      </c>
      <c r="I972" s="7">
        <v>104.87</v>
      </c>
      <c r="J972" s="8" t="s">
        <v>26</v>
      </c>
      <c r="K972" s="9">
        <f>131.82</f>
        <v>131.82</v>
      </c>
      <c r="L972" s="9">
        <f>3295.5</f>
        <v>3295.5</v>
      </c>
      <c r="M972" s="4"/>
      <c r="N972" s="10">
        <v>1</v>
      </c>
      <c r="O972" s="4" t="s">
        <v>27</v>
      </c>
      <c r="P972" s="11">
        <v>25</v>
      </c>
      <c r="Q972" s="9">
        <f>3295.5</f>
        <v>3295.5</v>
      </c>
    </row>
    <row r="973" spans="1:17" ht="45" customHeight="1" x14ac:dyDescent="0.25">
      <c r="A973" s="4" t="s">
        <v>20</v>
      </c>
      <c r="B973" s="5" t="s">
        <v>1790</v>
      </c>
      <c r="C973" s="4" t="s">
        <v>29</v>
      </c>
      <c r="D973" s="4" t="s">
        <v>1537</v>
      </c>
      <c r="E973" s="4" t="s">
        <v>1538</v>
      </c>
      <c r="F973" s="6">
        <f>12</f>
        <v>12</v>
      </c>
      <c r="G973" s="4" t="s">
        <v>96</v>
      </c>
      <c r="H973" s="7">
        <v>147.96</v>
      </c>
      <c r="I973" s="7">
        <v>147.96</v>
      </c>
      <c r="J973" s="8" t="s">
        <v>26</v>
      </c>
      <c r="K973" s="9">
        <f>185.99</f>
        <v>185.99</v>
      </c>
      <c r="L973" s="9">
        <f>2231.88</f>
        <v>2231.88</v>
      </c>
      <c r="M973" s="4"/>
      <c r="N973" s="10">
        <v>1</v>
      </c>
      <c r="O973" s="4" t="s">
        <v>27</v>
      </c>
      <c r="P973" s="11">
        <v>12</v>
      </c>
      <c r="Q973" s="9">
        <f>2231.88</f>
        <v>2231.88</v>
      </c>
    </row>
    <row r="974" spans="1:17" ht="45" customHeight="1" x14ac:dyDescent="0.25">
      <c r="A974" s="4" t="s">
        <v>20</v>
      </c>
      <c r="B974" s="5" t="s">
        <v>1791</v>
      </c>
      <c r="C974" s="4" t="s">
        <v>29</v>
      </c>
      <c r="D974" s="4" t="s">
        <v>706</v>
      </c>
      <c r="E974" s="4" t="s">
        <v>707</v>
      </c>
      <c r="F974" s="6">
        <f>13</f>
        <v>13</v>
      </c>
      <c r="G974" s="4" t="s">
        <v>46</v>
      </c>
      <c r="H974" s="7">
        <v>29.25</v>
      </c>
      <c r="I974" s="7">
        <v>29.25</v>
      </c>
      <c r="J974" s="8" t="s">
        <v>26</v>
      </c>
      <c r="K974" s="9">
        <f>36.77</f>
        <v>36.770000000000003</v>
      </c>
      <c r="L974" s="9">
        <f>478.01</f>
        <v>478.01</v>
      </c>
      <c r="M974" s="4"/>
      <c r="N974" s="10">
        <v>1</v>
      </c>
      <c r="O974" s="4" t="s">
        <v>27</v>
      </c>
      <c r="P974" s="11">
        <v>13</v>
      </c>
      <c r="Q974" s="9">
        <f>478.01</f>
        <v>478.01</v>
      </c>
    </row>
    <row r="975" spans="1:17" ht="45" customHeight="1" x14ac:dyDescent="0.25">
      <c r="A975" s="4" t="s">
        <v>20</v>
      </c>
      <c r="B975" s="5" t="s">
        <v>1792</v>
      </c>
      <c r="C975" s="4" t="s">
        <v>63</v>
      </c>
      <c r="D975" s="4" t="s">
        <v>709</v>
      </c>
      <c r="E975" s="4" t="s">
        <v>710</v>
      </c>
      <c r="F975" s="6">
        <f>10</f>
        <v>10</v>
      </c>
      <c r="G975" s="4" t="s">
        <v>96</v>
      </c>
      <c r="H975" s="7">
        <v>5.0599999999999996</v>
      </c>
      <c r="I975" s="7">
        <v>5.0599999999999996</v>
      </c>
      <c r="J975" s="8" t="s">
        <v>26</v>
      </c>
      <c r="K975" s="9">
        <f>6.36</f>
        <v>6.36</v>
      </c>
      <c r="L975" s="9">
        <f>63.6</f>
        <v>63.6</v>
      </c>
      <c r="M975" s="4"/>
      <c r="N975" s="10">
        <v>1</v>
      </c>
      <c r="O975" s="4" t="s">
        <v>27</v>
      </c>
      <c r="P975" s="11">
        <v>10</v>
      </c>
      <c r="Q975" s="9">
        <f>63.6</f>
        <v>63.6</v>
      </c>
    </row>
    <row r="976" spans="1:17" ht="45" customHeight="1" x14ac:dyDescent="0.25">
      <c r="A976" s="4" t="s">
        <v>20</v>
      </c>
      <c r="B976" s="5" t="s">
        <v>1793</v>
      </c>
      <c r="C976" s="4" t="s">
        <v>63</v>
      </c>
      <c r="D976" s="4" t="s">
        <v>712</v>
      </c>
      <c r="E976" s="4" t="s">
        <v>713</v>
      </c>
      <c r="F976" s="6">
        <f>8</f>
        <v>8</v>
      </c>
      <c r="G976" s="4" t="s">
        <v>46</v>
      </c>
      <c r="H976" s="7">
        <v>57.04</v>
      </c>
      <c r="I976" s="7">
        <v>57.04</v>
      </c>
      <c r="J976" s="8" t="s">
        <v>26</v>
      </c>
      <c r="K976" s="9">
        <f>71.7</f>
        <v>71.7</v>
      </c>
      <c r="L976" s="9">
        <f>573.6</f>
        <v>573.6</v>
      </c>
      <c r="M976" s="4"/>
      <c r="N976" s="10">
        <v>1</v>
      </c>
      <c r="O976" s="4" t="s">
        <v>27</v>
      </c>
      <c r="P976" s="11">
        <v>8</v>
      </c>
      <c r="Q976" s="9">
        <f>573.6</f>
        <v>573.6</v>
      </c>
    </row>
    <row r="977" spans="1:17" ht="45" customHeight="1" x14ac:dyDescent="0.25">
      <c r="A977" s="4" t="s">
        <v>20</v>
      </c>
      <c r="B977" s="5" t="s">
        <v>1794</v>
      </c>
      <c r="C977" s="4" t="s">
        <v>63</v>
      </c>
      <c r="D977" s="4" t="s">
        <v>298</v>
      </c>
      <c r="E977" s="4" t="s">
        <v>299</v>
      </c>
      <c r="F977" s="6">
        <f>30</f>
        <v>30</v>
      </c>
      <c r="G977" s="4" t="s">
        <v>46</v>
      </c>
      <c r="H977" s="7">
        <v>18.489999999999998</v>
      </c>
      <c r="I977" s="7">
        <v>18.489999999999998</v>
      </c>
      <c r="J977" s="8" t="s">
        <v>26</v>
      </c>
      <c r="K977" s="9">
        <f>23.24</f>
        <v>23.24</v>
      </c>
      <c r="L977" s="9">
        <f>697.2</f>
        <v>697.2</v>
      </c>
      <c r="M977" s="4"/>
      <c r="N977" s="10">
        <v>1</v>
      </c>
      <c r="O977" s="4" t="s">
        <v>27</v>
      </c>
      <c r="P977" s="11">
        <v>30</v>
      </c>
      <c r="Q977" s="9">
        <f>697.2</f>
        <v>697.2</v>
      </c>
    </row>
    <row r="978" spans="1:17" ht="45" customHeight="1" x14ac:dyDescent="0.25">
      <c r="A978" s="4" t="s">
        <v>20</v>
      </c>
      <c r="B978" s="5" t="s">
        <v>1795</v>
      </c>
      <c r="C978" s="4" t="s">
        <v>29</v>
      </c>
      <c r="D978" s="4" t="s">
        <v>725</v>
      </c>
      <c r="E978" s="4" t="s">
        <v>726</v>
      </c>
      <c r="F978" s="6">
        <f>5</f>
        <v>5</v>
      </c>
      <c r="G978" s="4" t="s">
        <v>46</v>
      </c>
      <c r="H978" s="7">
        <v>21.67</v>
      </c>
      <c r="I978" s="7">
        <v>21.67</v>
      </c>
      <c r="J978" s="8" t="s">
        <v>122</v>
      </c>
      <c r="K978" s="9">
        <f>25.8</f>
        <v>25.8</v>
      </c>
      <c r="L978" s="9">
        <f>129</f>
        <v>129</v>
      </c>
      <c r="M978" s="4"/>
      <c r="N978" s="10">
        <v>1</v>
      </c>
      <c r="O978" s="4" t="s">
        <v>27</v>
      </c>
      <c r="P978" s="11">
        <v>5</v>
      </c>
      <c r="Q978" s="9">
        <f>129</f>
        <v>129</v>
      </c>
    </row>
    <row r="979" spans="1:17" ht="45" customHeight="1" x14ac:dyDescent="0.25">
      <c r="A979" s="4" t="s">
        <v>20</v>
      </c>
      <c r="B979" s="5" t="s">
        <v>1796</v>
      </c>
      <c r="C979" s="4" t="s">
        <v>29</v>
      </c>
      <c r="D979" s="4" t="s">
        <v>1545</v>
      </c>
      <c r="E979" s="4" t="s">
        <v>1546</v>
      </c>
      <c r="F979" s="6">
        <f>2</f>
        <v>2</v>
      </c>
      <c r="G979" s="4" t="s">
        <v>46</v>
      </c>
      <c r="H979" s="7">
        <v>50000</v>
      </c>
      <c r="I979" s="7">
        <v>50000</v>
      </c>
      <c r="J979" s="8" t="s">
        <v>122</v>
      </c>
      <c r="K979" s="9">
        <f>59525</f>
        <v>59525</v>
      </c>
      <c r="L979" s="9">
        <f>119050</f>
        <v>119050</v>
      </c>
      <c r="M979" s="4"/>
      <c r="N979" s="10">
        <v>1</v>
      </c>
      <c r="O979" s="4" t="s">
        <v>27</v>
      </c>
      <c r="P979" s="11">
        <v>2</v>
      </c>
      <c r="Q979" s="9">
        <f>119050</f>
        <v>119050</v>
      </c>
    </row>
    <row r="980" spans="1:17" ht="45" customHeight="1" x14ac:dyDescent="0.25">
      <c r="A980" s="4" t="s">
        <v>20</v>
      </c>
      <c r="B980" s="5" t="s">
        <v>1797</v>
      </c>
      <c r="C980" s="4" t="s">
        <v>29</v>
      </c>
      <c r="D980" s="4" t="s">
        <v>1548</v>
      </c>
      <c r="E980" s="4" t="s">
        <v>1549</v>
      </c>
      <c r="F980" s="6">
        <f>1</f>
        <v>1</v>
      </c>
      <c r="G980" s="4" t="s">
        <v>46</v>
      </c>
      <c r="H980" s="7">
        <v>59500</v>
      </c>
      <c r="I980" s="7">
        <v>59500</v>
      </c>
      <c r="J980" s="8" t="s">
        <v>122</v>
      </c>
      <c r="K980" s="9">
        <f>70834.75</f>
        <v>70834.75</v>
      </c>
      <c r="L980" s="9">
        <f>70834.75</f>
        <v>70834.75</v>
      </c>
      <c r="M980" s="4"/>
      <c r="N980" s="10">
        <v>1</v>
      </c>
      <c r="O980" s="4" t="s">
        <v>27</v>
      </c>
      <c r="P980" s="11">
        <v>1</v>
      </c>
      <c r="Q980" s="9">
        <f>70834.75</f>
        <v>70834.75</v>
      </c>
    </row>
    <row r="981" spans="1:17" ht="45" customHeight="1" x14ac:dyDescent="0.25">
      <c r="A981" s="4" t="s">
        <v>20</v>
      </c>
      <c r="B981" s="5" t="s">
        <v>1798</v>
      </c>
      <c r="C981" s="4" t="s">
        <v>29</v>
      </c>
      <c r="D981" s="4" t="s">
        <v>1551</v>
      </c>
      <c r="E981" s="4" t="s">
        <v>1552</v>
      </c>
      <c r="F981" s="6">
        <f>1</f>
        <v>1</v>
      </c>
      <c r="G981" s="4" t="s">
        <v>46</v>
      </c>
      <c r="H981" s="7">
        <v>23200</v>
      </c>
      <c r="I981" s="7">
        <v>23200</v>
      </c>
      <c r="J981" s="8" t="s">
        <v>122</v>
      </c>
      <c r="K981" s="9">
        <f>27619.6</f>
        <v>27619.599999999999</v>
      </c>
      <c r="L981" s="9">
        <f>27619.6</f>
        <v>27619.599999999999</v>
      </c>
      <c r="M981" s="4"/>
      <c r="N981" s="10">
        <v>1</v>
      </c>
      <c r="O981" s="4" t="s">
        <v>27</v>
      </c>
      <c r="P981" s="11">
        <v>1</v>
      </c>
      <c r="Q981" s="9">
        <f>27619.6</f>
        <v>27619.599999999999</v>
      </c>
    </row>
    <row r="982" spans="1:17" ht="45" customHeight="1" x14ac:dyDescent="0.25">
      <c r="A982" s="4" t="s">
        <v>20</v>
      </c>
      <c r="B982" s="5" t="s">
        <v>1799</v>
      </c>
      <c r="C982" s="4" t="s">
        <v>29</v>
      </c>
      <c r="D982" s="4" t="s">
        <v>310</v>
      </c>
      <c r="E982" s="4" t="s">
        <v>311</v>
      </c>
      <c r="F982" s="6">
        <f>1</f>
        <v>1</v>
      </c>
      <c r="G982" s="4" t="s">
        <v>46</v>
      </c>
      <c r="H982" s="7">
        <v>1799.34</v>
      </c>
      <c r="I982" s="7">
        <v>1799.34</v>
      </c>
      <c r="J982" s="8" t="s">
        <v>122</v>
      </c>
      <c r="K982" s="9">
        <f>2142.11</f>
        <v>2142.11</v>
      </c>
      <c r="L982" s="9">
        <f>2142.11</f>
        <v>2142.11</v>
      </c>
      <c r="M982" s="4"/>
      <c r="N982" s="10">
        <v>1</v>
      </c>
      <c r="O982" s="4" t="s">
        <v>27</v>
      </c>
      <c r="P982" s="11">
        <v>1</v>
      </c>
      <c r="Q982" s="9">
        <f>2142.11</f>
        <v>2142.11</v>
      </c>
    </row>
    <row r="983" spans="1:17" ht="45" customHeight="1" x14ac:dyDescent="0.25">
      <c r="A983" s="4" t="s">
        <v>17</v>
      </c>
      <c r="B983" s="5" t="s">
        <v>1800</v>
      </c>
      <c r="C983" s="4"/>
      <c r="D983" s="4"/>
      <c r="E983" s="4" t="s">
        <v>1801</v>
      </c>
      <c r="F983" s="6"/>
      <c r="G983" s="4"/>
      <c r="H983" s="7"/>
      <c r="I983" s="7"/>
      <c r="J983" s="8"/>
      <c r="K983" s="9"/>
      <c r="L983" s="9">
        <f>412859.56</f>
        <v>412859.56</v>
      </c>
      <c r="M983" s="4"/>
      <c r="N983" s="10"/>
      <c r="O983" s="4"/>
      <c r="P983" s="11"/>
      <c r="Q983" s="9"/>
    </row>
    <row r="984" spans="1:17" ht="45" customHeight="1" x14ac:dyDescent="0.25">
      <c r="A984" s="4" t="s">
        <v>20</v>
      </c>
      <c r="B984" s="5" t="s">
        <v>1802</v>
      </c>
      <c r="C984" s="4" t="s">
        <v>29</v>
      </c>
      <c r="D984" s="4" t="s">
        <v>60</v>
      </c>
      <c r="E984" s="4" t="s">
        <v>61</v>
      </c>
      <c r="F984" s="6">
        <f>21</f>
        <v>21</v>
      </c>
      <c r="G984" s="4" t="s">
        <v>25</v>
      </c>
      <c r="H984" s="7">
        <v>5.8</v>
      </c>
      <c r="I984" s="7">
        <v>5.8</v>
      </c>
      <c r="J984" s="8" t="s">
        <v>26</v>
      </c>
      <c r="K984" s="9">
        <f>7.29</f>
        <v>7.29</v>
      </c>
      <c r="L984" s="9">
        <f>153.09</f>
        <v>153.09</v>
      </c>
      <c r="M984" s="4"/>
      <c r="N984" s="10">
        <v>1</v>
      </c>
      <c r="O984" s="4" t="s">
        <v>27</v>
      </c>
      <c r="P984" s="11">
        <v>21</v>
      </c>
      <c r="Q984" s="9">
        <f>153.09</f>
        <v>153.09</v>
      </c>
    </row>
    <row r="985" spans="1:17" ht="45" customHeight="1" x14ac:dyDescent="0.25">
      <c r="A985" s="4" t="s">
        <v>20</v>
      </c>
      <c r="B985" s="5" t="s">
        <v>1803</v>
      </c>
      <c r="C985" s="4" t="s">
        <v>63</v>
      </c>
      <c r="D985" s="4" t="s">
        <v>520</v>
      </c>
      <c r="E985" s="4" t="s">
        <v>521</v>
      </c>
      <c r="F985" s="6">
        <f>1.2</f>
        <v>1.2</v>
      </c>
      <c r="G985" s="4" t="s">
        <v>25</v>
      </c>
      <c r="H985" s="7">
        <v>93.84</v>
      </c>
      <c r="I985" s="7">
        <v>93.84</v>
      </c>
      <c r="J985" s="8" t="s">
        <v>26</v>
      </c>
      <c r="K985" s="9">
        <f>117.96</f>
        <v>117.96</v>
      </c>
      <c r="L985" s="9">
        <f>141.55</f>
        <v>141.55000000000001</v>
      </c>
      <c r="M985" s="4"/>
      <c r="N985" s="10">
        <v>1</v>
      </c>
      <c r="O985" s="4" t="s">
        <v>27</v>
      </c>
      <c r="P985" s="11">
        <v>1.2</v>
      </c>
      <c r="Q985" s="9">
        <f>141.55</f>
        <v>141.55000000000001</v>
      </c>
    </row>
    <row r="986" spans="1:17" ht="45" customHeight="1" x14ac:dyDescent="0.25">
      <c r="A986" s="4" t="s">
        <v>20</v>
      </c>
      <c r="B986" s="5" t="s">
        <v>1804</v>
      </c>
      <c r="C986" s="4" t="s">
        <v>63</v>
      </c>
      <c r="D986" s="4" t="s">
        <v>319</v>
      </c>
      <c r="E986" s="4" t="s">
        <v>320</v>
      </c>
      <c r="F986" s="6">
        <f>1.5</f>
        <v>1.5</v>
      </c>
      <c r="G986" s="4" t="s">
        <v>25</v>
      </c>
      <c r="H986" s="7">
        <v>5.09</v>
      </c>
      <c r="I986" s="7">
        <v>5.09</v>
      </c>
      <c r="J986" s="8" t="s">
        <v>26</v>
      </c>
      <c r="K986" s="9">
        <f>6.4</f>
        <v>6.4</v>
      </c>
      <c r="L986" s="9">
        <f>9.6</f>
        <v>9.6</v>
      </c>
      <c r="M986" s="4"/>
      <c r="N986" s="10">
        <v>1</v>
      </c>
      <c r="O986" s="4" t="s">
        <v>27</v>
      </c>
      <c r="P986" s="11">
        <v>1.5</v>
      </c>
      <c r="Q986" s="9">
        <f>9.6</f>
        <v>9.6</v>
      </c>
    </row>
    <row r="987" spans="1:17" ht="45" customHeight="1" x14ac:dyDescent="0.25">
      <c r="A987" s="4" t="s">
        <v>20</v>
      </c>
      <c r="B987" s="5" t="s">
        <v>1805</v>
      </c>
      <c r="C987" s="4" t="s">
        <v>63</v>
      </c>
      <c r="D987" s="4" t="s">
        <v>328</v>
      </c>
      <c r="E987" s="4" t="s">
        <v>329</v>
      </c>
      <c r="F987" s="6">
        <f>1.5</f>
        <v>1.5</v>
      </c>
      <c r="G987" s="4" t="s">
        <v>25</v>
      </c>
      <c r="H987" s="7">
        <v>11.95</v>
      </c>
      <c r="I987" s="7">
        <v>11.95</v>
      </c>
      <c r="J987" s="8" t="s">
        <v>26</v>
      </c>
      <c r="K987" s="9">
        <f>15.02</f>
        <v>15.02</v>
      </c>
      <c r="L987" s="9">
        <f>22.53</f>
        <v>22.53</v>
      </c>
      <c r="M987" s="4"/>
      <c r="N987" s="10">
        <v>1</v>
      </c>
      <c r="O987" s="4" t="s">
        <v>27</v>
      </c>
      <c r="P987" s="11">
        <v>1.5</v>
      </c>
      <c r="Q987" s="9">
        <f>22.53</f>
        <v>22.53</v>
      </c>
    </row>
    <row r="988" spans="1:17" ht="45" customHeight="1" x14ac:dyDescent="0.25">
      <c r="A988" s="4" t="s">
        <v>20</v>
      </c>
      <c r="B988" s="5" t="s">
        <v>1806</v>
      </c>
      <c r="C988" s="4" t="s">
        <v>63</v>
      </c>
      <c r="D988" s="4" t="s">
        <v>322</v>
      </c>
      <c r="E988" s="4" t="s">
        <v>323</v>
      </c>
      <c r="F988" s="6">
        <f>1.5</f>
        <v>1.5</v>
      </c>
      <c r="G988" s="4" t="s">
        <v>25</v>
      </c>
      <c r="H988" s="7">
        <v>9.6300000000000008</v>
      </c>
      <c r="I988" s="7">
        <v>9.6300000000000008</v>
      </c>
      <c r="J988" s="8" t="s">
        <v>26</v>
      </c>
      <c r="K988" s="9">
        <f>12.1</f>
        <v>12.1</v>
      </c>
      <c r="L988" s="9">
        <f>18.15</f>
        <v>18.149999999999999</v>
      </c>
      <c r="M988" s="4"/>
      <c r="N988" s="10">
        <v>1</v>
      </c>
      <c r="O988" s="4" t="s">
        <v>27</v>
      </c>
      <c r="P988" s="11">
        <v>1.5</v>
      </c>
      <c r="Q988" s="9">
        <f>18.15</f>
        <v>18.149999999999999</v>
      </c>
    </row>
    <row r="989" spans="1:17" ht="45" customHeight="1" x14ac:dyDescent="0.25">
      <c r="A989" s="4" t="s">
        <v>20</v>
      </c>
      <c r="B989" s="5" t="s">
        <v>1807</v>
      </c>
      <c r="C989" s="4" t="s">
        <v>63</v>
      </c>
      <c r="D989" s="4" t="s">
        <v>921</v>
      </c>
      <c r="E989" s="4" t="s">
        <v>922</v>
      </c>
      <c r="F989" s="6">
        <f>29.4</f>
        <v>29.4</v>
      </c>
      <c r="G989" s="4" t="s">
        <v>75</v>
      </c>
      <c r="H989" s="7">
        <v>13.8</v>
      </c>
      <c r="I989" s="7">
        <v>13.8</v>
      </c>
      <c r="J989" s="8" t="s">
        <v>26</v>
      </c>
      <c r="K989" s="9">
        <f>17.35</f>
        <v>17.350000000000001</v>
      </c>
      <c r="L989" s="9">
        <f>510.09</f>
        <v>510.09</v>
      </c>
      <c r="M989" s="4"/>
      <c r="N989" s="10">
        <v>1</v>
      </c>
      <c r="O989" s="4" t="s">
        <v>27</v>
      </c>
      <c r="P989" s="11">
        <v>29.4</v>
      </c>
      <c r="Q989" s="9">
        <f>510.09</f>
        <v>510.09</v>
      </c>
    </row>
    <row r="990" spans="1:17" ht="45" customHeight="1" x14ac:dyDescent="0.25">
      <c r="A990" s="4" t="s">
        <v>20</v>
      </c>
      <c r="B990" s="5" t="s">
        <v>1808</v>
      </c>
      <c r="C990" s="4" t="s">
        <v>63</v>
      </c>
      <c r="D990" s="4" t="s">
        <v>1040</v>
      </c>
      <c r="E990" s="4" t="s">
        <v>1041</v>
      </c>
      <c r="F990" s="6">
        <f>11</f>
        <v>11</v>
      </c>
      <c r="G990" s="4" t="s">
        <v>75</v>
      </c>
      <c r="H990" s="7">
        <v>21.06</v>
      </c>
      <c r="I990" s="7">
        <v>21.06</v>
      </c>
      <c r="J990" s="8" t="s">
        <v>26</v>
      </c>
      <c r="K990" s="9">
        <f>26.47</f>
        <v>26.47</v>
      </c>
      <c r="L990" s="9">
        <f>291.17</f>
        <v>291.17</v>
      </c>
      <c r="M990" s="4"/>
      <c r="N990" s="10">
        <v>1</v>
      </c>
      <c r="O990" s="4" t="s">
        <v>27</v>
      </c>
      <c r="P990" s="11">
        <v>11</v>
      </c>
      <c r="Q990" s="9">
        <f>291.17</f>
        <v>291.17</v>
      </c>
    </row>
    <row r="991" spans="1:17" ht="45" customHeight="1" x14ac:dyDescent="0.25">
      <c r="A991" s="4" t="s">
        <v>20</v>
      </c>
      <c r="B991" s="5" t="s">
        <v>1809</v>
      </c>
      <c r="C991" s="4" t="s">
        <v>63</v>
      </c>
      <c r="D991" s="4" t="s">
        <v>107</v>
      </c>
      <c r="E991" s="4" t="s">
        <v>108</v>
      </c>
      <c r="F991" s="6">
        <f>24.3</f>
        <v>24.3</v>
      </c>
      <c r="G991" s="4" t="s">
        <v>75</v>
      </c>
      <c r="H991" s="7">
        <v>8.64</v>
      </c>
      <c r="I991" s="7">
        <v>8.64</v>
      </c>
      <c r="J991" s="8" t="s">
        <v>26</v>
      </c>
      <c r="K991" s="9">
        <f>10.86</f>
        <v>10.86</v>
      </c>
      <c r="L991" s="9">
        <f>263.9</f>
        <v>263.89999999999998</v>
      </c>
      <c r="M991" s="4"/>
      <c r="N991" s="10">
        <v>1</v>
      </c>
      <c r="O991" s="4" t="s">
        <v>27</v>
      </c>
      <c r="P991" s="11">
        <v>24.3</v>
      </c>
      <c r="Q991" s="9">
        <f>263.9</f>
        <v>263.89999999999998</v>
      </c>
    </row>
    <row r="992" spans="1:17" ht="45" customHeight="1" x14ac:dyDescent="0.25">
      <c r="A992" s="4" t="s">
        <v>20</v>
      </c>
      <c r="B992" s="5" t="s">
        <v>1810</v>
      </c>
      <c r="C992" s="4" t="s">
        <v>63</v>
      </c>
      <c r="D992" s="4" t="s">
        <v>110</v>
      </c>
      <c r="E992" s="4" t="s">
        <v>111</v>
      </c>
      <c r="F992" s="6">
        <f>97.2</f>
        <v>97.2</v>
      </c>
      <c r="G992" s="4" t="s">
        <v>112</v>
      </c>
      <c r="H992" s="7">
        <v>3.31</v>
      </c>
      <c r="I992" s="7">
        <v>3.31</v>
      </c>
      <c r="J992" s="8" t="s">
        <v>26</v>
      </c>
      <c r="K992" s="9">
        <f>4.16</f>
        <v>4.16</v>
      </c>
      <c r="L992" s="9">
        <f>404.35</f>
        <v>404.35</v>
      </c>
      <c r="M992" s="4"/>
      <c r="N992" s="10">
        <v>1</v>
      </c>
      <c r="O992" s="4" t="s">
        <v>27</v>
      </c>
      <c r="P992" s="11">
        <v>97.2</v>
      </c>
      <c r="Q992" s="9">
        <f>404.35</f>
        <v>404.35</v>
      </c>
    </row>
    <row r="993" spans="1:17" ht="45" customHeight="1" x14ac:dyDescent="0.25">
      <c r="A993" s="4" t="s">
        <v>20</v>
      </c>
      <c r="B993" s="5" t="s">
        <v>1811</v>
      </c>
      <c r="C993" s="4" t="s">
        <v>63</v>
      </c>
      <c r="D993" s="4" t="s">
        <v>114</v>
      </c>
      <c r="E993" s="4" t="s">
        <v>115</v>
      </c>
      <c r="F993" s="6">
        <f>24.3</f>
        <v>24.3</v>
      </c>
      <c r="G993" s="4" t="s">
        <v>75</v>
      </c>
      <c r="H993" s="7">
        <v>1.45</v>
      </c>
      <c r="I993" s="7">
        <v>1.45</v>
      </c>
      <c r="J993" s="8" t="s">
        <v>26</v>
      </c>
      <c r="K993" s="9">
        <f>1.82</f>
        <v>1.82</v>
      </c>
      <c r="L993" s="9">
        <f>44.23</f>
        <v>44.23</v>
      </c>
      <c r="M993" s="4"/>
      <c r="N993" s="10">
        <v>1</v>
      </c>
      <c r="O993" s="4" t="s">
        <v>27</v>
      </c>
      <c r="P993" s="11">
        <v>24.3</v>
      </c>
      <c r="Q993" s="9">
        <f>44.23</f>
        <v>44.23</v>
      </c>
    </row>
    <row r="994" spans="1:17" ht="45" customHeight="1" x14ac:dyDescent="0.25">
      <c r="A994" s="4" t="s">
        <v>20</v>
      </c>
      <c r="B994" s="5" t="s">
        <v>1812</v>
      </c>
      <c r="C994" s="4" t="s">
        <v>63</v>
      </c>
      <c r="D994" s="4" t="s">
        <v>1046</v>
      </c>
      <c r="E994" s="4" t="s">
        <v>1047</v>
      </c>
      <c r="F994" s="6">
        <f>18</f>
        <v>18</v>
      </c>
      <c r="G994" s="4" t="s">
        <v>25</v>
      </c>
      <c r="H994" s="7">
        <v>76.83</v>
      </c>
      <c r="I994" s="7">
        <v>76.83</v>
      </c>
      <c r="J994" s="8" t="s">
        <v>26</v>
      </c>
      <c r="K994" s="9">
        <f>96.58</f>
        <v>96.58</v>
      </c>
      <c r="L994" s="9">
        <f>1738.44</f>
        <v>1738.44</v>
      </c>
      <c r="M994" s="4"/>
      <c r="N994" s="10">
        <v>1</v>
      </c>
      <c r="O994" s="4" t="s">
        <v>27</v>
      </c>
      <c r="P994" s="11">
        <v>18</v>
      </c>
      <c r="Q994" s="9">
        <f>1738.44</f>
        <v>1738.44</v>
      </c>
    </row>
    <row r="995" spans="1:17" ht="45" customHeight="1" x14ac:dyDescent="0.25">
      <c r="A995" s="4" t="s">
        <v>20</v>
      </c>
      <c r="B995" s="5" t="s">
        <v>1813</v>
      </c>
      <c r="C995" s="4" t="s">
        <v>63</v>
      </c>
      <c r="D995" s="4" t="s">
        <v>945</v>
      </c>
      <c r="E995" s="4" t="s">
        <v>946</v>
      </c>
      <c r="F995" s="6">
        <f>1.14</f>
        <v>1.1399999999999999</v>
      </c>
      <c r="G995" s="4" t="s">
        <v>25</v>
      </c>
      <c r="H995" s="7">
        <v>71.48</v>
      </c>
      <c r="I995" s="7">
        <v>71.48</v>
      </c>
      <c r="J995" s="8" t="s">
        <v>26</v>
      </c>
      <c r="K995" s="9">
        <f>89.85</f>
        <v>89.85</v>
      </c>
      <c r="L995" s="9">
        <f>102.43</f>
        <v>102.43</v>
      </c>
      <c r="M995" s="4"/>
      <c r="N995" s="10">
        <v>1</v>
      </c>
      <c r="O995" s="4" t="s">
        <v>27</v>
      </c>
      <c r="P995" s="11">
        <v>1.1399999999999999</v>
      </c>
      <c r="Q995" s="9">
        <f>102.43</f>
        <v>102.43</v>
      </c>
    </row>
    <row r="996" spans="1:17" ht="45" customHeight="1" x14ac:dyDescent="0.25">
      <c r="A996" s="4" t="s">
        <v>20</v>
      </c>
      <c r="B996" s="5" t="s">
        <v>1814</v>
      </c>
      <c r="C996" s="4" t="s">
        <v>29</v>
      </c>
      <c r="D996" s="4" t="s">
        <v>77</v>
      </c>
      <c r="E996" s="4" t="s">
        <v>78</v>
      </c>
      <c r="F996" s="6">
        <f>1334</f>
        <v>1334</v>
      </c>
      <c r="G996" s="4" t="s">
        <v>79</v>
      </c>
      <c r="H996" s="7">
        <v>13.28</v>
      </c>
      <c r="I996" s="7">
        <v>13.28</v>
      </c>
      <c r="J996" s="8" t="s">
        <v>26</v>
      </c>
      <c r="K996" s="9">
        <f>16.69</f>
        <v>16.690000000000001</v>
      </c>
      <c r="L996" s="9">
        <f>22264.46</f>
        <v>22264.46</v>
      </c>
      <c r="M996" s="4"/>
      <c r="N996" s="10">
        <v>1</v>
      </c>
      <c r="O996" s="4" t="s">
        <v>27</v>
      </c>
      <c r="P996" s="11">
        <v>1334</v>
      </c>
      <c r="Q996" s="9">
        <f>22264.46</f>
        <v>22264.46</v>
      </c>
    </row>
    <row r="997" spans="1:17" ht="45" customHeight="1" x14ac:dyDescent="0.25">
      <c r="A997" s="4" t="s">
        <v>20</v>
      </c>
      <c r="B997" s="5" t="s">
        <v>1815</v>
      </c>
      <c r="C997" s="4" t="s">
        <v>63</v>
      </c>
      <c r="D997" s="4" t="s">
        <v>1051</v>
      </c>
      <c r="E997" s="4" t="s">
        <v>1052</v>
      </c>
      <c r="F997" s="6">
        <f>21</f>
        <v>21</v>
      </c>
      <c r="G997" s="4" t="s">
        <v>75</v>
      </c>
      <c r="H997" s="7">
        <v>558.66999999999996</v>
      </c>
      <c r="I997" s="7">
        <v>558.66999999999996</v>
      </c>
      <c r="J997" s="8" t="s">
        <v>26</v>
      </c>
      <c r="K997" s="9">
        <f>702.25</f>
        <v>702.25</v>
      </c>
      <c r="L997" s="9">
        <f>14747.25</f>
        <v>14747.25</v>
      </c>
      <c r="M997" s="4"/>
      <c r="N997" s="10">
        <v>1</v>
      </c>
      <c r="O997" s="4" t="s">
        <v>27</v>
      </c>
      <c r="P997" s="11">
        <v>21</v>
      </c>
      <c r="Q997" s="9">
        <f>14747.25</f>
        <v>14747.25</v>
      </c>
    </row>
    <row r="998" spans="1:17" ht="45" customHeight="1" x14ac:dyDescent="0.25">
      <c r="A998" s="4" t="s">
        <v>20</v>
      </c>
      <c r="B998" s="5" t="s">
        <v>1816</v>
      </c>
      <c r="C998" s="4" t="s">
        <v>63</v>
      </c>
      <c r="D998" s="4" t="s">
        <v>369</v>
      </c>
      <c r="E998" s="4" t="s">
        <v>370</v>
      </c>
      <c r="F998" s="6">
        <f>1.2</f>
        <v>1.2</v>
      </c>
      <c r="G998" s="4" t="s">
        <v>75</v>
      </c>
      <c r="H998" s="7">
        <v>514.52</v>
      </c>
      <c r="I998" s="7">
        <v>514.52</v>
      </c>
      <c r="J998" s="8" t="s">
        <v>26</v>
      </c>
      <c r="K998" s="9">
        <f>646.75</f>
        <v>646.75</v>
      </c>
      <c r="L998" s="9">
        <f>776.1</f>
        <v>776.1</v>
      </c>
      <c r="M998" s="4"/>
      <c r="N998" s="10">
        <v>1</v>
      </c>
      <c r="O998" s="4" t="s">
        <v>27</v>
      </c>
      <c r="P998" s="11">
        <v>1.2</v>
      </c>
      <c r="Q998" s="9">
        <f>776.1</f>
        <v>776.1</v>
      </c>
    </row>
    <row r="999" spans="1:17" ht="45" customHeight="1" x14ac:dyDescent="0.25">
      <c r="A999" s="4" t="s">
        <v>20</v>
      </c>
      <c r="B999" s="5" t="s">
        <v>1817</v>
      </c>
      <c r="C999" s="4" t="s">
        <v>63</v>
      </c>
      <c r="D999" s="4" t="s">
        <v>372</v>
      </c>
      <c r="E999" s="4" t="s">
        <v>373</v>
      </c>
      <c r="F999" s="6">
        <f>22.2</f>
        <v>22.2</v>
      </c>
      <c r="G999" s="4" t="s">
        <v>75</v>
      </c>
      <c r="H999" s="7">
        <v>41.05</v>
      </c>
      <c r="I999" s="7">
        <v>41.05</v>
      </c>
      <c r="J999" s="8" t="s">
        <v>26</v>
      </c>
      <c r="K999" s="9">
        <f>51.6</f>
        <v>51.6</v>
      </c>
      <c r="L999" s="9">
        <f>1145.52</f>
        <v>1145.52</v>
      </c>
      <c r="M999" s="4"/>
      <c r="N999" s="10">
        <v>1</v>
      </c>
      <c r="O999" s="4" t="s">
        <v>27</v>
      </c>
      <c r="P999" s="11">
        <v>22.2</v>
      </c>
      <c r="Q999" s="9">
        <f>1145.52</f>
        <v>1145.52</v>
      </c>
    </row>
    <row r="1000" spans="1:17" ht="45" customHeight="1" x14ac:dyDescent="0.25">
      <c r="A1000" s="4" t="s">
        <v>20</v>
      </c>
      <c r="B1000" s="5" t="s">
        <v>1818</v>
      </c>
      <c r="C1000" s="4" t="s">
        <v>29</v>
      </c>
      <c r="D1000" s="4" t="s">
        <v>87</v>
      </c>
      <c r="E1000" s="4" t="s">
        <v>88</v>
      </c>
      <c r="F1000" s="6">
        <f>2230</f>
        <v>2230</v>
      </c>
      <c r="G1000" s="4" t="s">
        <v>79</v>
      </c>
      <c r="H1000" s="7">
        <v>4.54</v>
      </c>
      <c r="I1000" s="7">
        <v>4.54</v>
      </c>
      <c r="J1000" s="8" t="s">
        <v>26</v>
      </c>
      <c r="K1000" s="9">
        <f>5.71</f>
        <v>5.71</v>
      </c>
      <c r="L1000" s="9">
        <f>12733.3</f>
        <v>12733.3</v>
      </c>
      <c r="M1000" s="4"/>
      <c r="N1000" s="10">
        <v>1</v>
      </c>
      <c r="O1000" s="4" t="s">
        <v>27</v>
      </c>
      <c r="P1000" s="11">
        <v>2230</v>
      </c>
      <c r="Q1000" s="9">
        <f>12733.3</f>
        <v>12733.3</v>
      </c>
    </row>
    <row r="1001" spans="1:17" ht="45" customHeight="1" x14ac:dyDescent="0.25">
      <c r="A1001" s="4" t="s">
        <v>20</v>
      </c>
      <c r="B1001" s="5" t="s">
        <v>1819</v>
      </c>
      <c r="C1001" s="4" t="s">
        <v>29</v>
      </c>
      <c r="D1001" s="4" t="s">
        <v>386</v>
      </c>
      <c r="E1001" s="4" t="s">
        <v>387</v>
      </c>
      <c r="F1001" s="6">
        <f>23</f>
        <v>23</v>
      </c>
      <c r="G1001" s="4" t="s">
        <v>25</v>
      </c>
      <c r="H1001" s="7">
        <v>29.4</v>
      </c>
      <c r="I1001" s="7">
        <v>29.4</v>
      </c>
      <c r="J1001" s="8" t="s">
        <v>26</v>
      </c>
      <c r="K1001" s="9">
        <f>36.96</f>
        <v>36.96</v>
      </c>
      <c r="L1001" s="9">
        <f>850.08</f>
        <v>850.08</v>
      </c>
      <c r="M1001" s="4"/>
      <c r="N1001" s="10">
        <v>1</v>
      </c>
      <c r="O1001" s="4" t="s">
        <v>27</v>
      </c>
      <c r="P1001" s="11">
        <v>23</v>
      </c>
      <c r="Q1001" s="9">
        <f>850.08</f>
        <v>850.08</v>
      </c>
    </row>
    <row r="1002" spans="1:17" ht="45" customHeight="1" x14ac:dyDescent="0.25">
      <c r="A1002" s="4" t="s">
        <v>20</v>
      </c>
      <c r="B1002" s="5" t="s">
        <v>1820</v>
      </c>
      <c r="C1002" s="4" t="s">
        <v>29</v>
      </c>
      <c r="D1002" s="4" t="s">
        <v>337</v>
      </c>
      <c r="E1002" s="4" t="s">
        <v>338</v>
      </c>
      <c r="F1002" s="6">
        <f>0.32</f>
        <v>0.32</v>
      </c>
      <c r="G1002" s="4" t="s">
        <v>25</v>
      </c>
      <c r="H1002" s="7">
        <v>403.69</v>
      </c>
      <c r="I1002" s="7">
        <v>403.69</v>
      </c>
      <c r="J1002" s="8" t="s">
        <v>26</v>
      </c>
      <c r="K1002" s="9">
        <f>507.44</f>
        <v>507.44</v>
      </c>
      <c r="L1002" s="9">
        <f>162.38</f>
        <v>162.38</v>
      </c>
      <c r="M1002" s="4"/>
      <c r="N1002" s="10">
        <v>1</v>
      </c>
      <c r="O1002" s="4" t="s">
        <v>27</v>
      </c>
      <c r="P1002" s="11">
        <v>0.32</v>
      </c>
      <c r="Q1002" s="9">
        <f>162.38</f>
        <v>162.38</v>
      </c>
    </row>
    <row r="1003" spans="1:17" ht="45" customHeight="1" x14ac:dyDescent="0.25">
      <c r="A1003" s="4" t="s">
        <v>20</v>
      </c>
      <c r="B1003" s="5" t="s">
        <v>1821</v>
      </c>
      <c r="C1003" s="4" t="s">
        <v>22</v>
      </c>
      <c r="D1003" s="4" t="s">
        <v>1059</v>
      </c>
      <c r="E1003" s="4" t="s">
        <v>1060</v>
      </c>
      <c r="F1003" s="6">
        <f>2</f>
        <v>2</v>
      </c>
      <c r="G1003" s="4" t="s">
        <v>46</v>
      </c>
      <c r="H1003" s="7">
        <v>4081.09</v>
      </c>
      <c r="I1003" s="7">
        <v>4081.09</v>
      </c>
      <c r="J1003" s="8" t="s">
        <v>26</v>
      </c>
      <c r="K1003" s="9">
        <f>5129.93</f>
        <v>5129.93</v>
      </c>
      <c r="L1003" s="9">
        <f>10259.86</f>
        <v>10259.86</v>
      </c>
      <c r="M1003" s="4"/>
      <c r="N1003" s="10">
        <v>1</v>
      </c>
      <c r="O1003" s="4" t="s">
        <v>27</v>
      </c>
      <c r="P1003" s="11">
        <v>2</v>
      </c>
      <c r="Q1003" s="9">
        <f>10259.86</f>
        <v>10259.86</v>
      </c>
    </row>
    <row r="1004" spans="1:17" ht="45" customHeight="1" x14ac:dyDescent="0.25">
      <c r="A1004" s="4" t="s">
        <v>20</v>
      </c>
      <c r="B1004" s="5" t="s">
        <v>1822</v>
      </c>
      <c r="C1004" s="4" t="s">
        <v>63</v>
      </c>
      <c r="D1004" s="4" t="s">
        <v>210</v>
      </c>
      <c r="E1004" s="4" t="s">
        <v>211</v>
      </c>
      <c r="F1004" s="6">
        <f>4</f>
        <v>4</v>
      </c>
      <c r="G1004" s="4" t="s">
        <v>75</v>
      </c>
      <c r="H1004" s="7">
        <v>82.75</v>
      </c>
      <c r="I1004" s="7">
        <v>82.75</v>
      </c>
      <c r="J1004" s="8" t="s">
        <v>26</v>
      </c>
      <c r="K1004" s="9">
        <f>104.02</f>
        <v>104.02</v>
      </c>
      <c r="L1004" s="9">
        <f>416.08</f>
        <v>416.08</v>
      </c>
      <c r="M1004" s="4"/>
      <c r="N1004" s="10">
        <v>1</v>
      </c>
      <c r="O1004" s="4" t="s">
        <v>27</v>
      </c>
      <c r="P1004" s="11">
        <v>4</v>
      </c>
      <c r="Q1004" s="9">
        <f>416.08</f>
        <v>416.08</v>
      </c>
    </row>
    <row r="1005" spans="1:17" ht="45" customHeight="1" x14ac:dyDescent="0.25">
      <c r="A1005" s="4" t="s">
        <v>20</v>
      </c>
      <c r="B1005" s="5" t="s">
        <v>1823</v>
      </c>
      <c r="C1005" s="4" t="s">
        <v>63</v>
      </c>
      <c r="D1005" s="4" t="s">
        <v>213</v>
      </c>
      <c r="E1005" s="4" t="s">
        <v>214</v>
      </c>
      <c r="F1005" s="6">
        <f>68</f>
        <v>68</v>
      </c>
      <c r="G1005" s="4" t="s">
        <v>75</v>
      </c>
      <c r="H1005" s="7">
        <v>13.66</v>
      </c>
      <c r="I1005" s="7">
        <v>13.66</v>
      </c>
      <c r="J1005" s="8" t="s">
        <v>26</v>
      </c>
      <c r="K1005" s="9">
        <f>17.17</f>
        <v>17.170000000000002</v>
      </c>
      <c r="L1005" s="9">
        <f>1167.56</f>
        <v>1167.56</v>
      </c>
      <c r="M1005" s="4"/>
      <c r="N1005" s="10">
        <v>1</v>
      </c>
      <c r="O1005" s="4" t="s">
        <v>27</v>
      </c>
      <c r="P1005" s="11">
        <v>68</v>
      </c>
      <c r="Q1005" s="9">
        <f>1167.56</f>
        <v>1167.56</v>
      </c>
    </row>
    <row r="1006" spans="1:17" ht="45" customHeight="1" x14ac:dyDescent="0.25">
      <c r="A1006" s="4" t="s">
        <v>20</v>
      </c>
      <c r="B1006" s="5" t="s">
        <v>1824</v>
      </c>
      <c r="C1006" s="4" t="s">
        <v>29</v>
      </c>
      <c r="D1006" s="4" t="s">
        <v>216</v>
      </c>
      <c r="E1006" s="4" t="s">
        <v>217</v>
      </c>
      <c r="F1006" s="6">
        <f>72</f>
        <v>72</v>
      </c>
      <c r="G1006" s="4" t="s">
        <v>75</v>
      </c>
      <c r="H1006" s="7">
        <v>35.19</v>
      </c>
      <c r="I1006" s="7">
        <v>35.19</v>
      </c>
      <c r="J1006" s="8" t="s">
        <v>26</v>
      </c>
      <c r="K1006" s="9">
        <f>44.23</f>
        <v>44.23</v>
      </c>
      <c r="L1006" s="9">
        <f>3184.56</f>
        <v>3184.56</v>
      </c>
      <c r="M1006" s="4"/>
      <c r="N1006" s="10">
        <v>1</v>
      </c>
      <c r="O1006" s="4" t="s">
        <v>27</v>
      </c>
      <c r="P1006" s="11">
        <v>72</v>
      </c>
      <c r="Q1006" s="9">
        <f>3184.56</f>
        <v>3184.56</v>
      </c>
    </row>
    <row r="1007" spans="1:17" ht="45" customHeight="1" x14ac:dyDescent="0.25">
      <c r="A1007" s="4" t="s">
        <v>20</v>
      </c>
      <c r="B1007" s="5" t="s">
        <v>1825</v>
      </c>
      <c r="C1007" s="4" t="s">
        <v>63</v>
      </c>
      <c r="D1007" s="4" t="s">
        <v>219</v>
      </c>
      <c r="E1007" s="4" t="s">
        <v>220</v>
      </c>
      <c r="F1007" s="6">
        <f>73</f>
        <v>73</v>
      </c>
      <c r="G1007" s="4" t="s">
        <v>25</v>
      </c>
      <c r="H1007" s="7">
        <v>6.38</v>
      </c>
      <c r="I1007" s="7">
        <v>6.38</v>
      </c>
      <c r="J1007" s="8" t="s">
        <v>26</v>
      </c>
      <c r="K1007" s="9">
        <f>8.02</f>
        <v>8.02</v>
      </c>
      <c r="L1007" s="9">
        <f>585.46</f>
        <v>585.46</v>
      </c>
      <c r="M1007" s="4"/>
      <c r="N1007" s="10">
        <v>1</v>
      </c>
      <c r="O1007" s="4" t="s">
        <v>27</v>
      </c>
      <c r="P1007" s="11">
        <v>73</v>
      </c>
      <c r="Q1007" s="9">
        <f>585.46</f>
        <v>585.46</v>
      </c>
    </row>
    <row r="1008" spans="1:17" ht="45" customHeight="1" x14ac:dyDescent="0.25">
      <c r="A1008" s="4" t="s">
        <v>20</v>
      </c>
      <c r="B1008" s="5" t="s">
        <v>1826</v>
      </c>
      <c r="C1008" s="4" t="s">
        <v>63</v>
      </c>
      <c r="D1008" s="4" t="s">
        <v>1827</v>
      </c>
      <c r="E1008" s="4" t="s">
        <v>1828</v>
      </c>
      <c r="F1008" s="6">
        <f>18</f>
        <v>18</v>
      </c>
      <c r="G1008" s="4" t="s">
        <v>96</v>
      </c>
      <c r="H1008" s="7">
        <v>3.78</v>
      </c>
      <c r="I1008" s="7">
        <v>3.78</v>
      </c>
      <c r="J1008" s="8" t="s">
        <v>26</v>
      </c>
      <c r="K1008" s="9">
        <f>4.75</f>
        <v>4.75</v>
      </c>
      <c r="L1008" s="9">
        <f>85.5</f>
        <v>85.5</v>
      </c>
      <c r="M1008" s="4"/>
      <c r="N1008" s="10">
        <v>1</v>
      </c>
      <c r="O1008" s="4" t="s">
        <v>27</v>
      </c>
      <c r="P1008" s="11">
        <v>18</v>
      </c>
      <c r="Q1008" s="9">
        <f>85.5</f>
        <v>85.5</v>
      </c>
    </row>
    <row r="1009" spans="1:17" ht="45" customHeight="1" x14ac:dyDescent="0.25">
      <c r="A1009" s="4" t="s">
        <v>20</v>
      </c>
      <c r="B1009" s="5" t="s">
        <v>1829</v>
      </c>
      <c r="C1009" s="4" t="s">
        <v>63</v>
      </c>
      <c r="D1009" s="4" t="s">
        <v>1830</v>
      </c>
      <c r="E1009" s="4" t="s">
        <v>1831</v>
      </c>
      <c r="F1009" s="6">
        <f>12</f>
        <v>12</v>
      </c>
      <c r="G1009" s="4" t="s">
        <v>96</v>
      </c>
      <c r="H1009" s="7">
        <v>4.41</v>
      </c>
      <c r="I1009" s="7">
        <v>4.41</v>
      </c>
      <c r="J1009" s="8" t="s">
        <v>26</v>
      </c>
      <c r="K1009" s="9">
        <f>5.54</f>
        <v>5.54</v>
      </c>
      <c r="L1009" s="9">
        <f>66.48</f>
        <v>66.48</v>
      </c>
      <c r="M1009" s="4"/>
      <c r="N1009" s="10">
        <v>1</v>
      </c>
      <c r="O1009" s="4" t="s">
        <v>27</v>
      </c>
      <c r="P1009" s="11">
        <v>12</v>
      </c>
      <c r="Q1009" s="9">
        <f>66.48</f>
        <v>66.48</v>
      </c>
    </row>
    <row r="1010" spans="1:17" ht="45" customHeight="1" x14ac:dyDescent="0.25">
      <c r="A1010" s="4" t="s">
        <v>20</v>
      </c>
      <c r="B1010" s="5" t="s">
        <v>1832</v>
      </c>
      <c r="C1010" s="4" t="s">
        <v>63</v>
      </c>
      <c r="D1010" s="4" t="s">
        <v>1833</v>
      </c>
      <c r="E1010" s="4" t="s">
        <v>1834</v>
      </c>
      <c r="F1010" s="6">
        <f>28</f>
        <v>28</v>
      </c>
      <c r="G1010" s="4" t="s">
        <v>96</v>
      </c>
      <c r="H1010" s="7">
        <v>5.92</v>
      </c>
      <c r="I1010" s="7">
        <v>5.92</v>
      </c>
      <c r="J1010" s="8" t="s">
        <v>26</v>
      </c>
      <c r="K1010" s="9">
        <f>7.44</f>
        <v>7.44</v>
      </c>
      <c r="L1010" s="9">
        <f>208.32</f>
        <v>208.32</v>
      </c>
      <c r="M1010" s="4"/>
      <c r="N1010" s="10">
        <v>1</v>
      </c>
      <c r="O1010" s="4" t="s">
        <v>27</v>
      </c>
      <c r="P1010" s="11">
        <v>28</v>
      </c>
      <c r="Q1010" s="9">
        <f>208.32</f>
        <v>208.32</v>
      </c>
    </row>
    <row r="1011" spans="1:17" ht="45" customHeight="1" x14ac:dyDescent="0.25">
      <c r="A1011" s="4" t="s">
        <v>20</v>
      </c>
      <c r="B1011" s="5" t="s">
        <v>1835</v>
      </c>
      <c r="C1011" s="4" t="s">
        <v>63</v>
      </c>
      <c r="D1011" s="4" t="s">
        <v>1836</v>
      </c>
      <c r="E1011" s="4" t="s">
        <v>1837</v>
      </c>
      <c r="F1011" s="6">
        <f>33</f>
        <v>33</v>
      </c>
      <c r="G1011" s="4" t="s">
        <v>96</v>
      </c>
      <c r="H1011" s="7">
        <v>9.5</v>
      </c>
      <c r="I1011" s="7">
        <v>9.5</v>
      </c>
      <c r="J1011" s="8" t="s">
        <v>26</v>
      </c>
      <c r="K1011" s="9">
        <f>11.94</f>
        <v>11.94</v>
      </c>
      <c r="L1011" s="9">
        <f>394.02</f>
        <v>394.02</v>
      </c>
      <c r="M1011" s="4"/>
      <c r="N1011" s="10">
        <v>1</v>
      </c>
      <c r="O1011" s="4" t="s">
        <v>27</v>
      </c>
      <c r="P1011" s="11">
        <v>33</v>
      </c>
      <c r="Q1011" s="9">
        <f>394.02</f>
        <v>394.02</v>
      </c>
    </row>
    <row r="1012" spans="1:17" ht="45" customHeight="1" x14ac:dyDescent="0.25">
      <c r="A1012" s="4" t="s">
        <v>20</v>
      </c>
      <c r="B1012" s="5" t="s">
        <v>1838</v>
      </c>
      <c r="C1012" s="4" t="s">
        <v>29</v>
      </c>
      <c r="D1012" s="4" t="s">
        <v>120</v>
      </c>
      <c r="E1012" s="4" t="s">
        <v>121</v>
      </c>
      <c r="F1012" s="6">
        <f>28</f>
        <v>28</v>
      </c>
      <c r="G1012" s="4" t="s">
        <v>46</v>
      </c>
      <c r="H1012" s="7">
        <v>3.34</v>
      </c>
      <c r="I1012" s="7">
        <v>3.34</v>
      </c>
      <c r="J1012" s="8" t="s">
        <v>122</v>
      </c>
      <c r="K1012" s="9">
        <f>3.98</f>
        <v>3.98</v>
      </c>
      <c r="L1012" s="9">
        <f>111.44</f>
        <v>111.44</v>
      </c>
      <c r="M1012" s="4"/>
      <c r="N1012" s="10">
        <v>1</v>
      </c>
      <c r="O1012" s="4" t="s">
        <v>27</v>
      </c>
      <c r="P1012" s="11">
        <v>28</v>
      </c>
      <c r="Q1012" s="9">
        <f>111.44</f>
        <v>111.44</v>
      </c>
    </row>
    <row r="1013" spans="1:17" ht="45" customHeight="1" x14ac:dyDescent="0.25">
      <c r="A1013" s="4" t="s">
        <v>20</v>
      </c>
      <c r="B1013" s="5" t="s">
        <v>1839</v>
      </c>
      <c r="C1013" s="4" t="s">
        <v>29</v>
      </c>
      <c r="D1013" s="4" t="s">
        <v>396</v>
      </c>
      <c r="E1013" s="4" t="s">
        <v>397</v>
      </c>
      <c r="F1013" s="6">
        <f>11</f>
        <v>11</v>
      </c>
      <c r="G1013" s="4" t="s">
        <v>46</v>
      </c>
      <c r="H1013" s="7">
        <v>5.33</v>
      </c>
      <c r="I1013" s="7">
        <v>5.33</v>
      </c>
      <c r="J1013" s="8" t="s">
        <v>122</v>
      </c>
      <c r="K1013" s="9">
        <f>6.35</f>
        <v>6.35</v>
      </c>
      <c r="L1013" s="9">
        <f>69.85</f>
        <v>69.849999999999994</v>
      </c>
      <c r="M1013" s="4"/>
      <c r="N1013" s="10">
        <v>1</v>
      </c>
      <c r="O1013" s="4" t="s">
        <v>27</v>
      </c>
      <c r="P1013" s="11">
        <v>11</v>
      </c>
      <c r="Q1013" s="9">
        <f>69.85</f>
        <v>69.849999999999994</v>
      </c>
    </row>
    <row r="1014" spans="1:17" ht="45" customHeight="1" x14ac:dyDescent="0.25">
      <c r="A1014" s="4" t="s">
        <v>20</v>
      </c>
      <c r="B1014" s="5" t="s">
        <v>1840</v>
      </c>
      <c r="C1014" s="4" t="s">
        <v>29</v>
      </c>
      <c r="D1014" s="4" t="s">
        <v>151</v>
      </c>
      <c r="E1014" s="4" t="s">
        <v>152</v>
      </c>
      <c r="F1014" s="6">
        <f>88</f>
        <v>88</v>
      </c>
      <c r="G1014" s="4" t="s">
        <v>46</v>
      </c>
      <c r="H1014" s="7">
        <v>9.17</v>
      </c>
      <c r="I1014" s="7">
        <v>9.17</v>
      </c>
      <c r="J1014" s="8" t="s">
        <v>122</v>
      </c>
      <c r="K1014" s="9">
        <f>10.92</f>
        <v>10.92</v>
      </c>
      <c r="L1014" s="9">
        <f>960.96</f>
        <v>960.96</v>
      </c>
      <c r="M1014" s="4"/>
      <c r="N1014" s="10">
        <v>1</v>
      </c>
      <c r="O1014" s="4" t="s">
        <v>27</v>
      </c>
      <c r="P1014" s="11">
        <v>88</v>
      </c>
      <c r="Q1014" s="9">
        <f>960.96</f>
        <v>960.96</v>
      </c>
    </row>
    <row r="1015" spans="1:17" ht="45" customHeight="1" x14ac:dyDescent="0.25">
      <c r="A1015" s="4" t="s">
        <v>20</v>
      </c>
      <c r="B1015" s="5" t="s">
        <v>1841</v>
      </c>
      <c r="C1015" s="4" t="s">
        <v>29</v>
      </c>
      <c r="D1015" s="4" t="s">
        <v>154</v>
      </c>
      <c r="E1015" s="4" t="s">
        <v>155</v>
      </c>
      <c r="F1015" s="6">
        <f>224</f>
        <v>224</v>
      </c>
      <c r="G1015" s="4" t="s">
        <v>46</v>
      </c>
      <c r="H1015" s="7">
        <v>3.77</v>
      </c>
      <c r="I1015" s="7">
        <v>3.77</v>
      </c>
      <c r="J1015" s="8" t="s">
        <v>122</v>
      </c>
      <c r="K1015" s="9">
        <f>4.49</f>
        <v>4.49</v>
      </c>
      <c r="L1015" s="9">
        <f>1005.76</f>
        <v>1005.76</v>
      </c>
      <c r="M1015" s="4"/>
      <c r="N1015" s="10">
        <v>1</v>
      </c>
      <c r="O1015" s="4" t="s">
        <v>27</v>
      </c>
      <c r="P1015" s="11">
        <v>224</v>
      </c>
      <c r="Q1015" s="9">
        <f>1005.76</f>
        <v>1005.76</v>
      </c>
    </row>
    <row r="1016" spans="1:17" ht="45" customHeight="1" x14ac:dyDescent="0.25">
      <c r="A1016" s="4" t="s">
        <v>20</v>
      </c>
      <c r="B1016" s="5" t="s">
        <v>1842</v>
      </c>
      <c r="C1016" s="4" t="s">
        <v>29</v>
      </c>
      <c r="D1016" s="4" t="s">
        <v>1062</v>
      </c>
      <c r="E1016" s="4" t="s">
        <v>1063</v>
      </c>
      <c r="F1016" s="6">
        <f>2</f>
        <v>2</v>
      </c>
      <c r="G1016" s="4" t="s">
        <v>46</v>
      </c>
      <c r="H1016" s="7">
        <v>38.14</v>
      </c>
      <c r="I1016" s="7">
        <v>38.14</v>
      </c>
      <c r="J1016" s="8" t="s">
        <v>122</v>
      </c>
      <c r="K1016" s="9">
        <f>45.41</f>
        <v>45.41</v>
      </c>
      <c r="L1016" s="9">
        <f>90.82</f>
        <v>90.82</v>
      </c>
      <c r="M1016" s="4"/>
      <c r="N1016" s="10">
        <v>1</v>
      </c>
      <c r="O1016" s="4" t="s">
        <v>27</v>
      </c>
      <c r="P1016" s="11">
        <v>2</v>
      </c>
      <c r="Q1016" s="9">
        <f>90.82</f>
        <v>90.82</v>
      </c>
    </row>
    <row r="1017" spans="1:17" ht="45" customHeight="1" x14ac:dyDescent="0.25">
      <c r="A1017" s="4" t="s">
        <v>20</v>
      </c>
      <c r="B1017" s="5" t="s">
        <v>1843</v>
      </c>
      <c r="C1017" s="4" t="s">
        <v>29</v>
      </c>
      <c r="D1017" s="4" t="s">
        <v>1071</v>
      </c>
      <c r="E1017" s="4" t="s">
        <v>1072</v>
      </c>
      <c r="F1017" s="6">
        <f>3</f>
        <v>3</v>
      </c>
      <c r="G1017" s="4" t="s">
        <v>46</v>
      </c>
      <c r="H1017" s="7">
        <v>214.64</v>
      </c>
      <c r="I1017" s="7">
        <v>214.64</v>
      </c>
      <c r="J1017" s="8" t="s">
        <v>122</v>
      </c>
      <c r="K1017" s="9">
        <f>255.53</f>
        <v>255.53</v>
      </c>
      <c r="L1017" s="9">
        <f>766.59</f>
        <v>766.59</v>
      </c>
      <c r="M1017" s="4"/>
      <c r="N1017" s="10">
        <v>1</v>
      </c>
      <c r="O1017" s="4" t="s">
        <v>27</v>
      </c>
      <c r="P1017" s="11">
        <v>3</v>
      </c>
      <c r="Q1017" s="9">
        <f>766.59</f>
        <v>766.59</v>
      </c>
    </row>
    <row r="1018" spans="1:17" ht="45" customHeight="1" x14ac:dyDescent="0.25">
      <c r="A1018" s="4" t="s">
        <v>20</v>
      </c>
      <c r="B1018" s="5" t="s">
        <v>1844</v>
      </c>
      <c r="C1018" s="4" t="s">
        <v>29</v>
      </c>
      <c r="D1018" s="4" t="s">
        <v>1126</v>
      </c>
      <c r="E1018" s="4" t="s">
        <v>1127</v>
      </c>
      <c r="F1018" s="6">
        <f>2</f>
        <v>2</v>
      </c>
      <c r="G1018" s="4" t="s">
        <v>46</v>
      </c>
      <c r="H1018" s="7">
        <v>824.52</v>
      </c>
      <c r="I1018" s="7">
        <v>824.52</v>
      </c>
      <c r="J1018" s="8" t="s">
        <v>122</v>
      </c>
      <c r="K1018" s="9">
        <f>981.59</f>
        <v>981.59</v>
      </c>
      <c r="L1018" s="9">
        <f>1963.18</f>
        <v>1963.18</v>
      </c>
      <c r="M1018" s="4"/>
      <c r="N1018" s="10">
        <v>1</v>
      </c>
      <c r="O1018" s="4" t="s">
        <v>27</v>
      </c>
      <c r="P1018" s="11">
        <v>2</v>
      </c>
      <c r="Q1018" s="9">
        <f>1963.18</f>
        <v>1963.18</v>
      </c>
    </row>
    <row r="1019" spans="1:17" ht="45" customHeight="1" x14ac:dyDescent="0.25">
      <c r="A1019" s="4" t="s">
        <v>20</v>
      </c>
      <c r="B1019" s="5" t="s">
        <v>1845</v>
      </c>
      <c r="C1019" s="4" t="s">
        <v>29</v>
      </c>
      <c r="D1019" s="4" t="s">
        <v>411</v>
      </c>
      <c r="E1019" s="4" t="s">
        <v>412</v>
      </c>
      <c r="F1019" s="6">
        <f>5</f>
        <v>5</v>
      </c>
      <c r="G1019" s="4" t="s">
        <v>46</v>
      </c>
      <c r="H1019" s="7">
        <v>222.22</v>
      </c>
      <c r="I1019" s="7">
        <v>222.22</v>
      </c>
      <c r="J1019" s="8" t="s">
        <v>122</v>
      </c>
      <c r="K1019" s="9">
        <f>264.55</f>
        <v>264.55</v>
      </c>
      <c r="L1019" s="9">
        <f>1322.75</f>
        <v>1322.75</v>
      </c>
      <c r="M1019" s="4"/>
      <c r="N1019" s="10">
        <v>1</v>
      </c>
      <c r="O1019" s="4" t="s">
        <v>27</v>
      </c>
      <c r="P1019" s="11">
        <v>5</v>
      </c>
      <c r="Q1019" s="9">
        <f>1322.75</f>
        <v>1322.75</v>
      </c>
    </row>
    <row r="1020" spans="1:17" ht="45" customHeight="1" x14ac:dyDescent="0.25">
      <c r="A1020" s="4" t="s">
        <v>20</v>
      </c>
      <c r="B1020" s="5" t="s">
        <v>1846</v>
      </c>
      <c r="C1020" s="4" t="s">
        <v>29</v>
      </c>
      <c r="D1020" s="4" t="s">
        <v>1096</v>
      </c>
      <c r="E1020" s="4" t="s">
        <v>1097</v>
      </c>
      <c r="F1020" s="6">
        <f>3</f>
        <v>3</v>
      </c>
      <c r="G1020" s="4" t="s">
        <v>46</v>
      </c>
      <c r="H1020" s="7">
        <v>1079.01</v>
      </c>
      <c r="I1020" s="7">
        <v>1079.01</v>
      </c>
      <c r="J1020" s="8" t="s">
        <v>122</v>
      </c>
      <c r="K1020" s="9">
        <f>1284.56</f>
        <v>1284.56</v>
      </c>
      <c r="L1020" s="9">
        <f>3853.68</f>
        <v>3853.68</v>
      </c>
      <c r="M1020" s="4"/>
      <c r="N1020" s="10">
        <v>1</v>
      </c>
      <c r="O1020" s="4" t="s">
        <v>27</v>
      </c>
      <c r="P1020" s="11">
        <v>3</v>
      </c>
      <c r="Q1020" s="9">
        <f>3853.68</f>
        <v>3853.68</v>
      </c>
    </row>
    <row r="1021" spans="1:17" ht="45" customHeight="1" x14ac:dyDescent="0.25">
      <c r="A1021" s="4" t="s">
        <v>20</v>
      </c>
      <c r="B1021" s="5" t="s">
        <v>1847</v>
      </c>
      <c r="C1021" s="4" t="s">
        <v>29</v>
      </c>
      <c r="D1021" s="4" t="s">
        <v>1081</v>
      </c>
      <c r="E1021" s="4" t="s">
        <v>1082</v>
      </c>
      <c r="F1021" s="6">
        <f>3</f>
        <v>3</v>
      </c>
      <c r="G1021" s="4" t="s">
        <v>46</v>
      </c>
      <c r="H1021" s="7">
        <v>325.60000000000002</v>
      </c>
      <c r="I1021" s="7">
        <v>325.60000000000002</v>
      </c>
      <c r="J1021" s="8" t="s">
        <v>122</v>
      </c>
      <c r="K1021" s="9">
        <f>387.63</f>
        <v>387.63</v>
      </c>
      <c r="L1021" s="9">
        <f>1162.89</f>
        <v>1162.8900000000001</v>
      </c>
      <c r="M1021" s="4"/>
      <c r="N1021" s="10">
        <v>1</v>
      </c>
      <c r="O1021" s="4" t="s">
        <v>27</v>
      </c>
      <c r="P1021" s="11">
        <v>3</v>
      </c>
      <c r="Q1021" s="9">
        <f>1162.89</f>
        <v>1162.8900000000001</v>
      </c>
    </row>
    <row r="1022" spans="1:17" ht="45" customHeight="1" x14ac:dyDescent="0.25">
      <c r="A1022" s="4" t="s">
        <v>20</v>
      </c>
      <c r="B1022" s="5" t="s">
        <v>1848</v>
      </c>
      <c r="C1022" s="4" t="s">
        <v>29</v>
      </c>
      <c r="D1022" s="4" t="s">
        <v>1113</v>
      </c>
      <c r="E1022" s="4" t="s">
        <v>1114</v>
      </c>
      <c r="F1022" s="6">
        <f>3</f>
        <v>3</v>
      </c>
      <c r="G1022" s="4" t="s">
        <v>46</v>
      </c>
      <c r="H1022" s="7">
        <v>3413.56</v>
      </c>
      <c r="I1022" s="7">
        <v>3413.56</v>
      </c>
      <c r="J1022" s="8" t="s">
        <v>122</v>
      </c>
      <c r="K1022" s="9">
        <f>4063.84</f>
        <v>4063.84</v>
      </c>
      <c r="L1022" s="9">
        <f>12191.52</f>
        <v>12191.52</v>
      </c>
      <c r="M1022" s="4"/>
      <c r="N1022" s="10">
        <v>1</v>
      </c>
      <c r="O1022" s="4" t="s">
        <v>27</v>
      </c>
      <c r="P1022" s="11">
        <v>3</v>
      </c>
      <c r="Q1022" s="9">
        <f>12191.52</f>
        <v>12191.52</v>
      </c>
    </row>
    <row r="1023" spans="1:17" ht="45" customHeight="1" x14ac:dyDescent="0.25">
      <c r="A1023" s="4" t="s">
        <v>20</v>
      </c>
      <c r="B1023" s="5" t="s">
        <v>1849</v>
      </c>
      <c r="C1023" s="4" t="s">
        <v>29</v>
      </c>
      <c r="D1023" s="4" t="s">
        <v>1099</v>
      </c>
      <c r="E1023" s="4" t="s">
        <v>1100</v>
      </c>
      <c r="F1023" s="6">
        <f>3</f>
        <v>3</v>
      </c>
      <c r="G1023" s="4" t="s">
        <v>46</v>
      </c>
      <c r="H1023" s="7">
        <v>2889.03</v>
      </c>
      <c r="I1023" s="7">
        <v>2889.03</v>
      </c>
      <c r="J1023" s="8" t="s">
        <v>122</v>
      </c>
      <c r="K1023" s="9">
        <f>3439.39</f>
        <v>3439.39</v>
      </c>
      <c r="L1023" s="9">
        <f>10318.17</f>
        <v>10318.17</v>
      </c>
      <c r="M1023" s="4"/>
      <c r="N1023" s="10">
        <v>1</v>
      </c>
      <c r="O1023" s="4" t="s">
        <v>27</v>
      </c>
      <c r="P1023" s="11">
        <v>3</v>
      </c>
      <c r="Q1023" s="9">
        <f>10318.17</f>
        <v>10318.17</v>
      </c>
    </row>
    <row r="1024" spans="1:17" ht="45" customHeight="1" x14ac:dyDescent="0.25">
      <c r="A1024" s="4" t="s">
        <v>20</v>
      </c>
      <c r="B1024" s="5" t="s">
        <v>1850</v>
      </c>
      <c r="C1024" s="4" t="s">
        <v>29</v>
      </c>
      <c r="D1024" s="4" t="s">
        <v>133</v>
      </c>
      <c r="E1024" s="4" t="s">
        <v>134</v>
      </c>
      <c r="F1024" s="6">
        <f>2</f>
        <v>2</v>
      </c>
      <c r="G1024" s="4" t="s">
        <v>46</v>
      </c>
      <c r="H1024" s="7">
        <v>288.58999999999997</v>
      </c>
      <c r="I1024" s="7">
        <v>288.58999999999997</v>
      </c>
      <c r="J1024" s="8" t="s">
        <v>122</v>
      </c>
      <c r="K1024" s="9">
        <f>343.57</f>
        <v>343.57</v>
      </c>
      <c r="L1024" s="9">
        <f>687.14</f>
        <v>687.14</v>
      </c>
      <c r="M1024" s="4"/>
      <c r="N1024" s="10">
        <v>1</v>
      </c>
      <c r="O1024" s="4" t="s">
        <v>27</v>
      </c>
      <c r="P1024" s="11">
        <v>2</v>
      </c>
      <c r="Q1024" s="9">
        <f>687.14</f>
        <v>687.14</v>
      </c>
    </row>
    <row r="1025" spans="1:17" ht="45" customHeight="1" x14ac:dyDescent="0.25">
      <c r="A1025" s="4" t="s">
        <v>20</v>
      </c>
      <c r="B1025" s="5" t="s">
        <v>1851</v>
      </c>
      <c r="C1025" s="4" t="s">
        <v>29</v>
      </c>
      <c r="D1025" s="4" t="s">
        <v>1108</v>
      </c>
      <c r="E1025" s="4" t="s">
        <v>1109</v>
      </c>
      <c r="F1025" s="6">
        <f>2</f>
        <v>2</v>
      </c>
      <c r="G1025" s="4" t="s">
        <v>46</v>
      </c>
      <c r="H1025" s="7">
        <v>2693.19</v>
      </c>
      <c r="I1025" s="7">
        <v>2693.19</v>
      </c>
      <c r="J1025" s="8" t="s">
        <v>122</v>
      </c>
      <c r="K1025" s="9">
        <f>3206.24</f>
        <v>3206.24</v>
      </c>
      <c r="L1025" s="9">
        <f>6412.48</f>
        <v>6412.48</v>
      </c>
      <c r="M1025" s="4"/>
      <c r="N1025" s="10">
        <v>1</v>
      </c>
      <c r="O1025" s="4" t="s">
        <v>27</v>
      </c>
      <c r="P1025" s="11">
        <v>2</v>
      </c>
      <c r="Q1025" s="9">
        <f>6412.48</f>
        <v>6412.48</v>
      </c>
    </row>
    <row r="1026" spans="1:17" ht="45" customHeight="1" x14ac:dyDescent="0.25">
      <c r="A1026" s="4" t="s">
        <v>20</v>
      </c>
      <c r="B1026" s="5" t="s">
        <v>1852</v>
      </c>
      <c r="C1026" s="4" t="s">
        <v>29</v>
      </c>
      <c r="D1026" s="4" t="s">
        <v>1108</v>
      </c>
      <c r="E1026" s="4" t="s">
        <v>1109</v>
      </c>
      <c r="F1026" s="6">
        <f>1</f>
        <v>1</v>
      </c>
      <c r="G1026" s="4" t="s">
        <v>46</v>
      </c>
      <c r="H1026" s="7">
        <v>2693.19</v>
      </c>
      <c r="I1026" s="7">
        <v>2693.19</v>
      </c>
      <c r="J1026" s="8" t="s">
        <v>122</v>
      </c>
      <c r="K1026" s="9">
        <f>3206.24</f>
        <v>3206.24</v>
      </c>
      <c r="L1026" s="9">
        <f>3206.24</f>
        <v>3206.24</v>
      </c>
      <c r="M1026" s="4"/>
      <c r="N1026" s="10">
        <v>1</v>
      </c>
      <c r="O1026" s="4" t="s">
        <v>27</v>
      </c>
      <c r="P1026" s="11">
        <v>1</v>
      </c>
      <c r="Q1026" s="9">
        <f>3206.24</f>
        <v>3206.24</v>
      </c>
    </row>
    <row r="1027" spans="1:17" ht="45" customHeight="1" x14ac:dyDescent="0.25">
      <c r="A1027" s="4" t="s">
        <v>20</v>
      </c>
      <c r="B1027" s="5" t="s">
        <v>1853</v>
      </c>
      <c r="C1027" s="4" t="s">
        <v>29</v>
      </c>
      <c r="D1027" s="4" t="s">
        <v>166</v>
      </c>
      <c r="E1027" s="4" t="s">
        <v>167</v>
      </c>
      <c r="F1027" s="6">
        <f>2</f>
        <v>2</v>
      </c>
      <c r="G1027" s="4" t="s">
        <v>46</v>
      </c>
      <c r="H1027" s="7">
        <v>791.97</v>
      </c>
      <c r="I1027" s="7">
        <v>791.97</v>
      </c>
      <c r="J1027" s="8" t="s">
        <v>122</v>
      </c>
      <c r="K1027" s="9">
        <f>942.84</f>
        <v>942.84</v>
      </c>
      <c r="L1027" s="9">
        <f>1885.68</f>
        <v>1885.68</v>
      </c>
      <c r="M1027" s="4"/>
      <c r="N1027" s="10">
        <v>1</v>
      </c>
      <c r="O1027" s="4" t="s">
        <v>27</v>
      </c>
      <c r="P1027" s="11">
        <v>2</v>
      </c>
      <c r="Q1027" s="9">
        <f>1885.68</f>
        <v>1885.68</v>
      </c>
    </row>
    <row r="1028" spans="1:17" ht="45" customHeight="1" x14ac:dyDescent="0.25">
      <c r="A1028" s="4" t="s">
        <v>20</v>
      </c>
      <c r="B1028" s="5" t="s">
        <v>1854</v>
      </c>
      <c r="C1028" s="4" t="s">
        <v>29</v>
      </c>
      <c r="D1028" s="4" t="s">
        <v>1108</v>
      </c>
      <c r="E1028" s="4" t="s">
        <v>1109</v>
      </c>
      <c r="F1028" s="6">
        <f>1</f>
        <v>1</v>
      </c>
      <c r="G1028" s="4" t="s">
        <v>46</v>
      </c>
      <c r="H1028" s="7">
        <v>2693.19</v>
      </c>
      <c r="I1028" s="7">
        <v>2693.19</v>
      </c>
      <c r="J1028" s="8" t="s">
        <v>122</v>
      </c>
      <c r="K1028" s="9">
        <f>3206.24</f>
        <v>3206.24</v>
      </c>
      <c r="L1028" s="9">
        <f>3206.24</f>
        <v>3206.24</v>
      </c>
      <c r="M1028" s="4"/>
      <c r="N1028" s="10">
        <v>1</v>
      </c>
      <c r="O1028" s="4" t="s">
        <v>27</v>
      </c>
      <c r="P1028" s="11">
        <v>1</v>
      </c>
      <c r="Q1028" s="9">
        <f>3206.24</f>
        <v>3206.24</v>
      </c>
    </row>
    <row r="1029" spans="1:17" ht="45" customHeight="1" x14ac:dyDescent="0.25">
      <c r="A1029" s="4" t="s">
        <v>20</v>
      </c>
      <c r="B1029" s="5" t="s">
        <v>1855</v>
      </c>
      <c r="C1029" s="4" t="s">
        <v>29</v>
      </c>
      <c r="D1029" s="4" t="s">
        <v>1123</v>
      </c>
      <c r="E1029" s="4" t="s">
        <v>1124</v>
      </c>
      <c r="F1029" s="6">
        <f>1</f>
        <v>1</v>
      </c>
      <c r="G1029" s="4" t="s">
        <v>46</v>
      </c>
      <c r="H1029" s="7">
        <v>1138.68</v>
      </c>
      <c r="I1029" s="7">
        <v>1138.68</v>
      </c>
      <c r="J1029" s="8" t="s">
        <v>122</v>
      </c>
      <c r="K1029" s="9">
        <f>1355.6</f>
        <v>1355.6</v>
      </c>
      <c r="L1029" s="9">
        <f>1355.6</f>
        <v>1355.6</v>
      </c>
      <c r="M1029" s="4"/>
      <c r="N1029" s="10">
        <v>1</v>
      </c>
      <c r="O1029" s="4" t="s">
        <v>27</v>
      </c>
      <c r="P1029" s="11">
        <v>1</v>
      </c>
      <c r="Q1029" s="9">
        <f>1355.6</f>
        <v>1355.6</v>
      </c>
    </row>
    <row r="1030" spans="1:17" ht="45" customHeight="1" x14ac:dyDescent="0.25">
      <c r="A1030" s="4" t="s">
        <v>20</v>
      </c>
      <c r="B1030" s="5" t="s">
        <v>1856</v>
      </c>
      <c r="C1030" s="4" t="s">
        <v>29</v>
      </c>
      <c r="D1030" s="4" t="s">
        <v>424</v>
      </c>
      <c r="E1030" s="4" t="s">
        <v>425</v>
      </c>
      <c r="F1030" s="6">
        <f>1</f>
        <v>1</v>
      </c>
      <c r="G1030" s="4" t="s">
        <v>46</v>
      </c>
      <c r="H1030" s="7">
        <v>340.5</v>
      </c>
      <c r="I1030" s="7">
        <v>340.5</v>
      </c>
      <c r="J1030" s="8" t="s">
        <v>122</v>
      </c>
      <c r="K1030" s="9">
        <f>405.37</f>
        <v>405.37</v>
      </c>
      <c r="L1030" s="9">
        <f>405.37</f>
        <v>405.37</v>
      </c>
      <c r="M1030" s="4"/>
      <c r="N1030" s="10">
        <v>1</v>
      </c>
      <c r="O1030" s="4" t="s">
        <v>27</v>
      </c>
      <c r="P1030" s="11">
        <v>1</v>
      </c>
      <c r="Q1030" s="9">
        <f>405.37</f>
        <v>405.37</v>
      </c>
    </row>
    <row r="1031" spans="1:17" ht="45" customHeight="1" x14ac:dyDescent="0.25">
      <c r="A1031" s="4" t="s">
        <v>20</v>
      </c>
      <c r="B1031" s="5" t="s">
        <v>1857</v>
      </c>
      <c r="C1031" s="4" t="s">
        <v>29</v>
      </c>
      <c r="D1031" s="4" t="s">
        <v>828</v>
      </c>
      <c r="E1031" s="4" t="s">
        <v>829</v>
      </c>
      <c r="F1031" s="6">
        <f>0.5</f>
        <v>0.5</v>
      </c>
      <c r="G1031" s="4" t="s">
        <v>96</v>
      </c>
      <c r="H1031" s="7">
        <v>585.02</v>
      </c>
      <c r="I1031" s="7">
        <v>585.02</v>
      </c>
      <c r="J1031" s="8" t="s">
        <v>122</v>
      </c>
      <c r="K1031" s="9">
        <f>696.47</f>
        <v>696.47</v>
      </c>
      <c r="L1031" s="9">
        <f>348.24</f>
        <v>348.24</v>
      </c>
      <c r="M1031" s="4"/>
      <c r="N1031" s="10">
        <v>1</v>
      </c>
      <c r="O1031" s="4" t="s">
        <v>27</v>
      </c>
      <c r="P1031" s="11">
        <v>0.5</v>
      </c>
      <c r="Q1031" s="9">
        <f>348.24</f>
        <v>348.24</v>
      </c>
    </row>
    <row r="1032" spans="1:17" ht="45" customHeight="1" x14ac:dyDescent="0.25">
      <c r="A1032" s="4" t="s">
        <v>20</v>
      </c>
      <c r="B1032" s="5" t="s">
        <v>1858</v>
      </c>
      <c r="C1032" s="4" t="s">
        <v>29</v>
      </c>
      <c r="D1032" s="4" t="s">
        <v>1078</v>
      </c>
      <c r="E1032" s="4" t="s">
        <v>1079</v>
      </c>
      <c r="F1032" s="6">
        <f>2</f>
        <v>2</v>
      </c>
      <c r="G1032" s="4" t="s">
        <v>46</v>
      </c>
      <c r="H1032" s="7">
        <v>353.1</v>
      </c>
      <c r="I1032" s="7">
        <v>353.1</v>
      </c>
      <c r="J1032" s="8" t="s">
        <v>122</v>
      </c>
      <c r="K1032" s="9">
        <f>420.37</f>
        <v>420.37</v>
      </c>
      <c r="L1032" s="9">
        <f>840.74</f>
        <v>840.74</v>
      </c>
      <c r="M1032" s="4"/>
      <c r="N1032" s="10">
        <v>1</v>
      </c>
      <c r="O1032" s="4" t="s">
        <v>27</v>
      </c>
      <c r="P1032" s="11">
        <v>2</v>
      </c>
      <c r="Q1032" s="9">
        <f>840.74</f>
        <v>840.74</v>
      </c>
    </row>
    <row r="1033" spans="1:17" ht="45" customHeight="1" x14ac:dyDescent="0.25">
      <c r="A1033" s="4" t="s">
        <v>20</v>
      </c>
      <c r="B1033" s="5" t="s">
        <v>1859</v>
      </c>
      <c r="C1033" s="4" t="s">
        <v>29</v>
      </c>
      <c r="D1033" s="4" t="s">
        <v>1105</v>
      </c>
      <c r="E1033" s="4" t="s">
        <v>1106</v>
      </c>
      <c r="F1033" s="6">
        <f>1</f>
        <v>1</v>
      </c>
      <c r="G1033" s="4" t="s">
        <v>46</v>
      </c>
      <c r="H1033" s="7">
        <v>3598.68</v>
      </c>
      <c r="I1033" s="7">
        <v>3598.68</v>
      </c>
      <c r="J1033" s="8" t="s">
        <v>122</v>
      </c>
      <c r="K1033" s="9">
        <f>4284.23</f>
        <v>4284.2299999999996</v>
      </c>
      <c r="L1033" s="9">
        <f>4284.23</f>
        <v>4284.2299999999996</v>
      </c>
      <c r="M1033" s="4"/>
      <c r="N1033" s="10">
        <v>1</v>
      </c>
      <c r="O1033" s="4" t="s">
        <v>27</v>
      </c>
      <c r="P1033" s="11">
        <v>1</v>
      </c>
      <c r="Q1033" s="9">
        <f>4284.23</f>
        <v>4284.2299999999996</v>
      </c>
    </row>
    <row r="1034" spans="1:17" ht="45" customHeight="1" x14ac:dyDescent="0.25">
      <c r="A1034" s="4" t="s">
        <v>20</v>
      </c>
      <c r="B1034" s="5" t="s">
        <v>1860</v>
      </c>
      <c r="C1034" s="4" t="s">
        <v>29</v>
      </c>
      <c r="D1034" s="4" t="s">
        <v>1068</v>
      </c>
      <c r="E1034" s="4" t="s">
        <v>1069</v>
      </c>
      <c r="F1034" s="6">
        <f>2</f>
        <v>2</v>
      </c>
      <c r="G1034" s="4" t="s">
        <v>46</v>
      </c>
      <c r="H1034" s="7">
        <v>552.55999999999995</v>
      </c>
      <c r="I1034" s="7">
        <v>552.55999999999995</v>
      </c>
      <c r="J1034" s="8" t="s">
        <v>122</v>
      </c>
      <c r="K1034" s="9">
        <f>657.82</f>
        <v>657.82</v>
      </c>
      <c r="L1034" s="9">
        <f>1315.64</f>
        <v>1315.64</v>
      </c>
      <c r="M1034" s="4"/>
      <c r="N1034" s="10">
        <v>1</v>
      </c>
      <c r="O1034" s="4" t="s">
        <v>27</v>
      </c>
      <c r="P1034" s="11">
        <v>2</v>
      </c>
      <c r="Q1034" s="9">
        <f>1315.64</f>
        <v>1315.64</v>
      </c>
    </row>
    <row r="1035" spans="1:17" ht="45" customHeight="1" x14ac:dyDescent="0.25">
      <c r="A1035" s="4" t="s">
        <v>20</v>
      </c>
      <c r="B1035" s="5" t="s">
        <v>1861</v>
      </c>
      <c r="C1035" s="4" t="s">
        <v>29</v>
      </c>
      <c r="D1035" s="4" t="s">
        <v>1116</v>
      </c>
      <c r="E1035" s="4" t="s">
        <v>1117</v>
      </c>
      <c r="F1035" s="6">
        <f>1</f>
        <v>1</v>
      </c>
      <c r="G1035" s="4" t="s">
        <v>46</v>
      </c>
      <c r="H1035" s="7">
        <v>2952.62</v>
      </c>
      <c r="I1035" s="7">
        <v>2952.62</v>
      </c>
      <c r="J1035" s="8" t="s">
        <v>122</v>
      </c>
      <c r="K1035" s="9">
        <f>3515.09</f>
        <v>3515.09</v>
      </c>
      <c r="L1035" s="9">
        <f>3515.09</f>
        <v>3515.09</v>
      </c>
      <c r="M1035" s="4"/>
      <c r="N1035" s="10">
        <v>1</v>
      </c>
      <c r="O1035" s="4" t="s">
        <v>27</v>
      </c>
      <c r="P1035" s="11">
        <v>1</v>
      </c>
      <c r="Q1035" s="9">
        <f>3515.09</f>
        <v>3515.09</v>
      </c>
    </row>
    <row r="1036" spans="1:17" ht="45" customHeight="1" x14ac:dyDescent="0.25">
      <c r="A1036" s="4" t="s">
        <v>20</v>
      </c>
      <c r="B1036" s="5" t="s">
        <v>1862</v>
      </c>
      <c r="C1036" s="4" t="s">
        <v>29</v>
      </c>
      <c r="D1036" s="4" t="s">
        <v>1105</v>
      </c>
      <c r="E1036" s="4" t="s">
        <v>1106</v>
      </c>
      <c r="F1036" s="6">
        <f>1</f>
        <v>1</v>
      </c>
      <c r="G1036" s="4" t="s">
        <v>46</v>
      </c>
      <c r="H1036" s="7">
        <v>3598.68</v>
      </c>
      <c r="I1036" s="7">
        <v>3598.68</v>
      </c>
      <c r="J1036" s="8" t="s">
        <v>122</v>
      </c>
      <c r="K1036" s="9">
        <f>4284.23</f>
        <v>4284.2299999999996</v>
      </c>
      <c r="L1036" s="9">
        <f>4284.23</f>
        <v>4284.2299999999996</v>
      </c>
      <c r="M1036" s="4"/>
      <c r="N1036" s="10">
        <v>1</v>
      </c>
      <c r="O1036" s="4" t="s">
        <v>27</v>
      </c>
      <c r="P1036" s="11">
        <v>1</v>
      </c>
      <c r="Q1036" s="9">
        <f>4284.23</f>
        <v>4284.2299999999996</v>
      </c>
    </row>
    <row r="1037" spans="1:17" ht="45" customHeight="1" x14ac:dyDescent="0.25">
      <c r="A1037" s="4" t="s">
        <v>20</v>
      </c>
      <c r="B1037" s="5" t="s">
        <v>1863</v>
      </c>
      <c r="C1037" s="4" t="s">
        <v>29</v>
      </c>
      <c r="D1037" s="4" t="s">
        <v>1119</v>
      </c>
      <c r="E1037" s="4" t="s">
        <v>1120</v>
      </c>
      <c r="F1037" s="6">
        <f>1</f>
        <v>1</v>
      </c>
      <c r="G1037" s="4" t="s">
        <v>46</v>
      </c>
      <c r="H1037" s="7">
        <v>4169.74</v>
      </c>
      <c r="I1037" s="7">
        <v>4169.74</v>
      </c>
      <c r="J1037" s="8" t="s">
        <v>122</v>
      </c>
      <c r="K1037" s="9">
        <f>4964.08</f>
        <v>4964.08</v>
      </c>
      <c r="L1037" s="9">
        <f>4964.08</f>
        <v>4964.08</v>
      </c>
      <c r="M1037" s="4"/>
      <c r="N1037" s="10">
        <v>1</v>
      </c>
      <c r="O1037" s="4" t="s">
        <v>27</v>
      </c>
      <c r="P1037" s="11">
        <v>1</v>
      </c>
      <c r="Q1037" s="9">
        <f>4964.08</f>
        <v>4964.08</v>
      </c>
    </row>
    <row r="1038" spans="1:17" ht="45" customHeight="1" x14ac:dyDescent="0.25">
      <c r="A1038" s="4" t="s">
        <v>20</v>
      </c>
      <c r="B1038" s="5" t="s">
        <v>1864</v>
      </c>
      <c r="C1038" s="4" t="s">
        <v>29</v>
      </c>
      <c r="D1038" s="4" t="s">
        <v>1084</v>
      </c>
      <c r="E1038" s="4" t="s">
        <v>1085</v>
      </c>
      <c r="F1038" s="6">
        <f>1</f>
        <v>1</v>
      </c>
      <c r="G1038" s="4" t="s">
        <v>46</v>
      </c>
      <c r="H1038" s="7">
        <v>515.11</v>
      </c>
      <c r="I1038" s="7">
        <v>515.11</v>
      </c>
      <c r="J1038" s="8" t="s">
        <v>122</v>
      </c>
      <c r="K1038" s="9">
        <f>613.24</f>
        <v>613.24</v>
      </c>
      <c r="L1038" s="9">
        <f>613.24</f>
        <v>613.24</v>
      </c>
      <c r="M1038" s="4"/>
      <c r="N1038" s="10">
        <v>1</v>
      </c>
      <c r="O1038" s="4" t="s">
        <v>27</v>
      </c>
      <c r="P1038" s="11">
        <v>1</v>
      </c>
      <c r="Q1038" s="9">
        <f>613.24</f>
        <v>613.24</v>
      </c>
    </row>
    <row r="1039" spans="1:17" ht="45" customHeight="1" x14ac:dyDescent="0.25">
      <c r="A1039" s="4" t="s">
        <v>20</v>
      </c>
      <c r="B1039" s="5" t="s">
        <v>1865</v>
      </c>
      <c r="C1039" s="4" t="s">
        <v>29</v>
      </c>
      <c r="D1039" s="4" t="s">
        <v>1102</v>
      </c>
      <c r="E1039" s="4" t="s">
        <v>1103</v>
      </c>
      <c r="F1039" s="6">
        <f>1</f>
        <v>1</v>
      </c>
      <c r="G1039" s="4" t="s">
        <v>46</v>
      </c>
      <c r="H1039" s="7">
        <v>2669.41</v>
      </c>
      <c r="I1039" s="7">
        <v>2669.41</v>
      </c>
      <c r="J1039" s="8" t="s">
        <v>122</v>
      </c>
      <c r="K1039" s="9">
        <f>3177.93</f>
        <v>3177.93</v>
      </c>
      <c r="L1039" s="9">
        <f>3177.93</f>
        <v>3177.93</v>
      </c>
      <c r="M1039" s="4"/>
      <c r="N1039" s="10">
        <v>1</v>
      </c>
      <c r="O1039" s="4" t="s">
        <v>27</v>
      </c>
      <c r="P1039" s="11">
        <v>1</v>
      </c>
      <c r="Q1039" s="9">
        <f>3177.93</f>
        <v>3177.93</v>
      </c>
    </row>
    <row r="1040" spans="1:17" ht="45" customHeight="1" x14ac:dyDescent="0.25">
      <c r="A1040" s="4" t="s">
        <v>20</v>
      </c>
      <c r="B1040" s="5" t="s">
        <v>1866</v>
      </c>
      <c r="C1040" s="4" t="s">
        <v>29</v>
      </c>
      <c r="D1040" s="4" t="s">
        <v>1088</v>
      </c>
      <c r="E1040" s="4" t="s">
        <v>1089</v>
      </c>
      <c r="F1040" s="6">
        <f>1</f>
        <v>1</v>
      </c>
      <c r="G1040" s="4" t="s">
        <v>46</v>
      </c>
      <c r="H1040" s="7">
        <v>368.55</v>
      </c>
      <c r="I1040" s="7">
        <v>368.55</v>
      </c>
      <c r="J1040" s="8" t="s">
        <v>122</v>
      </c>
      <c r="K1040" s="9">
        <f>438.76</f>
        <v>438.76</v>
      </c>
      <c r="L1040" s="9">
        <f>438.76</f>
        <v>438.76</v>
      </c>
      <c r="M1040" s="4"/>
      <c r="N1040" s="10">
        <v>1</v>
      </c>
      <c r="O1040" s="4" t="s">
        <v>27</v>
      </c>
      <c r="P1040" s="11">
        <v>1</v>
      </c>
      <c r="Q1040" s="9">
        <f>438.76</f>
        <v>438.76</v>
      </c>
    </row>
    <row r="1041" spans="1:17" ht="45" customHeight="1" x14ac:dyDescent="0.25">
      <c r="A1041" s="4" t="s">
        <v>20</v>
      </c>
      <c r="B1041" s="5" t="s">
        <v>1867</v>
      </c>
      <c r="C1041" s="4" t="s">
        <v>29</v>
      </c>
      <c r="D1041" s="4" t="s">
        <v>1074</v>
      </c>
      <c r="E1041" s="4" t="s">
        <v>1075</v>
      </c>
      <c r="F1041" s="6">
        <f>1</f>
        <v>1</v>
      </c>
      <c r="G1041" s="4" t="s">
        <v>46</v>
      </c>
      <c r="H1041" s="7">
        <v>382.72</v>
      </c>
      <c r="I1041" s="7">
        <v>382.72</v>
      </c>
      <c r="J1041" s="8" t="s">
        <v>122</v>
      </c>
      <c r="K1041" s="9">
        <f>455.63</f>
        <v>455.63</v>
      </c>
      <c r="L1041" s="9">
        <f>455.63</f>
        <v>455.63</v>
      </c>
      <c r="M1041" s="4"/>
      <c r="N1041" s="10">
        <v>1</v>
      </c>
      <c r="O1041" s="4" t="s">
        <v>27</v>
      </c>
      <c r="P1041" s="11">
        <v>1</v>
      </c>
      <c r="Q1041" s="9">
        <f>455.63</f>
        <v>455.63</v>
      </c>
    </row>
    <row r="1042" spans="1:17" ht="45" customHeight="1" x14ac:dyDescent="0.25">
      <c r="A1042" s="4" t="s">
        <v>20</v>
      </c>
      <c r="B1042" s="5" t="s">
        <v>1868</v>
      </c>
      <c r="C1042" s="4" t="s">
        <v>29</v>
      </c>
      <c r="D1042" s="4" t="s">
        <v>1130</v>
      </c>
      <c r="E1042" s="4" t="s">
        <v>1131</v>
      </c>
      <c r="F1042" s="6">
        <f>0.6</f>
        <v>0.6</v>
      </c>
      <c r="G1042" s="4" t="s">
        <v>96</v>
      </c>
      <c r="H1042" s="7">
        <v>711.32</v>
      </c>
      <c r="I1042" s="7">
        <v>711.32</v>
      </c>
      <c r="J1042" s="8" t="s">
        <v>122</v>
      </c>
      <c r="K1042" s="9">
        <f>846.83</f>
        <v>846.83</v>
      </c>
      <c r="L1042" s="9">
        <f>508.1</f>
        <v>508.1</v>
      </c>
      <c r="M1042" s="4"/>
      <c r="N1042" s="10">
        <v>1</v>
      </c>
      <c r="O1042" s="4" t="s">
        <v>27</v>
      </c>
      <c r="P1042" s="11">
        <v>0.6</v>
      </c>
      <c r="Q1042" s="9">
        <f>508.1</f>
        <v>508.1</v>
      </c>
    </row>
    <row r="1043" spans="1:17" ht="45" customHeight="1" x14ac:dyDescent="0.25">
      <c r="A1043" s="4" t="s">
        <v>20</v>
      </c>
      <c r="B1043" s="5" t="s">
        <v>1869</v>
      </c>
      <c r="C1043" s="4" t="s">
        <v>196</v>
      </c>
      <c r="D1043" s="4" t="s">
        <v>897</v>
      </c>
      <c r="E1043" s="4" t="s">
        <v>1094</v>
      </c>
      <c r="F1043" s="6">
        <f>1</f>
        <v>1</v>
      </c>
      <c r="G1043" s="4" t="s">
        <v>46</v>
      </c>
      <c r="H1043" s="7">
        <v>182505</v>
      </c>
      <c r="I1043" s="7">
        <v>182505</v>
      </c>
      <c r="J1043" s="8" t="s">
        <v>122</v>
      </c>
      <c r="K1043" s="9">
        <f>217272.2</f>
        <v>217272.2</v>
      </c>
      <c r="L1043" s="9">
        <f>217272.2</f>
        <v>217272.2</v>
      </c>
      <c r="M1043" s="4"/>
      <c r="N1043" s="10">
        <v>1</v>
      </c>
      <c r="O1043" s="4" t="s">
        <v>27</v>
      </c>
      <c r="P1043" s="11">
        <v>1</v>
      </c>
      <c r="Q1043" s="9">
        <f>217272.2</f>
        <v>217272.2</v>
      </c>
    </row>
    <row r="1044" spans="1:17" ht="45" customHeight="1" x14ac:dyDescent="0.25">
      <c r="A1044" s="4" t="s">
        <v>20</v>
      </c>
      <c r="B1044" s="5" t="s">
        <v>1870</v>
      </c>
      <c r="C1044" s="4" t="s">
        <v>29</v>
      </c>
      <c r="D1044" s="4" t="s">
        <v>1871</v>
      </c>
      <c r="E1044" s="4" t="s">
        <v>1872</v>
      </c>
      <c r="F1044" s="6">
        <f>36</f>
        <v>36</v>
      </c>
      <c r="G1044" s="4" t="s">
        <v>96</v>
      </c>
      <c r="H1044" s="7">
        <v>395.84</v>
      </c>
      <c r="I1044" s="7">
        <v>395.84</v>
      </c>
      <c r="J1044" s="8" t="s">
        <v>122</v>
      </c>
      <c r="K1044" s="9">
        <f>471.25</f>
        <v>471.25</v>
      </c>
      <c r="L1044" s="9">
        <f>16965</f>
        <v>16965</v>
      </c>
      <c r="M1044" s="4"/>
      <c r="N1044" s="10">
        <v>1</v>
      </c>
      <c r="O1044" s="4" t="s">
        <v>27</v>
      </c>
      <c r="P1044" s="11">
        <v>36</v>
      </c>
      <c r="Q1044" s="9">
        <f>16965</f>
        <v>16965</v>
      </c>
    </row>
    <row r="1045" spans="1:17" ht="45" customHeight="1" x14ac:dyDescent="0.25">
      <c r="A1045" s="4" t="s">
        <v>20</v>
      </c>
      <c r="B1045" s="5" t="s">
        <v>1873</v>
      </c>
      <c r="C1045" s="4" t="s">
        <v>29</v>
      </c>
      <c r="D1045" s="4" t="s">
        <v>1874</v>
      </c>
      <c r="E1045" s="4" t="s">
        <v>1875</v>
      </c>
      <c r="F1045" s="6">
        <f>1</f>
        <v>1</v>
      </c>
      <c r="G1045" s="4" t="s">
        <v>46</v>
      </c>
      <c r="H1045" s="7">
        <v>584.74</v>
      </c>
      <c r="I1045" s="7">
        <v>584.74</v>
      </c>
      <c r="J1045" s="8" t="s">
        <v>122</v>
      </c>
      <c r="K1045" s="9">
        <f>696.13</f>
        <v>696.13</v>
      </c>
      <c r="L1045" s="9">
        <f>696.13</f>
        <v>696.13</v>
      </c>
      <c r="M1045" s="4"/>
      <c r="N1045" s="10">
        <v>1</v>
      </c>
      <c r="O1045" s="4" t="s">
        <v>27</v>
      </c>
      <c r="P1045" s="11">
        <v>1</v>
      </c>
      <c r="Q1045" s="9">
        <f>696.13</f>
        <v>696.13</v>
      </c>
    </row>
    <row r="1046" spans="1:17" ht="45" customHeight="1" x14ac:dyDescent="0.25">
      <c r="A1046" s="4" t="s">
        <v>20</v>
      </c>
      <c r="B1046" s="5" t="s">
        <v>1876</v>
      </c>
      <c r="C1046" s="4" t="s">
        <v>29</v>
      </c>
      <c r="D1046" s="4" t="s">
        <v>1155</v>
      </c>
      <c r="E1046" s="4" t="s">
        <v>1156</v>
      </c>
      <c r="F1046" s="6">
        <f>1</f>
        <v>1</v>
      </c>
      <c r="G1046" s="4" t="s">
        <v>46</v>
      </c>
      <c r="H1046" s="7">
        <v>502.27</v>
      </c>
      <c r="I1046" s="7">
        <v>502.27</v>
      </c>
      <c r="J1046" s="8" t="s">
        <v>122</v>
      </c>
      <c r="K1046" s="9">
        <f>597.95</f>
        <v>597.95000000000005</v>
      </c>
      <c r="L1046" s="9">
        <f>597.95</f>
        <v>597.95000000000005</v>
      </c>
      <c r="M1046" s="4"/>
      <c r="N1046" s="10">
        <v>1</v>
      </c>
      <c r="O1046" s="4" t="s">
        <v>27</v>
      </c>
      <c r="P1046" s="11">
        <v>1</v>
      </c>
      <c r="Q1046" s="9">
        <f>597.95</f>
        <v>597.95000000000005</v>
      </c>
    </row>
    <row r="1047" spans="1:17" ht="45" customHeight="1" x14ac:dyDescent="0.25">
      <c r="A1047" s="4" t="s">
        <v>20</v>
      </c>
      <c r="B1047" s="5" t="s">
        <v>1877</v>
      </c>
      <c r="C1047" s="4" t="s">
        <v>29</v>
      </c>
      <c r="D1047" s="4" t="s">
        <v>1258</v>
      </c>
      <c r="E1047" s="4" t="s">
        <v>1259</v>
      </c>
      <c r="F1047" s="6">
        <f>30</f>
        <v>30</v>
      </c>
      <c r="G1047" s="4" t="s">
        <v>96</v>
      </c>
      <c r="H1047" s="7">
        <v>325.35000000000002</v>
      </c>
      <c r="I1047" s="7">
        <v>325.35000000000002</v>
      </c>
      <c r="J1047" s="8" t="s">
        <v>122</v>
      </c>
      <c r="K1047" s="9">
        <f>387.33</f>
        <v>387.33</v>
      </c>
      <c r="L1047" s="9">
        <f>11619.9</f>
        <v>11619.9</v>
      </c>
      <c r="M1047" s="4"/>
      <c r="N1047" s="10">
        <v>1</v>
      </c>
      <c r="O1047" s="4" t="s">
        <v>27</v>
      </c>
      <c r="P1047" s="11">
        <v>30</v>
      </c>
      <c r="Q1047" s="9">
        <f>11619.9</f>
        <v>11619.9</v>
      </c>
    </row>
    <row r="1048" spans="1:17" ht="45" customHeight="1" x14ac:dyDescent="0.25">
      <c r="A1048" s="4" t="s">
        <v>20</v>
      </c>
      <c r="B1048" s="5" t="s">
        <v>1878</v>
      </c>
      <c r="C1048" s="4" t="s">
        <v>29</v>
      </c>
      <c r="D1048" s="4" t="s">
        <v>1879</v>
      </c>
      <c r="E1048" s="4" t="s">
        <v>1880</v>
      </c>
      <c r="F1048" s="6">
        <f>2</f>
        <v>2</v>
      </c>
      <c r="G1048" s="4" t="s">
        <v>46</v>
      </c>
      <c r="H1048" s="7">
        <v>384.5</v>
      </c>
      <c r="I1048" s="7">
        <v>384.5</v>
      </c>
      <c r="J1048" s="8" t="s">
        <v>122</v>
      </c>
      <c r="K1048" s="9">
        <f>457.75</f>
        <v>457.75</v>
      </c>
      <c r="L1048" s="9">
        <f>915.5</f>
        <v>915.5</v>
      </c>
      <c r="M1048" s="4"/>
      <c r="N1048" s="10">
        <v>1</v>
      </c>
      <c r="O1048" s="4" t="s">
        <v>27</v>
      </c>
      <c r="P1048" s="11">
        <v>2</v>
      </c>
      <c r="Q1048" s="9">
        <f>915.5</f>
        <v>915.5</v>
      </c>
    </row>
    <row r="1049" spans="1:17" ht="45" customHeight="1" x14ac:dyDescent="0.25">
      <c r="A1049" s="4" t="s">
        <v>20</v>
      </c>
      <c r="B1049" s="5" t="s">
        <v>1881</v>
      </c>
      <c r="C1049" s="4" t="s">
        <v>29</v>
      </c>
      <c r="D1049" s="4" t="s">
        <v>1882</v>
      </c>
      <c r="E1049" s="4" t="s">
        <v>1883</v>
      </c>
      <c r="F1049" s="6">
        <f>1</f>
        <v>1</v>
      </c>
      <c r="G1049" s="4" t="s">
        <v>46</v>
      </c>
      <c r="H1049" s="7">
        <v>379.07</v>
      </c>
      <c r="I1049" s="7">
        <v>379.07</v>
      </c>
      <c r="J1049" s="8" t="s">
        <v>122</v>
      </c>
      <c r="K1049" s="9">
        <f>451.28</f>
        <v>451.28</v>
      </c>
      <c r="L1049" s="9">
        <f>451.28</f>
        <v>451.28</v>
      </c>
      <c r="M1049" s="4"/>
      <c r="N1049" s="10">
        <v>1</v>
      </c>
      <c r="O1049" s="4" t="s">
        <v>27</v>
      </c>
      <c r="P1049" s="11">
        <v>1</v>
      </c>
      <c r="Q1049" s="9">
        <f>451.28</f>
        <v>451.28</v>
      </c>
    </row>
    <row r="1050" spans="1:17" ht="45" customHeight="1" x14ac:dyDescent="0.25">
      <c r="A1050" s="4" t="s">
        <v>20</v>
      </c>
      <c r="B1050" s="5" t="s">
        <v>1884</v>
      </c>
      <c r="C1050" s="4" t="s">
        <v>29</v>
      </c>
      <c r="D1050" s="4" t="s">
        <v>1130</v>
      </c>
      <c r="E1050" s="4" t="s">
        <v>1131</v>
      </c>
      <c r="F1050" s="6">
        <f>0.45</f>
        <v>0.45</v>
      </c>
      <c r="G1050" s="4" t="s">
        <v>96</v>
      </c>
      <c r="H1050" s="7">
        <v>711.32</v>
      </c>
      <c r="I1050" s="7">
        <v>711.32</v>
      </c>
      <c r="J1050" s="8" t="s">
        <v>122</v>
      </c>
      <c r="K1050" s="9">
        <f>846.83</f>
        <v>846.83</v>
      </c>
      <c r="L1050" s="9">
        <f>381.07</f>
        <v>381.07</v>
      </c>
      <c r="M1050" s="4"/>
      <c r="N1050" s="10">
        <v>1</v>
      </c>
      <c r="O1050" s="4" t="s">
        <v>27</v>
      </c>
      <c r="P1050" s="11">
        <v>0.45</v>
      </c>
      <c r="Q1050" s="9">
        <f>381.07</f>
        <v>381.07</v>
      </c>
    </row>
    <row r="1051" spans="1:17" ht="45" customHeight="1" x14ac:dyDescent="0.25">
      <c r="A1051" s="4" t="s">
        <v>20</v>
      </c>
      <c r="B1051" s="5" t="s">
        <v>1885</v>
      </c>
      <c r="C1051" s="4" t="s">
        <v>29</v>
      </c>
      <c r="D1051" s="4" t="s">
        <v>1130</v>
      </c>
      <c r="E1051" s="4" t="s">
        <v>1131</v>
      </c>
      <c r="F1051" s="6">
        <f>1.65</f>
        <v>1.65</v>
      </c>
      <c r="G1051" s="4" t="s">
        <v>96</v>
      </c>
      <c r="H1051" s="7">
        <v>711.32</v>
      </c>
      <c r="I1051" s="7">
        <v>711.32</v>
      </c>
      <c r="J1051" s="8" t="s">
        <v>122</v>
      </c>
      <c r="K1051" s="9">
        <f>846.83</f>
        <v>846.83</v>
      </c>
      <c r="L1051" s="9">
        <f>1397.27</f>
        <v>1397.27</v>
      </c>
      <c r="M1051" s="4"/>
      <c r="N1051" s="10">
        <v>1</v>
      </c>
      <c r="O1051" s="4" t="s">
        <v>27</v>
      </c>
      <c r="P1051" s="11">
        <v>1.65</v>
      </c>
      <c r="Q1051" s="9">
        <f>1397.27</f>
        <v>1397.27</v>
      </c>
    </row>
    <row r="1052" spans="1:17" ht="45" customHeight="1" x14ac:dyDescent="0.25">
      <c r="A1052" s="4" t="s">
        <v>20</v>
      </c>
      <c r="B1052" s="5" t="s">
        <v>1886</v>
      </c>
      <c r="C1052" s="4" t="s">
        <v>29</v>
      </c>
      <c r="D1052" s="4" t="s">
        <v>1293</v>
      </c>
      <c r="E1052" s="4" t="s">
        <v>1294</v>
      </c>
      <c r="F1052" s="6">
        <f>2</f>
        <v>2</v>
      </c>
      <c r="G1052" s="4" t="s">
        <v>46</v>
      </c>
      <c r="H1052" s="7">
        <v>240.52</v>
      </c>
      <c r="I1052" s="7">
        <v>240.52</v>
      </c>
      <c r="J1052" s="8" t="s">
        <v>122</v>
      </c>
      <c r="K1052" s="9">
        <f>286.34</f>
        <v>286.33999999999997</v>
      </c>
      <c r="L1052" s="9">
        <f>572.68</f>
        <v>572.67999999999995</v>
      </c>
      <c r="M1052" s="4"/>
      <c r="N1052" s="10">
        <v>1</v>
      </c>
      <c r="O1052" s="4" t="s">
        <v>27</v>
      </c>
      <c r="P1052" s="11">
        <v>2</v>
      </c>
      <c r="Q1052" s="9">
        <f>572.68</f>
        <v>572.67999999999995</v>
      </c>
    </row>
    <row r="1053" spans="1:17" ht="45" customHeight="1" x14ac:dyDescent="0.25">
      <c r="A1053" s="4" t="s">
        <v>20</v>
      </c>
      <c r="B1053" s="5" t="s">
        <v>1887</v>
      </c>
      <c r="C1053" s="4" t="s">
        <v>29</v>
      </c>
      <c r="D1053" s="4" t="s">
        <v>411</v>
      </c>
      <c r="E1053" s="4" t="s">
        <v>412</v>
      </c>
      <c r="F1053" s="6">
        <f>1</f>
        <v>1</v>
      </c>
      <c r="G1053" s="4" t="s">
        <v>46</v>
      </c>
      <c r="H1053" s="7">
        <v>222.22</v>
      </c>
      <c r="I1053" s="7">
        <v>222.22</v>
      </c>
      <c r="J1053" s="8" t="s">
        <v>122</v>
      </c>
      <c r="K1053" s="9">
        <f>264.55</f>
        <v>264.55</v>
      </c>
      <c r="L1053" s="9">
        <f>264.55</f>
        <v>264.55</v>
      </c>
      <c r="M1053" s="4"/>
      <c r="N1053" s="10">
        <v>1</v>
      </c>
      <c r="O1053" s="4" t="s">
        <v>27</v>
      </c>
      <c r="P1053" s="11">
        <v>1</v>
      </c>
      <c r="Q1053" s="9">
        <f>264.55</f>
        <v>264.55</v>
      </c>
    </row>
    <row r="1054" spans="1:17" ht="45" customHeight="1" x14ac:dyDescent="0.25">
      <c r="A1054" s="4" t="s">
        <v>20</v>
      </c>
      <c r="B1054" s="5" t="s">
        <v>1888</v>
      </c>
      <c r="C1054" s="4" t="s">
        <v>29</v>
      </c>
      <c r="D1054" s="4" t="s">
        <v>1889</v>
      </c>
      <c r="E1054" s="4" t="s">
        <v>1890</v>
      </c>
      <c r="F1054" s="6">
        <f>1</f>
        <v>1</v>
      </c>
      <c r="G1054" s="4" t="s">
        <v>46</v>
      </c>
      <c r="H1054" s="7">
        <v>1487.28</v>
      </c>
      <c r="I1054" s="7">
        <v>1487.28</v>
      </c>
      <c r="J1054" s="8" t="s">
        <v>122</v>
      </c>
      <c r="K1054" s="9">
        <f>1770.61</f>
        <v>1770.61</v>
      </c>
      <c r="L1054" s="9">
        <f>1770.61</f>
        <v>1770.61</v>
      </c>
      <c r="M1054" s="4"/>
      <c r="N1054" s="10">
        <v>1</v>
      </c>
      <c r="O1054" s="4" t="s">
        <v>27</v>
      </c>
      <c r="P1054" s="11">
        <v>1</v>
      </c>
      <c r="Q1054" s="9">
        <f>1770.61</f>
        <v>1770.61</v>
      </c>
    </row>
    <row r="1055" spans="1:17" ht="45" customHeight="1" x14ac:dyDescent="0.25">
      <c r="A1055" s="4" t="s">
        <v>20</v>
      </c>
      <c r="B1055" s="5" t="s">
        <v>1891</v>
      </c>
      <c r="C1055" s="4" t="s">
        <v>29</v>
      </c>
      <c r="D1055" s="4" t="s">
        <v>1892</v>
      </c>
      <c r="E1055" s="4" t="s">
        <v>1893</v>
      </c>
      <c r="F1055" s="6">
        <f>1</f>
        <v>1</v>
      </c>
      <c r="G1055" s="4" t="s">
        <v>46</v>
      </c>
      <c r="H1055" s="7">
        <v>210.89</v>
      </c>
      <c r="I1055" s="7">
        <v>210.89</v>
      </c>
      <c r="J1055" s="8" t="s">
        <v>122</v>
      </c>
      <c r="K1055" s="9">
        <f>251.06</f>
        <v>251.06</v>
      </c>
      <c r="L1055" s="9">
        <f>251.06</f>
        <v>251.06</v>
      </c>
      <c r="M1055" s="4"/>
      <c r="N1055" s="10">
        <v>1</v>
      </c>
      <c r="O1055" s="4" t="s">
        <v>27</v>
      </c>
      <c r="P1055" s="11">
        <v>1</v>
      </c>
      <c r="Q1055" s="9">
        <f>251.06</f>
        <v>251.06</v>
      </c>
    </row>
    <row r="1056" spans="1:17" ht="45" customHeight="1" x14ac:dyDescent="0.25">
      <c r="A1056" s="4" t="s">
        <v>20</v>
      </c>
      <c r="B1056" s="5" t="s">
        <v>1894</v>
      </c>
      <c r="C1056" s="4" t="s">
        <v>29</v>
      </c>
      <c r="D1056" s="4" t="s">
        <v>1071</v>
      </c>
      <c r="E1056" s="4" t="s">
        <v>1072</v>
      </c>
      <c r="F1056" s="6">
        <f>2</f>
        <v>2</v>
      </c>
      <c r="G1056" s="4" t="s">
        <v>46</v>
      </c>
      <c r="H1056" s="7">
        <v>214.64</v>
      </c>
      <c r="I1056" s="7">
        <v>214.64</v>
      </c>
      <c r="J1056" s="8" t="s">
        <v>122</v>
      </c>
      <c r="K1056" s="9">
        <f>255.53</f>
        <v>255.53</v>
      </c>
      <c r="L1056" s="9">
        <f>511.06</f>
        <v>511.06</v>
      </c>
      <c r="M1056" s="4"/>
      <c r="N1056" s="10">
        <v>1</v>
      </c>
      <c r="O1056" s="4" t="s">
        <v>27</v>
      </c>
      <c r="P1056" s="11">
        <v>2</v>
      </c>
      <c r="Q1056" s="9">
        <f>511.06</f>
        <v>511.06</v>
      </c>
    </row>
    <row r="1057" spans="1:17" ht="45" customHeight="1" x14ac:dyDescent="0.25">
      <c r="A1057" s="4" t="s">
        <v>20</v>
      </c>
      <c r="B1057" s="5" t="s">
        <v>1895</v>
      </c>
      <c r="C1057" s="4" t="s">
        <v>29</v>
      </c>
      <c r="D1057" s="4" t="s">
        <v>1164</v>
      </c>
      <c r="E1057" s="4" t="s">
        <v>1165</v>
      </c>
      <c r="F1057" s="6">
        <f>12</f>
        <v>12</v>
      </c>
      <c r="G1057" s="4" t="s">
        <v>96</v>
      </c>
      <c r="H1057" s="7">
        <v>269.51</v>
      </c>
      <c r="I1057" s="7">
        <v>269.51</v>
      </c>
      <c r="J1057" s="8" t="s">
        <v>122</v>
      </c>
      <c r="K1057" s="9">
        <f>320.85</f>
        <v>320.85000000000002</v>
      </c>
      <c r="L1057" s="9">
        <f>3850.2</f>
        <v>3850.2</v>
      </c>
      <c r="M1057" s="4"/>
      <c r="N1057" s="10">
        <v>1</v>
      </c>
      <c r="O1057" s="4" t="s">
        <v>27</v>
      </c>
      <c r="P1057" s="11">
        <v>12</v>
      </c>
      <c r="Q1057" s="9">
        <f>3850.2</f>
        <v>3850.2</v>
      </c>
    </row>
    <row r="1058" spans="1:17" ht="45" customHeight="1" x14ac:dyDescent="0.25">
      <c r="A1058" s="4" t="s">
        <v>20</v>
      </c>
      <c r="B1058" s="5" t="s">
        <v>1896</v>
      </c>
      <c r="C1058" s="4" t="s">
        <v>29</v>
      </c>
      <c r="D1058" s="4" t="s">
        <v>1897</v>
      </c>
      <c r="E1058" s="4" t="s">
        <v>1898</v>
      </c>
      <c r="F1058" s="6">
        <f>18</f>
        <v>18</v>
      </c>
      <c r="G1058" s="4" t="s">
        <v>96</v>
      </c>
      <c r="H1058" s="7">
        <v>239.92</v>
      </c>
      <c r="I1058" s="7">
        <v>239.92</v>
      </c>
      <c r="J1058" s="8" t="s">
        <v>122</v>
      </c>
      <c r="K1058" s="9">
        <f>285.62</f>
        <v>285.62</v>
      </c>
      <c r="L1058" s="9">
        <f>5141.16</f>
        <v>5141.16</v>
      </c>
      <c r="M1058" s="4"/>
      <c r="N1058" s="10">
        <v>1</v>
      </c>
      <c r="O1058" s="4" t="s">
        <v>27</v>
      </c>
      <c r="P1058" s="11">
        <v>18</v>
      </c>
      <c r="Q1058" s="9">
        <f>5141.16</f>
        <v>5141.16</v>
      </c>
    </row>
    <row r="1059" spans="1:17" ht="45" customHeight="1" x14ac:dyDescent="0.25">
      <c r="A1059" s="4" t="s">
        <v>20</v>
      </c>
      <c r="B1059" s="5" t="s">
        <v>1899</v>
      </c>
      <c r="C1059" s="4" t="s">
        <v>29</v>
      </c>
      <c r="D1059" s="4" t="s">
        <v>1415</v>
      </c>
      <c r="E1059" s="4" t="s">
        <v>1416</v>
      </c>
      <c r="F1059" s="6">
        <f>4</f>
        <v>4</v>
      </c>
      <c r="G1059" s="4" t="s">
        <v>46</v>
      </c>
      <c r="H1059" s="7">
        <v>184.51</v>
      </c>
      <c r="I1059" s="7">
        <v>184.51</v>
      </c>
      <c r="J1059" s="8" t="s">
        <v>122</v>
      </c>
      <c r="K1059" s="9">
        <f>219.66</f>
        <v>219.66</v>
      </c>
      <c r="L1059" s="9">
        <f>878.64</f>
        <v>878.64</v>
      </c>
      <c r="M1059" s="4"/>
      <c r="N1059" s="10">
        <v>1</v>
      </c>
      <c r="O1059" s="4" t="s">
        <v>27</v>
      </c>
      <c r="P1059" s="11">
        <v>4</v>
      </c>
      <c r="Q1059" s="9">
        <f>878.64</f>
        <v>878.64</v>
      </c>
    </row>
    <row r="1060" spans="1:17" ht="45" customHeight="1" x14ac:dyDescent="0.25">
      <c r="A1060" s="4" t="s">
        <v>20</v>
      </c>
      <c r="B1060" s="5" t="s">
        <v>1900</v>
      </c>
      <c r="C1060" s="4" t="s">
        <v>29</v>
      </c>
      <c r="D1060" s="4" t="s">
        <v>1901</v>
      </c>
      <c r="E1060" s="4" t="s">
        <v>1902</v>
      </c>
      <c r="F1060" s="6">
        <f>1</f>
        <v>1</v>
      </c>
      <c r="G1060" s="4" t="s">
        <v>46</v>
      </c>
      <c r="H1060" s="7">
        <v>406.91</v>
      </c>
      <c r="I1060" s="7">
        <v>406.91</v>
      </c>
      <c r="J1060" s="8" t="s">
        <v>122</v>
      </c>
      <c r="K1060" s="9">
        <f>484.43</f>
        <v>484.43</v>
      </c>
      <c r="L1060" s="9">
        <f>484.43</f>
        <v>484.43</v>
      </c>
      <c r="M1060" s="4"/>
      <c r="N1060" s="10">
        <v>1</v>
      </c>
      <c r="O1060" s="4" t="s">
        <v>27</v>
      </c>
      <c r="P1060" s="11">
        <v>1</v>
      </c>
      <c r="Q1060" s="9">
        <f>484.43</f>
        <v>484.43</v>
      </c>
    </row>
    <row r="1061" spans="1:17" ht="45" customHeight="1" x14ac:dyDescent="0.25">
      <c r="A1061" s="4" t="s">
        <v>20</v>
      </c>
      <c r="B1061" s="5" t="s">
        <v>1903</v>
      </c>
      <c r="C1061" s="4" t="s">
        <v>29</v>
      </c>
      <c r="D1061" s="4" t="s">
        <v>1904</v>
      </c>
      <c r="E1061" s="4" t="s">
        <v>1905</v>
      </c>
      <c r="F1061" s="6">
        <f>1</f>
        <v>1</v>
      </c>
      <c r="G1061" s="4" t="s">
        <v>46</v>
      </c>
      <c r="H1061" s="7">
        <v>243.88</v>
      </c>
      <c r="I1061" s="7">
        <v>243.88</v>
      </c>
      <c r="J1061" s="8" t="s">
        <v>122</v>
      </c>
      <c r="K1061" s="9">
        <f>290.34</f>
        <v>290.33999999999997</v>
      </c>
      <c r="L1061" s="9">
        <f>290.34</f>
        <v>290.33999999999997</v>
      </c>
      <c r="M1061" s="4"/>
      <c r="N1061" s="10">
        <v>1</v>
      </c>
      <c r="O1061" s="4" t="s">
        <v>27</v>
      </c>
      <c r="P1061" s="11">
        <v>1</v>
      </c>
      <c r="Q1061" s="9">
        <f>290.34</f>
        <v>290.33999999999997</v>
      </c>
    </row>
    <row r="1062" spans="1:17" ht="45" customHeight="1" x14ac:dyDescent="0.25">
      <c r="A1062" s="4" t="s">
        <v>20</v>
      </c>
      <c r="B1062" s="5" t="s">
        <v>1906</v>
      </c>
      <c r="C1062" s="4" t="s">
        <v>29</v>
      </c>
      <c r="D1062" s="4" t="s">
        <v>120</v>
      </c>
      <c r="E1062" s="4" t="s">
        <v>121</v>
      </c>
      <c r="F1062" s="6">
        <f>2</f>
        <v>2</v>
      </c>
      <c r="G1062" s="4" t="s">
        <v>46</v>
      </c>
      <c r="H1062" s="7">
        <v>3.34</v>
      </c>
      <c r="I1062" s="7">
        <v>3.34</v>
      </c>
      <c r="J1062" s="8" t="s">
        <v>122</v>
      </c>
      <c r="K1062" s="9">
        <f>3.98</f>
        <v>3.98</v>
      </c>
      <c r="L1062" s="9">
        <f>7.96</f>
        <v>7.96</v>
      </c>
      <c r="M1062" s="4"/>
      <c r="N1062" s="10">
        <v>1</v>
      </c>
      <c r="O1062" s="4" t="s">
        <v>27</v>
      </c>
      <c r="P1062" s="11">
        <v>2</v>
      </c>
      <c r="Q1062" s="9">
        <f>7.96</f>
        <v>7.96</v>
      </c>
    </row>
    <row r="1063" spans="1:17" ht="45" customHeight="1" x14ac:dyDescent="0.25">
      <c r="A1063" s="4" t="s">
        <v>20</v>
      </c>
      <c r="B1063" s="5" t="s">
        <v>1907</v>
      </c>
      <c r="C1063" s="4" t="s">
        <v>29</v>
      </c>
      <c r="D1063" s="4" t="s">
        <v>154</v>
      </c>
      <c r="E1063" s="4" t="s">
        <v>155</v>
      </c>
      <c r="F1063" s="6">
        <f>16</f>
        <v>16</v>
      </c>
      <c r="G1063" s="4" t="s">
        <v>46</v>
      </c>
      <c r="H1063" s="7">
        <v>3.77</v>
      </c>
      <c r="I1063" s="7">
        <v>3.77</v>
      </c>
      <c r="J1063" s="8" t="s">
        <v>122</v>
      </c>
      <c r="K1063" s="9">
        <f>4.49</f>
        <v>4.49</v>
      </c>
      <c r="L1063" s="9">
        <f>71.84</f>
        <v>71.84</v>
      </c>
      <c r="M1063" s="4"/>
      <c r="N1063" s="10">
        <v>1</v>
      </c>
      <c r="O1063" s="4" t="s">
        <v>27</v>
      </c>
      <c r="P1063" s="11">
        <v>16</v>
      </c>
      <c r="Q1063" s="9">
        <f>71.84</f>
        <v>71.84</v>
      </c>
    </row>
    <row r="1064" spans="1:17" ht="45" customHeight="1" x14ac:dyDescent="0.25">
      <c r="A1064" s="4" t="s">
        <v>17</v>
      </c>
      <c r="B1064" s="5" t="s">
        <v>1059</v>
      </c>
      <c r="C1064" s="4"/>
      <c r="D1064" s="4"/>
      <c r="E1064" s="4" t="s">
        <v>1908</v>
      </c>
      <c r="F1064" s="6"/>
      <c r="G1064" s="4"/>
      <c r="H1064" s="7"/>
      <c r="I1064" s="7"/>
      <c r="J1064" s="8"/>
      <c r="K1064" s="9"/>
      <c r="L1064" s="9">
        <f>444723.14</f>
        <v>444723.14</v>
      </c>
      <c r="M1064" s="4"/>
      <c r="N1064" s="10"/>
      <c r="O1064" s="4"/>
      <c r="P1064" s="11"/>
      <c r="Q1064" s="9"/>
    </row>
    <row r="1065" spans="1:17" ht="45" customHeight="1" x14ac:dyDescent="0.25">
      <c r="A1065" s="4" t="s">
        <v>20</v>
      </c>
      <c r="B1065" s="5" t="s">
        <v>1909</v>
      </c>
      <c r="C1065" s="4" t="s">
        <v>29</v>
      </c>
      <c r="D1065" s="4" t="s">
        <v>60</v>
      </c>
      <c r="E1065" s="4" t="s">
        <v>61</v>
      </c>
      <c r="F1065" s="6">
        <f>50</f>
        <v>50</v>
      </c>
      <c r="G1065" s="4" t="s">
        <v>25</v>
      </c>
      <c r="H1065" s="7">
        <v>5.8</v>
      </c>
      <c r="I1065" s="7">
        <v>5.8</v>
      </c>
      <c r="J1065" s="8" t="s">
        <v>26</v>
      </c>
      <c r="K1065" s="9">
        <f>7.29</f>
        <v>7.29</v>
      </c>
      <c r="L1065" s="9">
        <f>364.5</f>
        <v>364.5</v>
      </c>
      <c r="M1065" s="4"/>
      <c r="N1065" s="10">
        <v>1</v>
      </c>
      <c r="O1065" s="4" t="s">
        <v>27</v>
      </c>
      <c r="P1065" s="11">
        <v>50</v>
      </c>
      <c r="Q1065" s="9">
        <f>364.5</f>
        <v>364.5</v>
      </c>
    </row>
    <row r="1066" spans="1:17" ht="45" customHeight="1" x14ac:dyDescent="0.25">
      <c r="A1066" s="4" t="s">
        <v>20</v>
      </c>
      <c r="B1066" s="5" t="s">
        <v>1910</v>
      </c>
      <c r="C1066" s="4" t="s">
        <v>63</v>
      </c>
      <c r="D1066" s="4" t="s">
        <v>316</v>
      </c>
      <c r="E1066" s="4" t="s">
        <v>317</v>
      </c>
      <c r="F1066" s="6">
        <f>5</f>
        <v>5</v>
      </c>
      <c r="G1066" s="4" t="s">
        <v>25</v>
      </c>
      <c r="H1066" s="7">
        <v>62.33</v>
      </c>
      <c r="I1066" s="7">
        <v>62.33</v>
      </c>
      <c r="J1066" s="8" t="s">
        <v>26</v>
      </c>
      <c r="K1066" s="9">
        <f>78.35</f>
        <v>78.349999999999994</v>
      </c>
      <c r="L1066" s="9">
        <f>391.75</f>
        <v>391.75</v>
      </c>
      <c r="M1066" s="4"/>
      <c r="N1066" s="10">
        <v>1</v>
      </c>
      <c r="O1066" s="4" t="s">
        <v>27</v>
      </c>
      <c r="P1066" s="11">
        <v>5</v>
      </c>
      <c r="Q1066" s="9">
        <f>391.75</f>
        <v>391.75</v>
      </c>
    </row>
    <row r="1067" spans="1:17" ht="45" customHeight="1" x14ac:dyDescent="0.25">
      <c r="A1067" s="4" t="s">
        <v>20</v>
      </c>
      <c r="B1067" s="5" t="s">
        <v>1911</v>
      </c>
      <c r="C1067" s="4" t="s">
        <v>63</v>
      </c>
      <c r="D1067" s="4" t="s">
        <v>520</v>
      </c>
      <c r="E1067" s="4" t="s">
        <v>521</v>
      </c>
      <c r="F1067" s="6">
        <f>8</f>
        <v>8</v>
      </c>
      <c r="G1067" s="4" t="s">
        <v>25</v>
      </c>
      <c r="H1067" s="7">
        <v>93.84</v>
      </c>
      <c r="I1067" s="7">
        <v>93.84</v>
      </c>
      <c r="J1067" s="8" t="s">
        <v>26</v>
      </c>
      <c r="K1067" s="9">
        <f>117.96</f>
        <v>117.96</v>
      </c>
      <c r="L1067" s="9">
        <f>943.68</f>
        <v>943.68</v>
      </c>
      <c r="M1067" s="4"/>
      <c r="N1067" s="10">
        <v>1</v>
      </c>
      <c r="O1067" s="4" t="s">
        <v>27</v>
      </c>
      <c r="P1067" s="11">
        <v>8</v>
      </c>
      <c r="Q1067" s="9">
        <f>943.68</f>
        <v>943.68</v>
      </c>
    </row>
    <row r="1068" spans="1:17" ht="45" customHeight="1" x14ac:dyDescent="0.25">
      <c r="A1068" s="4" t="s">
        <v>20</v>
      </c>
      <c r="B1068" s="5" t="s">
        <v>1912</v>
      </c>
      <c r="C1068" s="4" t="s">
        <v>63</v>
      </c>
      <c r="D1068" s="4" t="s">
        <v>319</v>
      </c>
      <c r="E1068" s="4" t="s">
        <v>320</v>
      </c>
      <c r="F1068" s="6">
        <f>7.5</f>
        <v>7.5</v>
      </c>
      <c r="G1068" s="4" t="s">
        <v>25</v>
      </c>
      <c r="H1068" s="7">
        <v>5.09</v>
      </c>
      <c r="I1068" s="7">
        <v>5.09</v>
      </c>
      <c r="J1068" s="8" t="s">
        <v>26</v>
      </c>
      <c r="K1068" s="9">
        <f>6.4</f>
        <v>6.4</v>
      </c>
      <c r="L1068" s="9">
        <f>48</f>
        <v>48</v>
      </c>
      <c r="M1068" s="4"/>
      <c r="N1068" s="10">
        <v>1</v>
      </c>
      <c r="O1068" s="4" t="s">
        <v>27</v>
      </c>
      <c r="P1068" s="11">
        <v>7.5</v>
      </c>
      <c r="Q1068" s="9">
        <f>48</f>
        <v>48</v>
      </c>
    </row>
    <row r="1069" spans="1:17" ht="45" customHeight="1" x14ac:dyDescent="0.25">
      <c r="A1069" s="4" t="s">
        <v>20</v>
      </c>
      <c r="B1069" s="5" t="s">
        <v>1913</v>
      </c>
      <c r="C1069" s="4" t="s">
        <v>63</v>
      </c>
      <c r="D1069" s="4" t="s">
        <v>328</v>
      </c>
      <c r="E1069" s="4" t="s">
        <v>329</v>
      </c>
      <c r="F1069" s="6">
        <f>7.5</f>
        <v>7.5</v>
      </c>
      <c r="G1069" s="4" t="s">
        <v>25</v>
      </c>
      <c r="H1069" s="7">
        <v>11.95</v>
      </c>
      <c r="I1069" s="7">
        <v>11.95</v>
      </c>
      <c r="J1069" s="8" t="s">
        <v>26</v>
      </c>
      <c r="K1069" s="9">
        <f>15.02</f>
        <v>15.02</v>
      </c>
      <c r="L1069" s="9">
        <f>112.65</f>
        <v>112.65</v>
      </c>
      <c r="M1069" s="4"/>
      <c r="N1069" s="10">
        <v>1</v>
      </c>
      <c r="O1069" s="4" t="s">
        <v>27</v>
      </c>
      <c r="P1069" s="11">
        <v>7.5</v>
      </c>
      <c r="Q1069" s="9">
        <f>112.65</f>
        <v>112.65</v>
      </c>
    </row>
    <row r="1070" spans="1:17" ht="45" customHeight="1" x14ac:dyDescent="0.25">
      <c r="A1070" s="4" t="s">
        <v>20</v>
      </c>
      <c r="B1070" s="5" t="s">
        <v>1914</v>
      </c>
      <c r="C1070" s="4" t="s">
        <v>63</v>
      </c>
      <c r="D1070" s="4" t="s">
        <v>210</v>
      </c>
      <c r="E1070" s="4" t="s">
        <v>211</v>
      </c>
      <c r="F1070" s="6">
        <f>50.5</f>
        <v>50.5</v>
      </c>
      <c r="G1070" s="4" t="s">
        <v>75</v>
      </c>
      <c r="H1070" s="7">
        <v>82.75</v>
      </c>
      <c r="I1070" s="7">
        <v>82.75</v>
      </c>
      <c r="J1070" s="8" t="s">
        <v>26</v>
      </c>
      <c r="K1070" s="9">
        <f>104.02</f>
        <v>104.02</v>
      </c>
      <c r="L1070" s="9">
        <f>5253.01</f>
        <v>5253.01</v>
      </c>
      <c r="M1070" s="4"/>
      <c r="N1070" s="10">
        <v>1</v>
      </c>
      <c r="O1070" s="4" t="s">
        <v>27</v>
      </c>
      <c r="P1070" s="11">
        <v>50.5</v>
      </c>
      <c r="Q1070" s="9">
        <f>5253.01</f>
        <v>5253.01</v>
      </c>
    </row>
    <row r="1071" spans="1:17" ht="45" customHeight="1" x14ac:dyDescent="0.25">
      <c r="A1071" s="4" t="s">
        <v>20</v>
      </c>
      <c r="B1071" s="5" t="s">
        <v>1915</v>
      </c>
      <c r="C1071" s="4" t="s">
        <v>63</v>
      </c>
      <c r="D1071" s="4" t="s">
        <v>114</v>
      </c>
      <c r="E1071" s="4" t="s">
        <v>115</v>
      </c>
      <c r="F1071" s="6">
        <f>65.5</f>
        <v>65.5</v>
      </c>
      <c r="G1071" s="4" t="s">
        <v>75</v>
      </c>
      <c r="H1071" s="7">
        <v>1.45</v>
      </c>
      <c r="I1071" s="7">
        <v>1.45</v>
      </c>
      <c r="J1071" s="8" t="s">
        <v>26</v>
      </c>
      <c r="K1071" s="9">
        <f>1.82</f>
        <v>1.82</v>
      </c>
      <c r="L1071" s="9">
        <f>119.21</f>
        <v>119.21</v>
      </c>
      <c r="M1071" s="4"/>
      <c r="N1071" s="10">
        <v>1</v>
      </c>
      <c r="O1071" s="4" t="s">
        <v>27</v>
      </c>
      <c r="P1071" s="11">
        <v>65.5</v>
      </c>
      <c r="Q1071" s="9">
        <f>119.21</f>
        <v>119.21</v>
      </c>
    </row>
    <row r="1072" spans="1:17" ht="45" customHeight="1" x14ac:dyDescent="0.25">
      <c r="A1072" s="4" t="s">
        <v>20</v>
      </c>
      <c r="B1072" s="5" t="s">
        <v>1916</v>
      </c>
      <c r="C1072" s="4" t="s">
        <v>63</v>
      </c>
      <c r="D1072" s="4" t="s">
        <v>107</v>
      </c>
      <c r="E1072" s="4" t="s">
        <v>108</v>
      </c>
      <c r="F1072" s="6">
        <f>65.5</f>
        <v>65.5</v>
      </c>
      <c r="G1072" s="4" t="s">
        <v>75</v>
      </c>
      <c r="H1072" s="7">
        <v>8.64</v>
      </c>
      <c r="I1072" s="7">
        <v>8.64</v>
      </c>
      <c r="J1072" s="8" t="s">
        <v>26</v>
      </c>
      <c r="K1072" s="9">
        <f>10.86</f>
        <v>10.86</v>
      </c>
      <c r="L1072" s="9">
        <f>711.33</f>
        <v>711.33</v>
      </c>
      <c r="M1072" s="4"/>
      <c r="N1072" s="10">
        <v>1</v>
      </c>
      <c r="O1072" s="4" t="s">
        <v>27</v>
      </c>
      <c r="P1072" s="11">
        <v>65.5</v>
      </c>
      <c r="Q1072" s="9">
        <f>711.33</f>
        <v>711.33</v>
      </c>
    </row>
    <row r="1073" spans="1:17" ht="45" customHeight="1" x14ac:dyDescent="0.25">
      <c r="A1073" s="4" t="s">
        <v>20</v>
      </c>
      <c r="B1073" s="5" t="s">
        <v>1917</v>
      </c>
      <c r="C1073" s="4" t="s">
        <v>63</v>
      </c>
      <c r="D1073" s="4" t="s">
        <v>110</v>
      </c>
      <c r="E1073" s="4" t="s">
        <v>111</v>
      </c>
      <c r="F1073" s="6">
        <f>262</f>
        <v>262</v>
      </c>
      <c r="G1073" s="4" t="s">
        <v>112</v>
      </c>
      <c r="H1073" s="7">
        <v>3.31</v>
      </c>
      <c r="I1073" s="7">
        <v>3.31</v>
      </c>
      <c r="J1073" s="8" t="s">
        <v>26</v>
      </c>
      <c r="K1073" s="9">
        <f>4.16</f>
        <v>4.16</v>
      </c>
      <c r="L1073" s="9">
        <f>1089.92</f>
        <v>1089.92</v>
      </c>
      <c r="M1073" s="4"/>
      <c r="N1073" s="10">
        <v>1</v>
      </c>
      <c r="O1073" s="4" t="s">
        <v>27</v>
      </c>
      <c r="P1073" s="11">
        <v>262</v>
      </c>
      <c r="Q1073" s="9">
        <f>1089.92</f>
        <v>1089.92</v>
      </c>
    </row>
    <row r="1074" spans="1:17" ht="45" customHeight="1" x14ac:dyDescent="0.25">
      <c r="A1074" s="4" t="s">
        <v>20</v>
      </c>
      <c r="B1074" s="5" t="s">
        <v>1918</v>
      </c>
      <c r="C1074" s="4" t="s">
        <v>29</v>
      </c>
      <c r="D1074" s="4" t="s">
        <v>1919</v>
      </c>
      <c r="E1074" s="4" t="s">
        <v>1920</v>
      </c>
      <c r="F1074" s="6">
        <f>40</f>
        <v>40</v>
      </c>
      <c r="G1074" s="4" t="s">
        <v>25</v>
      </c>
      <c r="H1074" s="7">
        <v>211.46</v>
      </c>
      <c r="I1074" s="7">
        <v>211.46</v>
      </c>
      <c r="J1074" s="8" t="s">
        <v>26</v>
      </c>
      <c r="K1074" s="9">
        <f>265.81</f>
        <v>265.81</v>
      </c>
      <c r="L1074" s="9">
        <f>10632.4</f>
        <v>10632.4</v>
      </c>
      <c r="M1074" s="4"/>
      <c r="N1074" s="10">
        <v>1</v>
      </c>
      <c r="O1074" s="4" t="s">
        <v>27</v>
      </c>
      <c r="P1074" s="11">
        <v>40</v>
      </c>
      <c r="Q1074" s="9">
        <f>10632.4</f>
        <v>10632.4</v>
      </c>
    </row>
    <row r="1075" spans="1:17" ht="45" customHeight="1" x14ac:dyDescent="0.25">
      <c r="A1075" s="4" t="s">
        <v>20</v>
      </c>
      <c r="B1075" s="5" t="s">
        <v>1921</v>
      </c>
      <c r="C1075" s="4" t="s">
        <v>29</v>
      </c>
      <c r="D1075" s="4" t="s">
        <v>1922</v>
      </c>
      <c r="E1075" s="4" t="s">
        <v>1923</v>
      </c>
      <c r="F1075" s="6">
        <f>1</f>
        <v>1</v>
      </c>
      <c r="G1075" s="4" t="s">
        <v>25</v>
      </c>
      <c r="H1075" s="7">
        <v>76.319999999999993</v>
      </c>
      <c r="I1075" s="7">
        <v>76.319999999999993</v>
      </c>
      <c r="J1075" s="8" t="s">
        <v>26</v>
      </c>
      <c r="K1075" s="9">
        <f>95.93</f>
        <v>95.93</v>
      </c>
      <c r="L1075" s="9">
        <f>95.93</f>
        <v>95.93</v>
      </c>
      <c r="M1075" s="4"/>
      <c r="N1075" s="10">
        <v>1</v>
      </c>
      <c r="O1075" s="4" t="s">
        <v>27</v>
      </c>
      <c r="P1075" s="11">
        <v>1</v>
      </c>
      <c r="Q1075" s="9">
        <f>95.93</f>
        <v>95.93</v>
      </c>
    </row>
    <row r="1076" spans="1:17" ht="45" customHeight="1" x14ac:dyDescent="0.25">
      <c r="A1076" s="4" t="s">
        <v>20</v>
      </c>
      <c r="B1076" s="5" t="s">
        <v>1924</v>
      </c>
      <c r="C1076" s="4" t="s">
        <v>29</v>
      </c>
      <c r="D1076" s="4" t="s">
        <v>1379</v>
      </c>
      <c r="E1076" s="4" t="s">
        <v>1380</v>
      </c>
      <c r="F1076" s="6">
        <f>1</f>
        <v>1</v>
      </c>
      <c r="G1076" s="4" t="s">
        <v>25</v>
      </c>
      <c r="H1076" s="7">
        <v>98.8</v>
      </c>
      <c r="I1076" s="7">
        <v>98.8</v>
      </c>
      <c r="J1076" s="8" t="s">
        <v>26</v>
      </c>
      <c r="K1076" s="9">
        <f>124.19</f>
        <v>124.19</v>
      </c>
      <c r="L1076" s="9">
        <f>124.19</f>
        <v>124.19</v>
      </c>
      <c r="M1076" s="4"/>
      <c r="N1076" s="10">
        <v>1</v>
      </c>
      <c r="O1076" s="4" t="s">
        <v>27</v>
      </c>
      <c r="P1076" s="11">
        <v>1</v>
      </c>
      <c r="Q1076" s="9">
        <f>124.19</f>
        <v>124.19</v>
      </c>
    </row>
    <row r="1077" spans="1:17" ht="45" customHeight="1" x14ac:dyDescent="0.25">
      <c r="A1077" s="4" t="s">
        <v>20</v>
      </c>
      <c r="B1077" s="5" t="s">
        <v>1925</v>
      </c>
      <c r="C1077" s="4" t="s">
        <v>29</v>
      </c>
      <c r="D1077" s="4" t="s">
        <v>361</v>
      </c>
      <c r="E1077" s="4" t="s">
        <v>362</v>
      </c>
      <c r="F1077" s="6">
        <f>42</f>
        <v>42</v>
      </c>
      <c r="G1077" s="4" t="s">
        <v>25</v>
      </c>
      <c r="H1077" s="7">
        <v>27.05</v>
      </c>
      <c r="I1077" s="7">
        <v>27.05</v>
      </c>
      <c r="J1077" s="8" t="s">
        <v>26</v>
      </c>
      <c r="K1077" s="9">
        <f>34</f>
        <v>34</v>
      </c>
      <c r="L1077" s="9">
        <f>1428</f>
        <v>1428</v>
      </c>
      <c r="M1077" s="4"/>
      <c r="N1077" s="10">
        <v>1</v>
      </c>
      <c r="O1077" s="4" t="s">
        <v>27</v>
      </c>
      <c r="P1077" s="11">
        <v>42</v>
      </c>
      <c r="Q1077" s="9">
        <f>1428</f>
        <v>1428</v>
      </c>
    </row>
    <row r="1078" spans="1:17" ht="45" customHeight="1" x14ac:dyDescent="0.25">
      <c r="A1078" s="4" t="s">
        <v>20</v>
      </c>
      <c r="B1078" s="5" t="s">
        <v>1926</v>
      </c>
      <c r="C1078" s="4" t="s">
        <v>63</v>
      </c>
      <c r="D1078" s="4" t="s">
        <v>369</v>
      </c>
      <c r="E1078" s="4" t="s">
        <v>370</v>
      </c>
      <c r="F1078" s="6">
        <f>3</f>
        <v>3</v>
      </c>
      <c r="G1078" s="4" t="s">
        <v>75</v>
      </c>
      <c r="H1078" s="7">
        <v>514.52</v>
      </c>
      <c r="I1078" s="7">
        <v>514.52</v>
      </c>
      <c r="J1078" s="8" t="s">
        <v>26</v>
      </c>
      <c r="K1078" s="9">
        <f>646.75</f>
        <v>646.75</v>
      </c>
      <c r="L1078" s="9">
        <f>1940.25</f>
        <v>1940.25</v>
      </c>
      <c r="M1078" s="4"/>
      <c r="N1078" s="10">
        <v>1</v>
      </c>
      <c r="O1078" s="4" t="s">
        <v>27</v>
      </c>
      <c r="P1078" s="11">
        <v>3</v>
      </c>
      <c r="Q1078" s="9">
        <f>1940.25</f>
        <v>1940.25</v>
      </c>
    </row>
    <row r="1079" spans="1:17" ht="45" customHeight="1" x14ac:dyDescent="0.25">
      <c r="A1079" s="4" t="s">
        <v>20</v>
      </c>
      <c r="B1079" s="5" t="s">
        <v>1927</v>
      </c>
      <c r="C1079" s="4" t="s">
        <v>29</v>
      </c>
      <c r="D1079" s="4" t="s">
        <v>364</v>
      </c>
      <c r="E1079" s="4" t="s">
        <v>365</v>
      </c>
      <c r="F1079" s="6">
        <f>21</f>
        <v>21</v>
      </c>
      <c r="G1079" s="4" t="s">
        <v>75</v>
      </c>
      <c r="H1079" s="7">
        <v>706.98</v>
      </c>
      <c r="I1079" s="7">
        <v>706.98</v>
      </c>
      <c r="J1079" s="8" t="s">
        <v>26</v>
      </c>
      <c r="K1079" s="9">
        <f>888.67</f>
        <v>888.67</v>
      </c>
      <c r="L1079" s="9">
        <f>18662.07</f>
        <v>18662.07</v>
      </c>
      <c r="M1079" s="4"/>
      <c r="N1079" s="10">
        <v>1</v>
      </c>
      <c r="O1079" s="4" t="s">
        <v>27</v>
      </c>
      <c r="P1079" s="11">
        <v>21</v>
      </c>
      <c r="Q1079" s="9">
        <f>18662.07</f>
        <v>18662.07</v>
      </c>
    </row>
    <row r="1080" spans="1:17" ht="45" customHeight="1" x14ac:dyDescent="0.25">
      <c r="A1080" s="4" t="s">
        <v>20</v>
      </c>
      <c r="B1080" s="5" t="s">
        <v>1928</v>
      </c>
      <c r="C1080" s="4" t="s">
        <v>29</v>
      </c>
      <c r="D1080" s="4" t="s">
        <v>77</v>
      </c>
      <c r="E1080" s="4" t="s">
        <v>78</v>
      </c>
      <c r="F1080" s="6">
        <f>2433</f>
        <v>2433</v>
      </c>
      <c r="G1080" s="4" t="s">
        <v>79</v>
      </c>
      <c r="H1080" s="7">
        <v>13.28</v>
      </c>
      <c r="I1080" s="7">
        <v>13.28</v>
      </c>
      <c r="J1080" s="8" t="s">
        <v>26</v>
      </c>
      <c r="K1080" s="9">
        <f>16.69</f>
        <v>16.690000000000001</v>
      </c>
      <c r="L1080" s="9">
        <f>40606.77</f>
        <v>40606.769999999997</v>
      </c>
      <c r="M1080" s="4"/>
      <c r="N1080" s="10">
        <v>1</v>
      </c>
      <c r="O1080" s="4" t="s">
        <v>27</v>
      </c>
      <c r="P1080" s="11">
        <v>2433</v>
      </c>
      <c r="Q1080" s="9">
        <f>40606.77</f>
        <v>40606.769999999997</v>
      </c>
    </row>
    <row r="1081" spans="1:17" ht="45" customHeight="1" x14ac:dyDescent="0.25">
      <c r="A1081" s="4" t="s">
        <v>20</v>
      </c>
      <c r="B1081" s="5" t="s">
        <v>1929</v>
      </c>
      <c r="C1081" s="4" t="s">
        <v>29</v>
      </c>
      <c r="D1081" s="4" t="s">
        <v>87</v>
      </c>
      <c r="E1081" s="4" t="s">
        <v>88</v>
      </c>
      <c r="F1081" s="6">
        <f>816.35</f>
        <v>816.35</v>
      </c>
      <c r="G1081" s="4" t="s">
        <v>79</v>
      </c>
      <c r="H1081" s="7">
        <v>4.54</v>
      </c>
      <c r="I1081" s="7">
        <v>4.54</v>
      </c>
      <c r="J1081" s="8" t="s">
        <v>26</v>
      </c>
      <c r="K1081" s="9">
        <f>5.71</f>
        <v>5.71</v>
      </c>
      <c r="L1081" s="9">
        <f>4661.36</f>
        <v>4661.3599999999997</v>
      </c>
      <c r="M1081" s="4"/>
      <c r="N1081" s="10">
        <v>1</v>
      </c>
      <c r="O1081" s="4" t="s">
        <v>27</v>
      </c>
      <c r="P1081" s="11">
        <v>816.35</v>
      </c>
      <c r="Q1081" s="9">
        <f>4661.36</f>
        <v>4661.3599999999997</v>
      </c>
    </row>
    <row r="1082" spans="1:17" ht="45" customHeight="1" x14ac:dyDescent="0.25">
      <c r="A1082" s="4" t="s">
        <v>20</v>
      </c>
      <c r="B1082" s="5" t="s">
        <v>1930</v>
      </c>
      <c r="C1082" s="4" t="s">
        <v>29</v>
      </c>
      <c r="D1082" s="4" t="s">
        <v>386</v>
      </c>
      <c r="E1082" s="4" t="s">
        <v>387</v>
      </c>
      <c r="F1082" s="6">
        <f>4</f>
        <v>4</v>
      </c>
      <c r="G1082" s="4" t="s">
        <v>25</v>
      </c>
      <c r="H1082" s="7">
        <v>29.4</v>
      </c>
      <c r="I1082" s="7">
        <v>29.4</v>
      </c>
      <c r="J1082" s="8" t="s">
        <v>26</v>
      </c>
      <c r="K1082" s="9">
        <f>36.96</f>
        <v>36.96</v>
      </c>
      <c r="L1082" s="9">
        <f>147.84</f>
        <v>147.84</v>
      </c>
      <c r="M1082" s="4"/>
      <c r="N1082" s="10">
        <v>1</v>
      </c>
      <c r="O1082" s="4" t="s">
        <v>27</v>
      </c>
      <c r="P1082" s="11">
        <v>4</v>
      </c>
      <c r="Q1082" s="9">
        <f>147.84</f>
        <v>147.84</v>
      </c>
    </row>
    <row r="1083" spans="1:17" ht="45" customHeight="1" x14ac:dyDescent="0.25">
      <c r="A1083" s="4" t="s">
        <v>20</v>
      </c>
      <c r="B1083" s="5" t="s">
        <v>1931</v>
      </c>
      <c r="C1083" s="4" t="s">
        <v>22</v>
      </c>
      <c r="D1083" s="4" t="s">
        <v>1622</v>
      </c>
      <c r="E1083" s="4" t="s">
        <v>1932</v>
      </c>
      <c r="F1083" s="6">
        <f>2</f>
        <v>2</v>
      </c>
      <c r="G1083" s="4" t="s">
        <v>46</v>
      </c>
      <c r="H1083" s="7">
        <v>187.74</v>
      </c>
      <c r="I1083" s="7">
        <v>187.74</v>
      </c>
      <c r="J1083" s="8" t="s">
        <v>26</v>
      </c>
      <c r="K1083" s="9">
        <f>235.99</f>
        <v>235.99</v>
      </c>
      <c r="L1083" s="9">
        <f>471.98</f>
        <v>471.98</v>
      </c>
      <c r="M1083" s="4"/>
      <c r="N1083" s="10">
        <v>1</v>
      </c>
      <c r="O1083" s="4" t="s">
        <v>27</v>
      </c>
      <c r="P1083" s="11">
        <v>2</v>
      </c>
      <c r="Q1083" s="9">
        <f>471.98</f>
        <v>471.98</v>
      </c>
    </row>
    <row r="1084" spans="1:17" ht="45" customHeight="1" x14ac:dyDescent="0.25">
      <c r="A1084" s="4" t="s">
        <v>20</v>
      </c>
      <c r="B1084" s="5" t="s">
        <v>1933</v>
      </c>
      <c r="C1084" s="4" t="s">
        <v>22</v>
      </c>
      <c r="D1084" s="4" t="s">
        <v>1800</v>
      </c>
      <c r="E1084" s="4" t="s">
        <v>1934</v>
      </c>
      <c r="F1084" s="6">
        <f>3</f>
        <v>3</v>
      </c>
      <c r="G1084" s="4" t="s">
        <v>46</v>
      </c>
      <c r="H1084" s="7">
        <v>175.32</v>
      </c>
      <c r="I1084" s="7">
        <v>175.32</v>
      </c>
      <c r="J1084" s="8" t="s">
        <v>26</v>
      </c>
      <c r="K1084" s="9">
        <f>220.38</f>
        <v>220.38</v>
      </c>
      <c r="L1084" s="9">
        <f>661.14</f>
        <v>661.14</v>
      </c>
      <c r="M1084" s="4"/>
      <c r="N1084" s="10">
        <v>1</v>
      </c>
      <c r="O1084" s="4" t="s">
        <v>27</v>
      </c>
      <c r="P1084" s="11">
        <v>3</v>
      </c>
      <c r="Q1084" s="9">
        <f>661.14</f>
        <v>661.14</v>
      </c>
    </row>
    <row r="1085" spans="1:17" ht="45" customHeight="1" x14ac:dyDescent="0.25">
      <c r="A1085" s="4" t="s">
        <v>20</v>
      </c>
      <c r="B1085" s="5" t="s">
        <v>1935</v>
      </c>
      <c r="C1085" s="4" t="s">
        <v>29</v>
      </c>
      <c r="D1085" s="4" t="s">
        <v>337</v>
      </c>
      <c r="E1085" s="4" t="s">
        <v>338</v>
      </c>
      <c r="F1085" s="6">
        <f>2.2</f>
        <v>2.2000000000000002</v>
      </c>
      <c r="G1085" s="4" t="s">
        <v>25</v>
      </c>
      <c r="H1085" s="7">
        <v>403.69</v>
      </c>
      <c r="I1085" s="7">
        <v>403.69</v>
      </c>
      <c r="J1085" s="8" t="s">
        <v>26</v>
      </c>
      <c r="K1085" s="9">
        <f>507.44</f>
        <v>507.44</v>
      </c>
      <c r="L1085" s="9">
        <f>1116.37</f>
        <v>1116.3699999999999</v>
      </c>
      <c r="M1085" s="4"/>
      <c r="N1085" s="10">
        <v>1</v>
      </c>
      <c r="O1085" s="4" t="s">
        <v>27</v>
      </c>
      <c r="P1085" s="11">
        <v>2.2000000000000002</v>
      </c>
      <c r="Q1085" s="9">
        <f>1116.37</f>
        <v>1116.3699999999999</v>
      </c>
    </row>
    <row r="1086" spans="1:17" ht="45" customHeight="1" x14ac:dyDescent="0.25">
      <c r="A1086" s="4" t="s">
        <v>20</v>
      </c>
      <c r="B1086" s="5" t="s">
        <v>1936</v>
      </c>
      <c r="C1086" s="4" t="s">
        <v>29</v>
      </c>
      <c r="D1086" s="4" t="s">
        <v>396</v>
      </c>
      <c r="E1086" s="4" t="s">
        <v>397</v>
      </c>
      <c r="F1086" s="6">
        <f>4</f>
        <v>4</v>
      </c>
      <c r="G1086" s="4" t="s">
        <v>46</v>
      </c>
      <c r="H1086" s="7">
        <v>5.33</v>
      </c>
      <c r="I1086" s="7">
        <v>5.33</v>
      </c>
      <c r="J1086" s="8" t="s">
        <v>122</v>
      </c>
      <c r="K1086" s="9">
        <f>6.35</f>
        <v>6.35</v>
      </c>
      <c r="L1086" s="9">
        <f>25.4</f>
        <v>25.4</v>
      </c>
      <c r="M1086" s="4"/>
      <c r="N1086" s="10">
        <v>1</v>
      </c>
      <c r="O1086" s="4" t="s">
        <v>27</v>
      </c>
      <c r="P1086" s="11">
        <v>4</v>
      </c>
      <c r="Q1086" s="9">
        <f>25.4</f>
        <v>25.4</v>
      </c>
    </row>
    <row r="1087" spans="1:17" ht="45" customHeight="1" x14ac:dyDescent="0.25">
      <c r="A1087" s="4" t="s">
        <v>20</v>
      </c>
      <c r="B1087" s="5" t="s">
        <v>1937</v>
      </c>
      <c r="C1087" s="4" t="s">
        <v>29</v>
      </c>
      <c r="D1087" s="4" t="s">
        <v>124</v>
      </c>
      <c r="E1087" s="4" t="s">
        <v>125</v>
      </c>
      <c r="F1087" s="6">
        <f>7</f>
        <v>7</v>
      </c>
      <c r="G1087" s="4" t="s">
        <v>46</v>
      </c>
      <c r="H1087" s="7">
        <v>6.27</v>
      </c>
      <c r="I1087" s="7">
        <v>6.27</v>
      </c>
      <c r="J1087" s="8" t="s">
        <v>122</v>
      </c>
      <c r="K1087" s="9">
        <f>7.46</f>
        <v>7.46</v>
      </c>
      <c r="L1087" s="9">
        <f>52.22</f>
        <v>52.22</v>
      </c>
      <c r="M1087" s="4"/>
      <c r="N1087" s="10">
        <v>1</v>
      </c>
      <c r="O1087" s="4" t="s">
        <v>27</v>
      </c>
      <c r="P1087" s="11">
        <v>7</v>
      </c>
      <c r="Q1087" s="9">
        <f>52.22</f>
        <v>52.22</v>
      </c>
    </row>
    <row r="1088" spans="1:17" ht="45" customHeight="1" x14ac:dyDescent="0.25">
      <c r="A1088" s="4" t="s">
        <v>20</v>
      </c>
      <c r="B1088" s="5" t="s">
        <v>1938</v>
      </c>
      <c r="C1088" s="4" t="s">
        <v>29</v>
      </c>
      <c r="D1088" s="4" t="s">
        <v>1074</v>
      </c>
      <c r="E1088" s="4" t="s">
        <v>1075</v>
      </c>
      <c r="F1088" s="6">
        <f>1</f>
        <v>1</v>
      </c>
      <c r="G1088" s="4" t="s">
        <v>46</v>
      </c>
      <c r="H1088" s="7">
        <v>382.72</v>
      </c>
      <c r="I1088" s="7">
        <v>382.72</v>
      </c>
      <c r="J1088" s="8" t="s">
        <v>122</v>
      </c>
      <c r="K1088" s="9">
        <f>455.63</f>
        <v>455.63</v>
      </c>
      <c r="L1088" s="9">
        <f>455.63</f>
        <v>455.63</v>
      </c>
      <c r="M1088" s="4"/>
      <c r="N1088" s="10">
        <v>1</v>
      </c>
      <c r="O1088" s="4" t="s">
        <v>27</v>
      </c>
      <c r="P1088" s="11">
        <v>1</v>
      </c>
      <c r="Q1088" s="9">
        <f>455.63</f>
        <v>455.63</v>
      </c>
    </row>
    <row r="1089" spans="1:17" ht="45" customHeight="1" x14ac:dyDescent="0.25">
      <c r="A1089" s="4" t="s">
        <v>20</v>
      </c>
      <c r="B1089" s="5" t="s">
        <v>1939</v>
      </c>
      <c r="C1089" s="4" t="s">
        <v>29</v>
      </c>
      <c r="D1089" s="4" t="s">
        <v>1078</v>
      </c>
      <c r="E1089" s="4" t="s">
        <v>1079</v>
      </c>
      <c r="F1089" s="6">
        <f>1</f>
        <v>1</v>
      </c>
      <c r="G1089" s="4" t="s">
        <v>46</v>
      </c>
      <c r="H1089" s="7">
        <v>353.1</v>
      </c>
      <c r="I1089" s="7">
        <v>353.1</v>
      </c>
      <c r="J1089" s="8" t="s">
        <v>122</v>
      </c>
      <c r="K1089" s="9">
        <f>420.37</f>
        <v>420.37</v>
      </c>
      <c r="L1089" s="9">
        <f>420.37</f>
        <v>420.37</v>
      </c>
      <c r="M1089" s="4"/>
      <c r="N1089" s="10">
        <v>1</v>
      </c>
      <c r="O1089" s="4" t="s">
        <v>27</v>
      </c>
      <c r="P1089" s="11">
        <v>1</v>
      </c>
      <c r="Q1089" s="9">
        <f>420.37</f>
        <v>420.37</v>
      </c>
    </row>
    <row r="1090" spans="1:17" ht="45" customHeight="1" x14ac:dyDescent="0.25">
      <c r="A1090" s="4" t="s">
        <v>20</v>
      </c>
      <c r="B1090" s="5" t="s">
        <v>1940</v>
      </c>
      <c r="C1090" s="4" t="s">
        <v>29</v>
      </c>
      <c r="D1090" s="4" t="s">
        <v>1941</v>
      </c>
      <c r="E1090" s="4" t="s">
        <v>1942</v>
      </c>
      <c r="F1090" s="6">
        <f>2</f>
        <v>2</v>
      </c>
      <c r="G1090" s="4" t="s">
        <v>46</v>
      </c>
      <c r="H1090" s="7">
        <v>762.43</v>
      </c>
      <c r="I1090" s="7">
        <v>762.43</v>
      </c>
      <c r="J1090" s="8" t="s">
        <v>122</v>
      </c>
      <c r="K1090" s="9">
        <f>907.67</f>
        <v>907.67</v>
      </c>
      <c r="L1090" s="9">
        <f>1815.34</f>
        <v>1815.34</v>
      </c>
      <c r="M1090" s="4"/>
      <c r="N1090" s="10">
        <v>1</v>
      </c>
      <c r="O1090" s="4" t="s">
        <v>27</v>
      </c>
      <c r="P1090" s="11">
        <v>2</v>
      </c>
      <c r="Q1090" s="9">
        <f>1815.34</f>
        <v>1815.34</v>
      </c>
    </row>
    <row r="1091" spans="1:17" ht="45" customHeight="1" x14ac:dyDescent="0.25">
      <c r="A1091" s="4" t="s">
        <v>20</v>
      </c>
      <c r="B1091" s="5" t="s">
        <v>1943</v>
      </c>
      <c r="C1091" s="4" t="s">
        <v>29</v>
      </c>
      <c r="D1091" s="4" t="s">
        <v>1941</v>
      </c>
      <c r="E1091" s="4" t="s">
        <v>1942</v>
      </c>
      <c r="F1091" s="6">
        <f>1</f>
        <v>1</v>
      </c>
      <c r="G1091" s="4" t="s">
        <v>46</v>
      </c>
      <c r="H1091" s="7">
        <v>762.43</v>
      </c>
      <c r="I1091" s="7">
        <v>762.43</v>
      </c>
      <c r="J1091" s="8" t="s">
        <v>122</v>
      </c>
      <c r="K1091" s="9">
        <f>907.67</f>
        <v>907.67</v>
      </c>
      <c r="L1091" s="9">
        <f>907.67</f>
        <v>907.67</v>
      </c>
      <c r="M1091" s="4"/>
      <c r="N1091" s="10">
        <v>1</v>
      </c>
      <c r="O1091" s="4" t="s">
        <v>27</v>
      </c>
      <c r="P1091" s="11">
        <v>1</v>
      </c>
      <c r="Q1091" s="9">
        <f>907.67</f>
        <v>907.67</v>
      </c>
    </row>
    <row r="1092" spans="1:17" ht="45" customHeight="1" x14ac:dyDescent="0.25">
      <c r="A1092" s="4" t="s">
        <v>20</v>
      </c>
      <c r="B1092" s="5" t="s">
        <v>1944</v>
      </c>
      <c r="C1092" s="4" t="s">
        <v>29</v>
      </c>
      <c r="D1092" s="4" t="s">
        <v>1945</v>
      </c>
      <c r="E1092" s="4" t="s">
        <v>1946</v>
      </c>
      <c r="F1092" s="6">
        <f>1</f>
        <v>1</v>
      </c>
      <c r="G1092" s="4" t="s">
        <v>46</v>
      </c>
      <c r="H1092" s="7">
        <v>454.75</v>
      </c>
      <c r="I1092" s="7">
        <v>454.75</v>
      </c>
      <c r="J1092" s="8" t="s">
        <v>122</v>
      </c>
      <c r="K1092" s="9">
        <f>541.38</f>
        <v>541.38</v>
      </c>
      <c r="L1092" s="9">
        <f>541.38</f>
        <v>541.38</v>
      </c>
      <c r="M1092" s="4"/>
      <c r="N1092" s="10">
        <v>1</v>
      </c>
      <c r="O1092" s="4" t="s">
        <v>27</v>
      </c>
      <c r="P1092" s="11">
        <v>1</v>
      </c>
      <c r="Q1092" s="9">
        <f>541.38</f>
        <v>541.38</v>
      </c>
    </row>
    <row r="1093" spans="1:17" ht="45" customHeight="1" x14ac:dyDescent="0.25">
      <c r="A1093" s="4" t="s">
        <v>20</v>
      </c>
      <c r="B1093" s="5" t="s">
        <v>1947</v>
      </c>
      <c r="C1093" s="4" t="s">
        <v>29</v>
      </c>
      <c r="D1093" s="4" t="s">
        <v>151</v>
      </c>
      <c r="E1093" s="4" t="s">
        <v>152</v>
      </c>
      <c r="F1093" s="6">
        <f>88</f>
        <v>88</v>
      </c>
      <c r="G1093" s="4" t="s">
        <v>46</v>
      </c>
      <c r="H1093" s="7">
        <v>9.17</v>
      </c>
      <c r="I1093" s="7">
        <v>9.17</v>
      </c>
      <c r="J1093" s="8" t="s">
        <v>122</v>
      </c>
      <c r="K1093" s="9">
        <f>10.92</f>
        <v>10.92</v>
      </c>
      <c r="L1093" s="9">
        <f>960.96</f>
        <v>960.96</v>
      </c>
      <c r="M1093" s="4"/>
      <c r="N1093" s="10">
        <v>1</v>
      </c>
      <c r="O1093" s="4" t="s">
        <v>27</v>
      </c>
      <c r="P1093" s="11">
        <v>88</v>
      </c>
      <c r="Q1093" s="9">
        <f>960.96</f>
        <v>960.96</v>
      </c>
    </row>
    <row r="1094" spans="1:17" ht="45" customHeight="1" x14ac:dyDescent="0.25">
      <c r="A1094" s="4" t="s">
        <v>20</v>
      </c>
      <c r="B1094" s="5" t="s">
        <v>1948</v>
      </c>
      <c r="C1094" s="4" t="s">
        <v>29</v>
      </c>
      <c r="D1094" s="4" t="s">
        <v>1949</v>
      </c>
      <c r="E1094" s="4" t="s">
        <v>1950</v>
      </c>
      <c r="F1094" s="6">
        <f>1</f>
        <v>1</v>
      </c>
      <c r="G1094" s="4" t="s">
        <v>46</v>
      </c>
      <c r="H1094" s="7">
        <v>2305.1999999999998</v>
      </c>
      <c r="I1094" s="7">
        <v>2305.1999999999998</v>
      </c>
      <c r="J1094" s="8" t="s">
        <v>122</v>
      </c>
      <c r="K1094" s="9">
        <f>2744.34</f>
        <v>2744.34</v>
      </c>
      <c r="L1094" s="9">
        <f>2744.34</f>
        <v>2744.34</v>
      </c>
      <c r="M1094" s="4"/>
      <c r="N1094" s="10">
        <v>1</v>
      </c>
      <c r="O1094" s="4" t="s">
        <v>27</v>
      </c>
      <c r="P1094" s="11">
        <v>1</v>
      </c>
      <c r="Q1094" s="9">
        <f>2744.34</f>
        <v>2744.34</v>
      </c>
    </row>
    <row r="1095" spans="1:17" ht="45" customHeight="1" x14ac:dyDescent="0.25">
      <c r="A1095" s="4" t="s">
        <v>20</v>
      </c>
      <c r="B1095" s="5" t="s">
        <v>1951</v>
      </c>
      <c r="C1095" s="4" t="s">
        <v>29</v>
      </c>
      <c r="D1095" s="4" t="s">
        <v>1952</v>
      </c>
      <c r="E1095" s="4" t="s">
        <v>1953</v>
      </c>
      <c r="F1095" s="6">
        <f>1</f>
        <v>1</v>
      </c>
      <c r="G1095" s="4" t="s">
        <v>46</v>
      </c>
      <c r="H1095" s="7">
        <v>1095.02</v>
      </c>
      <c r="I1095" s="7">
        <v>1095.02</v>
      </c>
      <c r="J1095" s="8" t="s">
        <v>122</v>
      </c>
      <c r="K1095" s="9">
        <f>1303.62</f>
        <v>1303.6199999999999</v>
      </c>
      <c r="L1095" s="9">
        <f>1303.62</f>
        <v>1303.6199999999999</v>
      </c>
      <c r="M1095" s="4"/>
      <c r="N1095" s="10">
        <v>1</v>
      </c>
      <c r="O1095" s="4" t="s">
        <v>27</v>
      </c>
      <c r="P1095" s="11">
        <v>1</v>
      </c>
      <c r="Q1095" s="9">
        <f>1303.62</f>
        <v>1303.6199999999999</v>
      </c>
    </row>
    <row r="1096" spans="1:17" ht="45" customHeight="1" x14ac:dyDescent="0.25">
      <c r="A1096" s="4" t="s">
        <v>20</v>
      </c>
      <c r="B1096" s="5" t="s">
        <v>1954</v>
      </c>
      <c r="C1096" s="4" t="s">
        <v>196</v>
      </c>
      <c r="D1096" s="4" t="s">
        <v>98</v>
      </c>
      <c r="E1096" s="4" t="s">
        <v>1955</v>
      </c>
      <c r="F1096" s="6">
        <f>1</f>
        <v>1</v>
      </c>
      <c r="G1096" s="4" t="s">
        <v>46</v>
      </c>
      <c r="H1096" s="7">
        <v>256000</v>
      </c>
      <c r="I1096" s="7">
        <v>256000</v>
      </c>
      <c r="J1096" s="8" t="s">
        <v>122</v>
      </c>
      <c r="K1096" s="9">
        <f>304768</f>
        <v>304768</v>
      </c>
      <c r="L1096" s="9">
        <f>304768</f>
        <v>304768</v>
      </c>
      <c r="M1096" s="4"/>
      <c r="N1096" s="10">
        <v>1</v>
      </c>
      <c r="O1096" s="4" t="s">
        <v>27</v>
      </c>
      <c r="P1096" s="11">
        <v>1</v>
      </c>
      <c r="Q1096" s="9">
        <f>304768</f>
        <v>304768</v>
      </c>
    </row>
    <row r="1097" spans="1:17" ht="45" customHeight="1" x14ac:dyDescent="0.25">
      <c r="A1097" s="4" t="s">
        <v>20</v>
      </c>
      <c r="B1097" s="5" t="s">
        <v>1956</v>
      </c>
      <c r="C1097" s="4" t="s">
        <v>29</v>
      </c>
      <c r="D1097" s="4" t="s">
        <v>1957</v>
      </c>
      <c r="E1097" s="4" t="s">
        <v>1958</v>
      </c>
      <c r="F1097" s="6">
        <f>1</f>
        <v>1</v>
      </c>
      <c r="G1097" s="4" t="s">
        <v>46</v>
      </c>
      <c r="H1097" s="7">
        <v>776.7</v>
      </c>
      <c r="I1097" s="7">
        <v>776.7</v>
      </c>
      <c r="J1097" s="8" t="s">
        <v>122</v>
      </c>
      <c r="K1097" s="9">
        <f>924.66</f>
        <v>924.66</v>
      </c>
      <c r="L1097" s="9">
        <f>924.66</f>
        <v>924.66</v>
      </c>
      <c r="M1097" s="4"/>
      <c r="N1097" s="10">
        <v>1</v>
      </c>
      <c r="O1097" s="4" t="s">
        <v>27</v>
      </c>
      <c r="P1097" s="11">
        <v>1</v>
      </c>
      <c r="Q1097" s="9">
        <f>924.66</f>
        <v>924.66</v>
      </c>
    </row>
    <row r="1098" spans="1:17" ht="45" customHeight="1" x14ac:dyDescent="0.25">
      <c r="A1098" s="4" t="s">
        <v>20</v>
      </c>
      <c r="B1098" s="5" t="s">
        <v>1959</v>
      </c>
      <c r="C1098" s="4" t="s">
        <v>29</v>
      </c>
      <c r="D1098" s="4" t="s">
        <v>1105</v>
      </c>
      <c r="E1098" s="4" t="s">
        <v>1106</v>
      </c>
      <c r="F1098" s="6">
        <f>1</f>
        <v>1</v>
      </c>
      <c r="G1098" s="4" t="s">
        <v>46</v>
      </c>
      <c r="H1098" s="7">
        <v>3598.68</v>
      </c>
      <c r="I1098" s="7">
        <v>3598.68</v>
      </c>
      <c r="J1098" s="8" t="s">
        <v>122</v>
      </c>
      <c r="K1098" s="9">
        <f>4284.23</f>
        <v>4284.2299999999996</v>
      </c>
      <c r="L1098" s="9">
        <f>4284.23</f>
        <v>4284.2299999999996</v>
      </c>
      <c r="M1098" s="4"/>
      <c r="N1098" s="10">
        <v>1</v>
      </c>
      <c r="O1098" s="4" t="s">
        <v>27</v>
      </c>
      <c r="P1098" s="11">
        <v>1</v>
      </c>
      <c r="Q1098" s="9">
        <f>4284.23</f>
        <v>4284.2299999999996</v>
      </c>
    </row>
    <row r="1099" spans="1:17" ht="45" customHeight="1" x14ac:dyDescent="0.25">
      <c r="A1099" s="4" t="s">
        <v>20</v>
      </c>
      <c r="B1099" s="5" t="s">
        <v>1960</v>
      </c>
      <c r="C1099" s="4" t="s">
        <v>29</v>
      </c>
      <c r="D1099" s="4" t="s">
        <v>1961</v>
      </c>
      <c r="E1099" s="4" t="s">
        <v>1962</v>
      </c>
      <c r="F1099" s="6">
        <f>1</f>
        <v>1</v>
      </c>
      <c r="G1099" s="4" t="s">
        <v>46</v>
      </c>
      <c r="H1099" s="7">
        <v>1621.47</v>
      </c>
      <c r="I1099" s="7">
        <v>1621.47</v>
      </c>
      <c r="J1099" s="8" t="s">
        <v>122</v>
      </c>
      <c r="K1099" s="9">
        <f>1930.36</f>
        <v>1930.36</v>
      </c>
      <c r="L1099" s="9">
        <f>1930.36</f>
        <v>1930.36</v>
      </c>
      <c r="M1099" s="4"/>
      <c r="N1099" s="10">
        <v>1</v>
      </c>
      <c r="O1099" s="4" t="s">
        <v>27</v>
      </c>
      <c r="P1099" s="11">
        <v>1</v>
      </c>
      <c r="Q1099" s="9">
        <f>1930.36</f>
        <v>1930.36</v>
      </c>
    </row>
    <row r="1100" spans="1:17" ht="45" customHeight="1" x14ac:dyDescent="0.25">
      <c r="A1100" s="4" t="s">
        <v>20</v>
      </c>
      <c r="B1100" s="5" t="s">
        <v>1963</v>
      </c>
      <c r="C1100" s="4" t="s">
        <v>29</v>
      </c>
      <c r="D1100" s="4" t="s">
        <v>1964</v>
      </c>
      <c r="E1100" s="4" t="s">
        <v>1965</v>
      </c>
      <c r="F1100" s="6">
        <f>1</f>
        <v>1</v>
      </c>
      <c r="G1100" s="4" t="s">
        <v>46</v>
      </c>
      <c r="H1100" s="7">
        <v>1754.07</v>
      </c>
      <c r="I1100" s="7">
        <v>1754.07</v>
      </c>
      <c r="J1100" s="8" t="s">
        <v>122</v>
      </c>
      <c r="K1100" s="9">
        <f>2088.22</f>
        <v>2088.2199999999998</v>
      </c>
      <c r="L1100" s="9">
        <f>2088.22</f>
        <v>2088.2199999999998</v>
      </c>
      <c r="M1100" s="4"/>
      <c r="N1100" s="10">
        <v>1</v>
      </c>
      <c r="O1100" s="4" t="s">
        <v>27</v>
      </c>
      <c r="P1100" s="11">
        <v>1</v>
      </c>
      <c r="Q1100" s="9">
        <f>2088.22</f>
        <v>2088.2199999999998</v>
      </c>
    </row>
    <row r="1101" spans="1:17" ht="45" customHeight="1" x14ac:dyDescent="0.25">
      <c r="A1101" s="4" t="s">
        <v>20</v>
      </c>
      <c r="B1101" s="5" t="s">
        <v>1966</v>
      </c>
      <c r="C1101" s="4" t="s">
        <v>29</v>
      </c>
      <c r="D1101" s="4" t="s">
        <v>1967</v>
      </c>
      <c r="E1101" s="4" t="s">
        <v>1968</v>
      </c>
      <c r="F1101" s="6">
        <f>1</f>
        <v>1</v>
      </c>
      <c r="G1101" s="4" t="s">
        <v>46</v>
      </c>
      <c r="H1101" s="7">
        <v>5499.41</v>
      </c>
      <c r="I1101" s="7">
        <v>5499.41</v>
      </c>
      <c r="J1101" s="8" t="s">
        <v>122</v>
      </c>
      <c r="K1101" s="9">
        <f>6547.05</f>
        <v>6547.05</v>
      </c>
      <c r="L1101" s="9">
        <f>6547.05</f>
        <v>6547.05</v>
      </c>
      <c r="M1101" s="4"/>
      <c r="N1101" s="10">
        <v>1</v>
      </c>
      <c r="O1101" s="4" t="s">
        <v>27</v>
      </c>
      <c r="P1101" s="11">
        <v>1</v>
      </c>
      <c r="Q1101" s="9">
        <f>6547.05</f>
        <v>6547.05</v>
      </c>
    </row>
    <row r="1102" spans="1:17" ht="45" customHeight="1" x14ac:dyDescent="0.25">
      <c r="A1102" s="4" t="s">
        <v>20</v>
      </c>
      <c r="B1102" s="5" t="s">
        <v>1969</v>
      </c>
      <c r="C1102" s="4" t="s">
        <v>63</v>
      </c>
      <c r="D1102" s="4" t="s">
        <v>1970</v>
      </c>
      <c r="E1102" s="4" t="s">
        <v>1971</v>
      </c>
      <c r="F1102" s="6">
        <f>1.5</f>
        <v>1.5</v>
      </c>
      <c r="G1102" s="4" t="s">
        <v>75</v>
      </c>
      <c r="H1102" s="7">
        <v>90.44</v>
      </c>
      <c r="I1102" s="7">
        <v>90.44</v>
      </c>
      <c r="J1102" s="8" t="s">
        <v>26</v>
      </c>
      <c r="K1102" s="9">
        <f>113.68</f>
        <v>113.68</v>
      </c>
      <c r="L1102" s="9">
        <f>170.52</f>
        <v>170.52</v>
      </c>
      <c r="M1102" s="4"/>
      <c r="N1102" s="10">
        <v>1</v>
      </c>
      <c r="O1102" s="4" t="s">
        <v>27</v>
      </c>
      <c r="P1102" s="11">
        <v>1.5</v>
      </c>
      <c r="Q1102" s="9">
        <f>170.52</f>
        <v>170.52</v>
      </c>
    </row>
    <row r="1103" spans="1:17" ht="45" customHeight="1" x14ac:dyDescent="0.25">
      <c r="A1103" s="4" t="s">
        <v>20</v>
      </c>
      <c r="B1103" s="5" t="s">
        <v>1972</v>
      </c>
      <c r="C1103" s="4" t="s">
        <v>22</v>
      </c>
      <c r="D1103" s="4" t="s">
        <v>1973</v>
      </c>
      <c r="E1103" s="4" t="s">
        <v>1974</v>
      </c>
      <c r="F1103" s="6">
        <f>2</f>
        <v>2</v>
      </c>
      <c r="G1103" s="4" t="s">
        <v>46</v>
      </c>
      <c r="H1103" s="7">
        <v>990.4</v>
      </c>
      <c r="I1103" s="7">
        <v>990.4</v>
      </c>
      <c r="J1103" s="8" t="s">
        <v>26</v>
      </c>
      <c r="K1103" s="9">
        <f>1244.93</f>
        <v>1244.93</v>
      </c>
      <c r="L1103" s="9">
        <f>2489.86</f>
        <v>2489.86</v>
      </c>
      <c r="M1103" s="4"/>
      <c r="N1103" s="10">
        <v>1</v>
      </c>
      <c r="O1103" s="4" t="s">
        <v>27</v>
      </c>
      <c r="P1103" s="11">
        <v>2</v>
      </c>
      <c r="Q1103" s="9">
        <f>2489.86</f>
        <v>2489.86</v>
      </c>
    </row>
    <row r="1104" spans="1:17" ht="45" customHeight="1" x14ac:dyDescent="0.25">
      <c r="A1104" s="4" t="s">
        <v>20</v>
      </c>
      <c r="B1104" s="5" t="s">
        <v>1975</v>
      </c>
      <c r="C1104" s="4" t="s">
        <v>63</v>
      </c>
      <c r="D1104" s="4" t="s">
        <v>107</v>
      </c>
      <c r="E1104" s="4" t="s">
        <v>108</v>
      </c>
      <c r="F1104" s="6">
        <f>2</f>
        <v>2</v>
      </c>
      <c r="G1104" s="4" t="s">
        <v>75</v>
      </c>
      <c r="H1104" s="7">
        <v>8.64</v>
      </c>
      <c r="I1104" s="7">
        <v>8.64</v>
      </c>
      <c r="J1104" s="8" t="s">
        <v>26</v>
      </c>
      <c r="K1104" s="9">
        <f>10.86</f>
        <v>10.86</v>
      </c>
      <c r="L1104" s="9">
        <f>21.72</f>
        <v>21.72</v>
      </c>
      <c r="M1104" s="4"/>
      <c r="N1104" s="10">
        <v>1</v>
      </c>
      <c r="O1104" s="4" t="s">
        <v>27</v>
      </c>
      <c r="P1104" s="11">
        <v>2</v>
      </c>
      <c r="Q1104" s="9">
        <f>21.72</f>
        <v>21.72</v>
      </c>
    </row>
    <row r="1105" spans="1:17" ht="45" customHeight="1" x14ac:dyDescent="0.25">
      <c r="A1105" s="4" t="s">
        <v>20</v>
      </c>
      <c r="B1105" s="5" t="s">
        <v>1976</v>
      </c>
      <c r="C1105" s="4" t="s">
        <v>29</v>
      </c>
      <c r="D1105" s="4" t="s">
        <v>1977</v>
      </c>
      <c r="E1105" s="4" t="s">
        <v>1978</v>
      </c>
      <c r="F1105" s="6">
        <f>1</f>
        <v>1</v>
      </c>
      <c r="G1105" s="4" t="s">
        <v>75</v>
      </c>
      <c r="H1105" s="7">
        <v>19.600000000000001</v>
      </c>
      <c r="I1105" s="7">
        <v>19.600000000000001</v>
      </c>
      <c r="J1105" s="8" t="s">
        <v>26</v>
      </c>
      <c r="K1105" s="9">
        <f>24.64</f>
        <v>24.64</v>
      </c>
      <c r="L1105" s="9">
        <f>24.64</f>
        <v>24.64</v>
      </c>
      <c r="M1105" s="4"/>
      <c r="N1105" s="10">
        <v>1</v>
      </c>
      <c r="O1105" s="4" t="s">
        <v>27</v>
      </c>
      <c r="P1105" s="11">
        <v>1</v>
      </c>
      <c r="Q1105" s="9">
        <f>24.64</f>
        <v>24.64</v>
      </c>
    </row>
    <row r="1106" spans="1:17" ht="45" customHeight="1" x14ac:dyDescent="0.25">
      <c r="A1106" s="4" t="s">
        <v>20</v>
      </c>
      <c r="B1106" s="5" t="s">
        <v>1979</v>
      </c>
      <c r="C1106" s="4" t="s">
        <v>29</v>
      </c>
      <c r="D1106" s="4" t="s">
        <v>1980</v>
      </c>
      <c r="E1106" s="4" t="s">
        <v>1981</v>
      </c>
      <c r="F1106" s="6">
        <f>3</f>
        <v>3</v>
      </c>
      <c r="G1106" s="4" t="s">
        <v>75</v>
      </c>
      <c r="H1106" s="7">
        <v>0.59</v>
      </c>
      <c r="I1106" s="7">
        <v>0.59</v>
      </c>
      <c r="J1106" s="8" t="s">
        <v>26</v>
      </c>
      <c r="K1106" s="9">
        <f>0.74</f>
        <v>0.74</v>
      </c>
      <c r="L1106" s="9">
        <f>2.22</f>
        <v>2.2200000000000002</v>
      </c>
      <c r="M1106" s="4"/>
      <c r="N1106" s="10">
        <v>1</v>
      </c>
      <c r="O1106" s="4" t="s">
        <v>27</v>
      </c>
      <c r="P1106" s="11">
        <v>3</v>
      </c>
      <c r="Q1106" s="9">
        <f>2.22</f>
        <v>2.2200000000000002</v>
      </c>
    </row>
    <row r="1107" spans="1:17" ht="45" customHeight="1" x14ac:dyDescent="0.25">
      <c r="A1107" s="4" t="s">
        <v>20</v>
      </c>
      <c r="B1107" s="5" t="s">
        <v>1982</v>
      </c>
      <c r="C1107" s="4" t="s">
        <v>63</v>
      </c>
      <c r="D1107" s="4" t="s">
        <v>210</v>
      </c>
      <c r="E1107" s="4" t="s">
        <v>211</v>
      </c>
      <c r="F1107" s="6">
        <f>1</f>
        <v>1</v>
      </c>
      <c r="G1107" s="4" t="s">
        <v>75</v>
      </c>
      <c r="H1107" s="7">
        <v>82.75</v>
      </c>
      <c r="I1107" s="7">
        <v>82.75</v>
      </c>
      <c r="J1107" s="8" t="s">
        <v>26</v>
      </c>
      <c r="K1107" s="9">
        <f>104.02</f>
        <v>104.02</v>
      </c>
      <c r="L1107" s="9">
        <f>104.02</f>
        <v>104.02</v>
      </c>
      <c r="M1107" s="4"/>
      <c r="N1107" s="10">
        <v>1</v>
      </c>
      <c r="O1107" s="4" t="s">
        <v>27</v>
      </c>
      <c r="P1107" s="11">
        <v>1</v>
      </c>
      <c r="Q1107" s="9">
        <f>104.02</f>
        <v>104.02</v>
      </c>
    </row>
    <row r="1108" spans="1:17" ht="45" customHeight="1" x14ac:dyDescent="0.25">
      <c r="A1108" s="4" t="s">
        <v>20</v>
      </c>
      <c r="B1108" s="5" t="s">
        <v>1983</v>
      </c>
      <c r="C1108" s="4" t="s">
        <v>63</v>
      </c>
      <c r="D1108" s="4" t="s">
        <v>213</v>
      </c>
      <c r="E1108" s="4" t="s">
        <v>214</v>
      </c>
      <c r="F1108" s="6">
        <f>24</f>
        <v>24</v>
      </c>
      <c r="G1108" s="4" t="s">
        <v>75</v>
      </c>
      <c r="H1108" s="7">
        <v>13.66</v>
      </c>
      <c r="I1108" s="7">
        <v>13.66</v>
      </c>
      <c r="J1108" s="8" t="s">
        <v>26</v>
      </c>
      <c r="K1108" s="9">
        <f>17.17</f>
        <v>17.170000000000002</v>
      </c>
      <c r="L1108" s="9">
        <f>412.08</f>
        <v>412.08</v>
      </c>
      <c r="M1108" s="4"/>
      <c r="N1108" s="10">
        <v>1</v>
      </c>
      <c r="O1108" s="4" t="s">
        <v>27</v>
      </c>
      <c r="P1108" s="11">
        <v>24</v>
      </c>
      <c r="Q1108" s="9">
        <f>412.08</f>
        <v>412.08</v>
      </c>
    </row>
    <row r="1109" spans="1:17" ht="45" customHeight="1" x14ac:dyDescent="0.25">
      <c r="A1109" s="4" t="s">
        <v>20</v>
      </c>
      <c r="B1109" s="5" t="s">
        <v>1984</v>
      </c>
      <c r="C1109" s="4" t="s">
        <v>63</v>
      </c>
      <c r="D1109" s="4" t="s">
        <v>110</v>
      </c>
      <c r="E1109" s="4" t="s">
        <v>111</v>
      </c>
      <c r="F1109" s="6">
        <f>12</f>
        <v>12</v>
      </c>
      <c r="G1109" s="4" t="s">
        <v>112</v>
      </c>
      <c r="H1109" s="7">
        <v>3.31</v>
      </c>
      <c r="I1109" s="7">
        <v>3.31</v>
      </c>
      <c r="J1109" s="8" t="s">
        <v>26</v>
      </c>
      <c r="K1109" s="9">
        <f>4.16</f>
        <v>4.16</v>
      </c>
      <c r="L1109" s="9">
        <f>49.92</f>
        <v>49.92</v>
      </c>
      <c r="M1109" s="4"/>
      <c r="N1109" s="10">
        <v>1</v>
      </c>
      <c r="O1109" s="4" t="s">
        <v>27</v>
      </c>
      <c r="P1109" s="11">
        <v>12</v>
      </c>
      <c r="Q1109" s="9">
        <f>49.92</f>
        <v>49.92</v>
      </c>
    </row>
    <row r="1110" spans="1:17" ht="45" customHeight="1" x14ac:dyDescent="0.25">
      <c r="A1110" s="4" t="s">
        <v>20</v>
      </c>
      <c r="B1110" s="5" t="s">
        <v>1985</v>
      </c>
      <c r="C1110" s="4" t="s">
        <v>29</v>
      </c>
      <c r="D1110" s="4" t="s">
        <v>779</v>
      </c>
      <c r="E1110" s="4" t="s">
        <v>780</v>
      </c>
      <c r="F1110" s="6">
        <f>1</f>
        <v>1</v>
      </c>
      <c r="G1110" s="4" t="s">
        <v>75</v>
      </c>
      <c r="H1110" s="7">
        <v>4.29</v>
      </c>
      <c r="I1110" s="7">
        <v>4.29</v>
      </c>
      <c r="J1110" s="8" t="s">
        <v>26</v>
      </c>
      <c r="K1110" s="9">
        <f>5.39</f>
        <v>5.39</v>
      </c>
      <c r="L1110" s="9">
        <f>5.39</f>
        <v>5.39</v>
      </c>
      <c r="M1110" s="4"/>
      <c r="N1110" s="10">
        <v>1</v>
      </c>
      <c r="O1110" s="4" t="s">
        <v>27</v>
      </c>
      <c r="P1110" s="11">
        <v>1</v>
      </c>
      <c r="Q1110" s="9">
        <f>5.39</f>
        <v>5.39</v>
      </c>
    </row>
    <row r="1111" spans="1:17" ht="45" customHeight="1" x14ac:dyDescent="0.25">
      <c r="A1111" s="4" t="s">
        <v>20</v>
      </c>
      <c r="B1111" s="5" t="s">
        <v>1986</v>
      </c>
      <c r="C1111" s="4" t="s">
        <v>63</v>
      </c>
      <c r="D1111" s="4" t="s">
        <v>114</v>
      </c>
      <c r="E1111" s="4" t="s">
        <v>115</v>
      </c>
      <c r="F1111" s="6">
        <f>2</f>
        <v>2</v>
      </c>
      <c r="G1111" s="4" t="s">
        <v>75</v>
      </c>
      <c r="H1111" s="7">
        <v>1.45</v>
      </c>
      <c r="I1111" s="7">
        <v>1.45</v>
      </c>
      <c r="J1111" s="8" t="s">
        <v>26</v>
      </c>
      <c r="K1111" s="9">
        <f>1.82</f>
        <v>1.82</v>
      </c>
      <c r="L1111" s="9">
        <f>3.64</f>
        <v>3.64</v>
      </c>
      <c r="M1111" s="4"/>
      <c r="N1111" s="10">
        <v>1</v>
      </c>
      <c r="O1111" s="4" t="s">
        <v>27</v>
      </c>
      <c r="P1111" s="11">
        <v>2</v>
      </c>
      <c r="Q1111" s="9">
        <f>3.64</f>
        <v>3.64</v>
      </c>
    </row>
    <row r="1112" spans="1:17" ht="45" customHeight="1" x14ac:dyDescent="0.25">
      <c r="A1112" s="4" t="s">
        <v>20</v>
      </c>
      <c r="B1112" s="5" t="s">
        <v>1987</v>
      </c>
      <c r="C1112" s="4" t="s">
        <v>29</v>
      </c>
      <c r="D1112" s="4" t="s">
        <v>216</v>
      </c>
      <c r="E1112" s="4" t="s">
        <v>217</v>
      </c>
      <c r="F1112" s="6">
        <f>24</f>
        <v>24</v>
      </c>
      <c r="G1112" s="4" t="s">
        <v>75</v>
      </c>
      <c r="H1112" s="7">
        <v>35.19</v>
      </c>
      <c r="I1112" s="7">
        <v>35.19</v>
      </c>
      <c r="J1112" s="8" t="s">
        <v>26</v>
      </c>
      <c r="K1112" s="9">
        <f>44.23</f>
        <v>44.23</v>
      </c>
      <c r="L1112" s="9">
        <f>1061.52</f>
        <v>1061.52</v>
      </c>
      <c r="M1112" s="4"/>
      <c r="N1112" s="10">
        <v>1</v>
      </c>
      <c r="O1112" s="4" t="s">
        <v>27</v>
      </c>
      <c r="P1112" s="11">
        <v>24</v>
      </c>
      <c r="Q1112" s="9">
        <f>1061.52</f>
        <v>1061.52</v>
      </c>
    </row>
    <row r="1113" spans="1:17" ht="45" customHeight="1" x14ac:dyDescent="0.25">
      <c r="A1113" s="4" t="s">
        <v>20</v>
      </c>
      <c r="B1113" s="5" t="s">
        <v>1988</v>
      </c>
      <c r="C1113" s="4" t="s">
        <v>63</v>
      </c>
      <c r="D1113" s="4" t="s">
        <v>219</v>
      </c>
      <c r="E1113" s="4" t="s">
        <v>220</v>
      </c>
      <c r="F1113" s="6">
        <f>24</f>
        <v>24</v>
      </c>
      <c r="G1113" s="4" t="s">
        <v>25</v>
      </c>
      <c r="H1113" s="7">
        <v>6.38</v>
      </c>
      <c r="I1113" s="7">
        <v>6.38</v>
      </c>
      <c r="J1113" s="8" t="s">
        <v>26</v>
      </c>
      <c r="K1113" s="9">
        <f>8.02</f>
        <v>8.02</v>
      </c>
      <c r="L1113" s="9">
        <f>192.48</f>
        <v>192.48</v>
      </c>
      <c r="M1113" s="4"/>
      <c r="N1113" s="10">
        <v>1</v>
      </c>
      <c r="O1113" s="4" t="s">
        <v>27</v>
      </c>
      <c r="P1113" s="11">
        <v>24</v>
      </c>
      <c r="Q1113" s="9">
        <f>192.48</f>
        <v>192.48</v>
      </c>
    </row>
    <row r="1114" spans="1:17" ht="45" customHeight="1" x14ac:dyDescent="0.25">
      <c r="A1114" s="4" t="s">
        <v>20</v>
      </c>
      <c r="B1114" s="5" t="s">
        <v>1989</v>
      </c>
      <c r="C1114" s="4" t="s">
        <v>63</v>
      </c>
      <c r="D1114" s="4" t="s">
        <v>1141</v>
      </c>
      <c r="E1114" s="4" t="s">
        <v>1142</v>
      </c>
      <c r="F1114" s="6">
        <f>8.35</f>
        <v>8.35</v>
      </c>
      <c r="G1114" s="4" t="s">
        <v>96</v>
      </c>
      <c r="H1114" s="7">
        <v>5.8</v>
      </c>
      <c r="I1114" s="7">
        <v>5.8</v>
      </c>
      <c r="J1114" s="8" t="s">
        <v>26</v>
      </c>
      <c r="K1114" s="9">
        <f>7.29</f>
        <v>7.29</v>
      </c>
      <c r="L1114" s="9">
        <f>60.87</f>
        <v>60.87</v>
      </c>
      <c r="M1114" s="4"/>
      <c r="N1114" s="10">
        <v>1</v>
      </c>
      <c r="O1114" s="4" t="s">
        <v>27</v>
      </c>
      <c r="P1114" s="11">
        <v>8.35</v>
      </c>
      <c r="Q1114" s="9">
        <f>60.87</f>
        <v>60.87</v>
      </c>
    </row>
    <row r="1115" spans="1:17" ht="45" customHeight="1" x14ac:dyDescent="0.25">
      <c r="A1115" s="4" t="s">
        <v>20</v>
      </c>
      <c r="B1115" s="5" t="s">
        <v>1990</v>
      </c>
      <c r="C1115" s="4" t="s">
        <v>63</v>
      </c>
      <c r="D1115" s="4" t="s">
        <v>1246</v>
      </c>
      <c r="E1115" s="4" t="s">
        <v>1247</v>
      </c>
      <c r="F1115" s="6">
        <f>12</f>
        <v>12</v>
      </c>
      <c r="G1115" s="4" t="s">
        <v>96</v>
      </c>
      <c r="H1115" s="7">
        <v>7.65</v>
      </c>
      <c r="I1115" s="7">
        <v>7.65</v>
      </c>
      <c r="J1115" s="8" t="s">
        <v>26</v>
      </c>
      <c r="K1115" s="9">
        <f>9.62</f>
        <v>9.6199999999999992</v>
      </c>
      <c r="L1115" s="9">
        <f>115.44</f>
        <v>115.44</v>
      </c>
      <c r="M1115" s="4"/>
      <c r="N1115" s="10">
        <v>1</v>
      </c>
      <c r="O1115" s="4" t="s">
        <v>27</v>
      </c>
      <c r="P1115" s="11">
        <v>12</v>
      </c>
      <c r="Q1115" s="9">
        <f>115.44</f>
        <v>115.44</v>
      </c>
    </row>
    <row r="1116" spans="1:17" ht="45" customHeight="1" x14ac:dyDescent="0.25">
      <c r="A1116" s="4" t="s">
        <v>20</v>
      </c>
      <c r="B1116" s="5" t="s">
        <v>1991</v>
      </c>
      <c r="C1116" s="4" t="s">
        <v>63</v>
      </c>
      <c r="D1116" s="4" t="s">
        <v>1145</v>
      </c>
      <c r="E1116" s="4" t="s">
        <v>1146</v>
      </c>
      <c r="F1116" s="6">
        <f>9.9</f>
        <v>9.9</v>
      </c>
      <c r="G1116" s="4" t="s">
        <v>96</v>
      </c>
      <c r="H1116" s="7">
        <v>13.26</v>
      </c>
      <c r="I1116" s="7">
        <v>13.26</v>
      </c>
      <c r="J1116" s="8" t="s">
        <v>26</v>
      </c>
      <c r="K1116" s="9">
        <f>16.67</f>
        <v>16.670000000000002</v>
      </c>
      <c r="L1116" s="9">
        <f>165.03</f>
        <v>165.03</v>
      </c>
      <c r="M1116" s="4"/>
      <c r="N1116" s="10">
        <v>1</v>
      </c>
      <c r="O1116" s="4" t="s">
        <v>27</v>
      </c>
      <c r="P1116" s="11">
        <v>9.9</v>
      </c>
      <c r="Q1116" s="9">
        <f>165.03</f>
        <v>165.03</v>
      </c>
    </row>
    <row r="1117" spans="1:17" ht="45" customHeight="1" x14ac:dyDescent="0.25">
      <c r="A1117" s="4" t="s">
        <v>20</v>
      </c>
      <c r="B1117" s="5" t="s">
        <v>1992</v>
      </c>
      <c r="C1117" s="4" t="s">
        <v>29</v>
      </c>
      <c r="D1117" s="4" t="s">
        <v>1993</v>
      </c>
      <c r="E1117" s="4" t="s">
        <v>1994</v>
      </c>
      <c r="F1117" s="6">
        <f>0.03</f>
        <v>0.03</v>
      </c>
      <c r="G1117" s="4" t="s">
        <v>36</v>
      </c>
      <c r="H1117" s="7">
        <v>508.85</v>
      </c>
      <c r="I1117" s="7">
        <v>508.85</v>
      </c>
      <c r="J1117" s="8" t="s">
        <v>26</v>
      </c>
      <c r="K1117" s="9">
        <f>639.62</f>
        <v>639.62</v>
      </c>
      <c r="L1117" s="9">
        <f>19.19</f>
        <v>19.190000000000001</v>
      </c>
      <c r="M1117" s="4"/>
      <c r="N1117" s="10">
        <v>1</v>
      </c>
      <c r="O1117" s="4" t="s">
        <v>27</v>
      </c>
      <c r="P1117" s="11">
        <v>0.03</v>
      </c>
      <c r="Q1117" s="9">
        <f>19.19</f>
        <v>19.190000000000001</v>
      </c>
    </row>
    <row r="1118" spans="1:17" ht="45" customHeight="1" x14ac:dyDescent="0.25">
      <c r="A1118" s="4" t="s">
        <v>20</v>
      </c>
      <c r="B1118" s="5" t="s">
        <v>1995</v>
      </c>
      <c r="C1118" s="4" t="s">
        <v>29</v>
      </c>
      <c r="D1118" s="4" t="s">
        <v>1996</v>
      </c>
      <c r="E1118" s="4" t="s">
        <v>1997</v>
      </c>
      <c r="F1118" s="6">
        <f>30.25</f>
        <v>30.25</v>
      </c>
      <c r="G1118" s="4" t="s">
        <v>96</v>
      </c>
      <c r="H1118" s="7">
        <v>7.6</v>
      </c>
      <c r="I1118" s="7">
        <v>7.6</v>
      </c>
      <c r="J1118" s="8" t="s">
        <v>26</v>
      </c>
      <c r="K1118" s="9">
        <f>9.55</f>
        <v>9.5500000000000007</v>
      </c>
      <c r="L1118" s="9">
        <f>288.89</f>
        <v>288.89</v>
      </c>
      <c r="M1118" s="4"/>
      <c r="N1118" s="10">
        <v>1</v>
      </c>
      <c r="O1118" s="4" t="s">
        <v>27</v>
      </c>
      <c r="P1118" s="11">
        <v>30.25</v>
      </c>
      <c r="Q1118" s="9">
        <f>288.89</f>
        <v>288.89</v>
      </c>
    </row>
    <row r="1119" spans="1:17" ht="45" customHeight="1" x14ac:dyDescent="0.25">
      <c r="A1119" s="4" t="s">
        <v>20</v>
      </c>
      <c r="B1119" s="5" t="s">
        <v>1998</v>
      </c>
      <c r="C1119" s="4" t="s">
        <v>29</v>
      </c>
      <c r="D1119" s="4" t="s">
        <v>1892</v>
      </c>
      <c r="E1119" s="4" t="s">
        <v>1893</v>
      </c>
      <c r="F1119" s="6">
        <f>1</f>
        <v>1</v>
      </c>
      <c r="G1119" s="4" t="s">
        <v>46</v>
      </c>
      <c r="H1119" s="7">
        <v>210.89</v>
      </c>
      <c r="I1119" s="7">
        <v>210.89</v>
      </c>
      <c r="J1119" s="8" t="s">
        <v>122</v>
      </c>
      <c r="K1119" s="9">
        <f>251.06</f>
        <v>251.06</v>
      </c>
      <c r="L1119" s="9">
        <f>251.06</f>
        <v>251.06</v>
      </c>
      <c r="M1119" s="4"/>
      <c r="N1119" s="10">
        <v>1</v>
      </c>
      <c r="O1119" s="4" t="s">
        <v>27</v>
      </c>
      <c r="P1119" s="11">
        <v>1</v>
      </c>
      <c r="Q1119" s="9">
        <f>251.06</f>
        <v>251.06</v>
      </c>
    </row>
    <row r="1120" spans="1:17" ht="45" customHeight="1" x14ac:dyDescent="0.25">
      <c r="A1120" s="4" t="s">
        <v>20</v>
      </c>
      <c r="B1120" s="5" t="s">
        <v>1999</v>
      </c>
      <c r="C1120" s="4" t="s">
        <v>29</v>
      </c>
      <c r="D1120" s="4" t="s">
        <v>1155</v>
      </c>
      <c r="E1120" s="4" t="s">
        <v>1156</v>
      </c>
      <c r="F1120" s="6">
        <f>2</f>
        <v>2</v>
      </c>
      <c r="G1120" s="4" t="s">
        <v>46</v>
      </c>
      <c r="H1120" s="7">
        <v>502.27</v>
      </c>
      <c r="I1120" s="7">
        <v>502.27</v>
      </c>
      <c r="J1120" s="8" t="s">
        <v>122</v>
      </c>
      <c r="K1120" s="9">
        <f>597.95</f>
        <v>597.95000000000005</v>
      </c>
      <c r="L1120" s="9">
        <f>1195.9</f>
        <v>1195.9000000000001</v>
      </c>
      <c r="M1120" s="4"/>
      <c r="N1120" s="10">
        <v>1</v>
      </c>
      <c r="O1120" s="4" t="s">
        <v>27</v>
      </c>
      <c r="P1120" s="11">
        <v>2</v>
      </c>
      <c r="Q1120" s="9">
        <f>1195.9</f>
        <v>1195.9000000000001</v>
      </c>
    </row>
    <row r="1121" spans="1:17" ht="45" customHeight="1" x14ac:dyDescent="0.25">
      <c r="A1121" s="4" t="s">
        <v>20</v>
      </c>
      <c r="B1121" s="5" t="s">
        <v>2000</v>
      </c>
      <c r="C1121" s="4" t="s">
        <v>29</v>
      </c>
      <c r="D1121" s="4" t="s">
        <v>408</v>
      </c>
      <c r="E1121" s="4" t="s">
        <v>409</v>
      </c>
      <c r="F1121" s="6">
        <f>1</f>
        <v>1</v>
      </c>
      <c r="G1121" s="4" t="s">
        <v>46</v>
      </c>
      <c r="H1121" s="7">
        <v>1105.28</v>
      </c>
      <c r="I1121" s="7">
        <v>1105.28</v>
      </c>
      <c r="J1121" s="8" t="s">
        <v>122</v>
      </c>
      <c r="K1121" s="9">
        <f>1315.84</f>
        <v>1315.84</v>
      </c>
      <c r="L1121" s="9">
        <f>1315.84</f>
        <v>1315.84</v>
      </c>
      <c r="M1121" s="4"/>
      <c r="N1121" s="10">
        <v>1</v>
      </c>
      <c r="O1121" s="4" t="s">
        <v>27</v>
      </c>
      <c r="P1121" s="11">
        <v>1</v>
      </c>
      <c r="Q1121" s="9">
        <f>1315.84</f>
        <v>1315.84</v>
      </c>
    </row>
    <row r="1122" spans="1:17" ht="45" customHeight="1" x14ac:dyDescent="0.25">
      <c r="A1122" s="4" t="s">
        <v>20</v>
      </c>
      <c r="B1122" s="5" t="s">
        <v>2001</v>
      </c>
      <c r="C1122" s="4" t="s">
        <v>29</v>
      </c>
      <c r="D1122" s="4" t="s">
        <v>2002</v>
      </c>
      <c r="E1122" s="4" t="s">
        <v>2003</v>
      </c>
      <c r="F1122" s="6">
        <f>1</f>
        <v>1</v>
      </c>
      <c r="G1122" s="4" t="s">
        <v>46</v>
      </c>
      <c r="H1122" s="7">
        <v>288.3</v>
      </c>
      <c r="I1122" s="7">
        <v>288.3</v>
      </c>
      <c r="J1122" s="8" t="s">
        <v>122</v>
      </c>
      <c r="K1122" s="9">
        <f>343.22</f>
        <v>343.22</v>
      </c>
      <c r="L1122" s="9">
        <f>343.22</f>
        <v>343.22</v>
      </c>
      <c r="M1122" s="4"/>
      <c r="N1122" s="10">
        <v>1</v>
      </c>
      <c r="O1122" s="4" t="s">
        <v>27</v>
      </c>
      <c r="P1122" s="11">
        <v>1</v>
      </c>
      <c r="Q1122" s="9">
        <f>343.22</f>
        <v>343.22</v>
      </c>
    </row>
    <row r="1123" spans="1:17" ht="45" customHeight="1" x14ac:dyDescent="0.25">
      <c r="A1123" s="4" t="s">
        <v>20</v>
      </c>
      <c r="B1123" s="5" t="s">
        <v>2004</v>
      </c>
      <c r="C1123" s="4" t="s">
        <v>29</v>
      </c>
      <c r="D1123" s="4" t="s">
        <v>1445</v>
      </c>
      <c r="E1123" s="4" t="s">
        <v>1446</v>
      </c>
      <c r="F1123" s="6">
        <f>1</f>
        <v>1</v>
      </c>
      <c r="G1123" s="4" t="s">
        <v>46</v>
      </c>
      <c r="H1123" s="7">
        <v>293.39999999999998</v>
      </c>
      <c r="I1123" s="7">
        <v>293.39999999999998</v>
      </c>
      <c r="J1123" s="8" t="s">
        <v>122</v>
      </c>
      <c r="K1123" s="9">
        <f>349.29</f>
        <v>349.29</v>
      </c>
      <c r="L1123" s="9">
        <f>349.29</f>
        <v>349.29</v>
      </c>
      <c r="M1123" s="4"/>
      <c r="N1123" s="10">
        <v>1</v>
      </c>
      <c r="O1123" s="4" t="s">
        <v>27</v>
      </c>
      <c r="P1123" s="11">
        <v>1</v>
      </c>
      <c r="Q1123" s="9">
        <f>349.29</f>
        <v>349.29</v>
      </c>
    </row>
    <row r="1124" spans="1:17" ht="45" customHeight="1" x14ac:dyDescent="0.25">
      <c r="A1124" s="4" t="s">
        <v>20</v>
      </c>
      <c r="B1124" s="5" t="s">
        <v>2005</v>
      </c>
      <c r="C1124" s="4" t="s">
        <v>29</v>
      </c>
      <c r="D1124" s="4" t="s">
        <v>1164</v>
      </c>
      <c r="E1124" s="4" t="s">
        <v>1165</v>
      </c>
      <c r="F1124" s="6">
        <f>12</f>
        <v>12</v>
      </c>
      <c r="G1124" s="4" t="s">
        <v>96</v>
      </c>
      <c r="H1124" s="7">
        <v>269.51</v>
      </c>
      <c r="I1124" s="7">
        <v>269.51</v>
      </c>
      <c r="J1124" s="8" t="s">
        <v>122</v>
      </c>
      <c r="K1124" s="9">
        <f>320.85</f>
        <v>320.85000000000002</v>
      </c>
      <c r="L1124" s="9">
        <f>3850.2</f>
        <v>3850.2</v>
      </c>
      <c r="M1124" s="4"/>
      <c r="N1124" s="10">
        <v>1</v>
      </c>
      <c r="O1124" s="4" t="s">
        <v>27</v>
      </c>
      <c r="P1124" s="11">
        <v>12</v>
      </c>
      <c r="Q1124" s="9">
        <f>3850.2</f>
        <v>3850.2</v>
      </c>
    </row>
    <row r="1125" spans="1:17" ht="45" customHeight="1" x14ac:dyDescent="0.25">
      <c r="A1125" s="4" t="s">
        <v>20</v>
      </c>
      <c r="B1125" s="5" t="s">
        <v>2006</v>
      </c>
      <c r="C1125" s="4" t="s">
        <v>29</v>
      </c>
      <c r="D1125" s="4" t="s">
        <v>1258</v>
      </c>
      <c r="E1125" s="4" t="s">
        <v>1259</v>
      </c>
      <c r="F1125" s="6">
        <f>12</f>
        <v>12</v>
      </c>
      <c r="G1125" s="4" t="s">
        <v>96</v>
      </c>
      <c r="H1125" s="7">
        <v>325.35000000000002</v>
      </c>
      <c r="I1125" s="7">
        <v>325.35000000000002</v>
      </c>
      <c r="J1125" s="8" t="s">
        <v>122</v>
      </c>
      <c r="K1125" s="9">
        <f>387.33</f>
        <v>387.33</v>
      </c>
      <c r="L1125" s="9">
        <f>4647.96</f>
        <v>4647.96</v>
      </c>
      <c r="M1125" s="4"/>
      <c r="N1125" s="10">
        <v>1</v>
      </c>
      <c r="O1125" s="4" t="s">
        <v>27</v>
      </c>
      <c r="P1125" s="11">
        <v>12</v>
      </c>
      <c r="Q1125" s="9">
        <f>4647.96</f>
        <v>4647.96</v>
      </c>
    </row>
    <row r="1126" spans="1:17" ht="45" customHeight="1" x14ac:dyDescent="0.25">
      <c r="A1126" s="4" t="s">
        <v>20</v>
      </c>
      <c r="B1126" s="5" t="s">
        <v>2007</v>
      </c>
      <c r="C1126" s="4" t="s">
        <v>29</v>
      </c>
      <c r="D1126" s="4" t="s">
        <v>2008</v>
      </c>
      <c r="E1126" s="4" t="s">
        <v>2009</v>
      </c>
      <c r="F1126" s="6">
        <f>12</f>
        <v>12</v>
      </c>
      <c r="G1126" s="4" t="s">
        <v>96</v>
      </c>
      <c r="H1126" s="7">
        <v>576.12</v>
      </c>
      <c r="I1126" s="7">
        <v>576.12</v>
      </c>
      <c r="J1126" s="8" t="s">
        <v>122</v>
      </c>
      <c r="K1126" s="9">
        <f>685.87</f>
        <v>685.87</v>
      </c>
      <c r="L1126" s="9">
        <f>8230.44</f>
        <v>8230.44</v>
      </c>
      <c r="M1126" s="4"/>
      <c r="N1126" s="10">
        <v>1</v>
      </c>
      <c r="O1126" s="4" t="s">
        <v>27</v>
      </c>
      <c r="P1126" s="11">
        <v>12</v>
      </c>
      <c r="Q1126" s="9">
        <f>8230.44</f>
        <v>8230.44</v>
      </c>
    </row>
    <row r="1127" spans="1:17" ht="45" customHeight="1" x14ac:dyDescent="0.25">
      <c r="A1127" s="4" t="s">
        <v>17</v>
      </c>
      <c r="B1127" s="5" t="s">
        <v>912</v>
      </c>
      <c r="C1127" s="4"/>
      <c r="D1127" s="4"/>
      <c r="E1127" s="4" t="s">
        <v>2010</v>
      </c>
      <c r="F1127" s="6"/>
      <c r="G1127" s="4"/>
      <c r="H1127" s="7"/>
      <c r="I1127" s="7"/>
      <c r="J1127" s="8"/>
      <c r="K1127" s="9"/>
      <c r="L1127" s="9">
        <f>377318.71</f>
        <v>377318.71</v>
      </c>
      <c r="M1127" s="4"/>
      <c r="N1127" s="10"/>
      <c r="O1127" s="4"/>
      <c r="P1127" s="11"/>
      <c r="Q1127" s="9"/>
    </row>
    <row r="1128" spans="1:17" ht="45" customHeight="1" x14ac:dyDescent="0.25">
      <c r="A1128" s="4" t="s">
        <v>20</v>
      </c>
      <c r="B1128" s="5" t="s">
        <v>2011</v>
      </c>
      <c r="C1128" s="4" t="s">
        <v>29</v>
      </c>
      <c r="D1128" s="4" t="s">
        <v>60</v>
      </c>
      <c r="E1128" s="4" t="s">
        <v>61</v>
      </c>
      <c r="F1128" s="6">
        <f>21</f>
        <v>21</v>
      </c>
      <c r="G1128" s="4" t="s">
        <v>25</v>
      </c>
      <c r="H1128" s="7">
        <v>5.8</v>
      </c>
      <c r="I1128" s="7">
        <v>5.8</v>
      </c>
      <c r="J1128" s="8" t="s">
        <v>26</v>
      </c>
      <c r="K1128" s="9">
        <f>7.29</f>
        <v>7.29</v>
      </c>
      <c r="L1128" s="9">
        <f>153.09</f>
        <v>153.09</v>
      </c>
      <c r="M1128" s="4"/>
      <c r="N1128" s="10">
        <v>1</v>
      </c>
      <c r="O1128" s="4" t="s">
        <v>27</v>
      </c>
      <c r="P1128" s="11">
        <v>21</v>
      </c>
      <c r="Q1128" s="9">
        <f>153.09</f>
        <v>153.09</v>
      </c>
    </row>
    <row r="1129" spans="1:17" ht="45" customHeight="1" x14ac:dyDescent="0.25">
      <c r="A1129" s="4" t="s">
        <v>20</v>
      </c>
      <c r="B1129" s="5" t="s">
        <v>2012</v>
      </c>
      <c r="C1129" s="4" t="s">
        <v>63</v>
      </c>
      <c r="D1129" s="4" t="s">
        <v>520</v>
      </c>
      <c r="E1129" s="4" t="s">
        <v>521</v>
      </c>
      <c r="F1129" s="6">
        <f>1.2</f>
        <v>1.2</v>
      </c>
      <c r="G1129" s="4" t="s">
        <v>25</v>
      </c>
      <c r="H1129" s="7">
        <v>93.84</v>
      </c>
      <c r="I1129" s="7">
        <v>93.84</v>
      </c>
      <c r="J1129" s="8" t="s">
        <v>26</v>
      </c>
      <c r="K1129" s="9">
        <f>117.96</f>
        <v>117.96</v>
      </c>
      <c r="L1129" s="9">
        <f>141.55</f>
        <v>141.55000000000001</v>
      </c>
      <c r="M1129" s="4"/>
      <c r="N1129" s="10">
        <v>1</v>
      </c>
      <c r="O1129" s="4" t="s">
        <v>27</v>
      </c>
      <c r="P1129" s="11">
        <v>1.2</v>
      </c>
      <c r="Q1129" s="9">
        <f>141.55</f>
        <v>141.55000000000001</v>
      </c>
    </row>
    <row r="1130" spans="1:17" ht="45" customHeight="1" x14ac:dyDescent="0.25">
      <c r="A1130" s="4" t="s">
        <v>20</v>
      </c>
      <c r="B1130" s="5" t="s">
        <v>2013</v>
      </c>
      <c r="C1130" s="4" t="s">
        <v>63</v>
      </c>
      <c r="D1130" s="4" t="s">
        <v>319</v>
      </c>
      <c r="E1130" s="4" t="s">
        <v>320</v>
      </c>
      <c r="F1130" s="6">
        <f>1.5</f>
        <v>1.5</v>
      </c>
      <c r="G1130" s="4" t="s">
        <v>25</v>
      </c>
      <c r="H1130" s="7">
        <v>5.09</v>
      </c>
      <c r="I1130" s="7">
        <v>5.09</v>
      </c>
      <c r="J1130" s="8" t="s">
        <v>26</v>
      </c>
      <c r="K1130" s="9">
        <f>6.4</f>
        <v>6.4</v>
      </c>
      <c r="L1130" s="9">
        <f>9.6</f>
        <v>9.6</v>
      </c>
      <c r="M1130" s="4"/>
      <c r="N1130" s="10">
        <v>1</v>
      </c>
      <c r="O1130" s="4" t="s">
        <v>27</v>
      </c>
      <c r="P1130" s="11">
        <v>1.5</v>
      </c>
      <c r="Q1130" s="9">
        <f>9.6</f>
        <v>9.6</v>
      </c>
    </row>
    <row r="1131" spans="1:17" ht="45" customHeight="1" x14ac:dyDescent="0.25">
      <c r="A1131" s="4" t="s">
        <v>20</v>
      </c>
      <c r="B1131" s="5" t="s">
        <v>2014</v>
      </c>
      <c r="C1131" s="4" t="s">
        <v>63</v>
      </c>
      <c r="D1131" s="4" t="s">
        <v>328</v>
      </c>
      <c r="E1131" s="4" t="s">
        <v>329</v>
      </c>
      <c r="F1131" s="6">
        <f>1.5</f>
        <v>1.5</v>
      </c>
      <c r="G1131" s="4" t="s">
        <v>25</v>
      </c>
      <c r="H1131" s="7">
        <v>11.95</v>
      </c>
      <c r="I1131" s="7">
        <v>11.95</v>
      </c>
      <c r="J1131" s="8" t="s">
        <v>26</v>
      </c>
      <c r="K1131" s="9">
        <f>15.02</f>
        <v>15.02</v>
      </c>
      <c r="L1131" s="9">
        <f>22.53</f>
        <v>22.53</v>
      </c>
      <c r="M1131" s="4"/>
      <c r="N1131" s="10">
        <v>1</v>
      </c>
      <c r="O1131" s="4" t="s">
        <v>27</v>
      </c>
      <c r="P1131" s="11">
        <v>1.5</v>
      </c>
      <c r="Q1131" s="9">
        <f>22.53</f>
        <v>22.53</v>
      </c>
    </row>
    <row r="1132" spans="1:17" ht="45" customHeight="1" x14ac:dyDescent="0.25">
      <c r="A1132" s="4" t="s">
        <v>20</v>
      </c>
      <c r="B1132" s="5" t="s">
        <v>2015</v>
      </c>
      <c r="C1132" s="4" t="s">
        <v>63</v>
      </c>
      <c r="D1132" s="4" t="s">
        <v>322</v>
      </c>
      <c r="E1132" s="4" t="s">
        <v>323</v>
      </c>
      <c r="F1132" s="6">
        <f>1.5</f>
        <v>1.5</v>
      </c>
      <c r="G1132" s="4" t="s">
        <v>25</v>
      </c>
      <c r="H1132" s="7">
        <v>9.6300000000000008</v>
      </c>
      <c r="I1132" s="7">
        <v>9.6300000000000008</v>
      </c>
      <c r="J1132" s="8" t="s">
        <v>26</v>
      </c>
      <c r="K1132" s="9">
        <f>12.1</f>
        <v>12.1</v>
      </c>
      <c r="L1132" s="9">
        <f>18.15</f>
        <v>18.149999999999999</v>
      </c>
      <c r="M1132" s="4"/>
      <c r="N1132" s="10">
        <v>1</v>
      </c>
      <c r="O1132" s="4" t="s">
        <v>27</v>
      </c>
      <c r="P1132" s="11">
        <v>1.5</v>
      </c>
      <c r="Q1132" s="9">
        <f>18.15</f>
        <v>18.149999999999999</v>
      </c>
    </row>
    <row r="1133" spans="1:17" ht="45" customHeight="1" x14ac:dyDescent="0.25">
      <c r="A1133" s="4" t="s">
        <v>20</v>
      </c>
      <c r="B1133" s="5" t="s">
        <v>2016</v>
      </c>
      <c r="C1133" s="4" t="s">
        <v>63</v>
      </c>
      <c r="D1133" s="4" t="s">
        <v>921</v>
      </c>
      <c r="E1133" s="4" t="s">
        <v>922</v>
      </c>
      <c r="F1133" s="6">
        <f>29.4</f>
        <v>29.4</v>
      </c>
      <c r="G1133" s="4" t="s">
        <v>75</v>
      </c>
      <c r="H1133" s="7">
        <v>13.8</v>
      </c>
      <c r="I1133" s="7">
        <v>13.8</v>
      </c>
      <c r="J1133" s="8" t="s">
        <v>26</v>
      </c>
      <c r="K1133" s="9">
        <f>17.35</f>
        <v>17.350000000000001</v>
      </c>
      <c r="L1133" s="9">
        <f>510.09</f>
        <v>510.09</v>
      </c>
      <c r="M1133" s="4"/>
      <c r="N1133" s="10">
        <v>1</v>
      </c>
      <c r="O1133" s="4" t="s">
        <v>27</v>
      </c>
      <c r="P1133" s="11">
        <v>29.4</v>
      </c>
      <c r="Q1133" s="9">
        <f>510.09</f>
        <v>510.09</v>
      </c>
    </row>
    <row r="1134" spans="1:17" ht="45" customHeight="1" x14ac:dyDescent="0.25">
      <c r="A1134" s="4" t="s">
        <v>20</v>
      </c>
      <c r="B1134" s="5" t="s">
        <v>2017</v>
      </c>
      <c r="C1134" s="4" t="s">
        <v>63</v>
      </c>
      <c r="D1134" s="4" t="s">
        <v>1040</v>
      </c>
      <c r="E1134" s="4" t="s">
        <v>1041</v>
      </c>
      <c r="F1134" s="6">
        <f>11</f>
        <v>11</v>
      </c>
      <c r="G1134" s="4" t="s">
        <v>75</v>
      </c>
      <c r="H1134" s="7">
        <v>21.06</v>
      </c>
      <c r="I1134" s="7">
        <v>21.06</v>
      </c>
      <c r="J1134" s="8" t="s">
        <v>26</v>
      </c>
      <c r="K1134" s="9">
        <f>26.47</f>
        <v>26.47</v>
      </c>
      <c r="L1134" s="9">
        <f>291.17</f>
        <v>291.17</v>
      </c>
      <c r="M1134" s="4"/>
      <c r="N1134" s="10">
        <v>1</v>
      </c>
      <c r="O1134" s="4" t="s">
        <v>27</v>
      </c>
      <c r="P1134" s="11">
        <v>11</v>
      </c>
      <c r="Q1134" s="9">
        <f>291.17</f>
        <v>291.17</v>
      </c>
    </row>
    <row r="1135" spans="1:17" ht="45" customHeight="1" x14ac:dyDescent="0.25">
      <c r="A1135" s="4" t="s">
        <v>20</v>
      </c>
      <c r="B1135" s="5" t="s">
        <v>2018</v>
      </c>
      <c r="C1135" s="4" t="s">
        <v>63</v>
      </c>
      <c r="D1135" s="4" t="s">
        <v>107</v>
      </c>
      <c r="E1135" s="4" t="s">
        <v>108</v>
      </c>
      <c r="F1135" s="6">
        <f>24.3</f>
        <v>24.3</v>
      </c>
      <c r="G1135" s="4" t="s">
        <v>75</v>
      </c>
      <c r="H1135" s="7">
        <v>8.64</v>
      </c>
      <c r="I1135" s="7">
        <v>8.64</v>
      </c>
      <c r="J1135" s="8" t="s">
        <v>26</v>
      </c>
      <c r="K1135" s="9">
        <f>10.86</f>
        <v>10.86</v>
      </c>
      <c r="L1135" s="9">
        <f>263.9</f>
        <v>263.89999999999998</v>
      </c>
      <c r="M1135" s="4"/>
      <c r="N1135" s="10">
        <v>1</v>
      </c>
      <c r="O1135" s="4" t="s">
        <v>27</v>
      </c>
      <c r="P1135" s="11">
        <v>24.3</v>
      </c>
      <c r="Q1135" s="9">
        <f>263.9</f>
        <v>263.89999999999998</v>
      </c>
    </row>
    <row r="1136" spans="1:17" ht="45" customHeight="1" x14ac:dyDescent="0.25">
      <c r="A1136" s="4" t="s">
        <v>20</v>
      </c>
      <c r="B1136" s="5" t="s">
        <v>2019</v>
      </c>
      <c r="C1136" s="4" t="s">
        <v>63</v>
      </c>
      <c r="D1136" s="4" t="s">
        <v>110</v>
      </c>
      <c r="E1136" s="4" t="s">
        <v>111</v>
      </c>
      <c r="F1136" s="6">
        <f>97.2</f>
        <v>97.2</v>
      </c>
      <c r="G1136" s="4" t="s">
        <v>112</v>
      </c>
      <c r="H1136" s="7">
        <v>3.31</v>
      </c>
      <c r="I1136" s="7">
        <v>3.31</v>
      </c>
      <c r="J1136" s="8" t="s">
        <v>26</v>
      </c>
      <c r="K1136" s="9">
        <f>4.16</f>
        <v>4.16</v>
      </c>
      <c r="L1136" s="9">
        <f>404.35</f>
        <v>404.35</v>
      </c>
      <c r="M1136" s="4"/>
      <c r="N1136" s="10">
        <v>1</v>
      </c>
      <c r="O1136" s="4" t="s">
        <v>27</v>
      </c>
      <c r="P1136" s="11">
        <v>97.2</v>
      </c>
      <c r="Q1136" s="9">
        <f>404.35</f>
        <v>404.35</v>
      </c>
    </row>
    <row r="1137" spans="1:17" ht="45" customHeight="1" x14ac:dyDescent="0.25">
      <c r="A1137" s="4" t="s">
        <v>20</v>
      </c>
      <c r="B1137" s="5" t="s">
        <v>2020</v>
      </c>
      <c r="C1137" s="4" t="s">
        <v>63</v>
      </c>
      <c r="D1137" s="4" t="s">
        <v>114</v>
      </c>
      <c r="E1137" s="4" t="s">
        <v>115</v>
      </c>
      <c r="F1137" s="6">
        <f>24.3</f>
        <v>24.3</v>
      </c>
      <c r="G1137" s="4" t="s">
        <v>75</v>
      </c>
      <c r="H1137" s="7">
        <v>1.45</v>
      </c>
      <c r="I1137" s="7">
        <v>1.45</v>
      </c>
      <c r="J1137" s="8" t="s">
        <v>26</v>
      </c>
      <c r="K1137" s="9">
        <f>1.82</f>
        <v>1.82</v>
      </c>
      <c r="L1137" s="9">
        <f>44.23</f>
        <v>44.23</v>
      </c>
      <c r="M1137" s="4"/>
      <c r="N1137" s="10">
        <v>1</v>
      </c>
      <c r="O1137" s="4" t="s">
        <v>27</v>
      </c>
      <c r="P1137" s="11">
        <v>24.3</v>
      </c>
      <c r="Q1137" s="9">
        <f>44.23</f>
        <v>44.23</v>
      </c>
    </row>
    <row r="1138" spans="1:17" ht="45" customHeight="1" x14ac:dyDescent="0.25">
      <c r="A1138" s="4" t="s">
        <v>20</v>
      </c>
      <c r="B1138" s="5" t="s">
        <v>2021</v>
      </c>
      <c r="C1138" s="4" t="s">
        <v>63</v>
      </c>
      <c r="D1138" s="4" t="s">
        <v>1046</v>
      </c>
      <c r="E1138" s="4" t="s">
        <v>1047</v>
      </c>
      <c r="F1138" s="6">
        <f>18</f>
        <v>18</v>
      </c>
      <c r="G1138" s="4" t="s">
        <v>25</v>
      </c>
      <c r="H1138" s="7">
        <v>76.83</v>
      </c>
      <c r="I1138" s="7">
        <v>76.83</v>
      </c>
      <c r="J1138" s="8" t="s">
        <v>26</v>
      </c>
      <c r="K1138" s="9">
        <f>96.58</f>
        <v>96.58</v>
      </c>
      <c r="L1138" s="9">
        <f>1738.44</f>
        <v>1738.44</v>
      </c>
      <c r="M1138" s="4"/>
      <c r="N1138" s="10">
        <v>1</v>
      </c>
      <c r="O1138" s="4" t="s">
        <v>27</v>
      </c>
      <c r="P1138" s="11">
        <v>18</v>
      </c>
      <c r="Q1138" s="9">
        <f>1738.44</f>
        <v>1738.44</v>
      </c>
    </row>
    <row r="1139" spans="1:17" ht="45" customHeight="1" x14ac:dyDescent="0.25">
      <c r="A1139" s="4" t="s">
        <v>20</v>
      </c>
      <c r="B1139" s="5" t="s">
        <v>2022</v>
      </c>
      <c r="C1139" s="4" t="s">
        <v>63</v>
      </c>
      <c r="D1139" s="4" t="s">
        <v>945</v>
      </c>
      <c r="E1139" s="4" t="s">
        <v>946</v>
      </c>
      <c r="F1139" s="6">
        <f>1.14</f>
        <v>1.1399999999999999</v>
      </c>
      <c r="G1139" s="4" t="s">
        <v>25</v>
      </c>
      <c r="H1139" s="7">
        <v>71.48</v>
      </c>
      <c r="I1139" s="7">
        <v>71.48</v>
      </c>
      <c r="J1139" s="8" t="s">
        <v>26</v>
      </c>
      <c r="K1139" s="9">
        <f>89.85</f>
        <v>89.85</v>
      </c>
      <c r="L1139" s="9">
        <f>102.43</f>
        <v>102.43</v>
      </c>
      <c r="M1139" s="4"/>
      <c r="N1139" s="10">
        <v>1</v>
      </c>
      <c r="O1139" s="4" t="s">
        <v>27</v>
      </c>
      <c r="P1139" s="11">
        <v>1.1399999999999999</v>
      </c>
      <c r="Q1139" s="9">
        <f>102.43</f>
        <v>102.43</v>
      </c>
    </row>
    <row r="1140" spans="1:17" ht="45" customHeight="1" x14ac:dyDescent="0.25">
      <c r="A1140" s="4" t="s">
        <v>20</v>
      </c>
      <c r="B1140" s="5" t="s">
        <v>2023</v>
      </c>
      <c r="C1140" s="4" t="s">
        <v>29</v>
      </c>
      <c r="D1140" s="4" t="s">
        <v>77</v>
      </c>
      <c r="E1140" s="4" t="s">
        <v>78</v>
      </c>
      <c r="F1140" s="6">
        <f>1334</f>
        <v>1334</v>
      </c>
      <c r="G1140" s="4" t="s">
        <v>79</v>
      </c>
      <c r="H1140" s="7">
        <v>13.28</v>
      </c>
      <c r="I1140" s="7">
        <v>13.28</v>
      </c>
      <c r="J1140" s="8" t="s">
        <v>26</v>
      </c>
      <c r="K1140" s="9">
        <f>16.69</f>
        <v>16.690000000000001</v>
      </c>
      <c r="L1140" s="9">
        <f>22264.46</f>
        <v>22264.46</v>
      </c>
      <c r="M1140" s="4"/>
      <c r="N1140" s="10">
        <v>1</v>
      </c>
      <c r="O1140" s="4" t="s">
        <v>27</v>
      </c>
      <c r="P1140" s="11">
        <v>1334</v>
      </c>
      <c r="Q1140" s="9">
        <f>22264.46</f>
        <v>22264.46</v>
      </c>
    </row>
    <row r="1141" spans="1:17" ht="45" customHeight="1" x14ac:dyDescent="0.25">
      <c r="A1141" s="4" t="s">
        <v>20</v>
      </c>
      <c r="B1141" s="5" t="s">
        <v>2024</v>
      </c>
      <c r="C1141" s="4" t="s">
        <v>63</v>
      </c>
      <c r="D1141" s="4" t="s">
        <v>1051</v>
      </c>
      <c r="E1141" s="4" t="s">
        <v>1052</v>
      </c>
      <c r="F1141" s="6">
        <f>21</f>
        <v>21</v>
      </c>
      <c r="G1141" s="4" t="s">
        <v>75</v>
      </c>
      <c r="H1141" s="7">
        <v>558.66999999999996</v>
      </c>
      <c r="I1141" s="7">
        <v>558.66999999999996</v>
      </c>
      <c r="J1141" s="8" t="s">
        <v>26</v>
      </c>
      <c r="K1141" s="9">
        <f>702.25</f>
        <v>702.25</v>
      </c>
      <c r="L1141" s="9">
        <f>14747.25</f>
        <v>14747.25</v>
      </c>
      <c r="M1141" s="4"/>
      <c r="N1141" s="10">
        <v>1</v>
      </c>
      <c r="O1141" s="4" t="s">
        <v>27</v>
      </c>
      <c r="P1141" s="11">
        <v>21</v>
      </c>
      <c r="Q1141" s="9">
        <f>14747.25</f>
        <v>14747.25</v>
      </c>
    </row>
    <row r="1142" spans="1:17" ht="45" customHeight="1" x14ac:dyDescent="0.25">
      <c r="A1142" s="4" t="s">
        <v>20</v>
      </c>
      <c r="B1142" s="5" t="s">
        <v>2025</v>
      </c>
      <c r="C1142" s="4" t="s">
        <v>63</v>
      </c>
      <c r="D1142" s="4" t="s">
        <v>369</v>
      </c>
      <c r="E1142" s="4" t="s">
        <v>370</v>
      </c>
      <c r="F1142" s="6">
        <f>1.2</f>
        <v>1.2</v>
      </c>
      <c r="G1142" s="4" t="s">
        <v>75</v>
      </c>
      <c r="H1142" s="7">
        <v>514.52</v>
      </c>
      <c r="I1142" s="7">
        <v>514.52</v>
      </c>
      <c r="J1142" s="8" t="s">
        <v>26</v>
      </c>
      <c r="K1142" s="9">
        <f>646.75</f>
        <v>646.75</v>
      </c>
      <c r="L1142" s="9">
        <f>776.1</f>
        <v>776.1</v>
      </c>
      <c r="M1142" s="4"/>
      <c r="N1142" s="10">
        <v>1</v>
      </c>
      <c r="O1142" s="4" t="s">
        <v>27</v>
      </c>
      <c r="P1142" s="11">
        <v>1.2</v>
      </c>
      <c r="Q1142" s="9">
        <f>776.1</f>
        <v>776.1</v>
      </c>
    </row>
    <row r="1143" spans="1:17" ht="45" customHeight="1" x14ac:dyDescent="0.25">
      <c r="A1143" s="4" t="s">
        <v>20</v>
      </c>
      <c r="B1143" s="5" t="s">
        <v>2026</v>
      </c>
      <c r="C1143" s="4" t="s">
        <v>63</v>
      </c>
      <c r="D1143" s="4" t="s">
        <v>372</v>
      </c>
      <c r="E1143" s="4" t="s">
        <v>373</v>
      </c>
      <c r="F1143" s="6">
        <f>22.2</f>
        <v>22.2</v>
      </c>
      <c r="G1143" s="4" t="s">
        <v>75</v>
      </c>
      <c r="H1143" s="7">
        <v>41.05</v>
      </c>
      <c r="I1143" s="7">
        <v>41.05</v>
      </c>
      <c r="J1143" s="8" t="s">
        <v>26</v>
      </c>
      <c r="K1143" s="9">
        <f>51.6</f>
        <v>51.6</v>
      </c>
      <c r="L1143" s="9">
        <f>1145.52</f>
        <v>1145.52</v>
      </c>
      <c r="M1143" s="4"/>
      <c r="N1143" s="10">
        <v>1</v>
      </c>
      <c r="O1143" s="4" t="s">
        <v>27</v>
      </c>
      <c r="P1143" s="11">
        <v>22.2</v>
      </c>
      <c r="Q1143" s="9">
        <f>1145.52</f>
        <v>1145.52</v>
      </c>
    </row>
    <row r="1144" spans="1:17" ht="45" customHeight="1" x14ac:dyDescent="0.25">
      <c r="A1144" s="4" t="s">
        <v>20</v>
      </c>
      <c r="B1144" s="5" t="s">
        <v>2027</v>
      </c>
      <c r="C1144" s="4" t="s">
        <v>29</v>
      </c>
      <c r="D1144" s="4" t="s">
        <v>87</v>
      </c>
      <c r="E1144" s="4" t="s">
        <v>88</v>
      </c>
      <c r="F1144" s="6">
        <f>1938</f>
        <v>1938</v>
      </c>
      <c r="G1144" s="4" t="s">
        <v>79</v>
      </c>
      <c r="H1144" s="7">
        <v>4.54</v>
      </c>
      <c r="I1144" s="7">
        <v>4.54</v>
      </c>
      <c r="J1144" s="8" t="s">
        <v>26</v>
      </c>
      <c r="K1144" s="9">
        <f>5.71</f>
        <v>5.71</v>
      </c>
      <c r="L1144" s="9">
        <f>11065.98</f>
        <v>11065.98</v>
      </c>
      <c r="M1144" s="4"/>
      <c r="N1144" s="10">
        <v>1</v>
      </c>
      <c r="O1144" s="4" t="s">
        <v>27</v>
      </c>
      <c r="P1144" s="11">
        <v>1938</v>
      </c>
      <c r="Q1144" s="9">
        <f>11065.98</f>
        <v>11065.98</v>
      </c>
    </row>
    <row r="1145" spans="1:17" ht="45" customHeight="1" x14ac:dyDescent="0.25">
      <c r="A1145" s="4" t="s">
        <v>20</v>
      </c>
      <c r="B1145" s="5" t="s">
        <v>2028</v>
      </c>
      <c r="C1145" s="4" t="s">
        <v>29</v>
      </c>
      <c r="D1145" s="4" t="s">
        <v>386</v>
      </c>
      <c r="E1145" s="4" t="s">
        <v>387</v>
      </c>
      <c r="F1145" s="6">
        <f>22</f>
        <v>22</v>
      </c>
      <c r="G1145" s="4" t="s">
        <v>25</v>
      </c>
      <c r="H1145" s="7">
        <v>29.4</v>
      </c>
      <c r="I1145" s="7">
        <v>29.4</v>
      </c>
      <c r="J1145" s="8" t="s">
        <v>26</v>
      </c>
      <c r="K1145" s="9">
        <f>36.96</f>
        <v>36.96</v>
      </c>
      <c r="L1145" s="9">
        <f>813.12</f>
        <v>813.12</v>
      </c>
      <c r="M1145" s="4"/>
      <c r="N1145" s="10">
        <v>1</v>
      </c>
      <c r="O1145" s="4" t="s">
        <v>27</v>
      </c>
      <c r="P1145" s="11">
        <v>22</v>
      </c>
      <c r="Q1145" s="9">
        <f>813.12</f>
        <v>813.12</v>
      </c>
    </row>
    <row r="1146" spans="1:17" ht="45" customHeight="1" x14ac:dyDescent="0.25">
      <c r="A1146" s="4" t="s">
        <v>20</v>
      </c>
      <c r="B1146" s="5" t="s">
        <v>2029</v>
      </c>
      <c r="C1146" s="4" t="s">
        <v>29</v>
      </c>
      <c r="D1146" s="4" t="s">
        <v>337</v>
      </c>
      <c r="E1146" s="4" t="s">
        <v>338</v>
      </c>
      <c r="F1146" s="6">
        <f>0.32</f>
        <v>0.32</v>
      </c>
      <c r="G1146" s="4" t="s">
        <v>25</v>
      </c>
      <c r="H1146" s="7">
        <v>403.69</v>
      </c>
      <c r="I1146" s="7">
        <v>403.69</v>
      </c>
      <c r="J1146" s="8" t="s">
        <v>26</v>
      </c>
      <c r="K1146" s="9">
        <f>507.44</f>
        <v>507.44</v>
      </c>
      <c r="L1146" s="9">
        <f>162.38</f>
        <v>162.38</v>
      </c>
      <c r="M1146" s="4"/>
      <c r="N1146" s="10">
        <v>1</v>
      </c>
      <c r="O1146" s="4" t="s">
        <v>27</v>
      </c>
      <c r="P1146" s="11">
        <v>0.32</v>
      </c>
      <c r="Q1146" s="9">
        <f>162.38</f>
        <v>162.38</v>
      </c>
    </row>
    <row r="1147" spans="1:17" ht="45" customHeight="1" x14ac:dyDescent="0.25">
      <c r="A1147" s="4" t="s">
        <v>20</v>
      </c>
      <c r="B1147" s="5" t="s">
        <v>2030</v>
      </c>
      <c r="C1147" s="4" t="s">
        <v>22</v>
      </c>
      <c r="D1147" s="4" t="s">
        <v>1059</v>
      </c>
      <c r="E1147" s="4" t="s">
        <v>1060</v>
      </c>
      <c r="F1147" s="6">
        <f>2</f>
        <v>2</v>
      </c>
      <c r="G1147" s="4" t="s">
        <v>46</v>
      </c>
      <c r="H1147" s="7">
        <v>4081.09</v>
      </c>
      <c r="I1147" s="7">
        <v>4081.09</v>
      </c>
      <c r="J1147" s="8" t="s">
        <v>26</v>
      </c>
      <c r="K1147" s="9">
        <f>5129.93</f>
        <v>5129.93</v>
      </c>
      <c r="L1147" s="9">
        <f>10259.86</f>
        <v>10259.86</v>
      </c>
      <c r="M1147" s="4"/>
      <c r="N1147" s="10">
        <v>1</v>
      </c>
      <c r="O1147" s="4" t="s">
        <v>27</v>
      </c>
      <c r="P1147" s="11">
        <v>2</v>
      </c>
      <c r="Q1147" s="9">
        <f>10259.86</f>
        <v>10259.86</v>
      </c>
    </row>
    <row r="1148" spans="1:17" ht="45" customHeight="1" x14ac:dyDescent="0.25">
      <c r="A1148" s="4" t="s">
        <v>20</v>
      </c>
      <c r="B1148" s="5" t="s">
        <v>2031</v>
      </c>
      <c r="C1148" s="4" t="s">
        <v>63</v>
      </c>
      <c r="D1148" s="4" t="s">
        <v>210</v>
      </c>
      <c r="E1148" s="4" t="s">
        <v>211</v>
      </c>
      <c r="F1148" s="6">
        <f>3</f>
        <v>3</v>
      </c>
      <c r="G1148" s="4" t="s">
        <v>75</v>
      </c>
      <c r="H1148" s="7">
        <v>82.75</v>
      </c>
      <c r="I1148" s="7">
        <v>82.75</v>
      </c>
      <c r="J1148" s="8" t="s">
        <v>26</v>
      </c>
      <c r="K1148" s="9">
        <f>104.02</f>
        <v>104.02</v>
      </c>
      <c r="L1148" s="9">
        <f>312.06</f>
        <v>312.06</v>
      </c>
      <c r="M1148" s="4"/>
      <c r="N1148" s="10">
        <v>1</v>
      </c>
      <c r="O1148" s="4" t="s">
        <v>27</v>
      </c>
      <c r="P1148" s="11">
        <v>3</v>
      </c>
      <c r="Q1148" s="9">
        <f>312.06</f>
        <v>312.06</v>
      </c>
    </row>
    <row r="1149" spans="1:17" ht="45" customHeight="1" x14ac:dyDescent="0.25">
      <c r="A1149" s="4" t="s">
        <v>20</v>
      </c>
      <c r="B1149" s="5" t="s">
        <v>2032</v>
      </c>
      <c r="C1149" s="4" t="s">
        <v>63</v>
      </c>
      <c r="D1149" s="4" t="s">
        <v>213</v>
      </c>
      <c r="E1149" s="4" t="s">
        <v>214</v>
      </c>
      <c r="F1149" s="6">
        <f>57</f>
        <v>57</v>
      </c>
      <c r="G1149" s="4" t="s">
        <v>75</v>
      </c>
      <c r="H1149" s="7">
        <v>13.66</v>
      </c>
      <c r="I1149" s="7">
        <v>13.66</v>
      </c>
      <c r="J1149" s="8" t="s">
        <v>26</v>
      </c>
      <c r="K1149" s="9">
        <f>17.17</f>
        <v>17.170000000000002</v>
      </c>
      <c r="L1149" s="9">
        <f>978.69</f>
        <v>978.69</v>
      </c>
      <c r="M1149" s="4"/>
      <c r="N1149" s="10">
        <v>1</v>
      </c>
      <c r="O1149" s="4" t="s">
        <v>27</v>
      </c>
      <c r="P1149" s="11">
        <v>57</v>
      </c>
      <c r="Q1149" s="9">
        <f>978.69</f>
        <v>978.69</v>
      </c>
    </row>
    <row r="1150" spans="1:17" ht="45" customHeight="1" x14ac:dyDescent="0.25">
      <c r="A1150" s="4" t="s">
        <v>20</v>
      </c>
      <c r="B1150" s="5" t="s">
        <v>2033</v>
      </c>
      <c r="C1150" s="4" t="s">
        <v>29</v>
      </c>
      <c r="D1150" s="4" t="s">
        <v>216</v>
      </c>
      <c r="E1150" s="4" t="s">
        <v>217</v>
      </c>
      <c r="F1150" s="6">
        <f>60</f>
        <v>60</v>
      </c>
      <c r="G1150" s="4" t="s">
        <v>75</v>
      </c>
      <c r="H1150" s="7">
        <v>35.19</v>
      </c>
      <c r="I1150" s="7">
        <v>35.19</v>
      </c>
      <c r="J1150" s="8" t="s">
        <v>26</v>
      </c>
      <c r="K1150" s="9">
        <f>44.23</f>
        <v>44.23</v>
      </c>
      <c r="L1150" s="9">
        <f>2653.8</f>
        <v>2653.8</v>
      </c>
      <c r="M1150" s="4"/>
      <c r="N1150" s="10">
        <v>1</v>
      </c>
      <c r="O1150" s="4" t="s">
        <v>27</v>
      </c>
      <c r="P1150" s="11">
        <v>60</v>
      </c>
      <c r="Q1150" s="9">
        <f>2653.8</f>
        <v>2653.8</v>
      </c>
    </row>
    <row r="1151" spans="1:17" ht="45" customHeight="1" x14ac:dyDescent="0.25">
      <c r="A1151" s="4" t="s">
        <v>20</v>
      </c>
      <c r="B1151" s="5" t="s">
        <v>2034</v>
      </c>
      <c r="C1151" s="4" t="s">
        <v>63</v>
      </c>
      <c r="D1151" s="4" t="s">
        <v>219</v>
      </c>
      <c r="E1151" s="4" t="s">
        <v>220</v>
      </c>
      <c r="F1151" s="6">
        <f>61</f>
        <v>61</v>
      </c>
      <c r="G1151" s="4" t="s">
        <v>25</v>
      </c>
      <c r="H1151" s="7">
        <v>6.38</v>
      </c>
      <c r="I1151" s="7">
        <v>6.38</v>
      </c>
      <c r="J1151" s="8" t="s">
        <v>26</v>
      </c>
      <c r="K1151" s="9">
        <f>8.02</f>
        <v>8.02</v>
      </c>
      <c r="L1151" s="9">
        <f>489.22</f>
        <v>489.22</v>
      </c>
      <c r="M1151" s="4"/>
      <c r="N1151" s="10">
        <v>1</v>
      </c>
      <c r="O1151" s="4" t="s">
        <v>27</v>
      </c>
      <c r="P1151" s="11">
        <v>61</v>
      </c>
      <c r="Q1151" s="9">
        <f>489.22</f>
        <v>489.22</v>
      </c>
    </row>
    <row r="1152" spans="1:17" ht="45" customHeight="1" x14ac:dyDescent="0.25">
      <c r="A1152" s="4" t="s">
        <v>20</v>
      </c>
      <c r="B1152" s="5" t="s">
        <v>2035</v>
      </c>
      <c r="C1152" s="4" t="s">
        <v>63</v>
      </c>
      <c r="D1152" s="4" t="s">
        <v>1830</v>
      </c>
      <c r="E1152" s="4" t="s">
        <v>1831</v>
      </c>
      <c r="F1152" s="6">
        <f>8</f>
        <v>8</v>
      </c>
      <c r="G1152" s="4" t="s">
        <v>96</v>
      </c>
      <c r="H1152" s="7">
        <v>4.41</v>
      </c>
      <c r="I1152" s="7">
        <v>4.41</v>
      </c>
      <c r="J1152" s="8" t="s">
        <v>26</v>
      </c>
      <c r="K1152" s="9">
        <f>5.54</f>
        <v>5.54</v>
      </c>
      <c r="L1152" s="9">
        <f>44.32</f>
        <v>44.32</v>
      </c>
      <c r="M1152" s="4"/>
      <c r="N1152" s="10">
        <v>1</v>
      </c>
      <c r="O1152" s="4" t="s">
        <v>27</v>
      </c>
      <c r="P1152" s="11">
        <v>8</v>
      </c>
      <c r="Q1152" s="9">
        <f>44.32</f>
        <v>44.32</v>
      </c>
    </row>
    <row r="1153" spans="1:17" ht="45" customHeight="1" x14ac:dyDescent="0.25">
      <c r="A1153" s="4" t="s">
        <v>20</v>
      </c>
      <c r="B1153" s="5" t="s">
        <v>2036</v>
      </c>
      <c r="C1153" s="4" t="s">
        <v>63</v>
      </c>
      <c r="D1153" s="4" t="s">
        <v>1827</v>
      </c>
      <c r="E1153" s="4" t="s">
        <v>1828</v>
      </c>
      <c r="F1153" s="6">
        <f>8</f>
        <v>8</v>
      </c>
      <c r="G1153" s="4" t="s">
        <v>96</v>
      </c>
      <c r="H1153" s="7">
        <v>3.78</v>
      </c>
      <c r="I1153" s="7">
        <v>3.78</v>
      </c>
      <c r="J1153" s="8" t="s">
        <v>26</v>
      </c>
      <c r="K1153" s="9">
        <f>4.75</f>
        <v>4.75</v>
      </c>
      <c r="L1153" s="9">
        <f>38</f>
        <v>38</v>
      </c>
      <c r="M1153" s="4"/>
      <c r="N1153" s="10">
        <v>1</v>
      </c>
      <c r="O1153" s="4" t="s">
        <v>27</v>
      </c>
      <c r="P1153" s="11">
        <v>8</v>
      </c>
      <c r="Q1153" s="9">
        <f>38</f>
        <v>38</v>
      </c>
    </row>
    <row r="1154" spans="1:17" ht="45" customHeight="1" x14ac:dyDescent="0.25">
      <c r="A1154" s="4" t="s">
        <v>20</v>
      </c>
      <c r="B1154" s="5" t="s">
        <v>2037</v>
      </c>
      <c r="C1154" s="4" t="s">
        <v>63</v>
      </c>
      <c r="D1154" s="4" t="s">
        <v>958</v>
      </c>
      <c r="E1154" s="4" t="s">
        <v>959</v>
      </c>
      <c r="F1154" s="6">
        <f>45</f>
        <v>45</v>
      </c>
      <c r="G1154" s="4" t="s">
        <v>96</v>
      </c>
      <c r="H1154" s="7">
        <v>3.27</v>
      </c>
      <c r="I1154" s="7">
        <v>3.27</v>
      </c>
      <c r="J1154" s="8" t="s">
        <v>26</v>
      </c>
      <c r="K1154" s="9">
        <f>4.11</f>
        <v>4.1100000000000003</v>
      </c>
      <c r="L1154" s="9">
        <f>184.95</f>
        <v>184.95</v>
      </c>
      <c r="M1154" s="4"/>
      <c r="N1154" s="10">
        <v>1</v>
      </c>
      <c r="O1154" s="4" t="s">
        <v>27</v>
      </c>
      <c r="P1154" s="11">
        <v>45</v>
      </c>
      <c r="Q1154" s="9">
        <f>184.95</f>
        <v>184.95</v>
      </c>
    </row>
    <row r="1155" spans="1:17" ht="45" customHeight="1" x14ac:dyDescent="0.25">
      <c r="A1155" s="4" t="s">
        <v>20</v>
      </c>
      <c r="B1155" s="5" t="s">
        <v>2038</v>
      </c>
      <c r="C1155" s="4" t="s">
        <v>63</v>
      </c>
      <c r="D1155" s="4" t="s">
        <v>2039</v>
      </c>
      <c r="E1155" s="4" t="s">
        <v>2040</v>
      </c>
      <c r="F1155" s="6">
        <f>15</f>
        <v>15</v>
      </c>
      <c r="G1155" s="4" t="s">
        <v>96</v>
      </c>
      <c r="H1155" s="7">
        <v>4.4800000000000004</v>
      </c>
      <c r="I1155" s="7">
        <v>4.4800000000000004</v>
      </c>
      <c r="J1155" s="8" t="s">
        <v>26</v>
      </c>
      <c r="K1155" s="9">
        <f>5.63</f>
        <v>5.63</v>
      </c>
      <c r="L1155" s="9">
        <f>84.45</f>
        <v>84.45</v>
      </c>
      <c r="M1155" s="4"/>
      <c r="N1155" s="10">
        <v>1</v>
      </c>
      <c r="O1155" s="4" t="s">
        <v>27</v>
      </c>
      <c r="P1155" s="11">
        <v>15</v>
      </c>
      <c r="Q1155" s="9">
        <f>84.45</f>
        <v>84.45</v>
      </c>
    </row>
    <row r="1156" spans="1:17" ht="45" customHeight="1" x14ac:dyDescent="0.25">
      <c r="A1156" s="4" t="s">
        <v>20</v>
      </c>
      <c r="B1156" s="5" t="s">
        <v>2041</v>
      </c>
      <c r="C1156" s="4" t="s">
        <v>29</v>
      </c>
      <c r="D1156" s="4" t="s">
        <v>120</v>
      </c>
      <c r="E1156" s="4" t="s">
        <v>121</v>
      </c>
      <c r="F1156" s="6">
        <f>28</f>
        <v>28</v>
      </c>
      <c r="G1156" s="4" t="s">
        <v>46</v>
      </c>
      <c r="H1156" s="7">
        <v>3.34</v>
      </c>
      <c r="I1156" s="7">
        <v>3.34</v>
      </c>
      <c r="J1156" s="8" t="s">
        <v>122</v>
      </c>
      <c r="K1156" s="9">
        <f>3.98</f>
        <v>3.98</v>
      </c>
      <c r="L1156" s="9">
        <f>111.44</f>
        <v>111.44</v>
      </c>
      <c r="M1156" s="4"/>
      <c r="N1156" s="10">
        <v>1</v>
      </c>
      <c r="O1156" s="4" t="s">
        <v>27</v>
      </c>
      <c r="P1156" s="11">
        <v>28</v>
      </c>
      <c r="Q1156" s="9">
        <f>111.44</f>
        <v>111.44</v>
      </c>
    </row>
    <row r="1157" spans="1:17" ht="45" customHeight="1" x14ac:dyDescent="0.25">
      <c r="A1157" s="4" t="s">
        <v>20</v>
      </c>
      <c r="B1157" s="5" t="s">
        <v>2042</v>
      </c>
      <c r="C1157" s="4" t="s">
        <v>29</v>
      </c>
      <c r="D1157" s="4" t="s">
        <v>396</v>
      </c>
      <c r="E1157" s="4" t="s">
        <v>397</v>
      </c>
      <c r="F1157" s="6">
        <f>11</f>
        <v>11</v>
      </c>
      <c r="G1157" s="4" t="s">
        <v>46</v>
      </c>
      <c r="H1157" s="7">
        <v>5.33</v>
      </c>
      <c r="I1157" s="7">
        <v>5.33</v>
      </c>
      <c r="J1157" s="8" t="s">
        <v>122</v>
      </c>
      <c r="K1157" s="9">
        <f>6.35</f>
        <v>6.35</v>
      </c>
      <c r="L1157" s="9">
        <f>69.85</f>
        <v>69.849999999999994</v>
      </c>
      <c r="M1157" s="4"/>
      <c r="N1157" s="10">
        <v>1</v>
      </c>
      <c r="O1157" s="4" t="s">
        <v>27</v>
      </c>
      <c r="P1157" s="11">
        <v>11</v>
      </c>
      <c r="Q1157" s="9">
        <f>69.85</f>
        <v>69.849999999999994</v>
      </c>
    </row>
    <row r="1158" spans="1:17" ht="45" customHeight="1" x14ac:dyDescent="0.25">
      <c r="A1158" s="4" t="s">
        <v>20</v>
      </c>
      <c r="B1158" s="5" t="s">
        <v>2043</v>
      </c>
      <c r="C1158" s="4" t="s">
        <v>29</v>
      </c>
      <c r="D1158" s="4" t="s">
        <v>151</v>
      </c>
      <c r="E1158" s="4" t="s">
        <v>152</v>
      </c>
      <c r="F1158" s="6">
        <f>88</f>
        <v>88</v>
      </c>
      <c r="G1158" s="4" t="s">
        <v>46</v>
      </c>
      <c r="H1158" s="7">
        <v>9.17</v>
      </c>
      <c r="I1158" s="7">
        <v>9.17</v>
      </c>
      <c r="J1158" s="8" t="s">
        <v>122</v>
      </c>
      <c r="K1158" s="9">
        <f>10.92</f>
        <v>10.92</v>
      </c>
      <c r="L1158" s="9">
        <f>960.96</f>
        <v>960.96</v>
      </c>
      <c r="M1158" s="4"/>
      <c r="N1158" s="10">
        <v>1</v>
      </c>
      <c r="O1158" s="4" t="s">
        <v>27</v>
      </c>
      <c r="P1158" s="11">
        <v>88</v>
      </c>
      <c r="Q1158" s="9">
        <f>960.96</f>
        <v>960.96</v>
      </c>
    </row>
    <row r="1159" spans="1:17" ht="45" customHeight="1" x14ac:dyDescent="0.25">
      <c r="A1159" s="4" t="s">
        <v>20</v>
      </c>
      <c r="B1159" s="5" t="s">
        <v>2044</v>
      </c>
      <c r="C1159" s="4" t="s">
        <v>29</v>
      </c>
      <c r="D1159" s="4" t="s">
        <v>154</v>
      </c>
      <c r="E1159" s="4" t="s">
        <v>155</v>
      </c>
      <c r="F1159" s="6">
        <f>224</f>
        <v>224</v>
      </c>
      <c r="G1159" s="4" t="s">
        <v>46</v>
      </c>
      <c r="H1159" s="7">
        <v>3.77</v>
      </c>
      <c r="I1159" s="7">
        <v>3.77</v>
      </c>
      <c r="J1159" s="8" t="s">
        <v>122</v>
      </c>
      <c r="K1159" s="9">
        <f>4.49</f>
        <v>4.49</v>
      </c>
      <c r="L1159" s="9">
        <f>1005.76</f>
        <v>1005.76</v>
      </c>
      <c r="M1159" s="4"/>
      <c r="N1159" s="10">
        <v>1</v>
      </c>
      <c r="O1159" s="4" t="s">
        <v>27</v>
      </c>
      <c r="P1159" s="11">
        <v>224</v>
      </c>
      <c r="Q1159" s="9">
        <f>1005.76</f>
        <v>1005.76</v>
      </c>
    </row>
    <row r="1160" spans="1:17" ht="45" customHeight="1" x14ac:dyDescent="0.25">
      <c r="A1160" s="4" t="s">
        <v>20</v>
      </c>
      <c r="B1160" s="5" t="s">
        <v>2045</v>
      </c>
      <c r="C1160" s="4" t="s">
        <v>29</v>
      </c>
      <c r="D1160" s="4" t="s">
        <v>1062</v>
      </c>
      <c r="E1160" s="4" t="s">
        <v>1063</v>
      </c>
      <c r="F1160" s="6">
        <f>2</f>
        <v>2</v>
      </c>
      <c r="G1160" s="4" t="s">
        <v>46</v>
      </c>
      <c r="H1160" s="7">
        <v>38.14</v>
      </c>
      <c r="I1160" s="7">
        <v>38.14</v>
      </c>
      <c r="J1160" s="8" t="s">
        <v>122</v>
      </c>
      <c r="K1160" s="9">
        <f>45.41</f>
        <v>45.41</v>
      </c>
      <c r="L1160" s="9">
        <f>90.82</f>
        <v>90.82</v>
      </c>
      <c r="M1160" s="4"/>
      <c r="N1160" s="10">
        <v>1</v>
      </c>
      <c r="O1160" s="4" t="s">
        <v>27</v>
      </c>
      <c r="P1160" s="11">
        <v>2</v>
      </c>
      <c r="Q1160" s="9">
        <f>90.82</f>
        <v>90.82</v>
      </c>
    </row>
    <row r="1161" spans="1:17" ht="45" customHeight="1" x14ac:dyDescent="0.25">
      <c r="A1161" s="4" t="s">
        <v>20</v>
      </c>
      <c r="B1161" s="5" t="s">
        <v>2046</v>
      </c>
      <c r="C1161" s="4" t="s">
        <v>29</v>
      </c>
      <c r="D1161" s="4" t="s">
        <v>1071</v>
      </c>
      <c r="E1161" s="4" t="s">
        <v>1072</v>
      </c>
      <c r="F1161" s="6">
        <f>3</f>
        <v>3</v>
      </c>
      <c r="G1161" s="4" t="s">
        <v>46</v>
      </c>
      <c r="H1161" s="7">
        <v>214.64</v>
      </c>
      <c r="I1161" s="7">
        <v>214.64</v>
      </c>
      <c r="J1161" s="8" t="s">
        <v>122</v>
      </c>
      <c r="K1161" s="9">
        <f>255.53</f>
        <v>255.53</v>
      </c>
      <c r="L1161" s="9">
        <f>766.59</f>
        <v>766.59</v>
      </c>
      <c r="M1161" s="4"/>
      <c r="N1161" s="10">
        <v>1</v>
      </c>
      <c r="O1161" s="4" t="s">
        <v>27</v>
      </c>
      <c r="P1161" s="11">
        <v>3</v>
      </c>
      <c r="Q1161" s="9">
        <f>766.59</f>
        <v>766.59</v>
      </c>
    </row>
    <row r="1162" spans="1:17" ht="45" customHeight="1" x14ac:dyDescent="0.25">
      <c r="A1162" s="4" t="s">
        <v>20</v>
      </c>
      <c r="B1162" s="5" t="s">
        <v>2047</v>
      </c>
      <c r="C1162" s="4" t="s">
        <v>29</v>
      </c>
      <c r="D1162" s="4" t="s">
        <v>1126</v>
      </c>
      <c r="E1162" s="4" t="s">
        <v>1127</v>
      </c>
      <c r="F1162" s="6">
        <f>2</f>
        <v>2</v>
      </c>
      <c r="G1162" s="4" t="s">
        <v>46</v>
      </c>
      <c r="H1162" s="7">
        <v>824.52</v>
      </c>
      <c r="I1162" s="7">
        <v>824.52</v>
      </c>
      <c r="J1162" s="8" t="s">
        <v>122</v>
      </c>
      <c r="K1162" s="9">
        <f>981.59</f>
        <v>981.59</v>
      </c>
      <c r="L1162" s="9">
        <f>1963.18</f>
        <v>1963.18</v>
      </c>
      <c r="M1162" s="4"/>
      <c r="N1162" s="10">
        <v>1</v>
      </c>
      <c r="O1162" s="4" t="s">
        <v>27</v>
      </c>
      <c r="P1162" s="11">
        <v>2</v>
      </c>
      <c r="Q1162" s="9">
        <f>1963.18</f>
        <v>1963.18</v>
      </c>
    </row>
    <row r="1163" spans="1:17" ht="45" customHeight="1" x14ac:dyDescent="0.25">
      <c r="A1163" s="4" t="s">
        <v>20</v>
      </c>
      <c r="B1163" s="5" t="s">
        <v>2048</v>
      </c>
      <c r="C1163" s="4" t="s">
        <v>29</v>
      </c>
      <c r="D1163" s="4" t="s">
        <v>411</v>
      </c>
      <c r="E1163" s="4" t="s">
        <v>412</v>
      </c>
      <c r="F1163" s="6">
        <f>5</f>
        <v>5</v>
      </c>
      <c r="G1163" s="4" t="s">
        <v>46</v>
      </c>
      <c r="H1163" s="7">
        <v>222.22</v>
      </c>
      <c r="I1163" s="7">
        <v>222.22</v>
      </c>
      <c r="J1163" s="8" t="s">
        <v>122</v>
      </c>
      <c r="K1163" s="9">
        <f>264.55</f>
        <v>264.55</v>
      </c>
      <c r="L1163" s="9">
        <f>1322.75</f>
        <v>1322.75</v>
      </c>
      <c r="M1163" s="4"/>
      <c r="N1163" s="10">
        <v>1</v>
      </c>
      <c r="O1163" s="4" t="s">
        <v>27</v>
      </c>
      <c r="P1163" s="11">
        <v>5</v>
      </c>
      <c r="Q1163" s="9">
        <f>1322.75</f>
        <v>1322.75</v>
      </c>
    </row>
    <row r="1164" spans="1:17" ht="45" customHeight="1" x14ac:dyDescent="0.25">
      <c r="A1164" s="4" t="s">
        <v>20</v>
      </c>
      <c r="B1164" s="5" t="s">
        <v>2049</v>
      </c>
      <c r="C1164" s="4" t="s">
        <v>29</v>
      </c>
      <c r="D1164" s="4" t="s">
        <v>1096</v>
      </c>
      <c r="E1164" s="4" t="s">
        <v>1097</v>
      </c>
      <c r="F1164" s="6">
        <f>3</f>
        <v>3</v>
      </c>
      <c r="G1164" s="4" t="s">
        <v>46</v>
      </c>
      <c r="H1164" s="7">
        <v>1079.01</v>
      </c>
      <c r="I1164" s="7">
        <v>1079.01</v>
      </c>
      <c r="J1164" s="8" t="s">
        <v>122</v>
      </c>
      <c r="K1164" s="9">
        <f>1284.56</f>
        <v>1284.56</v>
      </c>
      <c r="L1164" s="9">
        <f>3853.68</f>
        <v>3853.68</v>
      </c>
      <c r="M1164" s="4"/>
      <c r="N1164" s="10">
        <v>1</v>
      </c>
      <c r="O1164" s="4" t="s">
        <v>27</v>
      </c>
      <c r="P1164" s="11">
        <v>3</v>
      </c>
      <c r="Q1164" s="9">
        <f>3853.68</f>
        <v>3853.68</v>
      </c>
    </row>
    <row r="1165" spans="1:17" ht="45" customHeight="1" x14ac:dyDescent="0.25">
      <c r="A1165" s="4" t="s">
        <v>20</v>
      </c>
      <c r="B1165" s="5" t="s">
        <v>2050</v>
      </c>
      <c r="C1165" s="4" t="s">
        <v>29</v>
      </c>
      <c r="D1165" s="4" t="s">
        <v>1081</v>
      </c>
      <c r="E1165" s="4" t="s">
        <v>1082</v>
      </c>
      <c r="F1165" s="6">
        <f>3</f>
        <v>3</v>
      </c>
      <c r="G1165" s="4" t="s">
        <v>46</v>
      </c>
      <c r="H1165" s="7">
        <v>325.60000000000002</v>
      </c>
      <c r="I1165" s="7">
        <v>325.60000000000002</v>
      </c>
      <c r="J1165" s="8" t="s">
        <v>122</v>
      </c>
      <c r="K1165" s="9">
        <f>387.63</f>
        <v>387.63</v>
      </c>
      <c r="L1165" s="9">
        <f>1162.89</f>
        <v>1162.8900000000001</v>
      </c>
      <c r="M1165" s="4"/>
      <c r="N1165" s="10">
        <v>1</v>
      </c>
      <c r="O1165" s="4" t="s">
        <v>27</v>
      </c>
      <c r="P1165" s="11">
        <v>3</v>
      </c>
      <c r="Q1165" s="9">
        <f>1162.89</f>
        <v>1162.8900000000001</v>
      </c>
    </row>
    <row r="1166" spans="1:17" ht="45" customHeight="1" x14ac:dyDescent="0.25">
      <c r="A1166" s="4" t="s">
        <v>20</v>
      </c>
      <c r="B1166" s="5" t="s">
        <v>2051</v>
      </c>
      <c r="C1166" s="4" t="s">
        <v>29</v>
      </c>
      <c r="D1166" s="4" t="s">
        <v>1113</v>
      </c>
      <c r="E1166" s="4" t="s">
        <v>1114</v>
      </c>
      <c r="F1166" s="6">
        <f>3</f>
        <v>3</v>
      </c>
      <c r="G1166" s="4" t="s">
        <v>46</v>
      </c>
      <c r="H1166" s="7">
        <v>3413.56</v>
      </c>
      <c r="I1166" s="7">
        <v>3413.56</v>
      </c>
      <c r="J1166" s="8" t="s">
        <v>122</v>
      </c>
      <c r="K1166" s="9">
        <f>4063.84</f>
        <v>4063.84</v>
      </c>
      <c r="L1166" s="9">
        <f>12191.52</f>
        <v>12191.52</v>
      </c>
      <c r="M1166" s="4"/>
      <c r="N1166" s="10">
        <v>1</v>
      </c>
      <c r="O1166" s="4" t="s">
        <v>27</v>
      </c>
      <c r="P1166" s="11">
        <v>3</v>
      </c>
      <c r="Q1166" s="9">
        <f>12191.52</f>
        <v>12191.52</v>
      </c>
    </row>
    <row r="1167" spans="1:17" ht="45" customHeight="1" x14ac:dyDescent="0.25">
      <c r="A1167" s="4" t="s">
        <v>20</v>
      </c>
      <c r="B1167" s="5" t="s">
        <v>2052</v>
      </c>
      <c r="C1167" s="4" t="s">
        <v>29</v>
      </c>
      <c r="D1167" s="4" t="s">
        <v>1099</v>
      </c>
      <c r="E1167" s="4" t="s">
        <v>1100</v>
      </c>
      <c r="F1167" s="6">
        <f>3</f>
        <v>3</v>
      </c>
      <c r="G1167" s="4" t="s">
        <v>46</v>
      </c>
      <c r="H1167" s="7">
        <v>2889.03</v>
      </c>
      <c r="I1167" s="7">
        <v>2889.03</v>
      </c>
      <c r="J1167" s="8" t="s">
        <v>122</v>
      </c>
      <c r="K1167" s="9">
        <f>3439.39</f>
        <v>3439.39</v>
      </c>
      <c r="L1167" s="9">
        <f>10318.17</f>
        <v>10318.17</v>
      </c>
      <c r="M1167" s="4"/>
      <c r="N1167" s="10">
        <v>1</v>
      </c>
      <c r="O1167" s="4" t="s">
        <v>27</v>
      </c>
      <c r="P1167" s="11">
        <v>3</v>
      </c>
      <c r="Q1167" s="9">
        <f>10318.17</f>
        <v>10318.17</v>
      </c>
    </row>
    <row r="1168" spans="1:17" ht="45" customHeight="1" x14ac:dyDescent="0.25">
      <c r="A1168" s="4" t="s">
        <v>20</v>
      </c>
      <c r="B1168" s="5" t="s">
        <v>2053</v>
      </c>
      <c r="C1168" s="4" t="s">
        <v>29</v>
      </c>
      <c r="D1168" s="4" t="s">
        <v>133</v>
      </c>
      <c r="E1168" s="4" t="s">
        <v>134</v>
      </c>
      <c r="F1168" s="6">
        <f>2</f>
        <v>2</v>
      </c>
      <c r="G1168" s="4" t="s">
        <v>46</v>
      </c>
      <c r="H1168" s="7">
        <v>288.58999999999997</v>
      </c>
      <c r="I1168" s="7">
        <v>288.58999999999997</v>
      </c>
      <c r="J1168" s="8" t="s">
        <v>122</v>
      </c>
      <c r="K1168" s="9">
        <f>343.57</f>
        <v>343.57</v>
      </c>
      <c r="L1168" s="9">
        <f>687.14</f>
        <v>687.14</v>
      </c>
      <c r="M1168" s="4"/>
      <c r="N1168" s="10">
        <v>1</v>
      </c>
      <c r="O1168" s="4" t="s">
        <v>27</v>
      </c>
      <c r="P1168" s="11">
        <v>2</v>
      </c>
      <c r="Q1168" s="9">
        <f>687.14</f>
        <v>687.14</v>
      </c>
    </row>
    <row r="1169" spans="1:17" ht="45" customHeight="1" x14ac:dyDescent="0.25">
      <c r="A1169" s="4" t="s">
        <v>20</v>
      </c>
      <c r="B1169" s="5" t="s">
        <v>2054</v>
      </c>
      <c r="C1169" s="4" t="s">
        <v>29</v>
      </c>
      <c r="D1169" s="4" t="s">
        <v>1108</v>
      </c>
      <c r="E1169" s="4" t="s">
        <v>1109</v>
      </c>
      <c r="F1169" s="6">
        <f>2</f>
        <v>2</v>
      </c>
      <c r="G1169" s="4" t="s">
        <v>46</v>
      </c>
      <c r="H1169" s="7">
        <v>2693.19</v>
      </c>
      <c r="I1169" s="7">
        <v>2693.19</v>
      </c>
      <c r="J1169" s="8" t="s">
        <v>122</v>
      </c>
      <c r="K1169" s="9">
        <f>3206.24</f>
        <v>3206.24</v>
      </c>
      <c r="L1169" s="9">
        <f>6412.48</f>
        <v>6412.48</v>
      </c>
      <c r="M1169" s="4"/>
      <c r="N1169" s="10">
        <v>1</v>
      </c>
      <c r="O1169" s="4" t="s">
        <v>27</v>
      </c>
      <c r="P1169" s="11">
        <v>2</v>
      </c>
      <c r="Q1169" s="9">
        <f>6412.48</f>
        <v>6412.48</v>
      </c>
    </row>
    <row r="1170" spans="1:17" ht="45" customHeight="1" x14ac:dyDescent="0.25">
      <c r="A1170" s="4" t="s">
        <v>20</v>
      </c>
      <c r="B1170" s="5" t="s">
        <v>2055</v>
      </c>
      <c r="C1170" s="4" t="s">
        <v>29</v>
      </c>
      <c r="D1170" s="4" t="s">
        <v>1108</v>
      </c>
      <c r="E1170" s="4" t="s">
        <v>1109</v>
      </c>
      <c r="F1170" s="6">
        <f>1</f>
        <v>1</v>
      </c>
      <c r="G1170" s="4" t="s">
        <v>46</v>
      </c>
      <c r="H1170" s="7">
        <v>2693.19</v>
      </c>
      <c r="I1170" s="7">
        <v>2693.19</v>
      </c>
      <c r="J1170" s="8" t="s">
        <v>122</v>
      </c>
      <c r="K1170" s="9">
        <f>3206.24</f>
        <v>3206.24</v>
      </c>
      <c r="L1170" s="9">
        <f>3206.24</f>
        <v>3206.24</v>
      </c>
      <c r="M1170" s="4"/>
      <c r="N1170" s="10">
        <v>1</v>
      </c>
      <c r="O1170" s="4" t="s">
        <v>27</v>
      </c>
      <c r="P1170" s="11">
        <v>1</v>
      </c>
      <c r="Q1170" s="9">
        <f>3206.24</f>
        <v>3206.24</v>
      </c>
    </row>
    <row r="1171" spans="1:17" ht="45" customHeight="1" x14ac:dyDescent="0.25">
      <c r="A1171" s="4" t="s">
        <v>20</v>
      </c>
      <c r="B1171" s="5" t="s">
        <v>2056</v>
      </c>
      <c r="C1171" s="4" t="s">
        <v>29</v>
      </c>
      <c r="D1171" s="4" t="s">
        <v>166</v>
      </c>
      <c r="E1171" s="4" t="s">
        <v>167</v>
      </c>
      <c r="F1171" s="6">
        <f>2</f>
        <v>2</v>
      </c>
      <c r="G1171" s="4" t="s">
        <v>46</v>
      </c>
      <c r="H1171" s="7">
        <v>791.97</v>
      </c>
      <c r="I1171" s="7">
        <v>791.97</v>
      </c>
      <c r="J1171" s="8" t="s">
        <v>122</v>
      </c>
      <c r="K1171" s="9">
        <f>942.84</f>
        <v>942.84</v>
      </c>
      <c r="L1171" s="9">
        <f>1885.68</f>
        <v>1885.68</v>
      </c>
      <c r="M1171" s="4"/>
      <c r="N1171" s="10">
        <v>1</v>
      </c>
      <c r="O1171" s="4" t="s">
        <v>27</v>
      </c>
      <c r="P1171" s="11">
        <v>2</v>
      </c>
      <c r="Q1171" s="9">
        <f>1885.68</f>
        <v>1885.68</v>
      </c>
    </row>
    <row r="1172" spans="1:17" ht="45" customHeight="1" x14ac:dyDescent="0.25">
      <c r="A1172" s="4" t="s">
        <v>20</v>
      </c>
      <c r="B1172" s="5" t="s">
        <v>2057</v>
      </c>
      <c r="C1172" s="4" t="s">
        <v>29</v>
      </c>
      <c r="D1172" s="4" t="s">
        <v>1108</v>
      </c>
      <c r="E1172" s="4" t="s">
        <v>1109</v>
      </c>
      <c r="F1172" s="6">
        <f>1</f>
        <v>1</v>
      </c>
      <c r="G1172" s="4" t="s">
        <v>46</v>
      </c>
      <c r="H1172" s="7">
        <v>2693.19</v>
      </c>
      <c r="I1172" s="7">
        <v>2693.19</v>
      </c>
      <c r="J1172" s="8" t="s">
        <v>122</v>
      </c>
      <c r="K1172" s="9">
        <f>3206.24</f>
        <v>3206.24</v>
      </c>
      <c r="L1172" s="9">
        <f>3206.24</f>
        <v>3206.24</v>
      </c>
      <c r="M1172" s="4"/>
      <c r="N1172" s="10">
        <v>1</v>
      </c>
      <c r="O1172" s="4" t="s">
        <v>27</v>
      </c>
      <c r="P1172" s="11">
        <v>1</v>
      </c>
      <c r="Q1172" s="9">
        <f>3206.24</f>
        <v>3206.24</v>
      </c>
    </row>
    <row r="1173" spans="1:17" ht="45" customHeight="1" x14ac:dyDescent="0.25">
      <c r="A1173" s="4" t="s">
        <v>20</v>
      </c>
      <c r="B1173" s="5" t="s">
        <v>2058</v>
      </c>
      <c r="C1173" s="4" t="s">
        <v>29</v>
      </c>
      <c r="D1173" s="4" t="s">
        <v>1123</v>
      </c>
      <c r="E1173" s="4" t="s">
        <v>1124</v>
      </c>
      <c r="F1173" s="6">
        <f>1</f>
        <v>1</v>
      </c>
      <c r="G1173" s="4" t="s">
        <v>46</v>
      </c>
      <c r="H1173" s="7">
        <v>1138.68</v>
      </c>
      <c r="I1173" s="7">
        <v>1138.68</v>
      </c>
      <c r="J1173" s="8" t="s">
        <v>122</v>
      </c>
      <c r="K1173" s="9">
        <f>1355.6</f>
        <v>1355.6</v>
      </c>
      <c r="L1173" s="9">
        <f>1355.6</f>
        <v>1355.6</v>
      </c>
      <c r="M1173" s="4"/>
      <c r="N1173" s="10">
        <v>1</v>
      </c>
      <c r="O1173" s="4" t="s">
        <v>27</v>
      </c>
      <c r="P1173" s="11">
        <v>1</v>
      </c>
      <c r="Q1173" s="9">
        <f>1355.6</f>
        <v>1355.6</v>
      </c>
    </row>
    <row r="1174" spans="1:17" ht="45" customHeight="1" x14ac:dyDescent="0.25">
      <c r="A1174" s="4" t="s">
        <v>20</v>
      </c>
      <c r="B1174" s="5" t="s">
        <v>2059</v>
      </c>
      <c r="C1174" s="4" t="s">
        <v>29</v>
      </c>
      <c r="D1174" s="4" t="s">
        <v>424</v>
      </c>
      <c r="E1174" s="4" t="s">
        <v>425</v>
      </c>
      <c r="F1174" s="6">
        <f>1</f>
        <v>1</v>
      </c>
      <c r="G1174" s="4" t="s">
        <v>46</v>
      </c>
      <c r="H1174" s="7">
        <v>340.5</v>
      </c>
      <c r="I1174" s="7">
        <v>340.5</v>
      </c>
      <c r="J1174" s="8" t="s">
        <v>122</v>
      </c>
      <c r="K1174" s="9">
        <f>405.37</f>
        <v>405.37</v>
      </c>
      <c r="L1174" s="9">
        <f>405.37</f>
        <v>405.37</v>
      </c>
      <c r="M1174" s="4"/>
      <c r="N1174" s="10">
        <v>1</v>
      </c>
      <c r="O1174" s="4" t="s">
        <v>27</v>
      </c>
      <c r="P1174" s="11">
        <v>1</v>
      </c>
      <c r="Q1174" s="9">
        <f>405.37</f>
        <v>405.37</v>
      </c>
    </row>
    <row r="1175" spans="1:17" ht="45" customHeight="1" x14ac:dyDescent="0.25">
      <c r="A1175" s="4" t="s">
        <v>20</v>
      </c>
      <c r="B1175" s="5" t="s">
        <v>2060</v>
      </c>
      <c r="C1175" s="4" t="s">
        <v>29</v>
      </c>
      <c r="D1175" s="4" t="s">
        <v>828</v>
      </c>
      <c r="E1175" s="4" t="s">
        <v>829</v>
      </c>
      <c r="F1175" s="6">
        <f>0.5</f>
        <v>0.5</v>
      </c>
      <c r="G1175" s="4" t="s">
        <v>96</v>
      </c>
      <c r="H1175" s="7">
        <v>585.02</v>
      </c>
      <c r="I1175" s="7">
        <v>585.02</v>
      </c>
      <c r="J1175" s="8" t="s">
        <v>122</v>
      </c>
      <c r="K1175" s="9">
        <f>696.47</f>
        <v>696.47</v>
      </c>
      <c r="L1175" s="9">
        <f>348.24</f>
        <v>348.24</v>
      </c>
      <c r="M1175" s="4"/>
      <c r="N1175" s="10">
        <v>1</v>
      </c>
      <c r="O1175" s="4" t="s">
        <v>27</v>
      </c>
      <c r="P1175" s="11">
        <v>0.5</v>
      </c>
      <c r="Q1175" s="9">
        <f>348.24</f>
        <v>348.24</v>
      </c>
    </row>
    <row r="1176" spans="1:17" ht="45" customHeight="1" x14ac:dyDescent="0.25">
      <c r="A1176" s="4" t="s">
        <v>20</v>
      </c>
      <c r="B1176" s="5" t="s">
        <v>2061</v>
      </c>
      <c r="C1176" s="4" t="s">
        <v>29</v>
      </c>
      <c r="D1176" s="4" t="s">
        <v>1078</v>
      </c>
      <c r="E1176" s="4" t="s">
        <v>1079</v>
      </c>
      <c r="F1176" s="6">
        <f>2</f>
        <v>2</v>
      </c>
      <c r="G1176" s="4" t="s">
        <v>46</v>
      </c>
      <c r="H1176" s="7">
        <v>353.1</v>
      </c>
      <c r="I1176" s="7">
        <v>353.1</v>
      </c>
      <c r="J1176" s="8" t="s">
        <v>122</v>
      </c>
      <c r="K1176" s="9">
        <f>420.37</f>
        <v>420.37</v>
      </c>
      <c r="L1176" s="9">
        <f>840.74</f>
        <v>840.74</v>
      </c>
      <c r="M1176" s="4"/>
      <c r="N1176" s="10">
        <v>1</v>
      </c>
      <c r="O1176" s="4" t="s">
        <v>27</v>
      </c>
      <c r="P1176" s="11">
        <v>2</v>
      </c>
      <c r="Q1176" s="9">
        <f>840.74</f>
        <v>840.74</v>
      </c>
    </row>
    <row r="1177" spans="1:17" ht="45" customHeight="1" x14ac:dyDescent="0.25">
      <c r="A1177" s="4" t="s">
        <v>20</v>
      </c>
      <c r="B1177" s="5" t="s">
        <v>2062</v>
      </c>
      <c r="C1177" s="4" t="s">
        <v>29</v>
      </c>
      <c r="D1177" s="4" t="s">
        <v>1105</v>
      </c>
      <c r="E1177" s="4" t="s">
        <v>1106</v>
      </c>
      <c r="F1177" s="6">
        <f>1</f>
        <v>1</v>
      </c>
      <c r="G1177" s="4" t="s">
        <v>46</v>
      </c>
      <c r="H1177" s="7">
        <v>3598.68</v>
      </c>
      <c r="I1177" s="7">
        <v>3598.68</v>
      </c>
      <c r="J1177" s="8" t="s">
        <v>122</v>
      </c>
      <c r="K1177" s="9">
        <f>4284.23</f>
        <v>4284.2299999999996</v>
      </c>
      <c r="L1177" s="9">
        <f>4284.23</f>
        <v>4284.2299999999996</v>
      </c>
      <c r="M1177" s="4"/>
      <c r="N1177" s="10">
        <v>1</v>
      </c>
      <c r="O1177" s="4" t="s">
        <v>27</v>
      </c>
      <c r="P1177" s="11">
        <v>1</v>
      </c>
      <c r="Q1177" s="9">
        <f>4284.23</f>
        <v>4284.2299999999996</v>
      </c>
    </row>
    <row r="1178" spans="1:17" ht="45" customHeight="1" x14ac:dyDescent="0.25">
      <c r="A1178" s="4" t="s">
        <v>20</v>
      </c>
      <c r="B1178" s="5" t="s">
        <v>2063</v>
      </c>
      <c r="C1178" s="4" t="s">
        <v>29</v>
      </c>
      <c r="D1178" s="4" t="s">
        <v>1068</v>
      </c>
      <c r="E1178" s="4" t="s">
        <v>1069</v>
      </c>
      <c r="F1178" s="6">
        <f>2</f>
        <v>2</v>
      </c>
      <c r="G1178" s="4" t="s">
        <v>46</v>
      </c>
      <c r="H1178" s="7">
        <v>552.55999999999995</v>
      </c>
      <c r="I1178" s="7">
        <v>552.55999999999995</v>
      </c>
      <c r="J1178" s="8" t="s">
        <v>122</v>
      </c>
      <c r="K1178" s="9">
        <f>657.82</f>
        <v>657.82</v>
      </c>
      <c r="L1178" s="9">
        <f>1315.64</f>
        <v>1315.64</v>
      </c>
      <c r="M1178" s="4"/>
      <c r="N1178" s="10">
        <v>1</v>
      </c>
      <c r="O1178" s="4" t="s">
        <v>27</v>
      </c>
      <c r="P1178" s="11">
        <v>2</v>
      </c>
      <c r="Q1178" s="9">
        <f>1315.64</f>
        <v>1315.64</v>
      </c>
    </row>
    <row r="1179" spans="1:17" ht="45" customHeight="1" x14ac:dyDescent="0.25">
      <c r="A1179" s="4" t="s">
        <v>20</v>
      </c>
      <c r="B1179" s="5" t="s">
        <v>2064</v>
      </c>
      <c r="C1179" s="4" t="s">
        <v>29</v>
      </c>
      <c r="D1179" s="4" t="s">
        <v>1116</v>
      </c>
      <c r="E1179" s="4" t="s">
        <v>1117</v>
      </c>
      <c r="F1179" s="6">
        <f>1</f>
        <v>1</v>
      </c>
      <c r="G1179" s="4" t="s">
        <v>46</v>
      </c>
      <c r="H1179" s="7">
        <v>2952.62</v>
      </c>
      <c r="I1179" s="7">
        <v>2952.62</v>
      </c>
      <c r="J1179" s="8" t="s">
        <v>122</v>
      </c>
      <c r="K1179" s="9">
        <f>3515.09</f>
        <v>3515.09</v>
      </c>
      <c r="L1179" s="9">
        <f>3515.09</f>
        <v>3515.09</v>
      </c>
      <c r="M1179" s="4"/>
      <c r="N1179" s="10">
        <v>1</v>
      </c>
      <c r="O1179" s="4" t="s">
        <v>27</v>
      </c>
      <c r="P1179" s="11">
        <v>1</v>
      </c>
      <c r="Q1179" s="9">
        <f>3515.09</f>
        <v>3515.09</v>
      </c>
    </row>
    <row r="1180" spans="1:17" ht="45" customHeight="1" x14ac:dyDescent="0.25">
      <c r="A1180" s="4" t="s">
        <v>20</v>
      </c>
      <c r="B1180" s="5" t="s">
        <v>2065</v>
      </c>
      <c r="C1180" s="4" t="s">
        <v>29</v>
      </c>
      <c r="D1180" s="4" t="s">
        <v>1105</v>
      </c>
      <c r="E1180" s="4" t="s">
        <v>1106</v>
      </c>
      <c r="F1180" s="6">
        <f>1</f>
        <v>1</v>
      </c>
      <c r="G1180" s="4" t="s">
        <v>46</v>
      </c>
      <c r="H1180" s="7">
        <v>3598.68</v>
      </c>
      <c r="I1180" s="7">
        <v>3598.68</v>
      </c>
      <c r="J1180" s="8" t="s">
        <v>122</v>
      </c>
      <c r="K1180" s="9">
        <f>4284.23</f>
        <v>4284.2299999999996</v>
      </c>
      <c r="L1180" s="9">
        <f>4284.23</f>
        <v>4284.2299999999996</v>
      </c>
      <c r="M1180" s="4"/>
      <c r="N1180" s="10">
        <v>1</v>
      </c>
      <c r="O1180" s="4" t="s">
        <v>27</v>
      </c>
      <c r="P1180" s="11">
        <v>1</v>
      </c>
      <c r="Q1180" s="9">
        <f>4284.23</f>
        <v>4284.2299999999996</v>
      </c>
    </row>
    <row r="1181" spans="1:17" ht="45" customHeight="1" x14ac:dyDescent="0.25">
      <c r="A1181" s="4" t="s">
        <v>20</v>
      </c>
      <c r="B1181" s="5" t="s">
        <v>2066</v>
      </c>
      <c r="C1181" s="4" t="s">
        <v>29</v>
      </c>
      <c r="D1181" s="4" t="s">
        <v>1119</v>
      </c>
      <c r="E1181" s="4" t="s">
        <v>1120</v>
      </c>
      <c r="F1181" s="6">
        <f>1</f>
        <v>1</v>
      </c>
      <c r="G1181" s="4" t="s">
        <v>46</v>
      </c>
      <c r="H1181" s="7">
        <v>4169.74</v>
      </c>
      <c r="I1181" s="7">
        <v>4169.74</v>
      </c>
      <c r="J1181" s="8" t="s">
        <v>122</v>
      </c>
      <c r="K1181" s="9">
        <f>4964.08</f>
        <v>4964.08</v>
      </c>
      <c r="L1181" s="9">
        <f>4964.08</f>
        <v>4964.08</v>
      </c>
      <c r="M1181" s="4"/>
      <c r="N1181" s="10">
        <v>1</v>
      </c>
      <c r="O1181" s="4" t="s">
        <v>27</v>
      </c>
      <c r="P1181" s="11">
        <v>1</v>
      </c>
      <c r="Q1181" s="9">
        <f>4964.08</f>
        <v>4964.08</v>
      </c>
    </row>
    <row r="1182" spans="1:17" ht="45" customHeight="1" x14ac:dyDescent="0.25">
      <c r="A1182" s="4" t="s">
        <v>20</v>
      </c>
      <c r="B1182" s="5" t="s">
        <v>2067</v>
      </c>
      <c r="C1182" s="4" t="s">
        <v>29</v>
      </c>
      <c r="D1182" s="4" t="s">
        <v>1084</v>
      </c>
      <c r="E1182" s="4" t="s">
        <v>1085</v>
      </c>
      <c r="F1182" s="6">
        <f>1</f>
        <v>1</v>
      </c>
      <c r="G1182" s="4" t="s">
        <v>46</v>
      </c>
      <c r="H1182" s="7">
        <v>515.11</v>
      </c>
      <c r="I1182" s="7">
        <v>515.11</v>
      </c>
      <c r="J1182" s="8" t="s">
        <v>122</v>
      </c>
      <c r="K1182" s="9">
        <f>613.24</f>
        <v>613.24</v>
      </c>
      <c r="L1182" s="9">
        <f>613.24</f>
        <v>613.24</v>
      </c>
      <c r="M1182" s="4"/>
      <c r="N1182" s="10">
        <v>1</v>
      </c>
      <c r="O1182" s="4" t="s">
        <v>27</v>
      </c>
      <c r="P1182" s="11">
        <v>1</v>
      </c>
      <c r="Q1182" s="9">
        <f>613.24</f>
        <v>613.24</v>
      </c>
    </row>
    <row r="1183" spans="1:17" ht="45" customHeight="1" x14ac:dyDescent="0.25">
      <c r="A1183" s="4" t="s">
        <v>20</v>
      </c>
      <c r="B1183" s="5" t="s">
        <v>2068</v>
      </c>
      <c r="C1183" s="4" t="s">
        <v>29</v>
      </c>
      <c r="D1183" s="4" t="s">
        <v>1102</v>
      </c>
      <c r="E1183" s="4" t="s">
        <v>1103</v>
      </c>
      <c r="F1183" s="6">
        <f>1</f>
        <v>1</v>
      </c>
      <c r="G1183" s="4" t="s">
        <v>46</v>
      </c>
      <c r="H1183" s="7">
        <v>2669.41</v>
      </c>
      <c r="I1183" s="7">
        <v>2669.41</v>
      </c>
      <c r="J1183" s="8" t="s">
        <v>122</v>
      </c>
      <c r="K1183" s="9">
        <f>3177.93</f>
        <v>3177.93</v>
      </c>
      <c r="L1183" s="9">
        <f>3177.93</f>
        <v>3177.93</v>
      </c>
      <c r="M1183" s="4"/>
      <c r="N1183" s="10">
        <v>1</v>
      </c>
      <c r="O1183" s="4" t="s">
        <v>27</v>
      </c>
      <c r="P1183" s="11">
        <v>1</v>
      </c>
      <c r="Q1183" s="9">
        <f>3177.93</f>
        <v>3177.93</v>
      </c>
    </row>
    <row r="1184" spans="1:17" ht="45" customHeight="1" x14ac:dyDescent="0.25">
      <c r="A1184" s="4" t="s">
        <v>20</v>
      </c>
      <c r="B1184" s="5" t="s">
        <v>2069</v>
      </c>
      <c r="C1184" s="4" t="s">
        <v>29</v>
      </c>
      <c r="D1184" s="4" t="s">
        <v>1088</v>
      </c>
      <c r="E1184" s="4" t="s">
        <v>1089</v>
      </c>
      <c r="F1184" s="6">
        <f>1</f>
        <v>1</v>
      </c>
      <c r="G1184" s="4" t="s">
        <v>46</v>
      </c>
      <c r="H1184" s="7">
        <v>368.55</v>
      </c>
      <c r="I1184" s="7">
        <v>368.55</v>
      </c>
      <c r="J1184" s="8" t="s">
        <v>122</v>
      </c>
      <c r="K1184" s="9">
        <f>438.76</f>
        <v>438.76</v>
      </c>
      <c r="L1184" s="9">
        <f>438.76</f>
        <v>438.76</v>
      </c>
      <c r="M1184" s="4"/>
      <c r="N1184" s="10">
        <v>1</v>
      </c>
      <c r="O1184" s="4" t="s">
        <v>27</v>
      </c>
      <c r="P1184" s="11">
        <v>1</v>
      </c>
      <c r="Q1184" s="9">
        <f>438.76</f>
        <v>438.76</v>
      </c>
    </row>
    <row r="1185" spans="1:17" ht="45" customHeight="1" x14ac:dyDescent="0.25">
      <c r="A1185" s="4" t="s">
        <v>20</v>
      </c>
      <c r="B1185" s="5" t="s">
        <v>2070</v>
      </c>
      <c r="C1185" s="4" t="s">
        <v>29</v>
      </c>
      <c r="D1185" s="4" t="s">
        <v>1074</v>
      </c>
      <c r="E1185" s="4" t="s">
        <v>1075</v>
      </c>
      <c r="F1185" s="6">
        <f>1</f>
        <v>1</v>
      </c>
      <c r="G1185" s="4" t="s">
        <v>46</v>
      </c>
      <c r="H1185" s="7">
        <v>382.72</v>
      </c>
      <c r="I1185" s="7">
        <v>382.72</v>
      </c>
      <c r="J1185" s="8" t="s">
        <v>122</v>
      </c>
      <c r="K1185" s="9">
        <f>455.63</f>
        <v>455.63</v>
      </c>
      <c r="L1185" s="9">
        <f>455.63</f>
        <v>455.63</v>
      </c>
      <c r="M1185" s="4"/>
      <c r="N1185" s="10">
        <v>1</v>
      </c>
      <c r="O1185" s="4" t="s">
        <v>27</v>
      </c>
      <c r="P1185" s="11">
        <v>1</v>
      </c>
      <c r="Q1185" s="9">
        <f>455.63</f>
        <v>455.63</v>
      </c>
    </row>
    <row r="1186" spans="1:17" ht="45" customHeight="1" x14ac:dyDescent="0.25">
      <c r="A1186" s="4" t="s">
        <v>20</v>
      </c>
      <c r="B1186" s="5" t="s">
        <v>2071</v>
      </c>
      <c r="C1186" s="4" t="s">
        <v>29</v>
      </c>
      <c r="D1186" s="4" t="s">
        <v>1130</v>
      </c>
      <c r="E1186" s="4" t="s">
        <v>1131</v>
      </c>
      <c r="F1186" s="6">
        <f>0.6</f>
        <v>0.6</v>
      </c>
      <c r="G1186" s="4" t="s">
        <v>96</v>
      </c>
      <c r="H1186" s="7">
        <v>711.32</v>
      </c>
      <c r="I1186" s="7">
        <v>711.32</v>
      </c>
      <c r="J1186" s="8" t="s">
        <v>122</v>
      </c>
      <c r="K1186" s="9">
        <f>846.83</f>
        <v>846.83</v>
      </c>
      <c r="L1186" s="9">
        <f>508.1</f>
        <v>508.1</v>
      </c>
      <c r="M1186" s="4"/>
      <c r="N1186" s="10">
        <v>1</v>
      </c>
      <c r="O1186" s="4" t="s">
        <v>27</v>
      </c>
      <c r="P1186" s="11">
        <v>0.6</v>
      </c>
      <c r="Q1186" s="9">
        <f>508.1</f>
        <v>508.1</v>
      </c>
    </row>
    <row r="1187" spans="1:17" ht="45" customHeight="1" x14ac:dyDescent="0.25">
      <c r="A1187" s="4" t="s">
        <v>20</v>
      </c>
      <c r="B1187" s="5" t="s">
        <v>2072</v>
      </c>
      <c r="C1187" s="4" t="s">
        <v>196</v>
      </c>
      <c r="D1187" s="4" t="s">
        <v>897</v>
      </c>
      <c r="E1187" s="4" t="s">
        <v>1094</v>
      </c>
      <c r="F1187" s="6">
        <f>1</f>
        <v>1</v>
      </c>
      <c r="G1187" s="4" t="s">
        <v>46</v>
      </c>
      <c r="H1187" s="7">
        <v>182505</v>
      </c>
      <c r="I1187" s="7">
        <v>182505</v>
      </c>
      <c r="J1187" s="8" t="s">
        <v>122</v>
      </c>
      <c r="K1187" s="9">
        <f>217272.2</f>
        <v>217272.2</v>
      </c>
      <c r="L1187" s="9">
        <f>217272.2</f>
        <v>217272.2</v>
      </c>
      <c r="M1187" s="4"/>
      <c r="N1187" s="10">
        <v>1</v>
      </c>
      <c r="O1187" s="4" t="s">
        <v>27</v>
      </c>
      <c r="P1187" s="11">
        <v>1</v>
      </c>
      <c r="Q1187" s="9">
        <f>217272.2</f>
        <v>217272.2</v>
      </c>
    </row>
    <row r="1188" spans="1:17" ht="45" customHeight="1" x14ac:dyDescent="0.25">
      <c r="A1188" s="4" t="s">
        <v>20</v>
      </c>
      <c r="B1188" s="5" t="s">
        <v>2073</v>
      </c>
      <c r="C1188" s="4" t="s">
        <v>29</v>
      </c>
      <c r="D1188" s="4" t="s">
        <v>411</v>
      </c>
      <c r="E1188" s="4" t="s">
        <v>412</v>
      </c>
      <c r="F1188" s="6">
        <f>1</f>
        <v>1</v>
      </c>
      <c r="G1188" s="4" t="s">
        <v>46</v>
      </c>
      <c r="H1188" s="7">
        <v>222.22</v>
      </c>
      <c r="I1188" s="7">
        <v>222.22</v>
      </c>
      <c r="J1188" s="8" t="s">
        <v>122</v>
      </c>
      <c r="K1188" s="9">
        <f>264.55</f>
        <v>264.55</v>
      </c>
      <c r="L1188" s="9">
        <f>264.55</f>
        <v>264.55</v>
      </c>
      <c r="M1188" s="4"/>
      <c r="N1188" s="10">
        <v>1</v>
      </c>
      <c r="O1188" s="4" t="s">
        <v>27</v>
      </c>
      <c r="P1188" s="11">
        <v>1</v>
      </c>
      <c r="Q1188" s="9">
        <f>264.55</f>
        <v>264.55</v>
      </c>
    </row>
    <row r="1189" spans="1:17" ht="45" customHeight="1" x14ac:dyDescent="0.25">
      <c r="A1189" s="4" t="s">
        <v>20</v>
      </c>
      <c r="B1189" s="5" t="s">
        <v>2074</v>
      </c>
      <c r="C1189" s="4" t="s">
        <v>29</v>
      </c>
      <c r="D1189" s="4" t="s">
        <v>2075</v>
      </c>
      <c r="E1189" s="4" t="s">
        <v>2076</v>
      </c>
      <c r="F1189" s="6">
        <f>1</f>
        <v>1</v>
      </c>
      <c r="G1189" s="4" t="s">
        <v>46</v>
      </c>
      <c r="H1189" s="7">
        <v>2198.23</v>
      </c>
      <c r="I1189" s="7">
        <v>2198.23</v>
      </c>
      <c r="J1189" s="8" t="s">
        <v>122</v>
      </c>
      <c r="K1189" s="9">
        <f>2616.99</f>
        <v>2616.9899999999998</v>
      </c>
      <c r="L1189" s="9">
        <f>2616.99</f>
        <v>2616.9899999999998</v>
      </c>
      <c r="M1189" s="4"/>
      <c r="N1189" s="10">
        <v>1</v>
      </c>
      <c r="O1189" s="4" t="s">
        <v>27</v>
      </c>
      <c r="P1189" s="11">
        <v>1</v>
      </c>
      <c r="Q1189" s="9">
        <f>2616.99</f>
        <v>2616.9899999999998</v>
      </c>
    </row>
    <row r="1190" spans="1:17" ht="45" customHeight="1" x14ac:dyDescent="0.25">
      <c r="A1190" s="4" t="s">
        <v>20</v>
      </c>
      <c r="B1190" s="5" t="s">
        <v>2077</v>
      </c>
      <c r="C1190" s="4" t="s">
        <v>29</v>
      </c>
      <c r="D1190" s="4" t="s">
        <v>1071</v>
      </c>
      <c r="E1190" s="4" t="s">
        <v>1072</v>
      </c>
      <c r="F1190" s="6">
        <f>2</f>
        <v>2</v>
      </c>
      <c r="G1190" s="4" t="s">
        <v>46</v>
      </c>
      <c r="H1190" s="7">
        <v>214.64</v>
      </c>
      <c r="I1190" s="7">
        <v>214.64</v>
      </c>
      <c r="J1190" s="8" t="s">
        <v>122</v>
      </c>
      <c r="K1190" s="9">
        <f>255.53</f>
        <v>255.53</v>
      </c>
      <c r="L1190" s="9">
        <f>511.06</f>
        <v>511.06</v>
      </c>
      <c r="M1190" s="4"/>
      <c r="N1190" s="10">
        <v>1</v>
      </c>
      <c r="O1190" s="4" t="s">
        <v>27</v>
      </c>
      <c r="P1190" s="11">
        <v>2</v>
      </c>
      <c r="Q1190" s="9">
        <f>511.06</f>
        <v>511.06</v>
      </c>
    </row>
    <row r="1191" spans="1:17" ht="45" customHeight="1" x14ac:dyDescent="0.25">
      <c r="A1191" s="4" t="s">
        <v>20</v>
      </c>
      <c r="B1191" s="5" t="s">
        <v>2078</v>
      </c>
      <c r="C1191" s="4" t="s">
        <v>29</v>
      </c>
      <c r="D1191" s="4" t="s">
        <v>2079</v>
      </c>
      <c r="E1191" s="4" t="s">
        <v>2080</v>
      </c>
      <c r="F1191" s="6">
        <f>8</f>
        <v>8</v>
      </c>
      <c r="G1191" s="4" t="s">
        <v>96</v>
      </c>
      <c r="H1191" s="7">
        <v>293.81</v>
      </c>
      <c r="I1191" s="7">
        <v>293.81</v>
      </c>
      <c r="J1191" s="8" t="s">
        <v>122</v>
      </c>
      <c r="K1191" s="9">
        <f>349.78</f>
        <v>349.78</v>
      </c>
      <c r="L1191" s="9">
        <f>2798.24</f>
        <v>2798.24</v>
      </c>
      <c r="M1191" s="4"/>
      <c r="N1191" s="10">
        <v>1</v>
      </c>
      <c r="O1191" s="4" t="s">
        <v>27</v>
      </c>
      <c r="P1191" s="11">
        <v>8</v>
      </c>
      <c r="Q1191" s="9">
        <f>2798.24</f>
        <v>2798.24</v>
      </c>
    </row>
    <row r="1192" spans="1:17" ht="45" customHeight="1" x14ac:dyDescent="0.25">
      <c r="A1192" s="4" t="s">
        <v>20</v>
      </c>
      <c r="B1192" s="5" t="s">
        <v>2081</v>
      </c>
      <c r="C1192" s="4" t="s">
        <v>29</v>
      </c>
      <c r="D1192" s="4" t="s">
        <v>2082</v>
      </c>
      <c r="E1192" s="4" t="s">
        <v>2083</v>
      </c>
      <c r="F1192" s="6">
        <f>8</f>
        <v>8</v>
      </c>
      <c r="G1192" s="4" t="s">
        <v>96</v>
      </c>
      <c r="H1192" s="7">
        <v>262.42</v>
      </c>
      <c r="I1192" s="7">
        <v>262.42</v>
      </c>
      <c r="J1192" s="8" t="s">
        <v>122</v>
      </c>
      <c r="K1192" s="9">
        <f>312.41</f>
        <v>312.41000000000003</v>
      </c>
      <c r="L1192" s="9">
        <f>2499.28</f>
        <v>2499.2800000000002</v>
      </c>
      <c r="M1192" s="4"/>
      <c r="N1192" s="10">
        <v>1</v>
      </c>
      <c r="O1192" s="4" t="s">
        <v>27</v>
      </c>
      <c r="P1192" s="11">
        <v>8</v>
      </c>
      <c r="Q1192" s="9">
        <f>2499.28</f>
        <v>2499.2800000000002</v>
      </c>
    </row>
    <row r="1193" spans="1:17" ht="45" customHeight="1" x14ac:dyDescent="0.25">
      <c r="A1193" s="4" t="s">
        <v>20</v>
      </c>
      <c r="B1193" s="5" t="s">
        <v>2084</v>
      </c>
      <c r="C1193" s="4" t="s">
        <v>29</v>
      </c>
      <c r="D1193" s="4" t="s">
        <v>1415</v>
      </c>
      <c r="E1193" s="4" t="s">
        <v>1416</v>
      </c>
      <c r="F1193" s="6">
        <f>1</f>
        <v>1</v>
      </c>
      <c r="G1193" s="4" t="s">
        <v>46</v>
      </c>
      <c r="H1193" s="7">
        <v>184.51</v>
      </c>
      <c r="I1193" s="7">
        <v>184.51</v>
      </c>
      <c r="J1193" s="8" t="s">
        <v>122</v>
      </c>
      <c r="K1193" s="9">
        <f>219.66</f>
        <v>219.66</v>
      </c>
      <c r="L1193" s="9">
        <f>219.66</f>
        <v>219.66</v>
      </c>
      <c r="M1193" s="4"/>
      <c r="N1193" s="10">
        <v>1</v>
      </c>
      <c r="O1193" s="4" t="s">
        <v>27</v>
      </c>
      <c r="P1193" s="11">
        <v>1</v>
      </c>
      <c r="Q1193" s="9">
        <f>219.66</f>
        <v>219.66</v>
      </c>
    </row>
    <row r="1194" spans="1:17" ht="45" customHeight="1" x14ac:dyDescent="0.25">
      <c r="A1194" s="4" t="s">
        <v>20</v>
      </c>
      <c r="B1194" s="5" t="s">
        <v>2085</v>
      </c>
      <c r="C1194" s="4" t="s">
        <v>29</v>
      </c>
      <c r="D1194" s="4" t="s">
        <v>1904</v>
      </c>
      <c r="E1194" s="4" t="s">
        <v>1905</v>
      </c>
      <c r="F1194" s="6">
        <f>1</f>
        <v>1</v>
      </c>
      <c r="G1194" s="4" t="s">
        <v>46</v>
      </c>
      <c r="H1194" s="7">
        <v>243.88</v>
      </c>
      <c r="I1194" s="7">
        <v>243.88</v>
      </c>
      <c r="J1194" s="8" t="s">
        <v>122</v>
      </c>
      <c r="K1194" s="9">
        <f>290.34</f>
        <v>290.33999999999997</v>
      </c>
      <c r="L1194" s="9">
        <f>290.34</f>
        <v>290.33999999999997</v>
      </c>
      <c r="M1194" s="4"/>
      <c r="N1194" s="10">
        <v>1</v>
      </c>
      <c r="O1194" s="4" t="s">
        <v>27</v>
      </c>
      <c r="P1194" s="11">
        <v>1</v>
      </c>
      <c r="Q1194" s="9">
        <f>290.34</f>
        <v>290.33999999999997</v>
      </c>
    </row>
    <row r="1195" spans="1:17" ht="45" customHeight="1" x14ac:dyDescent="0.25">
      <c r="A1195" s="4" t="s">
        <v>20</v>
      </c>
      <c r="B1195" s="5" t="s">
        <v>2086</v>
      </c>
      <c r="C1195" s="4" t="s">
        <v>63</v>
      </c>
      <c r="D1195" s="4" t="s">
        <v>1023</v>
      </c>
      <c r="E1195" s="4" t="s">
        <v>1024</v>
      </c>
      <c r="F1195" s="6">
        <f>45</f>
        <v>45</v>
      </c>
      <c r="G1195" s="4" t="s">
        <v>96</v>
      </c>
      <c r="H1195" s="7">
        <v>44.84</v>
      </c>
      <c r="I1195" s="7">
        <v>44.84</v>
      </c>
      <c r="J1195" s="8" t="s">
        <v>122</v>
      </c>
      <c r="K1195" s="9">
        <f>53.38</f>
        <v>53.38</v>
      </c>
      <c r="L1195" s="9">
        <f>2402.1</f>
        <v>2402.1</v>
      </c>
      <c r="M1195" s="4"/>
      <c r="N1195" s="10">
        <v>1</v>
      </c>
      <c r="O1195" s="4" t="s">
        <v>27</v>
      </c>
      <c r="P1195" s="11">
        <v>45</v>
      </c>
      <c r="Q1195" s="9">
        <f>2402.1</f>
        <v>2402.1</v>
      </c>
    </row>
    <row r="1196" spans="1:17" ht="45" customHeight="1" x14ac:dyDescent="0.25">
      <c r="A1196" s="4" t="s">
        <v>20</v>
      </c>
      <c r="B1196" s="5" t="s">
        <v>2087</v>
      </c>
      <c r="C1196" s="4" t="s">
        <v>29</v>
      </c>
      <c r="D1196" s="4" t="s">
        <v>1071</v>
      </c>
      <c r="E1196" s="4" t="s">
        <v>1072</v>
      </c>
      <c r="F1196" s="6">
        <f>1</f>
        <v>1</v>
      </c>
      <c r="G1196" s="4" t="s">
        <v>46</v>
      </c>
      <c r="H1196" s="7">
        <v>214.64</v>
      </c>
      <c r="I1196" s="7">
        <v>214.64</v>
      </c>
      <c r="J1196" s="8" t="s">
        <v>122</v>
      </c>
      <c r="K1196" s="9">
        <f>255.53</f>
        <v>255.53</v>
      </c>
      <c r="L1196" s="9">
        <f>255.53</f>
        <v>255.53</v>
      </c>
      <c r="M1196" s="4"/>
      <c r="N1196" s="10">
        <v>1</v>
      </c>
      <c r="O1196" s="4" t="s">
        <v>27</v>
      </c>
      <c r="P1196" s="11">
        <v>1</v>
      </c>
      <c r="Q1196" s="9">
        <f>255.53</f>
        <v>255.53</v>
      </c>
    </row>
    <row r="1197" spans="1:17" ht="45" customHeight="1" x14ac:dyDescent="0.25">
      <c r="A1197" s="4" t="s">
        <v>20</v>
      </c>
      <c r="B1197" s="5" t="s">
        <v>2088</v>
      </c>
      <c r="C1197" s="4" t="s">
        <v>63</v>
      </c>
      <c r="D1197" s="4" t="s">
        <v>1169</v>
      </c>
      <c r="E1197" s="4" t="s">
        <v>1170</v>
      </c>
      <c r="F1197" s="6">
        <f>15</f>
        <v>15</v>
      </c>
      <c r="G1197" s="4" t="s">
        <v>96</v>
      </c>
      <c r="H1197" s="7">
        <v>149.35</v>
      </c>
      <c r="I1197" s="7">
        <v>149.35</v>
      </c>
      <c r="J1197" s="8" t="s">
        <v>122</v>
      </c>
      <c r="K1197" s="9">
        <f>177.8</f>
        <v>177.8</v>
      </c>
      <c r="L1197" s="9">
        <f>2667</f>
        <v>2667</v>
      </c>
      <c r="M1197" s="4"/>
      <c r="N1197" s="10">
        <v>1</v>
      </c>
      <c r="O1197" s="4" t="s">
        <v>27</v>
      </c>
      <c r="P1197" s="11">
        <v>15</v>
      </c>
      <c r="Q1197" s="9">
        <f>2667</f>
        <v>2667</v>
      </c>
    </row>
    <row r="1198" spans="1:17" ht="45" customHeight="1" x14ac:dyDescent="0.25">
      <c r="A1198" s="4" t="s">
        <v>20</v>
      </c>
      <c r="B1198" s="5" t="s">
        <v>2089</v>
      </c>
      <c r="C1198" s="4" t="s">
        <v>29</v>
      </c>
      <c r="D1198" s="4" t="s">
        <v>120</v>
      </c>
      <c r="E1198" s="4" t="s">
        <v>121</v>
      </c>
      <c r="F1198" s="6">
        <f>2</f>
        <v>2</v>
      </c>
      <c r="G1198" s="4" t="s">
        <v>46</v>
      </c>
      <c r="H1198" s="7">
        <v>3.34</v>
      </c>
      <c r="I1198" s="7">
        <v>3.34</v>
      </c>
      <c r="J1198" s="8" t="s">
        <v>122</v>
      </c>
      <c r="K1198" s="9">
        <f>3.98</f>
        <v>3.98</v>
      </c>
      <c r="L1198" s="9">
        <f>7.96</f>
        <v>7.96</v>
      </c>
      <c r="M1198" s="4"/>
      <c r="N1198" s="10">
        <v>1</v>
      </c>
      <c r="O1198" s="4" t="s">
        <v>27</v>
      </c>
      <c r="P1198" s="11">
        <v>2</v>
      </c>
      <c r="Q1198" s="9">
        <f>7.96</f>
        <v>7.96</v>
      </c>
    </row>
    <row r="1199" spans="1:17" ht="45" customHeight="1" x14ac:dyDescent="0.25">
      <c r="A1199" s="4" t="s">
        <v>20</v>
      </c>
      <c r="B1199" s="5" t="s">
        <v>2090</v>
      </c>
      <c r="C1199" s="4" t="s">
        <v>29</v>
      </c>
      <c r="D1199" s="4" t="s">
        <v>154</v>
      </c>
      <c r="E1199" s="4" t="s">
        <v>155</v>
      </c>
      <c r="F1199" s="6">
        <f>16</f>
        <v>16</v>
      </c>
      <c r="G1199" s="4" t="s">
        <v>46</v>
      </c>
      <c r="H1199" s="7">
        <v>3.77</v>
      </c>
      <c r="I1199" s="7">
        <v>3.77</v>
      </c>
      <c r="J1199" s="8" t="s">
        <v>122</v>
      </c>
      <c r="K1199" s="9">
        <f>4.49</f>
        <v>4.49</v>
      </c>
      <c r="L1199" s="9">
        <f>71.84</f>
        <v>71.84</v>
      </c>
      <c r="M1199" s="4"/>
      <c r="N1199" s="10">
        <v>1</v>
      </c>
      <c r="O1199" s="4" t="s">
        <v>27</v>
      </c>
      <c r="P1199" s="11">
        <v>16</v>
      </c>
      <c r="Q1199" s="9">
        <f>71.84</f>
        <v>71.84</v>
      </c>
    </row>
    <row r="1200" spans="1:17" x14ac:dyDescent="0.25">
      <c r="P1200" s="13" t="s">
        <v>2091</v>
      </c>
      <c r="Q1200" s="14">
        <f>10957650.33</f>
        <v>10957650.33</v>
      </c>
    </row>
    <row r="1201" spans="16:17" x14ac:dyDescent="0.25">
      <c r="P1201" s="13" t="s">
        <v>2092</v>
      </c>
      <c r="Q1201" s="14">
        <f>0</f>
        <v>0</v>
      </c>
    </row>
  </sheetData>
  <conditionalFormatting sqref="A2:Q2">
    <cfRule type="expression" dxfId="17" priority="12">
      <formula>$A2="Macrosserviço"</formula>
    </cfRule>
  </conditionalFormatting>
  <conditionalFormatting sqref="E2:E1199">
    <cfRule type="expression" dxfId="16" priority="14">
      <formula>OR(E2="",IF($A2="Macrosserviço",LEN($E2)&gt;100,LEN($E2)&gt;500))</formula>
    </cfRule>
  </conditionalFormatting>
  <conditionalFormatting sqref="M2:M1199">
    <cfRule type="expression" dxfId="15" priority="13">
      <formula>IF($A2="Serviço",LEN(M2)&gt;500,M2&lt;&gt;"")</formula>
    </cfRule>
  </conditionalFormatting>
  <conditionalFormatting sqref="A2:A1199">
    <cfRule type="expression" dxfId="14" priority="11">
      <formula>AND(A2&lt;&gt;"Macrosserviço",A2&lt;&gt;"Serviço")</formula>
    </cfRule>
  </conditionalFormatting>
  <conditionalFormatting sqref="C2:C1199">
    <cfRule type="expression" dxfId="13" priority="10">
      <formula>IF($A2="Serviço",AND(C2&lt;&gt;"Composição",C2&lt;&gt;"Cotação",C2&lt;&gt;"SINAPI",C2&lt;&gt;"Outros"),C2&lt;&gt;"")</formula>
    </cfRule>
  </conditionalFormatting>
  <conditionalFormatting sqref="D2:D1199">
    <cfRule type="expression" dxfId="12" priority="9">
      <formula>IF($A2="Serviço",OR(D2="",LEN($D2)&gt;13),D2&lt;&gt;"")</formula>
    </cfRule>
  </conditionalFormatting>
  <conditionalFormatting sqref="H2:H1199">
    <cfRule type="expression" dxfId="11" priority="8">
      <formula>IF(A2="Serviço",OR(NOT(ISNUMBER(H2)),H2&lt;&gt;ROUND(H2,2),AND(C2&lt;&gt;"SINAPI",H2=0),H2&lt;0,H2&gt;9999999999.99),H2&lt;&gt;"")</formula>
    </cfRule>
  </conditionalFormatting>
  <conditionalFormatting sqref="I2:I1199">
    <cfRule type="expression" dxfId="10" priority="7">
      <formula>IF($A2="Serviço",OR(NOT(ISNUMBER(I2)),I2&lt;&gt;ROUND(I2,2),I2&lt;=0,I2&gt;9999999999.99,AND(I2&gt;H2,H2&gt;0)),I2&lt;&gt;"")</formula>
    </cfRule>
  </conditionalFormatting>
  <conditionalFormatting sqref="J2:J1199">
    <cfRule type="expression" dxfId="9" priority="6">
      <formula>IF($A2="Serviço",OR(NOT(ISNUMBER(VALUE(J2))),VALUE(J2)&lt;&gt;ROUND(VALUE(J2),4),VALUE(J2)&lt;=0,VALUE(J2)&gt;100%),J2&lt;&gt;"")</formula>
    </cfRule>
  </conditionalFormatting>
  <conditionalFormatting sqref="B2:B1199">
    <cfRule type="cellIs" dxfId="8" priority="5" operator="equal">
      <formula>""</formula>
    </cfRule>
  </conditionalFormatting>
  <conditionalFormatting sqref="N2:N1199">
    <cfRule type="expression" dxfId="7" priority="4">
      <formula>IF($A2="Macrosserviço",N2&lt;&gt;"",OR(NOT(ISNUMBER(N2)),N2&lt;&gt;ROUND(N2,0),N2&lt;1,N2&gt;999))</formula>
    </cfRule>
  </conditionalFormatting>
  <conditionalFormatting sqref="O2:O1199">
    <cfRule type="expression" dxfId="6" priority="3">
      <formula>IF($A2="Macrosserviço",O2&lt;&gt;"",OR(O2="",LEN(O2)&gt;100))</formula>
    </cfRule>
  </conditionalFormatting>
  <conditionalFormatting sqref="P2:P1199">
    <cfRule type="expression" dxfId="5" priority="2">
      <formula>IF($A2="Macrosserviço",P2&lt;&gt;"",OR(NOT(ISNUMBER(P2)),P2&lt;&gt;ROUND(P2,2),P2&lt;=0,P2&gt;99999999.99))</formula>
    </cfRule>
  </conditionalFormatting>
  <conditionalFormatting sqref="A3:Q1199">
    <cfRule type="expression" dxfId="4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6E3CF-021B-4C08-9F6D-72BBF1B67C5E}">
  <sheetPr codeName="Planilha4"/>
  <dimension ref="A1:D156"/>
  <sheetViews>
    <sheetView workbookViewId="0"/>
  </sheetViews>
  <sheetFormatPr defaultColWidth="9.140625" defaultRowHeight="15" x14ac:dyDescent="0.25"/>
  <cols>
    <col min="1" max="1" width="15" style="3" customWidth="1"/>
    <col min="2" max="2" width="70" style="3" customWidth="1"/>
    <col min="3" max="3" width="10" style="3" customWidth="1"/>
    <col min="4" max="4" width="20" style="3" customWidth="1"/>
    <col min="5" max="16384" width="9.140625" style="3"/>
  </cols>
  <sheetData>
    <row r="1" spans="1:4" x14ac:dyDescent="0.25">
      <c r="A1" s="1" t="s">
        <v>2093</v>
      </c>
      <c r="B1" s="1" t="s">
        <v>17</v>
      </c>
      <c r="C1" s="1" t="s">
        <v>2094</v>
      </c>
      <c r="D1" s="1" t="s">
        <v>2095</v>
      </c>
    </row>
    <row r="2" spans="1:4" ht="45" customHeight="1" x14ac:dyDescent="0.25">
      <c r="A2" s="15">
        <v>1</v>
      </c>
      <c r="B2" s="15" t="s">
        <v>19</v>
      </c>
      <c r="C2" s="16">
        <v>1</v>
      </c>
      <c r="D2" s="17">
        <v>50</v>
      </c>
    </row>
    <row r="3" spans="1:4" ht="45" customHeight="1" x14ac:dyDescent="0.25">
      <c r="A3" s="18"/>
      <c r="B3" s="18"/>
      <c r="C3" s="16">
        <v>2</v>
      </c>
      <c r="D3" s="17">
        <v>50</v>
      </c>
    </row>
    <row r="4" spans="1:4" ht="45" customHeight="1" x14ac:dyDescent="0.25">
      <c r="A4" s="15">
        <v>2</v>
      </c>
      <c r="B4" s="15" t="s">
        <v>54</v>
      </c>
      <c r="C4" s="16">
        <v>1</v>
      </c>
      <c r="D4" s="17">
        <v>1.5</v>
      </c>
    </row>
    <row r="5" spans="1:4" ht="45" customHeight="1" x14ac:dyDescent="0.25">
      <c r="A5" s="19"/>
      <c r="B5" s="19"/>
      <c r="C5" s="16">
        <v>2</v>
      </c>
      <c r="D5" s="17">
        <v>10</v>
      </c>
    </row>
    <row r="6" spans="1:4" ht="45" customHeight="1" x14ac:dyDescent="0.25">
      <c r="A6" s="19"/>
      <c r="B6" s="19"/>
      <c r="C6" s="16">
        <v>3</v>
      </c>
      <c r="D6" s="17">
        <v>10</v>
      </c>
    </row>
    <row r="7" spans="1:4" ht="45" customHeight="1" x14ac:dyDescent="0.25">
      <c r="A7" s="19"/>
      <c r="B7" s="19"/>
      <c r="C7" s="16">
        <v>4</v>
      </c>
      <c r="D7" s="17">
        <v>10</v>
      </c>
    </row>
    <row r="8" spans="1:4" ht="45" customHeight="1" x14ac:dyDescent="0.25">
      <c r="A8" s="19"/>
      <c r="B8" s="19"/>
      <c r="C8" s="16">
        <v>5</v>
      </c>
      <c r="D8" s="17">
        <v>10</v>
      </c>
    </row>
    <row r="9" spans="1:4" ht="45" customHeight="1" x14ac:dyDescent="0.25">
      <c r="A9" s="19"/>
      <c r="B9" s="19"/>
      <c r="C9" s="16">
        <v>6</v>
      </c>
      <c r="D9" s="17">
        <v>10</v>
      </c>
    </row>
    <row r="10" spans="1:4" ht="45" customHeight="1" x14ac:dyDescent="0.25">
      <c r="A10" s="19"/>
      <c r="B10" s="19"/>
      <c r="C10" s="16">
        <v>7</v>
      </c>
      <c r="D10" s="17">
        <v>8.5</v>
      </c>
    </row>
    <row r="11" spans="1:4" ht="45" customHeight="1" x14ac:dyDescent="0.25">
      <c r="A11" s="19"/>
      <c r="B11" s="19"/>
      <c r="C11" s="16">
        <v>8</v>
      </c>
      <c r="D11" s="17">
        <v>8</v>
      </c>
    </row>
    <row r="12" spans="1:4" ht="45" customHeight="1" x14ac:dyDescent="0.25">
      <c r="A12" s="19"/>
      <c r="B12" s="19"/>
      <c r="C12" s="16">
        <v>9</v>
      </c>
      <c r="D12" s="17">
        <v>8</v>
      </c>
    </row>
    <row r="13" spans="1:4" ht="45" customHeight="1" x14ac:dyDescent="0.25">
      <c r="A13" s="19"/>
      <c r="B13" s="19"/>
      <c r="C13" s="16">
        <v>10</v>
      </c>
      <c r="D13" s="17">
        <v>8</v>
      </c>
    </row>
    <row r="14" spans="1:4" ht="45" customHeight="1" x14ac:dyDescent="0.25">
      <c r="A14" s="19"/>
      <c r="B14" s="19"/>
      <c r="C14" s="16">
        <v>11</v>
      </c>
      <c r="D14" s="17">
        <v>8</v>
      </c>
    </row>
    <row r="15" spans="1:4" ht="45" customHeight="1" x14ac:dyDescent="0.25">
      <c r="A15" s="18"/>
      <c r="B15" s="18"/>
      <c r="C15" s="16">
        <v>12</v>
      </c>
      <c r="D15" s="17">
        <v>8</v>
      </c>
    </row>
    <row r="16" spans="1:4" ht="45" customHeight="1" x14ac:dyDescent="0.25">
      <c r="A16" s="15">
        <v>3</v>
      </c>
      <c r="B16" s="15" t="s">
        <v>58</v>
      </c>
      <c r="C16" s="16">
        <v>1</v>
      </c>
      <c r="D16" s="17">
        <v>10</v>
      </c>
    </row>
    <row r="17" spans="1:4" ht="45" customHeight="1" x14ac:dyDescent="0.25">
      <c r="A17" s="19"/>
      <c r="B17" s="19"/>
      <c r="C17" s="16">
        <v>2</v>
      </c>
      <c r="D17" s="17">
        <v>10</v>
      </c>
    </row>
    <row r="18" spans="1:4" ht="45" customHeight="1" x14ac:dyDescent="0.25">
      <c r="A18" s="19"/>
      <c r="B18" s="19"/>
      <c r="C18" s="16">
        <v>3</v>
      </c>
      <c r="D18" s="17">
        <v>20</v>
      </c>
    </row>
    <row r="19" spans="1:4" ht="45" customHeight="1" x14ac:dyDescent="0.25">
      <c r="A19" s="19"/>
      <c r="B19" s="19"/>
      <c r="C19" s="16">
        <v>4</v>
      </c>
      <c r="D19" s="17">
        <v>20</v>
      </c>
    </row>
    <row r="20" spans="1:4" ht="45" customHeight="1" x14ac:dyDescent="0.25">
      <c r="A20" s="19"/>
      <c r="B20" s="19"/>
      <c r="C20" s="16">
        <v>5</v>
      </c>
      <c r="D20" s="17">
        <v>20</v>
      </c>
    </row>
    <row r="21" spans="1:4" ht="45" customHeight="1" x14ac:dyDescent="0.25">
      <c r="A21" s="18"/>
      <c r="B21" s="18"/>
      <c r="C21" s="16">
        <v>6</v>
      </c>
      <c r="D21" s="17">
        <v>20</v>
      </c>
    </row>
    <row r="22" spans="1:4" ht="45" customHeight="1" x14ac:dyDescent="0.25">
      <c r="A22" s="15">
        <v>4</v>
      </c>
      <c r="B22" s="15" t="s">
        <v>208</v>
      </c>
      <c r="C22" s="16">
        <v>4</v>
      </c>
      <c r="D22" s="17">
        <v>20</v>
      </c>
    </row>
    <row r="23" spans="1:4" ht="45" customHeight="1" x14ac:dyDescent="0.25">
      <c r="A23" s="19"/>
      <c r="B23" s="19"/>
      <c r="C23" s="16">
        <v>5</v>
      </c>
      <c r="D23" s="17">
        <v>20</v>
      </c>
    </row>
    <row r="24" spans="1:4" ht="45" customHeight="1" x14ac:dyDescent="0.25">
      <c r="A24" s="19"/>
      <c r="B24" s="19"/>
      <c r="C24" s="16">
        <v>6</v>
      </c>
      <c r="D24" s="17">
        <v>20</v>
      </c>
    </row>
    <row r="25" spans="1:4" ht="45" customHeight="1" x14ac:dyDescent="0.25">
      <c r="A25" s="19"/>
      <c r="B25" s="19"/>
      <c r="C25" s="16">
        <v>7</v>
      </c>
      <c r="D25" s="17">
        <v>20</v>
      </c>
    </row>
    <row r="26" spans="1:4" ht="45" customHeight="1" x14ac:dyDescent="0.25">
      <c r="A26" s="18"/>
      <c r="B26" s="18"/>
      <c r="C26" s="16">
        <v>8</v>
      </c>
      <c r="D26" s="17">
        <v>20</v>
      </c>
    </row>
    <row r="27" spans="1:4" ht="45" customHeight="1" x14ac:dyDescent="0.25">
      <c r="A27" s="15">
        <v>5</v>
      </c>
      <c r="B27" s="15" t="s">
        <v>239</v>
      </c>
      <c r="C27" s="16">
        <v>7</v>
      </c>
      <c r="D27" s="17">
        <v>20</v>
      </c>
    </row>
    <row r="28" spans="1:4" ht="45" customHeight="1" x14ac:dyDescent="0.25">
      <c r="A28" s="19"/>
      <c r="B28" s="19"/>
      <c r="C28" s="16">
        <v>8</v>
      </c>
      <c r="D28" s="17">
        <v>20</v>
      </c>
    </row>
    <row r="29" spans="1:4" ht="45" customHeight="1" x14ac:dyDescent="0.25">
      <c r="A29" s="19"/>
      <c r="B29" s="19"/>
      <c r="C29" s="16">
        <v>9</v>
      </c>
      <c r="D29" s="17">
        <v>20</v>
      </c>
    </row>
    <row r="30" spans="1:4" ht="45" customHeight="1" x14ac:dyDescent="0.25">
      <c r="A30" s="19"/>
      <c r="B30" s="19"/>
      <c r="C30" s="16">
        <v>10</v>
      </c>
      <c r="D30" s="17">
        <v>20</v>
      </c>
    </row>
    <row r="31" spans="1:4" ht="45" customHeight="1" x14ac:dyDescent="0.25">
      <c r="A31" s="18"/>
      <c r="B31" s="18"/>
      <c r="C31" s="16">
        <v>11</v>
      </c>
      <c r="D31" s="17">
        <v>20</v>
      </c>
    </row>
    <row r="32" spans="1:4" ht="45" customHeight="1" x14ac:dyDescent="0.25">
      <c r="A32" s="15">
        <v>6</v>
      </c>
      <c r="B32" s="15" t="s">
        <v>313</v>
      </c>
      <c r="C32" s="16">
        <v>1</v>
      </c>
      <c r="D32" s="17">
        <v>5</v>
      </c>
    </row>
    <row r="33" spans="1:4" ht="45" customHeight="1" x14ac:dyDescent="0.25">
      <c r="A33" s="19"/>
      <c r="B33" s="19"/>
      <c r="C33" s="16">
        <v>2</v>
      </c>
      <c r="D33" s="17">
        <v>5</v>
      </c>
    </row>
    <row r="34" spans="1:4" ht="45" customHeight="1" x14ac:dyDescent="0.25">
      <c r="A34" s="19"/>
      <c r="B34" s="19"/>
      <c r="C34" s="16">
        <v>3</v>
      </c>
      <c r="D34" s="17">
        <v>10</v>
      </c>
    </row>
    <row r="35" spans="1:4" ht="45" customHeight="1" x14ac:dyDescent="0.25">
      <c r="A35" s="19"/>
      <c r="B35" s="19"/>
      <c r="C35" s="16">
        <v>4</v>
      </c>
      <c r="D35" s="17">
        <v>20</v>
      </c>
    </row>
    <row r="36" spans="1:4" ht="45" customHeight="1" x14ac:dyDescent="0.25">
      <c r="A36" s="19"/>
      <c r="B36" s="19"/>
      <c r="C36" s="16">
        <v>5</v>
      </c>
      <c r="D36" s="17">
        <v>20</v>
      </c>
    </row>
    <row r="37" spans="1:4" ht="45" customHeight="1" x14ac:dyDescent="0.25">
      <c r="A37" s="19"/>
      <c r="B37" s="19"/>
      <c r="C37" s="16">
        <v>6</v>
      </c>
      <c r="D37" s="17">
        <v>20</v>
      </c>
    </row>
    <row r="38" spans="1:4" ht="45" customHeight="1" x14ac:dyDescent="0.25">
      <c r="A38" s="18"/>
      <c r="B38" s="18"/>
      <c r="C38" s="16">
        <v>7</v>
      </c>
      <c r="D38" s="17">
        <v>20</v>
      </c>
    </row>
    <row r="39" spans="1:4" ht="45" customHeight="1" x14ac:dyDescent="0.25">
      <c r="A39" s="15">
        <v>7</v>
      </c>
      <c r="B39" s="15" t="s">
        <v>514</v>
      </c>
      <c r="C39" s="16">
        <v>1</v>
      </c>
      <c r="D39" s="17">
        <v>10</v>
      </c>
    </row>
    <row r="40" spans="1:4" ht="45" customHeight="1" x14ac:dyDescent="0.25">
      <c r="A40" s="19"/>
      <c r="B40" s="19"/>
      <c r="C40" s="16">
        <v>2</v>
      </c>
      <c r="D40" s="17">
        <v>10</v>
      </c>
    </row>
    <row r="41" spans="1:4" ht="45" customHeight="1" x14ac:dyDescent="0.25">
      <c r="A41" s="19"/>
      <c r="B41" s="19"/>
      <c r="C41" s="16">
        <v>3</v>
      </c>
      <c r="D41" s="17">
        <v>20</v>
      </c>
    </row>
    <row r="42" spans="1:4" ht="45" customHeight="1" x14ac:dyDescent="0.25">
      <c r="A42" s="19"/>
      <c r="B42" s="19"/>
      <c r="C42" s="16">
        <v>4</v>
      </c>
      <c r="D42" s="17">
        <v>20</v>
      </c>
    </row>
    <row r="43" spans="1:4" ht="45" customHeight="1" x14ac:dyDescent="0.25">
      <c r="A43" s="19"/>
      <c r="B43" s="19"/>
      <c r="C43" s="16">
        <v>5</v>
      </c>
      <c r="D43" s="17">
        <v>20</v>
      </c>
    </row>
    <row r="44" spans="1:4" ht="45" customHeight="1" x14ac:dyDescent="0.25">
      <c r="A44" s="18"/>
      <c r="B44" s="18"/>
      <c r="C44" s="16">
        <v>6</v>
      </c>
      <c r="D44" s="17">
        <v>20</v>
      </c>
    </row>
    <row r="45" spans="1:4" ht="45" customHeight="1" x14ac:dyDescent="0.25">
      <c r="A45" s="15">
        <v>8</v>
      </c>
      <c r="B45" s="15" t="s">
        <v>560</v>
      </c>
      <c r="C45" s="16">
        <v>2</v>
      </c>
      <c r="D45" s="17">
        <v>20</v>
      </c>
    </row>
    <row r="46" spans="1:4" ht="45" customHeight="1" x14ac:dyDescent="0.25">
      <c r="A46" s="19"/>
      <c r="B46" s="19"/>
      <c r="C46" s="16">
        <v>3</v>
      </c>
      <c r="D46" s="17">
        <v>20</v>
      </c>
    </row>
    <row r="47" spans="1:4" ht="45" customHeight="1" x14ac:dyDescent="0.25">
      <c r="A47" s="19"/>
      <c r="B47" s="19"/>
      <c r="C47" s="16">
        <v>4</v>
      </c>
      <c r="D47" s="17">
        <v>20</v>
      </c>
    </row>
    <row r="48" spans="1:4" ht="45" customHeight="1" x14ac:dyDescent="0.25">
      <c r="A48" s="19"/>
      <c r="B48" s="19"/>
      <c r="C48" s="16">
        <v>5</v>
      </c>
      <c r="D48" s="17">
        <v>20</v>
      </c>
    </row>
    <row r="49" spans="1:4" ht="45" customHeight="1" x14ac:dyDescent="0.25">
      <c r="A49" s="18"/>
      <c r="B49" s="18"/>
      <c r="C49" s="16">
        <v>6</v>
      </c>
      <c r="D49" s="17">
        <v>20</v>
      </c>
    </row>
    <row r="50" spans="1:4" ht="45" customHeight="1" x14ac:dyDescent="0.25">
      <c r="A50" s="15">
        <v>9</v>
      </c>
      <c r="B50" s="15" t="s">
        <v>743</v>
      </c>
      <c r="C50" s="16">
        <v>2</v>
      </c>
      <c r="D50" s="17">
        <v>20</v>
      </c>
    </row>
    <row r="51" spans="1:4" ht="45" customHeight="1" x14ac:dyDescent="0.25">
      <c r="A51" s="19"/>
      <c r="B51" s="19"/>
      <c r="C51" s="16">
        <v>3</v>
      </c>
      <c r="D51" s="17">
        <v>20</v>
      </c>
    </row>
    <row r="52" spans="1:4" ht="45" customHeight="1" x14ac:dyDescent="0.25">
      <c r="A52" s="19"/>
      <c r="B52" s="19"/>
      <c r="C52" s="16">
        <v>4</v>
      </c>
      <c r="D52" s="17">
        <v>20</v>
      </c>
    </row>
    <row r="53" spans="1:4" ht="45" customHeight="1" x14ac:dyDescent="0.25">
      <c r="A53" s="19"/>
      <c r="B53" s="19"/>
      <c r="C53" s="16">
        <v>5</v>
      </c>
      <c r="D53" s="17">
        <v>20</v>
      </c>
    </row>
    <row r="54" spans="1:4" ht="45" customHeight="1" x14ac:dyDescent="0.25">
      <c r="A54" s="18"/>
      <c r="B54" s="18"/>
      <c r="C54" s="16">
        <v>6</v>
      </c>
      <c r="D54" s="17">
        <v>20</v>
      </c>
    </row>
    <row r="55" spans="1:4" ht="45" customHeight="1" x14ac:dyDescent="0.25">
      <c r="A55" s="15">
        <v>10</v>
      </c>
      <c r="B55" s="15" t="s">
        <v>870</v>
      </c>
      <c r="C55" s="16">
        <v>2</v>
      </c>
      <c r="D55" s="17">
        <v>20</v>
      </c>
    </row>
    <row r="56" spans="1:4" ht="45" customHeight="1" x14ac:dyDescent="0.25">
      <c r="A56" s="19"/>
      <c r="B56" s="19"/>
      <c r="C56" s="16">
        <v>3</v>
      </c>
      <c r="D56" s="17">
        <v>20</v>
      </c>
    </row>
    <row r="57" spans="1:4" ht="45" customHeight="1" x14ac:dyDescent="0.25">
      <c r="A57" s="19"/>
      <c r="B57" s="19"/>
      <c r="C57" s="16">
        <v>4</v>
      </c>
      <c r="D57" s="17">
        <v>20</v>
      </c>
    </row>
    <row r="58" spans="1:4" ht="45" customHeight="1" x14ac:dyDescent="0.25">
      <c r="A58" s="19"/>
      <c r="B58" s="19"/>
      <c r="C58" s="16">
        <v>5</v>
      </c>
      <c r="D58" s="17">
        <v>20</v>
      </c>
    </row>
    <row r="59" spans="1:4" ht="45" customHeight="1" x14ac:dyDescent="0.25">
      <c r="A59" s="18"/>
      <c r="B59" s="18"/>
      <c r="C59" s="16">
        <v>6</v>
      </c>
      <c r="D59" s="17">
        <v>20</v>
      </c>
    </row>
    <row r="60" spans="1:4" ht="45" customHeight="1" x14ac:dyDescent="0.25">
      <c r="A60" s="15">
        <v>11</v>
      </c>
      <c r="B60" s="15" t="s">
        <v>898</v>
      </c>
      <c r="C60" s="16">
        <v>2</v>
      </c>
      <c r="D60" s="17">
        <v>20</v>
      </c>
    </row>
    <row r="61" spans="1:4" ht="45" customHeight="1" x14ac:dyDescent="0.25">
      <c r="A61" s="19"/>
      <c r="B61" s="19"/>
      <c r="C61" s="16">
        <v>3</v>
      </c>
      <c r="D61" s="17">
        <v>20</v>
      </c>
    </row>
    <row r="62" spans="1:4" ht="45" customHeight="1" x14ac:dyDescent="0.25">
      <c r="A62" s="19"/>
      <c r="B62" s="19"/>
      <c r="C62" s="16">
        <v>4</v>
      </c>
      <c r="D62" s="17">
        <v>20</v>
      </c>
    </row>
    <row r="63" spans="1:4" ht="45" customHeight="1" x14ac:dyDescent="0.25">
      <c r="A63" s="19"/>
      <c r="B63" s="19"/>
      <c r="C63" s="16">
        <v>5</v>
      </c>
      <c r="D63" s="17">
        <v>20</v>
      </c>
    </row>
    <row r="64" spans="1:4" ht="45" customHeight="1" x14ac:dyDescent="0.25">
      <c r="A64" s="18"/>
      <c r="B64" s="18"/>
      <c r="C64" s="16">
        <v>6</v>
      </c>
      <c r="D64" s="17">
        <v>20</v>
      </c>
    </row>
    <row r="65" spans="1:4" ht="45" customHeight="1" x14ac:dyDescent="0.25">
      <c r="A65" s="15">
        <v>12</v>
      </c>
      <c r="B65" s="15" t="s">
        <v>1032</v>
      </c>
      <c r="C65" s="16">
        <v>2</v>
      </c>
      <c r="D65" s="17">
        <v>20</v>
      </c>
    </row>
    <row r="66" spans="1:4" ht="45" customHeight="1" x14ac:dyDescent="0.25">
      <c r="A66" s="19"/>
      <c r="B66" s="19"/>
      <c r="C66" s="16">
        <v>3</v>
      </c>
      <c r="D66" s="17">
        <v>20</v>
      </c>
    </row>
    <row r="67" spans="1:4" ht="45" customHeight="1" x14ac:dyDescent="0.25">
      <c r="A67" s="19"/>
      <c r="B67" s="19"/>
      <c r="C67" s="16">
        <v>4</v>
      </c>
      <c r="D67" s="17">
        <v>20</v>
      </c>
    </row>
    <row r="68" spans="1:4" ht="45" customHeight="1" x14ac:dyDescent="0.25">
      <c r="A68" s="19"/>
      <c r="B68" s="19"/>
      <c r="C68" s="16">
        <v>5</v>
      </c>
      <c r="D68" s="17">
        <v>20</v>
      </c>
    </row>
    <row r="69" spans="1:4" ht="45" customHeight="1" x14ac:dyDescent="0.25">
      <c r="A69" s="18"/>
      <c r="B69" s="18"/>
      <c r="C69" s="16">
        <v>6</v>
      </c>
      <c r="D69" s="17">
        <v>20</v>
      </c>
    </row>
    <row r="70" spans="1:4" ht="45" customHeight="1" x14ac:dyDescent="0.25">
      <c r="A70" s="15">
        <v>13</v>
      </c>
      <c r="B70" s="15" t="s">
        <v>1132</v>
      </c>
      <c r="C70" s="16">
        <v>2</v>
      </c>
      <c r="D70" s="17">
        <v>20</v>
      </c>
    </row>
    <row r="71" spans="1:4" ht="45" customHeight="1" x14ac:dyDescent="0.25">
      <c r="A71" s="19"/>
      <c r="B71" s="19"/>
      <c r="C71" s="16">
        <v>3</v>
      </c>
      <c r="D71" s="17">
        <v>20</v>
      </c>
    </row>
    <row r="72" spans="1:4" ht="45" customHeight="1" x14ac:dyDescent="0.25">
      <c r="A72" s="19"/>
      <c r="B72" s="19"/>
      <c r="C72" s="16">
        <v>4</v>
      </c>
      <c r="D72" s="17">
        <v>20</v>
      </c>
    </row>
    <row r="73" spans="1:4" ht="45" customHeight="1" x14ac:dyDescent="0.25">
      <c r="A73" s="19"/>
      <c r="B73" s="19"/>
      <c r="C73" s="16">
        <v>5</v>
      </c>
      <c r="D73" s="17">
        <v>20</v>
      </c>
    </row>
    <row r="74" spans="1:4" ht="45" customHeight="1" x14ac:dyDescent="0.25">
      <c r="A74" s="18"/>
      <c r="B74" s="18"/>
      <c r="C74" s="16">
        <v>6</v>
      </c>
      <c r="D74" s="17">
        <v>20</v>
      </c>
    </row>
    <row r="75" spans="1:4" ht="45" customHeight="1" x14ac:dyDescent="0.25">
      <c r="A75" s="15">
        <v>14</v>
      </c>
      <c r="B75" s="15" t="s">
        <v>1172</v>
      </c>
      <c r="C75" s="16">
        <v>2</v>
      </c>
      <c r="D75" s="17">
        <v>20</v>
      </c>
    </row>
    <row r="76" spans="1:4" ht="45" customHeight="1" x14ac:dyDescent="0.25">
      <c r="A76" s="19"/>
      <c r="B76" s="19"/>
      <c r="C76" s="16">
        <v>3</v>
      </c>
      <c r="D76" s="17">
        <v>20</v>
      </c>
    </row>
    <row r="77" spans="1:4" ht="45" customHeight="1" x14ac:dyDescent="0.25">
      <c r="A77" s="19"/>
      <c r="B77" s="19"/>
      <c r="C77" s="16">
        <v>4</v>
      </c>
      <c r="D77" s="17">
        <v>20</v>
      </c>
    </row>
    <row r="78" spans="1:4" ht="45" customHeight="1" x14ac:dyDescent="0.25">
      <c r="A78" s="19"/>
      <c r="B78" s="19"/>
      <c r="C78" s="16">
        <v>5</v>
      </c>
      <c r="D78" s="17">
        <v>20</v>
      </c>
    </row>
    <row r="79" spans="1:4" ht="45" customHeight="1" x14ac:dyDescent="0.25">
      <c r="A79" s="18"/>
      <c r="B79" s="18"/>
      <c r="C79" s="16">
        <v>6</v>
      </c>
      <c r="D79" s="17">
        <v>20</v>
      </c>
    </row>
    <row r="80" spans="1:4" ht="45" customHeight="1" x14ac:dyDescent="0.25">
      <c r="A80" s="15">
        <v>15</v>
      </c>
      <c r="B80" s="15" t="s">
        <v>1188</v>
      </c>
      <c r="C80" s="16">
        <v>5</v>
      </c>
      <c r="D80" s="17">
        <v>50</v>
      </c>
    </row>
    <row r="81" spans="1:4" ht="45" customHeight="1" x14ac:dyDescent="0.25">
      <c r="A81" s="18"/>
      <c r="B81" s="18"/>
      <c r="C81" s="16">
        <v>6</v>
      </c>
      <c r="D81" s="17">
        <v>50</v>
      </c>
    </row>
    <row r="82" spans="1:4" ht="45" customHeight="1" x14ac:dyDescent="0.25">
      <c r="A82" s="15">
        <v>16</v>
      </c>
      <c r="B82" s="15" t="s">
        <v>1221</v>
      </c>
      <c r="C82" s="16">
        <v>5</v>
      </c>
      <c r="D82" s="17">
        <v>50</v>
      </c>
    </row>
    <row r="83" spans="1:4" ht="45" customHeight="1" x14ac:dyDescent="0.25">
      <c r="A83" s="18"/>
      <c r="B83" s="18"/>
      <c r="C83" s="16">
        <v>6</v>
      </c>
      <c r="D83" s="17">
        <v>50</v>
      </c>
    </row>
    <row r="84" spans="1:4" ht="45" customHeight="1" x14ac:dyDescent="0.25">
      <c r="A84" s="15">
        <v>17</v>
      </c>
      <c r="B84" s="15" t="s">
        <v>1263</v>
      </c>
      <c r="C84" s="16">
        <v>2</v>
      </c>
      <c r="D84" s="17">
        <v>12.5</v>
      </c>
    </row>
    <row r="85" spans="1:4" ht="45" customHeight="1" x14ac:dyDescent="0.25">
      <c r="A85" s="19"/>
      <c r="B85" s="19"/>
      <c r="C85" s="16">
        <v>3</v>
      </c>
      <c r="D85" s="17">
        <v>12.5</v>
      </c>
    </row>
    <row r="86" spans="1:4" ht="45" customHeight="1" x14ac:dyDescent="0.25">
      <c r="A86" s="19"/>
      <c r="B86" s="19"/>
      <c r="C86" s="16">
        <v>4</v>
      </c>
      <c r="D86" s="17">
        <v>12.5</v>
      </c>
    </row>
    <row r="87" spans="1:4" ht="45" customHeight="1" x14ac:dyDescent="0.25">
      <c r="A87" s="19"/>
      <c r="B87" s="19"/>
      <c r="C87" s="16">
        <v>5</v>
      </c>
      <c r="D87" s="17">
        <v>12.5</v>
      </c>
    </row>
    <row r="88" spans="1:4" ht="45" customHeight="1" x14ac:dyDescent="0.25">
      <c r="A88" s="19"/>
      <c r="B88" s="19"/>
      <c r="C88" s="16">
        <v>6</v>
      </c>
      <c r="D88" s="17">
        <v>12.5</v>
      </c>
    </row>
    <row r="89" spans="1:4" ht="45" customHeight="1" x14ac:dyDescent="0.25">
      <c r="A89" s="19"/>
      <c r="B89" s="19"/>
      <c r="C89" s="16">
        <v>7</v>
      </c>
      <c r="D89" s="17">
        <v>12.5</v>
      </c>
    </row>
    <row r="90" spans="1:4" ht="45" customHeight="1" x14ac:dyDescent="0.25">
      <c r="A90" s="19"/>
      <c r="B90" s="19"/>
      <c r="C90" s="16">
        <v>8</v>
      </c>
      <c r="D90" s="17">
        <v>12.5</v>
      </c>
    </row>
    <row r="91" spans="1:4" ht="45" customHeight="1" x14ac:dyDescent="0.25">
      <c r="A91" s="18"/>
      <c r="B91" s="18"/>
      <c r="C91" s="16">
        <v>9</v>
      </c>
      <c r="D91" s="17">
        <v>12.5</v>
      </c>
    </row>
    <row r="92" spans="1:4" ht="45" customHeight="1" x14ac:dyDescent="0.25">
      <c r="A92" s="15">
        <v>18</v>
      </c>
      <c r="B92" s="15" t="s">
        <v>1297</v>
      </c>
      <c r="C92" s="16">
        <v>2</v>
      </c>
      <c r="D92" s="17">
        <v>12.5</v>
      </c>
    </row>
    <row r="93" spans="1:4" ht="45" customHeight="1" x14ac:dyDescent="0.25">
      <c r="A93" s="19"/>
      <c r="B93" s="19"/>
      <c r="C93" s="16">
        <v>3</v>
      </c>
      <c r="D93" s="17">
        <v>12.5</v>
      </c>
    </row>
    <row r="94" spans="1:4" ht="45" customHeight="1" x14ac:dyDescent="0.25">
      <c r="A94" s="19"/>
      <c r="B94" s="19"/>
      <c r="C94" s="16">
        <v>4</v>
      </c>
      <c r="D94" s="17">
        <v>12.5</v>
      </c>
    </row>
    <row r="95" spans="1:4" ht="45" customHeight="1" x14ac:dyDescent="0.25">
      <c r="A95" s="19"/>
      <c r="B95" s="19"/>
      <c r="C95" s="16">
        <v>5</v>
      </c>
      <c r="D95" s="17">
        <v>12.5</v>
      </c>
    </row>
    <row r="96" spans="1:4" ht="45" customHeight="1" x14ac:dyDescent="0.25">
      <c r="A96" s="19"/>
      <c r="B96" s="19"/>
      <c r="C96" s="16">
        <v>6</v>
      </c>
      <c r="D96" s="17">
        <v>12.5</v>
      </c>
    </row>
    <row r="97" spans="1:4" ht="45" customHeight="1" x14ac:dyDescent="0.25">
      <c r="A97" s="19"/>
      <c r="B97" s="19"/>
      <c r="C97" s="16">
        <v>7</v>
      </c>
      <c r="D97" s="17">
        <v>12.5</v>
      </c>
    </row>
    <row r="98" spans="1:4" ht="45" customHeight="1" x14ac:dyDescent="0.25">
      <c r="A98" s="19"/>
      <c r="B98" s="19"/>
      <c r="C98" s="16">
        <v>8</v>
      </c>
      <c r="D98" s="17">
        <v>12.5</v>
      </c>
    </row>
    <row r="99" spans="1:4" ht="45" customHeight="1" x14ac:dyDescent="0.25">
      <c r="A99" s="18"/>
      <c r="B99" s="18"/>
      <c r="C99" s="16">
        <v>9</v>
      </c>
      <c r="D99" s="17">
        <v>12.5</v>
      </c>
    </row>
    <row r="100" spans="1:4" ht="45" customHeight="1" x14ac:dyDescent="0.25">
      <c r="A100" s="15">
        <v>19</v>
      </c>
      <c r="B100" s="15" t="s">
        <v>1344</v>
      </c>
      <c r="C100" s="16">
        <v>2</v>
      </c>
      <c r="D100" s="17">
        <v>12.5</v>
      </c>
    </row>
    <row r="101" spans="1:4" ht="45" customHeight="1" x14ac:dyDescent="0.25">
      <c r="A101" s="19"/>
      <c r="B101" s="19"/>
      <c r="C101" s="16">
        <v>3</v>
      </c>
      <c r="D101" s="17">
        <v>12.5</v>
      </c>
    </row>
    <row r="102" spans="1:4" ht="45" customHeight="1" x14ac:dyDescent="0.25">
      <c r="A102" s="19"/>
      <c r="B102" s="19"/>
      <c r="C102" s="16">
        <v>4</v>
      </c>
      <c r="D102" s="17">
        <v>12.5</v>
      </c>
    </row>
    <row r="103" spans="1:4" ht="45" customHeight="1" x14ac:dyDescent="0.25">
      <c r="A103" s="19"/>
      <c r="B103" s="19"/>
      <c r="C103" s="16">
        <v>5</v>
      </c>
      <c r="D103" s="17">
        <v>12.5</v>
      </c>
    </row>
    <row r="104" spans="1:4" ht="45" customHeight="1" x14ac:dyDescent="0.25">
      <c r="A104" s="19"/>
      <c r="B104" s="19"/>
      <c r="C104" s="16">
        <v>6</v>
      </c>
      <c r="D104" s="17">
        <v>12.5</v>
      </c>
    </row>
    <row r="105" spans="1:4" ht="45" customHeight="1" x14ac:dyDescent="0.25">
      <c r="A105" s="19"/>
      <c r="B105" s="19"/>
      <c r="C105" s="16">
        <v>7</v>
      </c>
      <c r="D105" s="17">
        <v>12.5</v>
      </c>
    </row>
    <row r="106" spans="1:4" ht="45" customHeight="1" x14ac:dyDescent="0.25">
      <c r="A106" s="19"/>
      <c r="B106" s="19"/>
      <c r="C106" s="16">
        <v>8</v>
      </c>
      <c r="D106" s="17">
        <v>12.5</v>
      </c>
    </row>
    <row r="107" spans="1:4" ht="45" customHeight="1" x14ac:dyDescent="0.25">
      <c r="A107" s="18"/>
      <c r="B107" s="18"/>
      <c r="C107" s="16">
        <v>9</v>
      </c>
      <c r="D107" s="17">
        <v>12.5</v>
      </c>
    </row>
    <row r="108" spans="1:4" ht="45" customHeight="1" x14ac:dyDescent="0.25">
      <c r="A108" s="15">
        <v>20</v>
      </c>
      <c r="B108" s="15" t="s">
        <v>1480</v>
      </c>
      <c r="C108" s="16">
        <v>2</v>
      </c>
      <c r="D108" s="17">
        <v>12.5</v>
      </c>
    </row>
    <row r="109" spans="1:4" ht="45" customHeight="1" x14ac:dyDescent="0.25">
      <c r="A109" s="19"/>
      <c r="B109" s="19"/>
      <c r="C109" s="16">
        <v>3</v>
      </c>
      <c r="D109" s="17">
        <v>12.5</v>
      </c>
    </row>
    <row r="110" spans="1:4" ht="45" customHeight="1" x14ac:dyDescent="0.25">
      <c r="A110" s="19"/>
      <c r="B110" s="19"/>
      <c r="C110" s="16">
        <v>4</v>
      </c>
      <c r="D110" s="17">
        <v>12.5</v>
      </c>
    </row>
    <row r="111" spans="1:4" ht="45" customHeight="1" x14ac:dyDescent="0.25">
      <c r="A111" s="19"/>
      <c r="B111" s="19"/>
      <c r="C111" s="16">
        <v>5</v>
      </c>
      <c r="D111" s="17">
        <v>12.5</v>
      </c>
    </row>
    <row r="112" spans="1:4" ht="45" customHeight="1" x14ac:dyDescent="0.25">
      <c r="A112" s="19"/>
      <c r="B112" s="19"/>
      <c r="C112" s="16">
        <v>6</v>
      </c>
      <c r="D112" s="17">
        <v>12.5</v>
      </c>
    </row>
    <row r="113" spans="1:4" ht="45" customHeight="1" x14ac:dyDescent="0.25">
      <c r="A113" s="19"/>
      <c r="B113" s="19"/>
      <c r="C113" s="16">
        <v>7</v>
      </c>
      <c r="D113" s="17">
        <v>12.5</v>
      </c>
    </row>
    <row r="114" spans="1:4" ht="45" customHeight="1" x14ac:dyDescent="0.25">
      <c r="A114" s="19"/>
      <c r="B114" s="19"/>
      <c r="C114" s="16">
        <v>8</v>
      </c>
      <c r="D114" s="17">
        <v>12.5</v>
      </c>
    </row>
    <row r="115" spans="1:4" ht="45" customHeight="1" x14ac:dyDescent="0.25">
      <c r="A115" s="18"/>
      <c r="B115" s="18"/>
      <c r="C115" s="16">
        <v>9</v>
      </c>
      <c r="D115" s="17">
        <v>12.5</v>
      </c>
    </row>
    <row r="116" spans="1:4" ht="45" customHeight="1" x14ac:dyDescent="0.25">
      <c r="A116" s="15">
        <v>21</v>
      </c>
      <c r="B116" s="15" t="s">
        <v>1555</v>
      </c>
      <c r="C116" s="16">
        <v>2</v>
      </c>
      <c r="D116" s="17">
        <v>12.5</v>
      </c>
    </row>
    <row r="117" spans="1:4" ht="45" customHeight="1" x14ac:dyDescent="0.25">
      <c r="A117" s="19"/>
      <c r="B117" s="19"/>
      <c r="C117" s="16">
        <v>3</v>
      </c>
      <c r="D117" s="17">
        <v>12.5</v>
      </c>
    </row>
    <row r="118" spans="1:4" ht="45" customHeight="1" x14ac:dyDescent="0.25">
      <c r="A118" s="19"/>
      <c r="B118" s="19"/>
      <c r="C118" s="16">
        <v>4</v>
      </c>
      <c r="D118" s="17">
        <v>12.5</v>
      </c>
    </row>
    <row r="119" spans="1:4" ht="45" customHeight="1" x14ac:dyDescent="0.25">
      <c r="A119" s="19"/>
      <c r="B119" s="19"/>
      <c r="C119" s="16">
        <v>5</v>
      </c>
      <c r="D119" s="17">
        <v>12.5</v>
      </c>
    </row>
    <row r="120" spans="1:4" ht="45" customHeight="1" x14ac:dyDescent="0.25">
      <c r="A120" s="19"/>
      <c r="B120" s="19"/>
      <c r="C120" s="16">
        <v>6</v>
      </c>
      <c r="D120" s="17">
        <v>12.5</v>
      </c>
    </row>
    <row r="121" spans="1:4" ht="45" customHeight="1" x14ac:dyDescent="0.25">
      <c r="A121" s="19"/>
      <c r="B121" s="19"/>
      <c r="C121" s="16">
        <v>7</v>
      </c>
      <c r="D121" s="17">
        <v>12.5</v>
      </c>
    </row>
    <row r="122" spans="1:4" ht="45" customHeight="1" x14ac:dyDescent="0.25">
      <c r="A122" s="19"/>
      <c r="B122" s="19"/>
      <c r="C122" s="16">
        <v>8</v>
      </c>
      <c r="D122" s="17">
        <v>12.5</v>
      </c>
    </row>
    <row r="123" spans="1:4" ht="45" customHeight="1" x14ac:dyDescent="0.25">
      <c r="A123" s="18"/>
      <c r="B123" s="18"/>
      <c r="C123" s="16">
        <v>9</v>
      </c>
      <c r="D123" s="17">
        <v>12.5</v>
      </c>
    </row>
    <row r="124" spans="1:4" ht="45" customHeight="1" x14ac:dyDescent="0.25">
      <c r="A124" s="15">
        <v>22</v>
      </c>
      <c r="B124" s="15" t="s">
        <v>1623</v>
      </c>
      <c r="C124" s="16">
        <v>2</v>
      </c>
      <c r="D124" s="17">
        <v>12.5</v>
      </c>
    </row>
    <row r="125" spans="1:4" ht="45" customHeight="1" x14ac:dyDescent="0.25">
      <c r="A125" s="19"/>
      <c r="B125" s="19"/>
      <c r="C125" s="16">
        <v>3</v>
      </c>
      <c r="D125" s="17">
        <v>12.5</v>
      </c>
    </row>
    <row r="126" spans="1:4" ht="45" customHeight="1" x14ac:dyDescent="0.25">
      <c r="A126" s="19"/>
      <c r="B126" s="19"/>
      <c r="C126" s="16">
        <v>4</v>
      </c>
      <c r="D126" s="17">
        <v>12.5</v>
      </c>
    </row>
    <row r="127" spans="1:4" ht="45" customHeight="1" x14ac:dyDescent="0.25">
      <c r="A127" s="19"/>
      <c r="B127" s="19"/>
      <c r="C127" s="16">
        <v>5</v>
      </c>
      <c r="D127" s="17">
        <v>12.5</v>
      </c>
    </row>
    <row r="128" spans="1:4" ht="45" customHeight="1" x14ac:dyDescent="0.25">
      <c r="A128" s="19"/>
      <c r="B128" s="19"/>
      <c r="C128" s="16">
        <v>6</v>
      </c>
      <c r="D128" s="17">
        <v>12.5</v>
      </c>
    </row>
    <row r="129" spans="1:4" ht="45" customHeight="1" x14ac:dyDescent="0.25">
      <c r="A129" s="19"/>
      <c r="B129" s="19"/>
      <c r="C129" s="16">
        <v>7</v>
      </c>
      <c r="D129" s="17">
        <v>12.5</v>
      </c>
    </row>
    <row r="130" spans="1:4" ht="45" customHeight="1" x14ac:dyDescent="0.25">
      <c r="A130" s="19"/>
      <c r="B130" s="19"/>
      <c r="C130" s="16">
        <v>8</v>
      </c>
      <c r="D130" s="17">
        <v>12.5</v>
      </c>
    </row>
    <row r="131" spans="1:4" ht="45" customHeight="1" x14ac:dyDescent="0.25">
      <c r="A131" s="18"/>
      <c r="B131" s="18"/>
      <c r="C131" s="16">
        <v>9</v>
      </c>
      <c r="D131" s="17">
        <v>12.5</v>
      </c>
    </row>
    <row r="132" spans="1:4" ht="45" customHeight="1" x14ac:dyDescent="0.25">
      <c r="A132" s="15">
        <v>23</v>
      </c>
      <c r="B132" s="15" t="s">
        <v>1678</v>
      </c>
      <c r="C132" s="16">
        <v>3</v>
      </c>
      <c r="D132" s="17">
        <v>20</v>
      </c>
    </row>
    <row r="133" spans="1:4" ht="45" customHeight="1" x14ac:dyDescent="0.25">
      <c r="A133" s="19"/>
      <c r="B133" s="19"/>
      <c r="C133" s="16">
        <v>4</v>
      </c>
      <c r="D133" s="17">
        <v>20</v>
      </c>
    </row>
    <row r="134" spans="1:4" ht="45" customHeight="1" x14ac:dyDescent="0.25">
      <c r="A134" s="19"/>
      <c r="B134" s="19"/>
      <c r="C134" s="16">
        <v>5</v>
      </c>
      <c r="D134" s="17">
        <v>20</v>
      </c>
    </row>
    <row r="135" spans="1:4" ht="45" customHeight="1" x14ac:dyDescent="0.25">
      <c r="A135" s="19"/>
      <c r="B135" s="19"/>
      <c r="C135" s="16">
        <v>6</v>
      </c>
      <c r="D135" s="17">
        <v>20</v>
      </c>
    </row>
    <row r="136" spans="1:4" ht="45" customHeight="1" x14ac:dyDescent="0.25">
      <c r="A136" s="18"/>
      <c r="B136" s="18"/>
      <c r="C136" s="16">
        <v>7</v>
      </c>
      <c r="D136" s="17">
        <v>20</v>
      </c>
    </row>
    <row r="137" spans="1:4" ht="45" customHeight="1" x14ac:dyDescent="0.25">
      <c r="A137" s="15">
        <v>24</v>
      </c>
      <c r="B137" s="15" t="s">
        <v>1746</v>
      </c>
      <c r="C137" s="16">
        <v>4</v>
      </c>
      <c r="D137" s="17">
        <v>20</v>
      </c>
    </row>
    <row r="138" spans="1:4" ht="45" customHeight="1" x14ac:dyDescent="0.25">
      <c r="A138" s="19"/>
      <c r="B138" s="19"/>
      <c r="C138" s="16">
        <v>5</v>
      </c>
      <c r="D138" s="17">
        <v>20</v>
      </c>
    </row>
    <row r="139" spans="1:4" ht="45" customHeight="1" x14ac:dyDescent="0.25">
      <c r="A139" s="19"/>
      <c r="B139" s="19"/>
      <c r="C139" s="16">
        <v>6</v>
      </c>
      <c r="D139" s="17">
        <v>20</v>
      </c>
    </row>
    <row r="140" spans="1:4" ht="45" customHeight="1" x14ac:dyDescent="0.25">
      <c r="A140" s="19"/>
      <c r="B140" s="19"/>
      <c r="C140" s="16">
        <v>7</v>
      </c>
      <c r="D140" s="17">
        <v>20</v>
      </c>
    </row>
    <row r="141" spans="1:4" ht="45" customHeight="1" x14ac:dyDescent="0.25">
      <c r="A141" s="18"/>
      <c r="B141" s="18"/>
      <c r="C141" s="16">
        <v>8</v>
      </c>
      <c r="D141" s="17">
        <v>20</v>
      </c>
    </row>
    <row r="142" spans="1:4" ht="45" customHeight="1" x14ac:dyDescent="0.25">
      <c r="A142" s="15">
        <v>25</v>
      </c>
      <c r="B142" s="15" t="s">
        <v>1801</v>
      </c>
      <c r="C142" s="16">
        <v>3</v>
      </c>
      <c r="D142" s="17">
        <v>20</v>
      </c>
    </row>
    <row r="143" spans="1:4" ht="45" customHeight="1" x14ac:dyDescent="0.25">
      <c r="A143" s="19"/>
      <c r="B143" s="19"/>
      <c r="C143" s="16">
        <v>4</v>
      </c>
      <c r="D143" s="17">
        <v>20</v>
      </c>
    </row>
    <row r="144" spans="1:4" ht="45" customHeight="1" x14ac:dyDescent="0.25">
      <c r="A144" s="19"/>
      <c r="B144" s="19"/>
      <c r="C144" s="16">
        <v>5</v>
      </c>
      <c r="D144" s="17">
        <v>20</v>
      </c>
    </row>
    <row r="145" spans="1:4" ht="45" customHeight="1" x14ac:dyDescent="0.25">
      <c r="A145" s="19"/>
      <c r="B145" s="19"/>
      <c r="C145" s="16">
        <v>6</v>
      </c>
      <c r="D145" s="17">
        <v>20</v>
      </c>
    </row>
    <row r="146" spans="1:4" ht="45" customHeight="1" x14ac:dyDescent="0.25">
      <c r="A146" s="18"/>
      <c r="B146" s="18"/>
      <c r="C146" s="16">
        <v>7</v>
      </c>
      <c r="D146" s="17">
        <v>20</v>
      </c>
    </row>
    <row r="147" spans="1:4" ht="45" customHeight="1" x14ac:dyDescent="0.25">
      <c r="A147" s="15">
        <v>26</v>
      </c>
      <c r="B147" s="15" t="s">
        <v>1908</v>
      </c>
      <c r="C147" s="16">
        <v>3</v>
      </c>
      <c r="D147" s="17">
        <v>20</v>
      </c>
    </row>
    <row r="148" spans="1:4" ht="45" customHeight="1" x14ac:dyDescent="0.25">
      <c r="A148" s="19"/>
      <c r="B148" s="19"/>
      <c r="C148" s="16">
        <v>4</v>
      </c>
      <c r="D148" s="17">
        <v>20</v>
      </c>
    </row>
    <row r="149" spans="1:4" ht="45" customHeight="1" x14ac:dyDescent="0.25">
      <c r="A149" s="19"/>
      <c r="B149" s="19"/>
      <c r="C149" s="16">
        <v>5</v>
      </c>
      <c r="D149" s="17">
        <v>20</v>
      </c>
    </row>
    <row r="150" spans="1:4" ht="45" customHeight="1" x14ac:dyDescent="0.25">
      <c r="A150" s="19"/>
      <c r="B150" s="19"/>
      <c r="C150" s="16">
        <v>6</v>
      </c>
      <c r="D150" s="17">
        <v>20</v>
      </c>
    </row>
    <row r="151" spans="1:4" ht="45" customHeight="1" x14ac:dyDescent="0.25">
      <c r="A151" s="18"/>
      <c r="B151" s="18"/>
      <c r="C151" s="16">
        <v>7</v>
      </c>
      <c r="D151" s="17">
        <v>20</v>
      </c>
    </row>
    <row r="152" spans="1:4" ht="45" customHeight="1" x14ac:dyDescent="0.25">
      <c r="A152" s="15">
        <v>27</v>
      </c>
      <c r="B152" s="15" t="s">
        <v>2010</v>
      </c>
      <c r="C152" s="16">
        <v>2</v>
      </c>
      <c r="D152" s="17">
        <v>20</v>
      </c>
    </row>
    <row r="153" spans="1:4" ht="45" customHeight="1" x14ac:dyDescent="0.25">
      <c r="A153" s="19"/>
      <c r="B153" s="19"/>
      <c r="C153" s="16">
        <v>3</v>
      </c>
      <c r="D153" s="17">
        <v>20</v>
      </c>
    </row>
    <row r="154" spans="1:4" ht="45" customHeight="1" x14ac:dyDescent="0.25">
      <c r="A154" s="19"/>
      <c r="B154" s="19"/>
      <c r="C154" s="16">
        <v>4</v>
      </c>
      <c r="D154" s="17">
        <v>20</v>
      </c>
    </row>
    <row r="155" spans="1:4" ht="45" customHeight="1" x14ac:dyDescent="0.25">
      <c r="A155" s="19"/>
      <c r="B155" s="19"/>
      <c r="C155" s="16">
        <v>5</v>
      </c>
      <c r="D155" s="17">
        <v>20</v>
      </c>
    </row>
    <row r="156" spans="1:4" ht="45" customHeight="1" x14ac:dyDescent="0.25">
      <c r="A156" s="18"/>
      <c r="B156" s="18"/>
      <c r="C156" s="16">
        <v>6</v>
      </c>
      <c r="D156" s="17">
        <v>20</v>
      </c>
    </row>
  </sheetData>
  <mergeCells count="54">
    <mergeCell ref="A142:A146"/>
    <mergeCell ref="B142:B146"/>
    <mergeCell ref="A147:A151"/>
    <mergeCell ref="B147:B151"/>
    <mergeCell ref="A152:A156"/>
    <mergeCell ref="B152:B156"/>
    <mergeCell ref="A124:A131"/>
    <mergeCell ref="B124:B131"/>
    <mergeCell ref="A132:A136"/>
    <mergeCell ref="B132:B136"/>
    <mergeCell ref="A137:A141"/>
    <mergeCell ref="B137:B141"/>
    <mergeCell ref="A100:A107"/>
    <mergeCell ref="B100:B107"/>
    <mergeCell ref="A108:A115"/>
    <mergeCell ref="B108:B115"/>
    <mergeCell ref="A116:A123"/>
    <mergeCell ref="B116:B123"/>
    <mergeCell ref="A82:A83"/>
    <mergeCell ref="B82:B83"/>
    <mergeCell ref="A84:A91"/>
    <mergeCell ref="B84:B91"/>
    <mergeCell ref="A92:A99"/>
    <mergeCell ref="B92:B99"/>
    <mergeCell ref="A70:A74"/>
    <mergeCell ref="B70:B74"/>
    <mergeCell ref="A75:A79"/>
    <mergeCell ref="B75:B79"/>
    <mergeCell ref="A80:A81"/>
    <mergeCell ref="B80:B81"/>
    <mergeCell ref="A55:A59"/>
    <mergeCell ref="B55:B59"/>
    <mergeCell ref="A60:A64"/>
    <mergeCell ref="B60:B64"/>
    <mergeCell ref="A65:A69"/>
    <mergeCell ref="B65:B69"/>
    <mergeCell ref="A39:A44"/>
    <mergeCell ref="B39:B44"/>
    <mergeCell ref="A45:A49"/>
    <mergeCell ref="B45:B49"/>
    <mergeCell ref="A50:A54"/>
    <mergeCell ref="B50:B54"/>
    <mergeCell ref="A22:A26"/>
    <mergeCell ref="B22:B26"/>
    <mergeCell ref="A27:A31"/>
    <mergeCell ref="B27:B31"/>
    <mergeCell ref="A32:A38"/>
    <mergeCell ref="B32:B38"/>
    <mergeCell ref="A2:A3"/>
    <mergeCell ref="B2:B3"/>
    <mergeCell ref="A4:A15"/>
    <mergeCell ref="B4:B15"/>
    <mergeCell ref="A16:A21"/>
    <mergeCell ref="B16:B21"/>
  </mergeCells>
  <conditionalFormatting sqref="A2 C2:C156 A4 A16 A22 A27 A32 A39 A45 A50 A55 A60 A65 A70 A75 A80 A82 A84 A92 A100 A108 A116 A124 A132 A137 A142 A147 A152">
    <cfRule type="expression" dxfId="3" priority="4">
      <formula>OR(NOT(ISNUMBER(A2)),A2&lt;&gt;ROUND(A2,0),A2&lt;1,A2&gt;999)</formula>
    </cfRule>
  </conditionalFormatting>
  <conditionalFormatting sqref="B2 B4 B16 B22 B27 B32 B39 B45 B50 B55 B60 B65 B70 B75 B80 B82 B84 B92 B100 B108 B116 B124 B132 B137 B142 B147 B152">
    <cfRule type="expression" dxfId="2" priority="3">
      <formula>OR(B2="",LEN(B2)&gt;100)</formula>
    </cfRule>
  </conditionalFormatting>
  <conditionalFormatting sqref="D2:D156">
    <cfRule type="expression" dxfId="1" priority="2">
      <formula>$A2="Macrosserviço"</formula>
    </cfRule>
  </conditionalFormatting>
  <conditionalFormatting sqref="D2:D156">
    <cfRule type="expression" dxfId="0" priority="1">
      <formula>OR(NOT(ISNUMBER(D2)),D2&lt;&gt;ROUND(D2,2),D2&lt;=0,D2&gt;100)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PO-BM</vt:lpstr>
      <vt:lpstr>CFF-BM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Dayane Lapa</dc:creator>
  <cp:lastModifiedBy>Dayane Lapa</cp:lastModifiedBy>
  <dcterms:created xsi:type="dcterms:W3CDTF">2026-03-25T11:48:42Z</dcterms:created>
  <dcterms:modified xsi:type="dcterms:W3CDTF">2026-03-25T11:48:44Z</dcterms:modified>
</cp:coreProperties>
</file>