
<file path=[Content_Types].xml><?xml version="1.0" encoding="utf-8"?>
<Types xmlns="http://schemas.openxmlformats.org/package/2006/content-types">
  <Default Extension="jpg" ContentType="image/jpeg"/>
  <Default Extension="bin" ContentType="application/vnd.openxmlformats-officedocument.oleObject"/>
  <Default Extension="jpeg" ContentType="image/jpeg"/>
  <Default Extension="rels" ContentType="application/vnd.openxmlformats-package.relationships+xml"/>
  <Default Extension="xml" ContentType="application/xml"/>
  <Default Extension="png" ContentType="image/png"/>
  <Default Extension="wmf" ContentType="image/x-wmf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 activeTab="1"/>
  </bookViews>
  <sheets>
    <sheet name="Ambulância_Neonatal" sheetId="1" state="visible" r:id="rId1"/>
    <sheet name="Ambulância_Adulto_" sheetId="2" state="visible" r:id="rId2"/>
    <sheet name="Ambulância_Suporte_Básico- Tipo" sheetId="3" state="visible" r:id="rId3"/>
    <sheet name="Motorista" sheetId="4" state="visible" r:id="rId4"/>
    <sheet name="Enfermeiro" sheetId="5" state="visible" r:id="rId5"/>
    <sheet name="Médico" sheetId="6" state="visible" r:id="rId6"/>
    <sheet name="Manutenções_e_Veículos" sheetId="7" state="visible" r:id="rId7"/>
    <sheet name="Uniformes" sheetId="8" state="visible" r:id="rId8"/>
  </sheets>
  <definedNames>
    <definedName name="_xlnm.Print_Area" localSheetId="3">Motorista!$A$1:$K$40</definedName>
    <definedName name="_xlnm.Print_Area" localSheetId="6">Manutenções_e_Veículos!$A$1:$H$37</definedName>
  </definedNames>
  <calcPr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<sst xmlns="http://schemas.openxmlformats.org/spreadsheetml/2006/main" count="155" uniqueCount="155">
  <si>
    <t xml:space="preserve">Secretaria Municipal de Saúde de Nova Serrana</t>
  </si>
  <si>
    <t xml:space="preserve"> Estado de Minas Gerais</t>
  </si>
  <si>
    <t xml:space="preserve">ITEM 1 – PLANILHA DE COMPOSIÇÃO DE CUSTOS AMBULÂNCIA NEONATAL</t>
  </si>
  <si>
    <t xml:space="preserve">O uso da planilha de composição de custos está previsto no art 23º da Lei nº 14.133/2021</t>
  </si>
  <si>
    <t xml:space="preserve">1. Mão de obra e custos incidentes sobre a folha</t>
  </si>
  <si>
    <t>Profissional</t>
  </si>
  <si>
    <t>Quantidade</t>
  </si>
  <si>
    <t>Observações</t>
  </si>
  <si>
    <t>Total</t>
  </si>
  <si>
    <t>Motorista</t>
  </si>
  <si>
    <t xml:space="preserve">Salário e Encargos conforme planilha anexa</t>
  </si>
  <si>
    <t>Enfermeiro</t>
  </si>
  <si>
    <t xml:space="preserve">Médico Especializado</t>
  </si>
  <si>
    <t xml:space="preserve">Total da mão de obra do item</t>
  </si>
  <si>
    <t xml:space="preserve">2. Veículo</t>
  </si>
  <si>
    <t xml:space="preserve">2.1. Valor de referência de 1 Ambulância</t>
  </si>
  <si>
    <t xml:space="preserve">Depreciação mensal do veículos (10% ao ano /12)</t>
  </si>
  <si>
    <t xml:space="preserve">Troca de pneus (1x ao ano) (1/12)</t>
  </si>
  <si>
    <t xml:space="preserve">Manutenção ( lavagem, Limpeza dos bicos injetores, óleo, velas, filtro de combustível,alinhamento e balanceamento e filtro de ar) 1/12</t>
  </si>
  <si>
    <t xml:space="preserve">Tributos (IPVA+ Taxa de licenciamento)1/12</t>
  </si>
  <si>
    <t xml:space="preserve">2.2. Previsão do gasto mensal de insumo</t>
  </si>
  <si>
    <t xml:space="preserve">Valor atual do diesel (R$/l)</t>
  </si>
  <si>
    <t xml:space="preserve">De acordo com ANP (Janeiro 2026)</t>
  </si>
  <si>
    <t xml:space="preserve">Dias de trabalho por mês</t>
  </si>
  <si>
    <t xml:space="preserve">Quilômetros percorridos por mês</t>
  </si>
  <si>
    <t xml:space="preserve">Consumo por quilômetro</t>
  </si>
  <si>
    <t xml:space="preserve">Gasto com combustível por mês (R$)</t>
  </si>
  <si>
    <t xml:space="preserve">Uniformes (07 conjuntos por profissional - 2 por ano) (4 conjuntos por motorista) 1/12</t>
  </si>
  <si>
    <t xml:space="preserve">Total do custo mensal do veículo</t>
  </si>
  <si>
    <t xml:space="preserve">3. Subtotal (custos da execução = pessoal + veículos)</t>
  </si>
  <si>
    <t xml:space="preserve">4. Margem, escritório central e tributos incidentes sobre o valor faturado (BDI)</t>
  </si>
  <si>
    <t>%</t>
  </si>
  <si>
    <t xml:space="preserve">Custo do escritório central</t>
  </si>
  <si>
    <t>AC</t>
  </si>
  <si>
    <t xml:space="preserve">Seguro e Garantia</t>
  </si>
  <si>
    <t>SG</t>
  </si>
  <si>
    <t>Risco</t>
  </si>
  <si>
    <t>R</t>
  </si>
  <si>
    <t xml:space="preserve">Despesas Financeiras</t>
  </si>
  <si>
    <t>DF</t>
  </si>
  <si>
    <t xml:space="preserve">Margem de lucro</t>
  </si>
  <si>
    <t>L</t>
  </si>
  <si>
    <t xml:space="preserve">Tributos (impostos COFINS 3%, e PIS 0,65%)</t>
  </si>
  <si>
    <t>CP</t>
  </si>
  <si>
    <t>ISSQN</t>
  </si>
  <si>
    <t>ISS</t>
  </si>
  <si>
    <t xml:space="preserve">Tributos (Contribuição Previdenciaária sobre Receita Bruta- Lei 12.546 de 14/12/2011- Desoneração)</t>
  </si>
  <si>
    <t>CPRB</t>
  </si>
  <si>
    <t xml:space="preserve">5. Total Mensal Despesa Administrativa + Impostos + Lucro (BDI)</t>
  </si>
  <si>
    <t xml:space="preserve">Custo deste item da licitação</t>
  </si>
  <si>
    <t xml:space="preserve">Custo por quilômetro</t>
  </si>
  <si>
    <t xml:space="preserve">ITEM 1 – PLANILHA DE COMPOSIÇÃO DE CUSTOS AMBULÂNCIA ADULTO AVANÇADO</t>
  </si>
  <si>
    <t>Médico</t>
  </si>
  <si>
    <t xml:space="preserve">ITEM 1 – PLANILHA DE COMPOSIÇÃO DE CUSTOS AMBULÂNCIA SUPORTE BÁSICO</t>
  </si>
  <si>
    <t xml:space="preserve">MOTORISTA DE AMBULÂNCIA</t>
  </si>
  <si>
    <t xml:space="preserve">Custo Mensal de Mão de obra</t>
  </si>
  <si>
    <t xml:space="preserve">Composição Salarial</t>
  </si>
  <si>
    <t xml:space="preserve">Salário Mínimo</t>
  </si>
  <si>
    <t xml:space="preserve">Insalubridade - 0%</t>
  </si>
  <si>
    <t xml:space="preserve">Salário
Bruto</t>
  </si>
  <si>
    <t xml:space="preserve">Salário Bruto</t>
  </si>
  <si>
    <t xml:space="preserve">CONVEÇÃO COLETIVA MG003075/2025</t>
  </si>
  <si>
    <t xml:space="preserve">Programa de Assitencia Familiar - PAF</t>
  </si>
  <si>
    <t xml:space="preserve">Auxilio Transporte</t>
  </si>
  <si>
    <t xml:space="preserve">Seguro de Vida</t>
  </si>
  <si>
    <t xml:space="preserve">Auxilio Alimentação</t>
  </si>
  <si>
    <t xml:space="preserve">Desconto Auxilio Alimentação</t>
  </si>
  <si>
    <t>-</t>
  </si>
  <si>
    <t xml:space="preserve">Total de Benefícios</t>
  </si>
  <si>
    <t xml:space="preserve">Encargos Trabalhistas</t>
  </si>
  <si>
    <t>INSS</t>
  </si>
  <si>
    <t xml:space="preserve">Sistema S</t>
  </si>
  <si>
    <t xml:space="preserve">Salário Educação</t>
  </si>
  <si>
    <t>FGTS</t>
  </si>
  <si>
    <t xml:space="preserve">Seguro Acidente de Trabalho (RAT X FAT)</t>
  </si>
  <si>
    <t xml:space="preserve">  </t>
  </si>
  <si>
    <t xml:space="preserve">Total de Encargos Trabalhistas</t>
  </si>
  <si>
    <t xml:space="preserve">13º Salário</t>
  </si>
  <si>
    <t xml:space="preserve">Incidência de Encargos Sobre o 13º Salário</t>
  </si>
  <si>
    <t xml:space="preserve">Total de 13º</t>
  </si>
  <si>
    <t xml:space="preserve">Provisão de Rescisão</t>
  </si>
  <si>
    <t xml:space="preserve">Aviso Prévio Indenizado</t>
  </si>
  <si>
    <t xml:space="preserve">Incidência de FGTS sem aviso prévio indenizado</t>
  </si>
  <si>
    <t xml:space="preserve">Multa do FGTS e Contribuições sociais s/aviso prévio indenizado</t>
  </si>
  <si>
    <t xml:space="preserve">Aviso Prévio Trabalhado</t>
  </si>
  <si>
    <t xml:space="preserve">Incidência de FGTS sem aviso prévio trabalhado</t>
  </si>
  <si>
    <t xml:space="preserve">Multa de FGTS e contribuições do aviso prévio trabalhado</t>
  </si>
  <si>
    <t xml:space="preserve">Total de Provisão de Rescisão de Contrato</t>
  </si>
  <si>
    <t xml:space="preserve">Custo com funcionário Ausente</t>
  </si>
  <si>
    <t xml:space="preserve">Férias e Terço Constitucional de férias</t>
  </si>
  <si>
    <t xml:space="preserve">Ausência por Doença</t>
  </si>
  <si>
    <t xml:space="preserve">Licença Paternidade</t>
  </si>
  <si>
    <t xml:space="preserve">Ausências Legais</t>
  </si>
  <si>
    <t xml:space="preserve">Ausência por Acidente de Trabalho</t>
  </si>
  <si>
    <t xml:space="preserve">Sub Total</t>
  </si>
  <si>
    <t xml:space="preserve">Incidência de encargos sociais e trabalhistas sobre custo de reposição</t>
  </si>
  <si>
    <t xml:space="preserve">Total de gastos com funcionário ausente</t>
  </si>
  <si>
    <t xml:space="preserve">Resumo de Custo com empregado</t>
  </si>
  <si>
    <t>Benefícios</t>
  </si>
  <si>
    <t xml:space="preserve">Encargos Previdenciários, FGTS e outras contribuições</t>
  </si>
  <si>
    <t xml:space="preserve">Custo Com Rescisão</t>
  </si>
  <si>
    <t xml:space="preserve">Custo Com Reposição de funcionário Ausente</t>
  </si>
  <si>
    <t xml:space="preserve">Custo Total de Empregados</t>
  </si>
  <si>
    <t xml:space="preserve">Custo Mensal do serviço</t>
  </si>
  <si>
    <t>ENFERMEIRO</t>
  </si>
  <si>
    <t xml:space="preserve">Insalubridade - 20%</t>
  </si>
  <si>
    <t xml:space="preserve">CONVENÇÃO COLETIVA MG000174/2026</t>
  </si>
  <si>
    <t>Salário</t>
  </si>
  <si>
    <t xml:space="preserve">MÉDICO </t>
  </si>
  <si>
    <t xml:space="preserve">Valores de remuneração baseados no salário-base do cargo de Clínico Geral do Município de Nova Serrana – MG</t>
  </si>
  <si>
    <t xml:space="preserve">Salário </t>
  </si>
  <si>
    <t>Manutenções</t>
  </si>
  <si>
    <t>Descrição</t>
  </si>
  <si>
    <t xml:space="preserve">Quant x ano</t>
  </si>
  <si>
    <t>Und</t>
  </si>
  <si>
    <t xml:space="preserve">Média Valores Unitários</t>
  </si>
  <si>
    <t xml:space="preserve">Valor Total Anual</t>
  </si>
  <si>
    <t xml:space="preserve">Valor Total por mês </t>
  </si>
  <si>
    <t>Fonte</t>
  </si>
  <si>
    <t>Oléo</t>
  </si>
  <si>
    <t xml:space="preserve">Banco de Preços</t>
  </si>
  <si>
    <t xml:space="preserve">Filtro de Oléo</t>
  </si>
  <si>
    <t xml:space="preserve">Limpeza Bico Injetor</t>
  </si>
  <si>
    <t xml:space="preserve">Filtro Combustível</t>
  </si>
  <si>
    <t>Alinhamento/Balanceamento</t>
  </si>
  <si>
    <t xml:space="preserve">Filtro de Ar</t>
  </si>
  <si>
    <t>Lavagem</t>
  </si>
  <si>
    <t xml:space="preserve">Aferição de Tacógrafo</t>
  </si>
  <si>
    <t xml:space="preserve">Total por mês</t>
  </si>
  <si>
    <t xml:space="preserve">Troca Pneus</t>
  </si>
  <si>
    <t>Quant.</t>
  </si>
  <si>
    <t xml:space="preserve">Valor Total </t>
  </si>
  <si>
    <t xml:space="preserve">Pneu Ambulância Tipo D</t>
  </si>
  <si>
    <t>Veículos</t>
  </si>
  <si>
    <t>Quant</t>
  </si>
  <si>
    <t xml:space="preserve">Ambulância Tipo D</t>
  </si>
  <si>
    <t>Depreciação</t>
  </si>
  <si>
    <t xml:space="preserve">Identificação </t>
  </si>
  <si>
    <t xml:space="preserve">Valor do bem</t>
  </si>
  <si>
    <t xml:space="preserve">Valor residual do bem 10%</t>
  </si>
  <si>
    <t xml:space="preserve">vida util do bem </t>
  </si>
  <si>
    <t xml:space="preserve">Depreciação anual </t>
  </si>
  <si>
    <t xml:space="preserve">Depreciação Mensal</t>
  </si>
  <si>
    <t xml:space="preserve">10 Anos</t>
  </si>
  <si>
    <t>IPVA</t>
  </si>
  <si>
    <t>Aliquota</t>
  </si>
  <si>
    <t xml:space="preserve">Valor IPVA Anual</t>
  </si>
  <si>
    <t xml:space="preserve">Valor IPVA Mensal</t>
  </si>
  <si>
    <t>Licenciamento</t>
  </si>
  <si>
    <t xml:space="preserve">Valor Anual</t>
  </si>
  <si>
    <t xml:space="preserve">Valor Mensal</t>
  </si>
  <si>
    <t xml:space="preserve">Uniformes Médicos e Enfermeiros</t>
  </si>
  <si>
    <t xml:space="preserve">Conjunto uniforme unisex tipo scrub</t>
  </si>
  <si>
    <t xml:space="preserve">Uniformes Motorista</t>
  </si>
  <si>
    <t xml:space="preserve">Uniforme para motorista de ambulância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</si>
</sst>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5">
    <numFmt numFmtId="164" formatCode="&quot; &quot;[$R$-416]&quot; &quot;#,##0.00&quot; &quot;;&quot;-&quot;[$R$-416]&quot; &quot;#,##0.00&quot; &quot;;&quot; &quot;[$R$-416]&quot; -&quot;00&quot; &quot;;&quot; &quot;@&quot; &quot;"/>
    <numFmt numFmtId="165" formatCode="[$R$-416]&quot; &quot;#,##0.00;[Red]&quot;-&quot;[$R$-416]&quot; &quot;#,##0.00"/>
    <numFmt numFmtId="166" formatCode="[$R$-416]&quot; &quot;#,##0.00"/>
    <numFmt numFmtId="167" formatCode="&quot; &quot;[$R$-416]&quot; &quot;#,##0.00&quot; &quot;;&quot;-&quot;[$R$-416]&quot; &quot;#,##0.00&quot; &quot;;&quot; &quot;[$R$-416]&quot; -&quot;00.00&quot; &quot;;&quot; &quot;@&quot; &quot;"/>
    <numFmt numFmtId="168" formatCode="&quot; R$ &quot;#,##0.00&quot; &quot;;&quot;-R$ &quot;#,##0.00&quot; &quot;;&quot; R$ -&quot;00&quot; &quot;"/>
  </numFmts>
  <fonts count="16">
    <font>
      <sz val="11.000000"/>
      <color theme="1"/>
      <name val="Liberation Sans"/>
    </font>
    <font>
      <b/>
      <sz val="11.000000"/>
      <color indexed="65"/>
      <name val="Liberation Sans"/>
    </font>
    <font>
      <sz val="11.000000"/>
      <name val="Liberation Sans"/>
    </font>
    <font>
      <b/>
      <i/>
      <sz val="16.000000"/>
      <name val="Liberation Sans"/>
    </font>
    <font>
      <sz val="10.000000"/>
      <name val="Arial"/>
    </font>
    <font>
      <b/>
      <i/>
      <u/>
      <sz val="11.000000"/>
      <name val="Liberation Sans"/>
    </font>
    <font>
      <sz val="10.000000"/>
      <name val="Times New Roman"/>
    </font>
    <font>
      <b/>
      <sz val="12.000000"/>
      <name val="Times New Roman"/>
    </font>
    <font>
      <b/>
      <sz val="10.000000"/>
      <name val="Times New Roman"/>
    </font>
    <font>
      <sz val="9.000000"/>
      <name val="Times New Roman"/>
    </font>
    <font>
      <b/>
      <sz val="9.000000"/>
      <name val="Arial1"/>
    </font>
    <font>
      <sz val="9.000000"/>
      <name val="Arial1"/>
    </font>
    <font>
      <b/>
      <sz val="9.000000"/>
      <color indexed="4"/>
      <name val="Arial1"/>
    </font>
    <font>
      <sz val="9.000000"/>
      <name val="Arial"/>
    </font>
    <font>
      <sz val="12.000000"/>
      <name val="Times New Roman"/>
    </font>
    <font>
      <b/>
      <sz val="11.000000"/>
      <name val="Liberation Sans"/>
    </font>
  </fonts>
  <fills count="7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D9D9D9"/>
        <bgColor rgb="FFD9D9D9"/>
      </patternFill>
    </fill>
    <fill>
      <patternFill patternType="solid">
        <fgColor indexed="23"/>
        <bgColor indexed="23"/>
      </patternFill>
    </fill>
    <fill>
      <patternFill patternType="solid">
        <fgColor indexed="22"/>
        <bgColor indexed="22"/>
      </patternFill>
    </fill>
    <fill>
      <patternFill patternType="solid">
        <fgColor rgb="FFA6A6A6"/>
        <bgColor rgb="FFA6A6A6"/>
      </patternFill>
    </fill>
  </fills>
  <borders count="26">
    <border>
      <left style="none"/>
      <right style="none"/>
      <top style="none"/>
      <bottom style="none"/>
      <diagonal style="none"/>
    </border>
    <border>
      <left style="none"/>
      <right style="none"/>
      <top style="thin">
        <color auto="1"/>
      </top>
      <bottom style="none"/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none"/>
      <diagonal style="none"/>
    </border>
    <border>
      <left style="medium">
        <color auto="1"/>
      </left>
      <right style="medium">
        <color auto="1"/>
      </right>
      <top style="none"/>
      <bottom style="none"/>
      <diagonal style="none"/>
    </border>
    <border>
      <left style="medium">
        <color auto="1"/>
      </left>
      <right style="medium">
        <color auto="1"/>
      </right>
      <top style="none"/>
      <bottom style="medium">
        <color auto="1"/>
      </bottom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none"/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none"/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 style="none"/>
    </border>
    <border>
      <left style="none"/>
      <right style="medium">
        <color auto="1"/>
      </right>
      <top style="thin">
        <color auto="1"/>
      </top>
      <bottom style="medium">
        <color auto="1"/>
      </bottom>
      <diagonal style="none"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 style="none"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 style="none"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 style="none"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 style="none"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 style="none"/>
    </border>
    <border>
      <left style="medium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</borders>
  <cellStyleXfs count="10">
    <xf fontId="0" fillId="0" borderId="0" numFmtId="0" applyNumberFormat="1" applyFont="1" applyFill="1" applyBorder="1"/>
    <xf fontId="1" fillId="0" borderId="1" numFmtId="0" applyNumberFormat="0" applyFont="1" applyFill="1" applyBorder="1" applyProtection="0"/>
    <xf fontId="2" fillId="0" borderId="0" numFmtId="9" applyNumberFormat="1" applyFont="0" applyFill="1" applyBorder="0" applyProtection="0"/>
    <xf fontId="3" fillId="0" borderId="0" numFmtId="0" applyNumberFormat="0" applyFont="1" applyFill="1" applyBorder="0" applyProtection="0">
      <alignment horizontal="center"/>
    </xf>
    <xf fontId="3" fillId="0" borderId="0" numFmtId="0" applyNumberFormat="0" applyFont="1" applyFill="1" applyBorder="0" applyProtection="0">
      <alignment horizontal="center" textRotation="90"/>
    </xf>
    <xf fontId="2" fillId="0" borderId="0" numFmtId="164" applyNumberFormat="1" applyFont="0" applyFill="0" applyBorder="0" applyProtection="0"/>
    <xf fontId="4" fillId="0" borderId="0" numFmtId="0" applyNumberFormat="0" applyFont="1" applyFill="1" applyBorder="0" applyProtection="0"/>
    <xf fontId="2" fillId="0" borderId="0" numFmtId="9" applyNumberFormat="1" applyFont="0" applyFill="0" applyBorder="0" applyProtection="0"/>
    <xf fontId="5" fillId="0" borderId="0" numFmtId="0" applyNumberFormat="0" applyFont="1" applyFill="1" applyBorder="0" applyProtection="0"/>
    <xf fontId="5" fillId="0" borderId="0" numFmtId="165" applyNumberFormat="1" applyFont="1" applyFill="1" applyBorder="0" applyProtection="0"/>
  </cellStyleXfs>
  <cellXfs count="157">
    <xf fontId="0" fillId="0" borderId="0" numFmtId="0" xfId="0"/>
    <xf fontId="6" fillId="0" borderId="0" numFmtId="0" xfId="0" applyFont="1"/>
    <xf fontId="7" fillId="0" borderId="2" numFmtId="0" xfId="0" applyFont="1" applyBorder="1" applyAlignment="1">
      <alignment horizontal="center" vertical="center"/>
    </xf>
    <xf fontId="8" fillId="0" borderId="0" numFmtId="0" xfId="0" applyFont="1" applyAlignment="1">
      <alignment vertical="center"/>
    </xf>
    <xf fontId="7" fillId="0" borderId="3" numFmtId="0" xfId="0" applyFont="1" applyBorder="1" applyAlignment="1">
      <alignment horizontal="center" vertical="center"/>
    </xf>
    <xf fontId="0" fillId="0" borderId="3" numFmtId="0" xfId="0" applyBorder="1"/>
    <xf fontId="8" fillId="0" borderId="3" numFmtId="0" xfId="0" applyFont="1" applyBorder="1" applyAlignment="1">
      <alignment horizontal="center" vertical="center"/>
    </xf>
    <xf fontId="6" fillId="0" borderId="4" numFmtId="0" xfId="0" applyFont="1" applyBorder="1" applyAlignment="1">
      <alignment horizontal="center" vertical="center"/>
    </xf>
    <xf fontId="8" fillId="2" borderId="5" numFmtId="0" xfId="0" applyFont="1" applyFill="1" applyBorder="1" applyAlignment="1">
      <alignment horizontal="left"/>
    </xf>
    <xf fontId="8" fillId="0" borderId="6" numFmtId="0" xfId="0" applyFont="1" applyBorder="1" applyAlignment="1">
      <alignment horizontal="center" vertical="center"/>
    </xf>
    <xf fontId="8" fillId="0" borderId="7" numFmtId="0" xfId="0" applyFont="1" applyBorder="1" applyAlignment="1">
      <alignment horizontal="center" vertical="center"/>
    </xf>
    <xf fontId="8" fillId="0" borderId="8" numFmtId="0" xfId="0" applyFont="1" applyBorder="1" applyAlignment="1">
      <alignment horizontal="center" vertical="center"/>
    </xf>
    <xf fontId="6" fillId="0" borderId="9" numFmtId="2" xfId="0" applyNumberFormat="1" applyFont="1" applyBorder="1" applyAlignment="1">
      <alignment vertical="center"/>
    </xf>
    <xf fontId="6" fillId="0" borderId="10" numFmtId="2" xfId="0" applyNumberFormat="1" applyFont="1" applyBorder="1" applyAlignment="1">
      <alignment horizontal="center" vertical="center"/>
    </xf>
    <xf fontId="6" fillId="0" borderId="11" numFmtId="164" xfId="5" applyNumberFormat="1" applyFont="1" applyBorder="1" applyAlignment="1">
      <alignment horizontal="center" vertical="center"/>
    </xf>
    <xf fontId="6" fillId="0" borderId="9" numFmtId="2" xfId="0" applyNumberFormat="1" applyFont="1" applyBorder="1" applyAlignment="1">
      <alignment vertical="center" wrapText="1"/>
    </xf>
    <xf fontId="6" fillId="0" borderId="12" numFmtId="2" xfId="0" applyNumberFormat="1" applyFont="1" applyBorder="1" applyAlignment="1">
      <alignment horizontal="center" vertical="center"/>
    </xf>
    <xf fontId="8" fillId="2" borderId="5" numFmtId="2" xfId="0" applyNumberFormat="1" applyFont="1" applyFill="1" applyBorder="1" applyAlignment="1">
      <alignment horizontal="right"/>
    </xf>
    <xf fontId="8" fillId="2" borderId="5" numFmtId="164" xfId="5" applyNumberFormat="1" applyFont="1" applyFill="1" applyBorder="1" applyAlignment="1">
      <alignment horizontal="center"/>
    </xf>
    <xf fontId="0" fillId="0" borderId="5" numFmtId="0" xfId="0" applyBorder="1"/>
    <xf fontId="8" fillId="3" borderId="6" numFmtId="2" xfId="0" applyNumberFormat="1" applyFont="1" applyFill="1" applyBorder="1" applyAlignment="1">
      <alignment horizontal="left" vertical="center"/>
    </xf>
    <xf fontId="6" fillId="3" borderId="8" numFmtId="164" xfId="5" applyNumberFormat="1" applyFont="1" applyFill="1" applyBorder="1" applyAlignment="1">
      <alignment horizontal="center"/>
    </xf>
    <xf fontId="6" fillId="0" borderId="0" numFmtId="164" xfId="5" applyNumberFormat="1" applyFont="1"/>
    <xf fontId="6" fillId="0" borderId="9" numFmtId="2" xfId="0" applyNumberFormat="1" applyFont="1" applyBorder="1" applyAlignment="1">
      <alignment horizontal="left"/>
    </xf>
    <xf fontId="6" fillId="0" borderId="11" numFmtId="164" xfId="5" applyNumberFormat="1" applyFont="1" applyBorder="1" applyAlignment="1">
      <alignment horizontal="center"/>
    </xf>
    <xf fontId="6" fillId="0" borderId="9" numFmtId="2" xfId="0" applyNumberFormat="1" applyFont="1" applyBorder="1" applyAlignment="1">
      <alignment horizontal="left" vertical="center"/>
    </xf>
    <xf fontId="6" fillId="0" borderId="0" numFmtId="166" xfId="0" applyNumberFormat="1" applyFont="1"/>
    <xf fontId="6" fillId="0" borderId="13" numFmtId="2" xfId="0" applyNumberFormat="1" applyFont="1" applyBorder="1" applyAlignment="1">
      <alignment horizontal="left"/>
    </xf>
    <xf fontId="6" fillId="0" borderId="14" numFmtId="164" xfId="5" applyNumberFormat="1" applyFont="1" applyBorder="1" applyAlignment="1">
      <alignment horizontal="center"/>
    </xf>
    <xf fontId="8" fillId="3" borderId="6" numFmtId="2" xfId="0" applyNumberFormat="1" applyFont="1" applyFill="1" applyBorder="1" applyAlignment="1">
      <alignment horizontal="left"/>
    </xf>
    <xf fontId="8" fillId="3" borderId="8" numFmtId="4" xfId="0" applyNumberFormat="1" applyFont="1" applyFill="1" applyBorder="1"/>
    <xf fontId="6" fillId="0" borderId="10" numFmtId="164" xfId="5" applyNumberFormat="1" applyFont="1" applyBorder="1" applyAlignment="1">
      <alignment horizontal="center"/>
    </xf>
    <xf fontId="6" fillId="0" borderId="10" numFmtId="0" xfId="0" applyFont="1" applyBorder="1"/>
    <xf fontId="8" fillId="0" borderId="11" numFmtId="4" xfId="0" applyNumberFormat="1" applyFont="1" applyBorder="1"/>
    <xf fontId="6" fillId="0" borderId="10" numFmtId="2" xfId="0" applyNumberFormat="1" applyFont="1" applyBorder="1" applyAlignment="1">
      <alignment horizontal="center"/>
    </xf>
    <xf fontId="0" fillId="0" borderId="10" numFmtId="0" xfId="0" applyBorder="1"/>
    <xf fontId="6" fillId="0" borderId="10" numFmtId="4" xfId="0" applyNumberFormat="1" applyFont="1" applyBorder="1" applyAlignment="1">
      <alignment horizontal="center"/>
    </xf>
    <xf fontId="8" fillId="0" borderId="10" numFmtId="164" xfId="5" applyNumberFormat="1" applyFont="1" applyBorder="1" applyAlignment="1">
      <alignment horizontal="center"/>
    </xf>
    <xf fontId="6" fillId="0" borderId="11" numFmtId="4" xfId="0" applyNumberFormat="1" applyFont="1" applyBorder="1"/>
    <xf fontId="0" fillId="0" borderId="13" numFmtId="0" xfId="0" applyBorder="1"/>
    <xf fontId="8" fillId="4" borderId="5" numFmtId="2" xfId="0" applyNumberFormat="1" applyFont="1" applyFill="1" applyBorder="1" applyAlignment="1">
      <alignment horizontal="left"/>
    </xf>
    <xf fontId="8" fillId="4" borderId="5" numFmtId="164" xfId="5" applyNumberFormat="1" applyFont="1" applyFill="1" applyBorder="1" applyAlignment="1">
      <alignment horizontal="center"/>
    </xf>
    <xf fontId="8" fillId="3" borderId="5" numFmtId="2" xfId="0" applyNumberFormat="1" applyFont="1" applyFill="1" applyBorder="1" applyAlignment="1">
      <alignment horizontal="left" vertical="center"/>
    </xf>
    <xf fontId="6" fillId="3" borderId="5" numFmtId="4" xfId="0" applyNumberFormat="1" applyFont="1" applyFill="1" applyBorder="1" applyAlignment="1">
      <alignment horizontal="center"/>
    </xf>
    <xf fontId="6" fillId="0" borderId="6" numFmtId="2" xfId="0" applyNumberFormat="1" applyFont="1" applyBorder="1" applyAlignment="1">
      <alignment horizontal="left"/>
    </xf>
    <xf fontId="6" fillId="0" borderId="7" numFmtId="2" xfId="0" applyNumberFormat="1" applyFont="1" applyBorder="1" applyAlignment="1">
      <alignment horizontal="center"/>
    </xf>
    <xf fontId="6" fillId="0" borderId="15" numFmtId="10" xfId="7" applyNumberFormat="1" applyFont="1" applyBorder="1" applyAlignment="1">
      <alignment horizontal="center"/>
    </xf>
    <xf fontId="6" fillId="0" borderId="16" numFmtId="10" xfId="7" applyNumberFormat="1" applyFont="1" applyBorder="1" applyAlignment="1">
      <alignment horizontal="center"/>
    </xf>
    <xf fontId="6" fillId="0" borderId="0" numFmtId="0" xfId="0" applyFont="1" applyAlignment="1">
      <alignment horizontal="center"/>
    </xf>
    <xf fontId="6" fillId="0" borderId="0" numFmtId="4" xfId="0" applyNumberFormat="1" applyFont="1"/>
    <xf fontId="6" fillId="0" borderId="17" numFmtId="2" xfId="0" applyNumberFormat="1" applyFont="1" applyBorder="1" applyAlignment="1">
      <alignment horizontal="center"/>
    </xf>
    <xf fontId="6" fillId="0" borderId="18" numFmtId="10" xfId="7" applyNumberFormat="1" applyFont="1" applyBorder="1" applyAlignment="1">
      <alignment horizontal="center"/>
    </xf>
    <xf fontId="8" fillId="2" borderId="19" numFmtId="2" xfId="0" applyNumberFormat="1" applyFont="1" applyFill="1" applyBorder="1" applyAlignment="1">
      <alignment horizontal="left" vertical="center"/>
    </xf>
    <xf fontId="8" fillId="5" borderId="20" numFmtId="10" xfId="6" applyNumberFormat="1" applyFont="1" applyFill="1" applyBorder="1" applyAlignment="1">
      <alignment horizontal="center" vertical="center"/>
    </xf>
    <xf fontId="8" fillId="2" borderId="21" numFmtId="167" xfId="5" applyNumberFormat="1" applyFont="1" applyFill="1" applyBorder="1" applyAlignment="1">
      <alignment horizontal="center"/>
    </xf>
    <xf fontId="8" fillId="4" borderId="5" numFmtId="2" xfId="0" applyNumberFormat="1" applyFont="1" applyFill="1" applyBorder="1" applyAlignment="1">
      <alignment horizontal="right"/>
    </xf>
    <xf fontId="8" fillId="4" borderId="5" numFmtId="164" xfId="5" applyNumberFormat="1" applyFont="1" applyFill="1" applyBorder="1" applyAlignment="1">
      <alignment horizontal="right"/>
    </xf>
    <xf fontId="8" fillId="4" borderId="5" numFmtId="0" xfId="0" applyFont="1" applyFill="1" applyBorder="1" applyAlignment="1">
      <alignment horizontal="right" vertical="center"/>
    </xf>
    <xf fontId="6" fillId="0" borderId="0" numFmtId="10" xfId="0" applyNumberFormat="1" applyFont="1"/>
    <xf fontId="9" fillId="3" borderId="8" numFmtId="164" xfId="5" applyNumberFormat="1" applyFont="1" applyFill="1" applyBorder="1" applyAlignment="1">
      <alignment horizontal="center"/>
    </xf>
    <xf fontId="8" fillId="2" borderId="21" numFmtId="164" xfId="5" applyNumberFormat="1" applyFont="1" applyFill="1" applyBorder="1" applyAlignment="1">
      <alignment horizontal="center"/>
    </xf>
    <xf fontId="10" fillId="6" borderId="22" numFmtId="49" xfId="0" applyNumberFormat="1" applyFont="1" applyFill="1" applyBorder="1" applyAlignment="1">
      <alignment horizontal="center" vertical="center"/>
    </xf>
    <xf fontId="10" fillId="6" borderId="23" numFmtId="49" xfId="0" applyNumberFormat="1" applyFont="1" applyFill="1" applyBorder="1" applyAlignment="1">
      <alignment horizontal="left" vertical="center"/>
    </xf>
    <xf fontId="10" fillId="6" borderId="9" numFmtId="49" xfId="0" applyNumberFormat="1" applyFont="1" applyFill="1" applyBorder="1" applyAlignment="1">
      <alignment horizontal="left" vertical="center"/>
    </xf>
    <xf fontId="10" fillId="6" borderId="10" numFmtId="0" xfId="0" applyFont="1" applyFill="1" applyBorder="1" applyAlignment="1">
      <alignment horizontal="left" vertical="center"/>
    </xf>
    <xf fontId="10" fillId="6" borderId="10" numFmtId="49" xfId="0" applyNumberFormat="1" applyFont="1" applyFill="1" applyBorder="1" applyAlignment="1">
      <alignment horizontal="center" vertical="center"/>
    </xf>
    <xf fontId="10" fillId="6" borderId="11" numFmtId="0" xfId="0" applyFont="1" applyFill="1" applyBorder="1" applyAlignment="1">
      <alignment horizontal="left" vertical="center"/>
    </xf>
    <xf fontId="11" fillId="0" borderId="9" numFmtId="49" xfId="0" applyNumberFormat="1" applyFont="1" applyBorder="1" applyAlignment="1">
      <alignment horizontal="left" vertical="center" wrapText="1"/>
    </xf>
    <xf fontId="0" fillId="0" borderId="10" numFmtId="0" xfId="0" applyBorder="1" applyAlignment="1">
      <alignment horizontal="center" vertical="center"/>
    </xf>
    <xf fontId="12" fillId="0" borderId="10" numFmtId="3" xfId="0" applyNumberFormat="1" applyFont="1" applyBorder="1" applyAlignment="1">
      <alignment horizontal="center" vertical="center"/>
    </xf>
    <xf fontId="10" fillId="0" borderId="11" numFmtId="49" xfId="0" applyNumberFormat="1" applyFont="1" applyBorder="1" applyAlignment="1">
      <alignment horizontal="center" vertical="center"/>
    </xf>
    <xf fontId="10" fillId="0" borderId="10" numFmtId="49" xfId="0" applyNumberFormat="1" applyFont="1" applyBorder="1" applyAlignment="1">
      <alignment horizontal="center" vertical="center" wrapText="1"/>
    </xf>
    <xf fontId="10" fillId="0" borderId="11" numFmtId="49" xfId="0" applyNumberFormat="1" applyFont="1" applyBorder="1" applyAlignment="1">
      <alignment horizontal="center" vertical="center" wrapText="1"/>
    </xf>
    <xf fontId="0" fillId="0" borderId="9" numFmtId="0" xfId="0" applyBorder="1"/>
    <xf fontId="11" fillId="0" borderId="10" numFmtId="4" xfId="0" applyNumberFormat="1" applyFont="1" applyBorder="1" applyAlignment="1">
      <alignment horizontal="center"/>
    </xf>
    <xf fontId="11" fillId="0" borderId="11" numFmtId="4" xfId="0" applyNumberFormat="1" applyFont="1" applyBorder="1" applyAlignment="1">
      <alignment horizontal="right"/>
    </xf>
    <xf fontId="10" fillId="3" borderId="9" numFmtId="49" xfId="0" applyNumberFormat="1" applyFont="1" applyFill="1" applyBorder="1" applyAlignment="1">
      <alignment horizontal="right" vertical="center"/>
    </xf>
    <xf fontId="10" fillId="3" borderId="11" numFmtId="4" xfId="0" applyNumberFormat="1" applyFont="1" applyFill="1" applyBorder="1" applyAlignment="1">
      <alignment horizontal="right"/>
    </xf>
    <xf fontId="10" fillId="0" borderId="9" numFmtId="49" xfId="0" applyNumberFormat="1" applyFont="1" applyBorder="1" applyAlignment="1">
      <alignment horizontal="center" vertical="center" wrapText="1"/>
    </xf>
    <xf fontId="11" fillId="0" borderId="10" numFmtId="168" xfId="0" applyNumberFormat="1" applyFont="1" applyBorder="1"/>
    <xf fontId="11" fillId="0" borderId="10" numFmtId="168" xfId="0" applyNumberFormat="1" applyFont="1" applyBorder="1" applyAlignment="1">
      <alignment horizontal="center"/>
    </xf>
    <xf fontId="13" fillId="0" borderId="10" numFmtId="9" xfId="0" applyNumberFormat="1" applyFont="1" applyBorder="1"/>
    <xf fontId="11" fillId="0" borderId="11" numFmtId="49" xfId="0" applyNumberFormat="1" applyFont="1" applyBorder="1" applyAlignment="1">
      <alignment horizontal="right"/>
    </xf>
    <xf fontId="11" fillId="0" borderId="10" numFmtId="168" xfId="0" applyNumberFormat="1" applyFont="1" applyBorder="1" applyAlignment="1">
      <alignment horizontal="right"/>
    </xf>
    <xf fontId="11" fillId="0" borderId="11" numFmtId="168" xfId="0" applyNumberFormat="1" applyFont="1" applyBorder="1" applyAlignment="1">
      <alignment horizontal="right"/>
    </xf>
    <xf fontId="10" fillId="0" borderId="0" numFmtId="49" xfId="0" applyNumberFormat="1" applyFont="1" applyAlignment="1">
      <alignment horizontal="center" vertical="center" wrapText="1"/>
    </xf>
    <xf fontId="11" fillId="0" borderId="10" numFmtId="10" xfId="0" applyNumberFormat="1" applyFont="1" applyBorder="1" applyAlignment="1">
      <alignment horizontal="center"/>
    </xf>
    <xf fontId="11" fillId="0" borderId="11" numFmtId="10" xfId="0" applyNumberFormat="1" applyFont="1" applyBorder="1" applyAlignment="1">
      <alignment horizontal="right"/>
    </xf>
    <xf fontId="11" fillId="0" borderId="11" numFmtId="2" xfId="0" applyNumberFormat="1" applyFont="1" applyBorder="1" applyAlignment="1">
      <alignment horizontal="center"/>
    </xf>
    <xf fontId="10" fillId="0" borderId="11" numFmtId="4" xfId="0" applyNumberFormat="1" applyFont="1" applyBorder="1" applyAlignment="1">
      <alignment horizontal="right"/>
    </xf>
    <xf fontId="11" fillId="0" borderId="10" numFmtId="2" xfId="0" applyNumberFormat="1" applyFont="1" applyBorder="1" applyAlignment="1">
      <alignment horizontal="center"/>
    </xf>
    <xf fontId="10" fillId="0" borderId="9" numFmtId="49" xfId="0" applyNumberFormat="1" applyFont="1" applyBorder="1" applyAlignment="1">
      <alignment horizontal="center" vertical="center"/>
    </xf>
    <xf fontId="11" fillId="0" borderId="11" numFmtId="10" xfId="0" applyNumberFormat="1" applyFont="1" applyBorder="1" applyAlignment="1">
      <alignment horizontal="center"/>
    </xf>
    <xf fontId="10" fillId="0" borderId="24" numFmtId="2" xfId="0" applyNumberFormat="1" applyFont="1" applyBorder="1" applyAlignment="1">
      <alignment horizontal="right" vertical="center"/>
    </xf>
    <xf fontId="11" fillId="0" borderId="25" numFmtId="0" xfId="0" applyFont="1" applyBorder="1"/>
    <xf fontId="10" fillId="0" borderId="16" numFmtId="4" xfId="0" applyNumberFormat="1" applyFont="1" applyBorder="1" applyAlignment="1">
      <alignment horizontal="right"/>
    </xf>
    <xf fontId="10" fillId="3" borderId="23" numFmtId="49" xfId="0" applyNumberFormat="1" applyFont="1" applyFill="1" applyBorder="1" applyAlignment="1">
      <alignment horizontal="center" vertical="center"/>
    </xf>
    <xf fontId="11" fillId="0" borderId="9" numFmtId="49" xfId="0" applyNumberFormat="1" applyFont="1" applyBorder="1" applyAlignment="1">
      <alignment horizontal="right" vertical="center"/>
    </xf>
    <xf fontId="0" fillId="0" borderId="23" numFmtId="0" xfId="0" applyBorder="1"/>
    <xf fontId="10" fillId="6" borderId="9" numFmtId="49" xfId="0" applyNumberFormat="1" applyFont="1" applyFill="1" applyBorder="1" applyAlignment="1">
      <alignment horizontal="right" vertical="center"/>
    </xf>
    <xf fontId="10" fillId="6" borderId="11" numFmtId="4" xfId="0" applyNumberFormat="1" applyFont="1" applyFill="1" applyBorder="1" applyAlignment="1">
      <alignment horizontal="right"/>
    </xf>
    <xf fontId="0" fillId="0" borderId="12" numFmtId="0" xfId="0" applyBorder="1"/>
    <xf fontId="0" fillId="0" borderId="10" numFmtId="2" xfId="0" applyNumberFormat="1" applyBorder="1" applyAlignment="1">
      <alignment horizontal="center" vertical="center"/>
    </xf>
    <xf fontId="14" fillId="0" borderId="0" numFmtId="0" xfId="0" applyFont="1"/>
    <xf fontId="14" fillId="0" borderId="0" numFmtId="0" xfId="0" applyFont="1" applyAlignment="1">
      <alignment horizontal="left" vertical="center" wrapText="1"/>
    </xf>
    <xf fontId="14" fillId="0" borderId="0" numFmtId="0" xfId="0" applyFont="1" applyAlignment="1">
      <alignment horizontal="center" vertical="center"/>
    </xf>
    <xf fontId="14" fillId="0" borderId="0" numFmtId="0" xfId="0" applyFont="1" applyAlignment="1">
      <alignment horizontal="center" vertical="center" wrapText="1"/>
    </xf>
    <xf fontId="7" fillId="2" borderId="5" numFmtId="0" xfId="0" applyFont="1" applyFill="1" applyBorder="1" applyAlignment="1">
      <alignment horizontal="center" vertical="center" wrapText="1"/>
    </xf>
    <xf fontId="7" fillId="2" borderId="19" numFmtId="0" xfId="0" applyFont="1" applyFill="1" applyBorder="1" applyAlignment="1">
      <alignment horizontal="center" vertical="center" wrapText="1"/>
    </xf>
    <xf fontId="7" fillId="2" borderId="20" numFmtId="0" xfId="0" applyFont="1" applyFill="1" applyBorder="1" applyAlignment="1">
      <alignment horizontal="center" vertical="center"/>
    </xf>
    <xf fontId="7" fillId="2" borderId="20" numFmtId="0" xfId="0" applyFont="1" applyFill="1" applyBorder="1" applyAlignment="1">
      <alignment horizontal="center" vertical="center" wrapText="1"/>
    </xf>
    <xf fontId="7" fillId="2" borderId="21" numFmtId="0" xfId="0" applyFont="1" applyFill="1" applyBorder="1" applyAlignment="1">
      <alignment horizontal="center" vertical="center" wrapText="1"/>
    </xf>
    <xf fontId="14" fillId="0" borderId="6" numFmtId="0" xfId="0" applyFont="1" applyBorder="1" applyAlignment="1">
      <alignment horizontal="left" vertical="center" wrapText="1"/>
    </xf>
    <xf fontId="14" fillId="0" borderId="7" numFmtId="2" xfId="0" applyNumberFormat="1" applyFont="1" applyBorder="1" applyAlignment="1">
      <alignment horizontal="center" vertical="center"/>
    </xf>
    <xf fontId="14" fillId="0" borderId="7" numFmtId="0" xfId="0" applyFont="1" applyBorder="1" applyAlignment="1">
      <alignment horizontal="center" vertical="center"/>
    </xf>
    <xf fontId="14" fillId="0" borderId="7" numFmtId="164" xfId="5" applyNumberFormat="1" applyFont="1" applyBorder="1" applyAlignment="1">
      <alignment horizontal="center" vertical="center" wrapText="1"/>
    </xf>
    <xf fontId="14" fillId="0" borderId="7" numFmtId="164" xfId="0" applyNumberFormat="1" applyFont="1" applyBorder="1" applyAlignment="1">
      <alignment horizontal="center" vertical="center"/>
    </xf>
    <xf fontId="14" fillId="0" borderId="8" numFmtId="0" xfId="0" applyFont="1" applyBorder="1" applyAlignment="1">
      <alignment horizontal="center" vertical="center"/>
    </xf>
    <xf fontId="14" fillId="0" borderId="9" numFmtId="0" xfId="0" applyFont="1" applyBorder="1" applyAlignment="1">
      <alignment horizontal="left" vertical="center" wrapText="1"/>
    </xf>
    <xf fontId="14" fillId="0" borderId="10" numFmtId="2" xfId="0" applyNumberFormat="1" applyFont="1" applyBorder="1" applyAlignment="1">
      <alignment horizontal="center" vertical="center"/>
    </xf>
    <xf fontId="14" fillId="0" borderId="10" numFmtId="0" xfId="0" applyFont="1" applyBorder="1" applyAlignment="1">
      <alignment horizontal="center" vertical="center"/>
    </xf>
    <xf fontId="14" fillId="0" borderId="10" numFmtId="164" xfId="5" applyNumberFormat="1" applyFont="1" applyBorder="1" applyAlignment="1">
      <alignment horizontal="center" vertical="center" wrapText="1"/>
    </xf>
    <xf fontId="14" fillId="0" borderId="10" numFmtId="164" xfId="0" applyNumberFormat="1" applyFont="1" applyBorder="1" applyAlignment="1">
      <alignment horizontal="center" vertical="center"/>
    </xf>
    <xf fontId="14" fillId="0" borderId="11" numFmtId="0" xfId="0" applyFont="1" applyBorder="1" applyAlignment="1">
      <alignment horizontal="center" vertical="center"/>
    </xf>
    <xf fontId="14" fillId="0" borderId="13" numFmtId="0" xfId="0" applyFont="1" applyBorder="1" applyAlignment="1">
      <alignment horizontal="left" vertical="center" wrapText="1"/>
    </xf>
    <xf fontId="14" fillId="0" borderId="17" numFmtId="2" xfId="0" applyNumberFormat="1" applyFont="1" applyBorder="1" applyAlignment="1">
      <alignment horizontal="center" vertical="center"/>
    </xf>
    <xf fontId="14" fillId="0" borderId="17" numFmtId="0" xfId="0" applyFont="1" applyBorder="1" applyAlignment="1">
      <alignment horizontal="center" vertical="center"/>
    </xf>
    <xf fontId="14" fillId="0" borderId="17" numFmtId="164" xfId="5" applyNumberFormat="1" applyFont="1" applyBorder="1" applyAlignment="1">
      <alignment horizontal="center" vertical="center" wrapText="1"/>
    </xf>
    <xf fontId="14" fillId="0" borderId="17" numFmtId="164" xfId="0" applyNumberFormat="1" applyFont="1" applyBorder="1" applyAlignment="1">
      <alignment horizontal="center" vertical="center"/>
    </xf>
    <xf fontId="14" fillId="0" borderId="14" numFmtId="0" xfId="0" applyFont="1" applyBorder="1" applyAlignment="1">
      <alignment horizontal="center" vertical="center"/>
    </xf>
    <xf fontId="7" fillId="2" borderId="5" numFmtId="0" xfId="0" applyFont="1" applyFill="1" applyBorder="1" applyAlignment="1">
      <alignment horizontal="right" vertical="center" wrapText="1"/>
    </xf>
    <xf fontId="7" fillId="2" borderId="5" numFmtId="164" xfId="0" applyNumberFormat="1" applyFont="1" applyFill="1" applyBorder="1" applyAlignment="1">
      <alignment horizontal="center" vertical="center"/>
    </xf>
    <xf fontId="7" fillId="2" borderId="5" numFmtId="0" xfId="0" applyFont="1" applyFill="1" applyBorder="1" applyAlignment="1">
      <alignment horizontal="center" vertical="center"/>
    </xf>
    <xf fontId="14" fillId="0" borderId="6" numFmtId="0" xfId="0" applyFont="1" applyBorder="1" applyAlignment="1">
      <alignment horizontal="left" vertical="center"/>
    </xf>
    <xf fontId="14" fillId="0" borderId="7" numFmtId="166" xfId="0" applyNumberFormat="1" applyFont="1" applyBorder="1" applyAlignment="1">
      <alignment horizontal="center" vertical="center"/>
    </xf>
    <xf fontId="14" fillId="0" borderId="7" numFmtId="164" xfId="5" applyNumberFormat="1" applyFont="1" applyBorder="1" applyAlignment="1">
      <alignment horizontal="center" vertical="center"/>
    </xf>
    <xf fontId="14" fillId="0" borderId="8" numFmtId="164" xfId="5" applyNumberFormat="1" applyFont="1" applyBorder="1" applyAlignment="1">
      <alignment horizontal="center" vertical="center"/>
    </xf>
    <xf fontId="14" fillId="0" borderId="7" numFmtId="10" xfId="0" applyNumberFormat="1" applyFont="1" applyBorder="1" applyAlignment="1">
      <alignment horizontal="center" vertical="center"/>
    </xf>
    <xf fontId="14" fillId="0" borderId="8" numFmtId="166" xfId="0" applyNumberFormat="1" applyFont="1" applyBorder="1" applyAlignment="1">
      <alignment horizontal="center" vertical="center"/>
    </xf>
    <xf fontId="14" fillId="0" borderId="8" numFmtId="164" xfId="5" applyNumberFormat="1" applyFont="1" applyBorder="1" applyAlignment="1">
      <alignment horizontal="center" vertical="center" wrapText="1"/>
    </xf>
    <xf fontId="0" fillId="0" borderId="0" numFmtId="0" xfId="0" applyAlignment="1">
      <alignment wrapText="1"/>
    </xf>
    <xf fontId="15" fillId="2" borderId="5" numFmtId="0" xfId="0" applyFont="1" applyFill="1" applyBorder="1" applyAlignment="1">
      <alignment horizontal="center" wrapText="1"/>
    </xf>
    <xf fontId="15" fillId="2" borderId="19" numFmtId="0" xfId="0" applyFont="1" applyFill="1" applyBorder="1" applyAlignment="1">
      <alignment horizontal="center" vertical="center" wrapText="1"/>
    </xf>
    <xf fontId="15" fillId="2" borderId="20" numFmtId="0" xfId="0" applyFont="1" applyFill="1" applyBorder="1" applyAlignment="1">
      <alignment horizontal="center" vertical="center"/>
    </xf>
    <xf fontId="15" fillId="2" borderId="20" numFmtId="0" xfId="0" applyFont="1" applyFill="1" applyBorder="1" applyAlignment="1">
      <alignment horizontal="center" vertical="center" wrapText="1"/>
    </xf>
    <xf fontId="15" fillId="2" borderId="21" numFmtId="0" xfId="0" applyFont="1" applyFill="1" applyBorder="1" applyAlignment="1">
      <alignment horizontal="center" vertical="center" wrapText="1"/>
    </xf>
    <xf fontId="0" fillId="0" borderId="6" numFmtId="0" xfId="0" applyBorder="1" applyAlignment="1">
      <alignment horizontal="left" vertical="center" wrapText="1"/>
    </xf>
    <xf fontId="0" fillId="0" borderId="7" numFmtId="2" xfId="0" applyNumberFormat="1" applyBorder="1" applyAlignment="1">
      <alignment horizontal="center" vertical="center"/>
    </xf>
    <xf fontId="0" fillId="0" borderId="7" numFmtId="0" xfId="0" applyBorder="1" applyAlignment="1">
      <alignment horizontal="center" vertical="center"/>
    </xf>
    <xf fontId="2" fillId="0" borderId="7" numFmtId="164" xfId="5" applyNumberFormat="1" applyFont="1" applyBorder="1" applyAlignment="1">
      <alignment horizontal="center" vertical="center" wrapText="1"/>
    </xf>
    <xf fontId="0" fillId="0" borderId="7" numFmtId="164" xfId="0" applyNumberFormat="1" applyBorder="1" applyAlignment="1">
      <alignment horizontal="center" vertical="center"/>
    </xf>
    <xf fontId="0" fillId="0" borderId="8" numFmtId="0" xfId="0" applyBorder="1" applyAlignment="1">
      <alignment horizontal="center" vertical="center"/>
    </xf>
    <xf fontId="15" fillId="2" borderId="5" numFmtId="0" xfId="0" applyFont="1" applyFill="1" applyBorder="1" applyAlignment="1">
      <alignment horizontal="right" vertical="center" wrapText="1"/>
    </xf>
    <xf fontId="15" fillId="2" borderId="5" numFmtId="164" xfId="0" applyNumberFormat="1" applyFont="1" applyFill="1" applyBorder="1" applyAlignment="1">
      <alignment vertical="center"/>
    </xf>
    <xf fontId="15" fillId="2" borderId="5" numFmtId="0" xfId="0" applyFont="1" applyFill="1" applyBorder="1"/>
    <xf fontId="0" fillId="0" borderId="0" numFmtId="0" xfId="0" applyAlignment="1">
      <alignment vertical="center" wrapText="1"/>
    </xf>
    <xf fontId="0" fillId="0" borderId="0" numFmtId="0" xfId="0" applyAlignment="1">
      <alignment vertical="center"/>
    </xf>
  </cellXfs>
  <cellStyles count="10">
    <cellStyle name="cf1" xfId="1"/>
    <cellStyle name="Excel_BuiltIn_Percent" xfId="2"/>
    <cellStyle name="Heading" xfId="3"/>
    <cellStyle name="Heading1" xfId="4"/>
    <cellStyle name="Moeda" xfId="5" builtinId="4"/>
    <cellStyle name="Normal" xfId="0" builtinId="0"/>
    <cellStyle name="Normal 2" xfId="6"/>
    <cellStyle name="Porcentagem" xfId="7" builtinId="5"/>
    <cellStyle name="Result" xfId="8"/>
    <cellStyle name="Result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worksheet" Target="worksheets/sheet1.xml"/><Relationship  Id="rId10" Type="http://schemas.openxmlformats.org/officeDocument/2006/relationships/sharedStrings" Target="sharedStrings.xml"/><Relationship  Id="rId11" Type="http://schemas.openxmlformats.org/officeDocument/2006/relationships/styles" Target="styles.xml"/><Relationship  Id="rId2" Type="http://schemas.openxmlformats.org/officeDocument/2006/relationships/worksheet" Target="worksheets/sheet2.xml"/><Relationship  Id="rId3" Type="http://schemas.openxmlformats.org/officeDocument/2006/relationships/worksheet" Target="worksheets/sheet3.xml"/><Relationship  Id="rId4" Type="http://schemas.openxmlformats.org/officeDocument/2006/relationships/worksheet" Target="worksheets/sheet4.xml"/><Relationship  Id="rId5" Type="http://schemas.openxmlformats.org/officeDocument/2006/relationships/worksheet" Target="worksheets/sheet5.xml"/><Relationship  Id="rId6" Type="http://schemas.openxmlformats.org/officeDocument/2006/relationships/worksheet" Target="worksheets/sheet6.xml"/><Relationship  Id="rId7" Type="http://schemas.openxmlformats.org/officeDocument/2006/relationships/worksheet" Target="worksheets/sheet7.xml"/><Relationship  Id="rId8" Type="http://schemas.openxmlformats.org/officeDocument/2006/relationships/worksheet" Target="worksheets/sheet8.xml"/><Relationship  Id="rId9" Type="http://schemas.openxmlformats.org/officeDocument/2006/relationships/theme" Target="theme/theme1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oneCellAnchor>
    <xdr:from>
      <xdr:col>0</xdr:col>
      <xdr:colOff>342900</xdr:colOff>
      <xdr:row>0</xdr:row>
      <xdr:rowOff>9528</xdr:rowOff>
    </xdr:from>
    <xdr:ext cx="514350" cy="704846"/>
    <xdr:pic>
      <xdr:nvPicPr>
        <xdr:cNvPr id="2" name="Imagem 1"/>
        <xdr:cNvPicPr>
          <a:picLocks noChangeAspect="1"/>
        </xdr:cNvPicPr>
      </xdr:nvPicPr>
      <xdr:blipFill rotWithShape="1">
        <a:blip r:embed="rId1"/>
        <a:stretch/>
      </xdr:blipFill>
      <xdr:spPr bwMode="auto">
        <a:xfrm>
          <a:off x="342900" y="9528"/>
          <a:ext cx="514350" cy="704846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9</xdr:col>
      <xdr:colOff>57150</xdr:colOff>
      <xdr:row>0</xdr:row>
      <xdr:rowOff>76196</xdr:rowOff>
    </xdr:from>
    <xdr:ext cx="514350" cy="704846"/>
    <xdr:pic>
      <xdr:nvPicPr>
        <xdr:cNvPr id="3" name="Imagem 2"/>
        <xdr:cNvPicPr>
          <a:picLocks noChangeAspect="1"/>
        </xdr:cNvPicPr>
      </xdr:nvPicPr>
      <xdr:blipFill rotWithShape="1">
        <a:blip r:embed="rId1"/>
        <a:stretch/>
      </xdr:blipFill>
      <xdr:spPr bwMode="auto">
        <a:xfrm>
          <a:off x="7296149" y="76196"/>
          <a:ext cx="514350" cy="704846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oneCellAnchor>
    <xdr:from>
      <xdr:col>0</xdr:col>
      <xdr:colOff>342900</xdr:colOff>
      <xdr:row>0</xdr:row>
      <xdr:rowOff>9528</xdr:rowOff>
    </xdr:from>
    <xdr:ext cx="514350" cy="704846"/>
    <xdr:pic>
      <xdr:nvPicPr>
        <xdr:cNvPr id="2" name="Imagem 1"/>
        <xdr:cNvPicPr>
          <a:picLocks noChangeAspect="1"/>
        </xdr:cNvPicPr>
      </xdr:nvPicPr>
      <xdr:blipFill rotWithShape="1">
        <a:blip r:embed="rId1"/>
        <a:stretch/>
      </xdr:blipFill>
      <xdr:spPr bwMode="auto">
        <a:xfrm>
          <a:off x="342900" y="9528"/>
          <a:ext cx="514350" cy="704846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9</xdr:col>
      <xdr:colOff>57150</xdr:colOff>
      <xdr:row>0</xdr:row>
      <xdr:rowOff>76196</xdr:rowOff>
    </xdr:from>
    <xdr:ext cx="514350" cy="704846"/>
    <xdr:pic>
      <xdr:nvPicPr>
        <xdr:cNvPr id="3" name="Imagem 2"/>
        <xdr:cNvPicPr>
          <a:picLocks noChangeAspect="1"/>
        </xdr:cNvPicPr>
      </xdr:nvPicPr>
      <xdr:blipFill rotWithShape="1">
        <a:blip r:embed="rId1"/>
        <a:stretch/>
      </xdr:blipFill>
      <xdr:spPr bwMode="auto">
        <a:xfrm>
          <a:off x="7296149" y="76196"/>
          <a:ext cx="514350" cy="704846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oneCellAnchor>
    <xdr:from>
      <xdr:col>0</xdr:col>
      <xdr:colOff>342900</xdr:colOff>
      <xdr:row>0</xdr:row>
      <xdr:rowOff>9528</xdr:rowOff>
    </xdr:from>
    <xdr:ext cx="514350" cy="704846"/>
    <xdr:pic>
      <xdr:nvPicPr>
        <xdr:cNvPr id="2" name="Imagem 1"/>
        <xdr:cNvPicPr>
          <a:picLocks noChangeAspect="1"/>
        </xdr:cNvPicPr>
      </xdr:nvPicPr>
      <xdr:blipFill rotWithShape="1">
        <a:blip r:embed="rId1"/>
        <a:stretch/>
      </xdr:blipFill>
      <xdr:spPr bwMode="auto">
        <a:xfrm>
          <a:off x="342900" y="9528"/>
          <a:ext cx="514350" cy="704846"/>
        </a:xfrm>
        <a:prstGeom prst="rect">
          <a:avLst/>
        </a:prstGeom>
        <a:noFill/>
        <a:ln cap="flat">
          <a:noFill/>
        </a:ln>
      </xdr:spPr>
    </xdr:pic>
    <xdr:clientData/>
  </xdr:oneCellAnchor>
  <xdr:oneCellAnchor>
    <xdr:from>
      <xdr:col>9</xdr:col>
      <xdr:colOff>57150</xdr:colOff>
      <xdr:row>0</xdr:row>
      <xdr:rowOff>76196</xdr:rowOff>
    </xdr:from>
    <xdr:ext cx="514350" cy="704846"/>
    <xdr:pic>
      <xdr:nvPicPr>
        <xdr:cNvPr id="3" name="Imagem 2"/>
        <xdr:cNvPicPr>
          <a:picLocks noChangeAspect="1"/>
        </xdr:cNvPicPr>
      </xdr:nvPicPr>
      <xdr:blipFill rotWithShape="1">
        <a:blip r:embed="rId1"/>
        <a:stretch/>
      </xdr:blipFill>
      <xdr:spPr bwMode="auto">
        <a:xfrm>
          <a:off x="7296149" y="76196"/>
          <a:ext cx="514350" cy="704846"/>
        </a:xfrm>
        <a:prstGeom prst="rect">
          <a:avLst/>
        </a:prstGeom>
        <a:noFill/>
        <a:ln cap="flat">
          <a:noFill/>
        </a:ln>
      </xdr:spPr>
    </xdr:pic>
    <xdr:clientData/>
  </xdr:oneCellAnchor>
</xdr:wsDr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pageBreakPreview" zoomScale="100" workbookViewId="0">
      <selection activeCell="A1" activeCellId="0" sqref="A1:J1"/>
    </sheetView>
  </sheetViews>
  <sheetFormatPr defaultRowHeight="12.75"/>
  <cols>
    <col customWidth="1" min="1" max="1" style="1" width="10.625"/>
    <col customWidth="1" min="2" max="2" style="1" width="11.875"/>
    <col customWidth="1" min="3" max="3" style="1" width="10.75"/>
    <col customWidth="1" min="4" max="4" style="1" width="10.625"/>
    <col customWidth="1" min="5" max="5" style="1" width="13.5"/>
    <col customWidth="1" min="6" max="6" style="1" width="11.125"/>
    <col customWidth="1" min="7" max="7" style="1" width="10.625"/>
    <col customWidth="1" min="8" max="8" style="1" width="9.5"/>
    <col customWidth="1" min="9" max="9" style="1" width="8.875"/>
    <col bestFit="1" customWidth="1" min="10" max="10" style="1" width="12.625"/>
    <col customWidth="1" min="11" max="11" style="1" width="10.625"/>
    <col bestFit="1" customWidth="1" min="12" max="12" style="1" width="12.75"/>
    <col customWidth="1" min="13" max="13" style="1" width="16.625"/>
    <col customWidth="1" min="14" max="15" style="1" width="10.625"/>
    <col customWidth="1" min="16" max="16" style="1" width="12.375"/>
    <col customWidth="1" min="17" max="17" style="1" width="10.625"/>
    <col customWidth="1" min="18" max="18" style="1" width="9"/>
    <col min="19" max="16384" style="1" width="9"/>
  </cols>
  <sheetData>
    <row r="1" ht="15.7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ht="15.7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3"/>
    </row>
    <row r="3" ht="14.25">
      <c r="A3" s="5"/>
      <c r="B3" s="5"/>
      <c r="C3" s="5"/>
      <c r="D3" s="5"/>
      <c r="E3" s="5"/>
      <c r="F3" s="5"/>
      <c r="G3" s="5"/>
      <c r="H3" s="5"/>
      <c r="I3" s="5"/>
      <c r="J3" s="5"/>
    </row>
    <row r="4">
      <c r="A4" s="6" t="s">
        <v>2</v>
      </c>
      <c r="B4" s="6"/>
      <c r="C4" s="6"/>
      <c r="D4" s="6"/>
      <c r="E4" s="6"/>
      <c r="F4" s="6"/>
      <c r="G4" s="6"/>
      <c r="H4" s="6"/>
      <c r="I4" s="6"/>
      <c r="J4" s="6"/>
      <c r="K4" s="3"/>
    </row>
    <row r="5">
      <c r="A5" s="7" t="s">
        <v>3</v>
      </c>
      <c r="B5" s="7"/>
      <c r="C5" s="7"/>
      <c r="D5" s="7"/>
      <c r="E5" s="7"/>
      <c r="F5" s="7"/>
      <c r="G5" s="7"/>
      <c r="H5" s="7"/>
      <c r="I5" s="7"/>
      <c r="J5" s="7"/>
    </row>
    <row r="6">
      <c r="A6" s="8" t="s">
        <v>4</v>
      </c>
      <c r="B6" s="8"/>
      <c r="C6" s="8"/>
      <c r="D6" s="8"/>
      <c r="E6" s="8"/>
      <c r="F6" s="8"/>
      <c r="G6" s="8"/>
      <c r="H6" s="8"/>
      <c r="I6" s="8"/>
      <c r="J6" s="8"/>
    </row>
    <row r="7">
      <c r="A7" s="9" t="s">
        <v>5</v>
      </c>
      <c r="B7" s="9"/>
      <c r="C7" s="10" t="s">
        <v>6</v>
      </c>
      <c r="D7" s="10" t="s">
        <v>7</v>
      </c>
      <c r="E7" s="10"/>
      <c r="F7" s="10"/>
      <c r="G7" s="10"/>
      <c r="H7" s="10"/>
      <c r="I7" s="10"/>
      <c r="J7" s="11" t="s">
        <v>8</v>
      </c>
    </row>
    <row r="8">
      <c r="A8" s="12" t="s">
        <v>9</v>
      </c>
      <c r="B8" s="12"/>
      <c r="C8" s="13">
        <v>1</v>
      </c>
      <c r="D8" s="13" t="s">
        <v>10</v>
      </c>
      <c r="E8" s="13"/>
      <c r="F8" s="13"/>
      <c r="G8" s="13"/>
      <c r="H8" s="13"/>
      <c r="I8" s="13"/>
      <c r="J8" s="14">
        <f>Motorista!K39</f>
        <v>6939.9695830340352</v>
      </c>
    </row>
    <row r="9">
      <c r="A9" s="15" t="s">
        <v>11</v>
      </c>
      <c r="B9" s="15"/>
      <c r="C9" s="13">
        <f t="shared" ref="C9:C10" si="0">1</f>
        <v>1</v>
      </c>
      <c r="D9" s="13" t="s">
        <v>10</v>
      </c>
      <c r="E9" s="13"/>
      <c r="F9" s="13"/>
      <c r="G9" s="13"/>
      <c r="H9" s="13"/>
      <c r="I9" s="13"/>
      <c r="J9" s="14">
        <f>Enfermeiro!K39</f>
        <v>9324.4914699682777</v>
      </c>
    </row>
    <row r="10">
      <c r="A10" s="15" t="s">
        <v>12</v>
      </c>
      <c r="B10" s="15"/>
      <c r="C10" s="13">
        <f t="shared" si="0"/>
        <v>1</v>
      </c>
      <c r="D10" s="13" t="s">
        <v>10</v>
      </c>
      <c r="E10" s="13"/>
      <c r="F10" s="13"/>
      <c r="G10" s="13"/>
      <c r="H10" s="13"/>
      <c r="I10" s="13"/>
      <c r="J10" s="14">
        <f>Médico!K39</f>
        <v>15233.691900079235</v>
      </c>
    </row>
    <row r="11">
      <c r="A11" s="16"/>
      <c r="B11" s="16"/>
      <c r="C11" s="16"/>
      <c r="D11" s="16"/>
      <c r="E11" s="16"/>
      <c r="F11" s="16"/>
      <c r="G11" s="16"/>
      <c r="H11" s="16"/>
      <c r="I11" s="16"/>
      <c r="J11" s="16"/>
    </row>
    <row r="12">
      <c r="A12" s="17" t="s">
        <v>13</v>
      </c>
      <c r="B12" s="17"/>
      <c r="C12" s="17"/>
      <c r="D12" s="17"/>
      <c r="E12" s="17"/>
      <c r="F12" s="17"/>
      <c r="G12" s="17"/>
      <c r="H12" s="17"/>
      <c r="I12" s="17"/>
      <c r="J12" s="18">
        <f>J8+J9+J10</f>
        <v>31498.152953081546</v>
      </c>
    </row>
    <row r="13" ht="14.25">
      <c r="A13" s="19"/>
      <c r="B13" s="19"/>
      <c r="C13" s="19"/>
      <c r="D13" s="19"/>
      <c r="E13" s="19"/>
      <c r="F13" s="19"/>
      <c r="G13" s="19"/>
      <c r="H13" s="19"/>
      <c r="I13" s="19"/>
      <c r="J13" s="19"/>
    </row>
    <row r="14">
      <c r="A14" s="8" t="s">
        <v>14</v>
      </c>
      <c r="B14" s="8"/>
      <c r="C14" s="8"/>
      <c r="D14" s="8"/>
      <c r="E14" s="8"/>
      <c r="F14" s="8"/>
      <c r="G14" s="8"/>
      <c r="H14" s="8"/>
      <c r="I14" s="8"/>
      <c r="J14" s="8"/>
    </row>
    <row r="15">
      <c r="A15" s="20" t="s">
        <v>15</v>
      </c>
      <c r="B15" s="20"/>
      <c r="C15" s="20"/>
      <c r="D15" s="20"/>
      <c r="E15" s="20"/>
      <c r="F15" s="20"/>
      <c r="G15" s="20"/>
      <c r="H15" s="20"/>
      <c r="I15" s="20"/>
      <c r="J15" s="21">
        <f>Manutenções_e_Veículos!B27</f>
        <v>312899.45000000001</v>
      </c>
      <c r="L15" s="22"/>
    </row>
    <row r="16">
      <c r="A16" s="23" t="s">
        <v>16</v>
      </c>
      <c r="B16" s="23"/>
      <c r="C16" s="23"/>
      <c r="D16" s="23"/>
      <c r="E16" s="23"/>
      <c r="F16" s="23"/>
      <c r="G16" s="23"/>
      <c r="H16" s="23"/>
      <c r="I16" s="23"/>
      <c r="J16" s="24">
        <f>Manutenções_e_Veículos!F27</f>
        <v>23467.458750000002</v>
      </c>
    </row>
    <row r="17">
      <c r="A17" s="25" t="s">
        <v>17</v>
      </c>
      <c r="B17" s="25"/>
      <c r="C17" s="25"/>
      <c r="D17" s="25"/>
      <c r="E17" s="25"/>
      <c r="F17" s="25"/>
      <c r="G17" s="25"/>
      <c r="H17" s="25"/>
      <c r="I17" s="25"/>
      <c r="J17" s="24">
        <f>Manutenções_e_Veículos!F17</f>
        <v>121</v>
      </c>
      <c r="L17" s="26"/>
    </row>
    <row r="18">
      <c r="A18" s="25" t="s">
        <v>18</v>
      </c>
      <c r="B18" s="25"/>
      <c r="C18" s="25"/>
      <c r="D18" s="25"/>
      <c r="E18" s="25"/>
      <c r="F18" s="25"/>
      <c r="G18" s="25"/>
      <c r="H18" s="25"/>
      <c r="I18" s="25"/>
      <c r="J18" s="24">
        <f>Manutenções_e_Veículos!F12</f>
        <v>387.20749999999998</v>
      </c>
    </row>
    <row r="19">
      <c r="A19" s="27" t="s">
        <v>19</v>
      </c>
      <c r="B19" s="27"/>
      <c r="C19" s="27"/>
      <c r="D19" s="27"/>
      <c r="E19" s="27"/>
      <c r="F19" s="27"/>
      <c r="G19" s="27"/>
      <c r="H19" s="27"/>
      <c r="I19" s="27"/>
      <c r="J19" s="28">
        <f>Manutenções_e_Veículos!F32+Manutenções_e_Veículos!D37</f>
        <v>263.71787499999999</v>
      </c>
    </row>
    <row r="20">
      <c r="A20" s="29" t="s">
        <v>20</v>
      </c>
      <c r="B20" s="29"/>
      <c r="C20" s="29"/>
      <c r="D20" s="29"/>
      <c r="E20" s="29"/>
      <c r="F20" s="29"/>
      <c r="G20" s="29"/>
      <c r="H20" s="29"/>
      <c r="I20" s="29"/>
      <c r="J20" s="30"/>
    </row>
    <row r="21">
      <c r="A21" s="23" t="s">
        <v>21</v>
      </c>
      <c r="B21" s="23"/>
      <c r="C21" s="23"/>
      <c r="D21" s="23"/>
      <c r="E21" s="23"/>
      <c r="F21" s="31">
        <f>5.95</f>
        <v>5.9500000000000002</v>
      </c>
      <c r="G21" s="32" t="s">
        <v>22</v>
      </c>
      <c r="H21" s="32"/>
      <c r="I21" s="32"/>
      <c r="J21" s="33"/>
    </row>
    <row r="22" s="0" customFormat="1" ht="14.25">
      <c r="A22" s="25" t="s">
        <v>23</v>
      </c>
      <c r="B22" s="25"/>
      <c r="C22" s="25"/>
      <c r="D22" s="25"/>
      <c r="E22" s="25"/>
      <c r="F22" s="34">
        <v>30</v>
      </c>
      <c r="G22" s="35"/>
      <c r="H22" s="35"/>
      <c r="I22" s="35"/>
      <c r="J22" s="33"/>
      <c r="K22" s="1"/>
      <c r="L22" s="1"/>
      <c r="M22" s="1"/>
      <c r="N22" s="1"/>
      <c r="O22" s="1"/>
      <c r="P22" s="1"/>
      <c r="Q22" s="1"/>
    </row>
    <row r="23" s="0" customFormat="1" ht="14.25">
      <c r="A23" s="25" t="s">
        <v>24</v>
      </c>
      <c r="B23" s="25"/>
      <c r="C23" s="25"/>
      <c r="D23" s="25"/>
      <c r="E23" s="25"/>
      <c r="F23" s="36">
        <f>1000</f>
        <v>1000</v>
      </c>
      <c r="G23" s="35"/>
      <c r="H23" s="35"/>
      <c r="I23" s="35"/>
      <c r="J23" s="33"/>
      <c r="K23" s="1"/>
      <c r="L23" s="1"/>
      <c r="M23" s="1"/>
      <c r="N23" s="1"/>
      <c r="O23" s="1"/>
      <c r="P23" s="1"/>
      <c r="Q23" s="1"/>
    </row>
    <row r="24" s="0" customFormat="1" ht="14.25">
      <c r="A24" s="23" t="s">
        <v>25</v>
      </c>
      <c r="B24" s="23"/>
      <c r="C24" s="23"/>
      <c r="D24" s="23"/>
      <c r="E24" s="23"/>
      <c r="F24" s="34">
        <f>9.002</f>
        <v>9.0020000000000007</v>
      </c>
      <c r="G24" s="35"/>
      <c r="H24" s="35"/>
      <c r="I24" s="35"/>
      <c r="J24" s="33"/>
      <c r="K24" s="1"/>
      <c r="L24" s="1"/>
      <c r="M24" s="1"/>
      <c r="N24" s="1"/>
      <c r="O24" s="1"/>
      <c r="P24" s="1"/>
      <c r="Q24" s="1"/>
    </row>
    <row r="25" s="0" customFormat="1" ht="14.25">
      <c r="A25" s="23" t="s">
        <v>26</v>
      </c>
      <c r="B25" s="23"/>
      <c r="C25" s="23"/>
      <c r="D25" s="23"/>
      <c r="E25" s="23"/>
      <c r="F25" s="37">
        <f>(F23/F24)*F21</f>
        <v>660.96423017107304</v>
      </c>
      <c r="G25" s="35"/>
      <c r="H25" s="35"/>
      <c r="I25" s="35"/>
      <c r="J25" s="38"/>
      <c r="K25" s="1"/>
      <c r="L25" s="1"/>
      <c r="M25" s="1"/>
      <c r="N25" s="1"/>
      <c r="O25" s="1"/>
      <c r="P25" s="1"/>
      <c r="Q25" s="1"/>
    </row>
    <row r="26" s="0" customFormat="1" ht="14.25">
      <c r="A26" s="25" t="s">
        <v>27</v>
      </c>
      <c r="B26" s="25"/>
      <c r="C26" s="25"/>
      <c r="D26" s="25"/>
      <c r="E26" s="25"/>
      <c r="F26" s="37">
        <f>Uniformes!F5+Uniformes!F10</f>
        <v>197.14333333333335</v>
      </c>
      <c r="G26" s="35"/>
      <c r="H26" s="35"/>
      <c r="I26" s="35"/>
      <c r="J26" s="38"/>
      <c r="K26" s="1"/>
      <c r="L26" s="1"/>
      <c r="M26" s="1"/>
      <c r="N26" s="1"/>
      <c r="O26" s="1"/>
      <c r="P26" s="1"/>
      <c r="Q26" s="1"/>
    </row>
    <row r="27" s="0" customFormat="1" ht="14.25">
      <c r="A27" s="39"/>
      <c r="B27" s="39"/>
      <c r="C27" s="39"/>
      <c r="D27" s="39"/>
      <c r="E27" s="39"/>
      <c r="F27" s="39"/>
      <c r="G27" s="39"/>
      <c r="H27" s="39"/>
      <c r="I27" s="39"/>
      <c r="J27" s="28">
        <f>SUM(F25:F26)</f>
        <v>858.10756350440636</v>
      </c>
      <c r="K27" s="1"/>
      <c r="L27" s="1"/>
      <c r="M27" s="1"/>
      <c r="N27" s="1"/>
      <c r="O27" s="1"/>
      <c r="P27" s="1"/>
      <c r="Q27" s="1"/>
    </row>
    <row r="28" s="0" customFormat="1" ht="14.25">
      <c r="A28" s="17" t="s">
        <v>28</v>
      </c>
      <c r="B28" s="17"/>
      <c r="C28" s="17"/>
      <c r="D28" s="17"/>
      <c r="E28" s="17"/>
      <c r="F28" s="17"/>
      <c r="G28" s="17"/>
      <c r="H28" s="17"/>
      <c r="I28" s="17"/>
      <c r="J28" s="18">
        <f>SUM(J16:J27)</f>
        <v>25097.491688504408</v>
      </c>
      <c r="K28" s="1"/>
      <c r="L28" s="1"/>
      <c r="M28" s="1"/>
      <c r="N28" s="1"/>
      <c r="O28" s="1"/>
      <c r="P28" s="1"/>
      <c r="Q28" s="1"/>
    </row>
    <row r="29" s="0" customFormat="1" ht="14.25">
      <c r="A29" s="40" t="s">
        <v>29</v>
      </c>
      <c r="B29" s="40"/>
      <c r="C29" s="40"/>
      <c r="D29" s="40"/>
      <c r="E29" s="40"/>
      <c r="F29" s="40"/>
      <c r="G29" s="40"/>
      <c r="H29" s="40"/>
      <c r="I29" s="40"/>
      <c r="J29" s="41">
        <f>J12+J28</f>
        <v>56595.644641585954</v>
      </c>
      <c r="K29" s="1"/>
      <c r="L29" s="1"/>
      <c r="M29" s="1"/>
      <c r="N29" s="1"/>
      <c r="O29" s="1"/>
      <c r="P29" s="1"/>
      <c r="Q29" s="1"/>
    </row>
    <row r="30" s="0" customFormat="1" ht="14.25">
      <c r="A30" s="42" t="s">
        <v>30</v>
      </c>
      <c r="B30" s="42"/>
      <c r="C30" s="42"/>
      <c r="D30" s="42"/>
      <c r="E30" s="42"/>
      <c r="F30" s="42"/>
      <c r="G30" s="42"/>
      <c r="H30" s="42"/>
      <c r="I30" s="42"/>
      <c r="J30" s="43" t="s">
        <v>31</v>
      </c>
      <c r="K30" s="1"/>
      <c r="L30" s="22"/>
      <c r="M30" s="1"/>
      <c r="N30" s="1"/>
      <c r="O30" s="1"/>
      <c r="P30" s="1"/>
      <c r="Q30" s="1"/>
    </row>
    <row r="31" s="0" customFormat="1" ht="14.25">
      <c r="A31" s="44" t="s">
        <v>32</v>
      </c>
      <c r="B31" s="44"/>
      <c r="C31" s="44"/>
      <c r="D31" s="44"/>
      <c r="E31" s="44"/>
      <c r="F31" s="44"/>
      <c r="G31" s="44"/>
      <c r="H31" s="44"/>
      <c r="I31" s="45" t="s">
        <v>33</v>
      </c>
      <c r="J31" s="46">
        <v>1.9900000000000001e-002</v>
      </c>
      <c r="K31" s="1"/>
      <c r="L31" s="1"/>
      <c r="M31" s="1"/>
      <c r="N31" s="1"/>
      <c r="O31" s="1"/>
      <c r="P31" s="1"/>
      <c r="Q31" s="1"/>
    </row>
    <row r="32" s="0" customFormat="1" ht="14.25">
      <c r="A32" s="23" t="s">
        <v>34</v>
      </c>
      <c r="B32" s="23"/>
      <c r="C32" s="23"/>
      <c r="D32" s="23"/>
      <c r="E32" s="23"/>
      <c r="F32" s="23"/>
      <c r="G32" s="23"/>
      <c r="H32" s="23"/>
      <c r="I32" s="34" t="s">
        <v>35</v>
      </c>
      <c r="J32" s="47">
        <f>0.3/100</f>
        <v>3.0000000000000001e-003</v>
      </c>
      <c r="K32" s="1"/>
      <c r="L32" s="1"/>
      <c r="M32" s="1"/>
      <c r="N32" s="1"/>
      <c r="O32" s="1"/>
      <c r="P32" s="1"/>
      <c r="Q32" s="1"/>
    </row>
    <row r="33" s="0" customFormat="1" ht="14.25">
      <c r="A33" s="23" t="s">
        <v>36</v>
      </c>
      <c r="B33" s="23"/>
      <c r="C33" s="23"/>
      <c r="D33" s="23"/>
      <c r="E33" s="23"/>
      <c r="F33" s="23"/>
      <c r="G33" s="23"/>
      <c r="H33" s="23"/>
      <c r="I33" s="34" t="s">
        <v>37</v>
      </c>
      <c r="J33" s="47">
        <f>0.56/100</f>
        <v>5.6000000000000008e-003</v>
      </c>
      <c r="K33" s="1"/>
      <c r="L33" s="1"/>
      <c r="M33" s="1"/>
      <c r="N33" s="1"/>
      <c r="O33" s="1"/>
      <c r="P33" s="1"/>
      <c r="Q33" s="1"/>
    </row>
    <row r="34" s="0" customFormat="1" ht="14.25">
      <c r="A34" s="23" t="s">
        <v>38</v>
      </c>
      <c r="B34" s="23"/>
      <c r="C34" s="23"/>
      <c r="D34" s="23"/>
      <c r="E34" s="23"/>
      <c r="F34" s="23"/>
      <c r="G34" s="23"/>
      <c r="H34" s="23"/>
      <c r="I34" s="34" t="s">
        <v>39</v>
      </c>
      <c r="J34" s="47">
        <f>0.85/100</f>
        <v>8.5000000000000006e-003</v>
      </c>
      <c r="K34" s="1"/>
      <c r="L34" s="1"/>
      <c r="M34" s="1"/>
      <c r="N34" s="1"/>
      <c r="O34" s="1"/>
      <c r="P34" s="1"/>
      <c r="Q34" s="1"/>
    </row>
    <row r="35" s="0" customFormat="1" ht="14.25">
      <c r="A35" s="23" t="s">
        <v>40</v>
      </c>
      <c r="B35" s="23"/>
      <c r="C35" s="23"/>
      <c r="D35" s="23"/>
      <c r="E35" s="23"/>
      <c r="F35" s="23"/>
      <c r="G35" s="23"/>
      <c r="H35" s="23"/>
      <c r="I35" s="34" t="s">
        <v>41</v>
      </c>
      <c r="J35" s="47">
        <f>2/100</f>
        <v>2.e-002</v>
      </c>
      <c r="K35" s="1"/>
      <c r="L35" s="1"/>
      <c r="M35" s="1"/>
      <c r="N35" s="1"/>
      <c r="O35" s="1"/>
      <c r="P35" s="1"/>
      <c r="Q35" s="1"/>
    </row>
    <row r="36" s="0" customFormat="1" ht="14.25">
      <c r="A36" s="23" t="s">
        <v>42</v>
      </c>
      <c r="B36" s="23"/>
      <c r="C36" s="23"/>
      <c r="D36" s="23"/>
      <c r="E36" s="23"/>
      <c r="F36" s="23"/>
      <c r="G36" s="23"/>
      <c r="H36" s="23"/>
      <c r="I36" s="34" t="s">
        <v>43</v>
      </c>
      <c r="J36" s="47">
        <f>3.65/100</f>
        <v>3.6499999999999998e-002</v>
      </c>
      <c r="K36" s="1"/>
      <c r="L36" s="1"/>
      <c r="M36" s="1"/>
      <c r="N36" s="48"/>
      <c r="O36" s="48"/>
      <c r="P36" s="48"/>
      <c r="Q36" s="1"/>
    </row>
    <row r="37" s="0" customFormat="1" ht="14.25">
      <c r="A37" s="23" t="s">
        <v>44</v>
      </c>
      <c r="B37" s="23"/>
      <c r="C37" s="23"/>
      <c r="D37" s="23"/>
      <c r="E37" s="23"/>
      <c r="F37" s="23"/>
      <c r="G37" s="23"/>
      <c r="H37" s="23"/>
      <c r="I37" s="34" t="s">
        <v>45</v>
      </c>
      <c r="J37" s="47">
        <f>5/100</f>
        <v>5.0000000000000003e-002</v>
      </c>
      <c r="K37" s="1"/>
      <c r="L37" s="1"/>
      <c r="M37" s="1"/>
      <c r="N37" s="49"/>
      <c r="O37" s="1"/>
      <c r="P37" s="1"/>
      <c r="Q37" s="1"/>
    </row>
    <row r="38" s="0" customFormat="1" ht="14.25">
      <c r="A38" s="27" t="s">
        <v>46</v>
      </c>
      <c r="B38" s="27"/>
      <c r="C38" s="27"/>
      <c r="D38" s="27"/>
      <c r="E38" s="27"/>
      <c r="F38" s="27"/>
      <c r="G38" s="27"/>
      <c r="H38" s="27"/>
      <c r="I38" s="50" t="s">
        <v>47</v>
      </c>
      <c r="J38" s="51">
        <f>3.6/100</f>
        <v>3.6000000000000004e-002</v>
      </c>
      <c r="K38" s="1"/>
      <c r="L38" s="1"/>
      <c r="M38" s="1"/>
      <c r="N38" s="1"/>
      <c r="O38" s="1"/>
      <c r="P38" s="1"/>
      <c r="Q38" s="1"/>
    </row>
    <row r="39" s="0" customFormat="1" ht="14.25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"/>
      <c r="L39" s="1"/>
      <c r="M39" s="1"/>
      <c r="N39" s="1"/>
      <c r="O39" s="1"/>
      <c r="P39" s="1"/>
      <c r="Q39" s="1"/>
    </row>
    <row r="40" s="0" customFormat="1" ht="14.25">
      <c r="A40" s="52" t="s">
        <v>48</v>
      </c>
      <c r="B40" s="52"/>
      <c r="C40" s="52"/>
      <c r="D40" s="52"/>
      <c r="E40" s="52"/>
      <c r="F40" s="52"/>
      <c r="G40" s="52"/>
      <c r="H40" s="52"/>
      <c r="I40" s="53">
        <f>(((1+J31+J32+J33)*(1+J34)*(1+J35))/(1-J36-J37-J38))-1</f>
        <v>0.20568329914529904</v>
      </c>
      <c r="J40" s="54">
        <f>J41*I40</f>
        <v>14655.085175233819</v>
      </c>
      <c r="K40" s="1"/>
      <c r="L40" s="1"/>
      <c r="M40" s="1"/>
      <c r="N40" s="1"/>
      <c r="O40" s="1"/>
      <c r="P40" s="1"/>
      <c r="Q40" s="1"/>
    </row>
    <row r="41" s="0" customFormat="1" ht="14.25">
      <c r="A41" s="55" t="s">
        <v>49</v>
      </c>
      <c r="B41" s="55"/>
      <c r="C41" s="55"/>
      <c r="D41" s="55"/>
      <c r="E41" s="55"/>
      <c r="F41" s="55"/>
      <c r="G41" s="55"/>
      <c r="H41" s="55"/>
      <c r="I41" s="55"/>
      <c r="J41" s="56">
        <f>J29/(1-I40)</f>
        <v>71250.729816819774</v>
      </c>
      <c r="K41" s="49"/>
      <c r="L41" s="1"/>
      <c r="M41" s="1"/>
      <c r="N41" s="1"/>
      <c r="O41" s="1"/>
      <c r="P41" s="1"/>
      <c r="Q41" s="1"/>
    </row>
    <row r="42" s="0" customFormat="1" ht="14.25">
      <c r="A42" s="57" t="s">
        <v>50</v>
      </c>
      <c r="B42" s="57"/>
      <c r="C42" s="57"/>
      <c r="D42" s="57"/>
      <c r="E42" s="57"/>
      <c r="F42" s="57"/>
      <c r="G42" s="57"/>
      <c r="H42" s="57"/>
      <c r="I42" s="57"/>
      <c r="J42" s="41">
        <f>J41/F23</f>
        <v>71.250729816819771</v>
      </c>
      <c r="K42" s="1"/>
      <c r="L42" s="1"/>
      <c r="M42" s="1"/>
      <c r="N42" s="1"/>
      <c r="O42" s="1"/>
      <c r="P42" s="1"/>
      <c r="Q42" s="1"/>
    </row>
    <row r="44" s="0" customFormat="1" ht="14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58"/>
    </row>
    <row r="46" s="0" customFormat="1" ht="14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48"/>
      <c r="O46" s="48"/>
      <c r="P46" s="48"/>
      <c r="Q46" s="1"/>
    </row>
    <row r="47" s="0" customFormat="1" ht="14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49"/>
      <c r="O47" s="1"/>
      <c r="P47" s="1"/>
      <c r="Q47" s="1"/>
    </row>
    <row r="49" s="0" customFormat="1" ht="14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49"/>
      <c r="P49" s="1"/>
      <c r="Q49" s="1"/>
    </row>
    <row r="53" s="0" customFormat="1" ht="14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49"/>
      <c r="O53" s="49"/>
      <c r="P53" s="49"/>
      <c r="Q53" s="58"/>
    </row>
  </sheetData>
  <mergeCells count="52">
    <mergeCell ref="A6:J6"/>
    <mergeCell ref="A1:J1"/>
    <mergeCell ref="A2:J2"/>
    <mergeCell ref="A3:J3"/>
    <mergeCell ref="A4:J4"/>
    <mergeCell ref="A5:J5"/>
    <mergeCell ref="A14:J14"/>
    <mergeCell ref="A7:B7"/>
    <mergeCell ref="D7:I7"/>
    <mergeCell ref="A8:B8"/>
    <mergeCell ref="D8:I8"/>
    <mergeCell ref="A9:B9"/>
    <mergeCell ref="D9:I9"/>
    <mergeCell ref="A10:B10"/>
    <mergeCell ref="D10:I10"/>
    <mergeCell ref="A11:J11"/>
    <mergeCell ref="A12:I12"/>
    <mergeCell ref="A13:J13"/>
    <mergeCell ref="A21:E21"/>
    <mergeCell ref="G21:I21"/>
    <mergeCell ref="A22:E22"/>
    <mergeCell ref="G22:I22"/>
    <mergeCell ref="A15:I15"/>
    <mergeCell ref="A16:I16"/>
    <mergeCell ref="A17:I17"/>
    <mergeCell ref="A18:I18"/>
    <mergeCell ref="A19:I19"/>
    <mergeCell ref="A20:I20"/>
    <mergeCell ref="A23:E23"/>
    <mergeCell ref="G23:I23"/>
    <mergeCell ref="A24:E24"/>
    <mergeCell ref="G24:I24"/>
    <mergeCell ref="A25:E25"/>
    <mergeCell ref="G25:I25"/>
    <mergeCell ref="A34:H34"/>
    <mergeCell ref="A26:E26"/>
    <mergeCell ref="G26:I26"/>
    <mergeCell ref="A27:I27"/>
    <mergeCell ref="A28:I28"/>
    <mergeCell ref="A29:I29"/>
    <mergeCell ref="A30:I30"/>
    <mergeCell ref="A31:H31"/>
    <mergeCell ref="A32:H32"/>
    <mergeCell ref="A33:H33"/>
    <mergeCell ref="A41:I41"/>
    <mergeCell ref="A42:I42"/>
    <mergeCell ref="A35:H35"/>
    <mergeCell ref="A36:H36"/>
    <mergeCell ref="A37:H37"/>
    <mergeCell ref="A38:H38"/>
    <mergeCell ref="A39:J39"/>
    <mergeCell ref="A40:H40"/>
  </mergeCells>
  <printOptions headings="0" gridLines="0"/>
  <pageMargins left="0" right="0" top="0.39370078740157505" bottom="0.39370078740157505" header="0" footer="0"/>
  <pageSetup paperSize="9" scale="77" fitToWidth="0" fitToHeight="0" pageOrder="overThenDown" orientation="portrait" usePrinterDefaults="1" blackAndWhite="0" draft="0" cellComments="none" useFirstPageNumber="1" errors="displayed" horizontalDpi="600" verticalDpi="0" copies="1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pageBreakPreview" zoomScale="100" workbookViewId="0">
      <selection activeCell="A1" activeCellId="0" sqref="A1:J1"/>
    </sheetView>
  </sheetViews>
  <sheetFormatPr defaultRowHeight="14.25"/>
  <cols>
    <col customWidth="1" min="1" max="1" style="1" width="10.625"/>
    <col customWidth="1" min="2" max="2" style="1" width="11.875"/>
    <col customWidth="1" min="3" max="3" style="1" width="10.75"/>
    <col customWidth="1" min="4" max="4" style="1" width="10.625"/>
    <col customWidth="1" min="5" max="5" style="1" width="11"/>
    <col customWidth="1" min="6" max="6" style="1" width="11.125"/>
    <col customWidth="1" min="7" max="7" style="1" width="10.625"/>
    <col customWidth="1" min="8" max="8" style="1" width="9.5"/>
    <col customWidth="1" min="9" max="9" style="1" width="8.875"/>
    <col bestFit="1" customWidth="1" min="10" max="10" style="1" width="10.875"/>
    <col customWidth="1" min="11" max="11" style="1" width="10.625"/>
    <col bestFit="1" customWidth="1" min="12" max="12" style="1" width="12.75"/>
    <col customWidth="1" min="13" max="13" style="1" width="16.625"/>
    <col customWidth="1" min="14" max="15" style="1" width="10.625"/>
    <col customWidth="1" min="16" max="16" style="1" width="12.375"/>
    <col customWidth="1" min="17" max="17" style="1" width="10.625"/>
    <col customWidth="1" min="18" max="18" style="1" width="9"/>
    <col min="19" max="16384" style="1" width="9"/>
  </cols>
  <sheetData>
    <row r="1" ht="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ht="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3"/>
    </row>
    <row r="3" ht="14.25">
      <c r="A3" s="5"/>
      <c r="B3" s="5"/>
      <c r="C3" s="5"/>
      <c r="D3" s="5"/>
      <c r="E3" s="5"/>
      <c r="F3" s="5"/>
      <c r="G3" s="5"/>
      <c r="H3" s="5"/>
      <c r="I3" s="5"/>
      <c r="J3" s="5"/>
    </row>
    <row r="4">
      <c r="A4" s="6" t="s">
        <v>51</v>
      </c>
      <c r="B4" s="6"/>
      <c r="C4" s="6"/>
      <c r="D4" s="6"/>
      <c r="E4" s="6"/>
      <c r="F4" s="6"/>
      <c r="G4" s="6"/>
      <c r="H4" s="6"/>
      <c r="I4" s="6"/>
      <c r="J4" s="6"/>
      <c r="K4" s="3"/>
    </row>
    <row r="5">
      <c r="A5" s="7" t="s">
        <v>3</v>
      </c>
      <c r="B5" s="7"/>
      <c r="C5" s="7"/>
      <c r="D5" s="7"/>
      <c r="E5" s="7"/>
      <c r="F5" s="7"/>
      <c r="G5" s="7"/>
      <c r="H5" s="7"/>
      <c r="I5" s="7"/>
      <c r="J5" s="7"/>
    </row>
    <row r="6">
      <c r="A6" s="8" t="s">
        <v>4</v>
      </c>
      <c r="B6" s="8"/>
      <c r="C6" s="8"/>
      <c r="D6" s="8"/>
      <c r="E6" s="8"/>
      <c r="F6" s="8"/>
      <c r="G6" s="8"/>
      <c r="H6" s="8"/>
      <c r="I6" s="8"/>
      <c r="J6" s="8"/>
    </row>
    <row r="7">
      <c r="A7" s="9" t="s">
        <v>5</v>
      </c>
      <c r="B7" s="9"/>
      <c r="C7" s="10" t="s">
        <v>6</v>
      </c>
      <c r="D7" s="10" t="s">
        <v>7</v>
      </c>
      <c r="E7" s="10"/>
      <c r="F7" s="10"/>
      <c r="G7" s="10"/>
      <c r="H7" s="10"/>
      <c r="I7" s="10"/>
      <c r="J7" s="11" t="s">
        <v>8</v>
      </c>
    </row>
    <row r="8">
      <c r="A8" s="12" t="s">
        <v>9</v>
      </c>
      <c r="B8" s="12"/>
      <c r="C8" s="13">
        <v>1</v>
      </c>
      <c r="D8" s="13" t="s">
        <v>10</v>
      </c>
      <c r="E8" s="13"/>
      <c r="F8" s="13"/>
      <c r="G8" s="13"/>
      <c r="H8" s="13"/>
      <c r="I8" s="13"/>
      <c r="J8" s="14">
        <f>Motorista!K39</f>
        <v>6939.9695830340352</v>
      </c>
    </row>
    <row r="9">
      <c r="A9" s="15" t="s">
        <v>11</v>
      </c>
      <c r="B9" s="15"/>
      <c r="C9" s="13">
        <f t="shared" ref="C9:C10" si="1">1</f>
        <v>1</v>
      </c>
      <c r="D9" s="13" t="s">
        <v>10</v>
      </c>
      <c r="E9" s="13"/>
      <c r="F9" s="13"/>
      <c r="G9" s="13"/>
      <c r="H9" s="13"/>
      <c r="I9" s="13"/>
      <c r="J9" s="14">
        <f>Enfermeiro!K39</f>
        <v>9324.4914699682777</v>
      </c>
    </row>
    <row r="10">
      <c r="A10" s="15" t="s">
        <v>52</v>
      </c>
      <c r="B10" s="15"/>
      <c r="C10" s="13">
        <f t="shared" si="1"/>
        <v>1</v>
      </c>
      <c r="D10" s="13" t="s">
        <v>10</v>
      </c>
      <c r="E10" s="13"/>
      <c r="F10" s="13"/>
      <c r="G10" s="13"/>
      <c r="H10" s="13"/>
      <c r="I10" s="13"/>
      <c r="J10" s="14">
        <f>Médico!K39</f>
        <v>15233.691900079235</v>
      </c>
    </row>
    <row r="11">
      <c r="A11" s="16"/>
      <c r="B11" s="16"/>
      <c r="C11" s="16"/>
      <c r="D11" s="16"/>
      <c r="E11" s="16"/>
      <c r="F11" s="16"/>
      <c r="G11" s="16"/>
      <c r="H11" s="16"/>
      <c r="I11" s="16"/>
      <c r="J11" s="16"/>
    </row>
    <row r="12">
      <c r="A12" s="17" t="s">
        <v>13</v>
      </c>
      <c r="B12" s="17"/>
      <c r="C12" s="17"/>
      <c r="D12" s="17"/>
      <c r="E12" s="17"/>
      <c r="F12" s="17"/>
      <c r="G12" s="17"/>
      <c r="H12" s="17"/>
      <c r="I12" s="17"/>
      <c r="J12" s="18">
        <f>J8+J9+J10</f>
        <v>31498.152953081546</v>
      </c>
    </row>
    <row r="13" ht="14.25">
      <c r="A13" s="19"/>
      <c r="B13" s="19"/>
      <c r="C13" s="19"/>
      <c r="D13" s="19"/>
      <c r="E13" s="19"/>
      <c r="F13" s="19"/>
      <c r="G13" s="19"/>
      <c r="H13" s="19"/>
      <c r="I13" s="19"/>
      <c r="J13" s="19"/>
    </row>
    <row r="14">
      <c r="A14" s="8" t="s">
        <v>14</v>
      </c>
      <c r="B14" s="8"/>
      <c r="C14" s="8"/>
      <c r="D14" s="8"/>
      <c r="E14" s="8"/>
      <c r="F14" s="8"/>
      <c r="G14" s="8"/>
      <c r="H14" s="8"/>
      <c r="I14" s="8"/>
      <c r="J14" s="8"/>
    </row>
    <row r="15">
      <c r="A15" s="20" t="s">
        <v>15</v>
      </c>
      <c r="B15" s="20"/>
      <c r="C15" s="20"/>
      <c r="D15" s="20"/>
      <c r="E15" s="20"/>
      <c r="F15" s="20"/>
      <c r="G15" s="20"/>
      <c r="H15" s="20"/>
      <c r="I15" s="20"/>
      <c r="J15" s="59">
        <f>Manutenções_e_Veículos!D22</f>
        <v>312899.45000000001</v>
      </c>
      <c r="L15" s="22"/>
    </row>
    <row r="16">
      <c r="A16" s="23" t="s">
        <v>16</v>
      </c>
      <c r="B16" s="23"/>
      <c r="C16" s="23"/>
      <c r="D16" s="23"/>
      <c r="E16" s="23"/>
      <c r="F16" s="23"/>
      <c r="G16" s="23"/>
      <c r="H16" s="23"/>
      <c r="I16" s="23"/>
      <c r="J16" s="24">
        <f>Manutenções_e_Veículos!F27</f>
        <v>23467.458750000002</v>
      </c>
    </row>
    <row r="17">
      <c r="A17" s="25" t="s">
        <v>17</v>
      </c>
      <c r="B17" s="25"/>
      <c r="C17" s="25"/>
      <c r="D17" s="25"/>
      <c r="E17" s="25"/>
      <c r="F17" s="25"/>
      <c r="G17" s="25"/>
      <c r="H17" s="25"/>
      <c r="I17" s="25"/>
      <c r="J17" s="24">
        <f>Manutenções_e_Veículos!F17</f>
        <v>121</v>
      </c>
      <c r="L17" s="26"/>
    </row>
    <row r="18">
      <c r="A18" s="25" t="s">
        <v>18</v>
      </c>
      <c r="B18" s="25"/>
      <c r="C18" s="25"/>
      <c r="D18" s="25"/>
      <c r="E18" s="25"/>
      <c r="F18" s="25"/>
      <c r="G18" s="25"/>
      <c r="H18" s="25"/>
      <c r="I18" s="25"/>
      <c r="J18" s="24">
        <f>Manutenções_e_Veículos!F12</f>
        <v>387.20749999999998</v>
      </c>
    </row>
    <row r="19">
      <c r="A19" s="27" t="s">
        <v>19</v>
      </c>
      <c r="B19" s="27"/>
      <c r="C19" s="27"/>
      <c r="D19" s="27"/>
      <c r="E19" s="27"/>
      <c r="F19" s="27"/>
      <c r="G19" s="27"/>
      <c r="H19" s="27"/>
      <c r="I19" s="27"/>
      <c r="J19" s="28">
        <f>Manutenções_e_Veículos!F32+Manutenções_e_Veículos!D37</f>
        <v>263.71787499999999</v>
      </c>
    </row>
    <row r="20">
      <c r="A20" s="29" t="s">
        <v>20</v>
      </c>
      <c r="B20" s="29"/>
      <c r="C20" s="29"/>
      <c r="D20" s="29"/>
      <c r="E20" s="29"/>
      <c r="F20" s="29"/>
      <c r="G20" s="29"/>
      <c r="H20" s="29"/>
      <c r="I20" s="29"/>
      <c r="J20" s="30"/>
    </row>
    <row r="21">
      <c r="A21" s="23" t="s">
        <v>21</v>
      </c>
      <c r="B21" s="23"/>
      <c r="C21" s="23"/>
      <c r="D21" s="23"/>
      <c r="E21" s="23"/>
      <c r="F21" s="31">
        <v>5.9500000000000002</v>
      </c>
      <c r="G21" s="32" t="s">
        <v>22</v>
      </c>
      <c r="H21" s="32"/>
      <c r="I21" s="32"/>
      <c r="J21" s="33"/>
    </row>
    <row r="22" s="0" customFormat="1" ht="14.25">
      <c r="A22" s="25" t="s">
        <v>23</v>
      </c>
      <c r="B22" s="25"/>
      <c r="C22" s="25"/>
      <c r="D22" s="25"/>
      <c r="E22" s="25"/>
      <c r="F22" s="34">
        <v>30</v>
      </c>
      <c r="G22" s="35"/>
      <c r="H22" s="35"/>
      <c r="I22" s="35"/>
      <c r="J22" s="33"/>
      <c r="K22" s="1"/>
      <c r="L22" s="1"/>
      <c r="M22" s="1"/>
      <c r="N22" s="1"/>
      <c r="O22" s="1"/>
      <c r="P22" s="1"/>
      <c r="Q22" s="1"/>
    </row>
    <row r="23" s="0" customFormat="1" ht="14.25">
      <c r="A23" s="25" t="s">
        <v>24</v>
      </c>
      <c r="B23" s="25"/>
      <c r="C23" s="25"/>
      <c r="D23" s="25"/>
      <c r="E23" s="25"/>
      <c r="F23" s="36">
        <f>2500</f>
        <v>2500</v>
      </c>
      <c r="G23" s="35"/>
      <c r="H23" s="35"/>
      <c r="I23" s="35"/>
      <c r="J23" s="33"/>
      <c r="K23" s="1"/>
      <c r="L23" s="1"/>
      <c r="M23" s="1"/>
      <c r="N23" s="1"/>
      <c r="O23" s="1"/>
      <c r="P23" s="1"/>
      <c r="Q23" s="1"/>
    </row>
    <row r="24" s="0" customFormat="1" ht="14.25">
      <c r="A24" s="23" t="s">
        <v>25</v>
      </c>
      <c r="B24" s="23"/>
      <c r="C24" s="23"/>
      <c r="D24" s="23"/>
      <c r="E24" s="23"/>
      <c r="F24" s="34">
        <f>9</f>
        <v>9</v>
      </c>
      <c r="G24" s="35"/>
      <c r="H24" s="35"/>
      <c r="I24" s="35"/>
      <c r="J24" s="33"/>
      <c r="K24" s="1"/>
      <c r="L24" s="1"/>
      <c r="M24" s="1"/>
      <c r="N24" s="1"/>
      <c r="O24" s="1"/>
      <c r="P24" s="1"/>
      <c r="Q24" s="1"/>
    </row>
    <row r="25" s="0" customFormat="1" ht="14.25">
      <c r="A25" s="23" t="s">
        <v>26</v>
      </c>
      <c r="B25" s="23"/>
      <c r="C25" s="23"/>
      <c r="D25" s="23"/>
      <c r="E25" s="23"/>
      <c r="F25" s="37">
        <f>(F23/F24)*F21</f>
        <v>1652.7777777777778</v>
      </c>
      <c r="G25" s="35"/>
      <c r="H25" s="35"/>
      <c r="I25" s="35"/>
      <c r="J25" s="38"/>
      <c r="K25" s="1"/>
      <c r="L25" s="1"/>
      <c r="M25" s="1"/>
      <c r="N25" s="1"/>
      <c r="O25" s="1"/>
      <c r="P25" s="1"/>
      <c r="Q25" s="1"/>
    </row>
    <row r="26" s="0" customFormat="1" ht="14.25">
      <c r="A26" s="25" t="s">
        <v>27</v>
      </c>
      <c r="B26" s="25"/>
      <c r="C26" s="25"/>
      <c r="D26" s="25"/>
      <c r="E26" s="25"/>
      <c r="F26" s="37">
        <f>Uniformes!F5+Uniformes!F10</f>
        <v>197.14333333333335</v>
      </c>
      <c r="G26" s="35"/>
      <c r="H26" s="35"/>
      <c r="I26" s="35"/>
      <c r="J26" s="38"/>
      <c r="K26" s="1"/>
      <c r="L26" s="1"/>
      <c r="M26" s="1"/>
      <c r="N26" s="1"/>
      <c r="O26" s="1"/>
      <c r="P26" s="1"/>
      <c r="Q26" s="1"/>
    </row>
    <row r="27" s="0" customFormat="1" ht="14.25">
      <c r="A27" s="39"/>
      <c r="B27" s="39"/>
      <c r="C27" s="39"/>
      <c r="D27" s="39"/>
      <c r="E27" s="39"/>
      <c r="F27" s="39"/>
      <c r="G27" s="39"/>
      <c r="H27" s="39"/>
      <c r="I27" s="39"/>
      <c r="J27" s="28">
        <f>SUM(F25:F26)</f>
        <v>1849.9211111111113</v>
      </c>
      <c r="K27" s="1"/>
      <c r="L27" s="1"/>
      <c r="M27" s="1"/>
      <c r="N27" s="1"/>
      <c r="O27" s="1"/>
      <c r="P27" s="1"/>
      <c r="Q27" s="1"/>
    </row>
    <row r="28" s="0" customFormat="1" ht="14.25">
      <c r="A28" s="17" t="s">
        <v>28</v>
      </c>
      <c r="B28" s="17"/>
      <c r="C28" s="17"/>
      <c r="D28" s="17"/>
      <c r="E28" s="17"/>
      <c r="F28" s="17"/>
      <c r="G28" s="17"/>
      <c r="H28" s="17"/>
      <c r="I28" s="17"/>
      <c r="J28" s="18">
        <f>SUM(J16:J27)</f>
        <v>26089.305236111111</v>
      </c>
      <c r="K28" s="1"/>
      <c r="L28" s="1"/>
      <c r="M28" s="1"/>
      <c r="N28" s="1"/>
      <c r="O28" s="1"/>
      <c r="P28" s="1"/>
      <c r="Q28" s="1"/>
    </row>
    <row r="29" s="0" customFormat="1" ht="14.25">
      <c r="A29" s="40" t="s">
        <v>29</v>
      </c>
      <c r="B29" s="40"/>
      <c r="C29" s="40"/>
      <c r="D29" s="40"/>
      <c r="E29" s="40"/>
      <c r="F29" s="40"/>
      <c r="G29" s="40"/>
      <c r="H29" s="40"/>
      <c r="I29" s="40"/>
      <c r="J29" s="41">
        <f>J12+J28</f>
        <v>57587.458189192657</v>
      </c>
      <c r="K29" s="1"/>
      <c r="L29" s="1"/>
      <c r="M29" s="1"/>
      <c r="N29" s="1"/>
      <c r="O29" s="1"/>
      <c r="P29" s="1"/>
      <c r="Q29" s="1"/>
    </row>
    <row r="30" s="0" customFormat="1" ht="14.25">
      <c r="A30" s="42" t="s">
        <v>30</v>
      </c>
      <c r="B30" s="42"/>
      <c r="C30" s="42"/>
      <c r="D30" s="42"/>
      <c r="E30" s="42"/>
      <c r="F30" s="42"/>
      <c r="G30" s="42"/>
      <c r="H30" s="42"/>
      <c r="I30" s="42"/>
      <c r="J30" s="43" t="s">
        <v>31</v>
      </c>
      <c r="K30" s="1"/>
      <c r="L30" s="22"/>
      <c r="M30" s="1"/>
      <c r="N30" s="1"/>
      <c r="O30" s="1"/>
      <c r="P30" s="1"/>
      <c r="Q30" s="1"/>
    </row>
    <row r="31" s="0" customFormat="1" ht="14.25">
      <c r="A31" s="44" t="s">
        <v>32</v>
      </c>
      <c r="B31" s="44"/>
      <c r="C31" s="44"/>
      <c r="D31" s="44"/>
      <c r="E31" s="44"/>
      <c r="F31" s="44"/>
      <c r="G31" s="44"/>
      <c r="H31" s="44"/>
      <c r="I31" s="45" t="s">
        <v>33</v>
      </c>
      <c r="J31" s="46">
        <v>1.9900000000000001e-002</v>
      </c>
      <c r="K31" s="1"/>
      <c r="L31" s="1"/>
      <c r="M31" s="1"/>
      <c r="N31" s="1"/>
      <c r="O31" s="1"/>
      <c r="P31" s="1"/>
      <c r="Q31" s="1"/>
    </row>
    <row r="32" s="0" customFormat="1" ht="14.25">
      <c r="A32" s="23" t="s">
        <v>34</v>
      </c>
      <c r="B32" s="23"/>
      <c r="C32" s="23"/>
      <c r="D32" s="23"/>
      <c r="E32" s="23"/>
      <c r="F32" s="23"/>
      <c r="G32" s="23"/>
      <c r="H32" s="23"/>
      <c r="I32" s="34" t="s">
        <v>35</v>
      </c>
      <c r="J32" s="47">
        <f>0.3/100</f>
        <v>3.0000000000000001e-003</v>
      </c>
      <c r="K32" s="1"/>
      <c r="L32" s="1"/>
      <c r="M32" s="1"/>
      <c r="N32" s="1"/>
      <c r="O32" s="1"/>
      <c r="P32" s="1"/>
      <c r="Q32" s="1"/>
    </row>
    <row r="33" s="0" customFormat="1" ht="14.25">
      <c r="A33" s="23" t="s">
        <v>36</v>
      </c>
      <c r="B33" s="23"/>
      <c r="C33" s="23"/>
      <c r="D33" s="23"/>
      <c r="E33" s="23"/>
      <c r="F33" s="23"/>
      <c r="G33" s="23"/>
      <c r="H33" s="23"/>
      <c r="I33" s="34" t="s">
        <v>37</v>
      </c>
      <c r="J33" s="47">
        <f>0.56/100</f>
        <v>5.6000000000000008e-003</v>
      </c>
      <c r="K33" s="1"/>
      <c r="L33" s="1"/>
      <c r="M33" s="1"/>
      <c r="N33" s="1"/>
      <c r="O33" s="1"/>
      <c r="P33" s="1"/>
      <c r="Q33" s="1"/>
    </row>
    <row r="34" s="0" customFormat="1" ht="14.25">
      <c r="A34" s="23" t="s">
        <v>38</v>
      </c>
      <c r="B34" s="23"/>
      <c r="C34" s="23"/>
      <c r="D34" s="23"/>
      <c r="E34" s="23"/>
      <c r="F34" s="23"/>
      <c r="G34" s="23"/>
      <c r="H34" s="23"/>
      <c r="I34" s="34" t="s">
        <v>39</v>
      </c>
      <c r="J34" s="47">
        <f>0.85/100</f>
        <v>8.5000000000000006e-003</v>
      </c>
      <c r="K34" s="1"/>
      <c r="L34" s="1"/>
      <c r="M34" s="1"/>
      <c r="N34" s="1"/>
      <c r="O34" s="1"/>
      <c r="P34" s="1"/>
      <c r="Q34" s="1"/>
    </row>
    <row r="35" s="0" customFormat="1" ht="14.25">
      <c r="A35" s="23" t="s">
        <v>40</v>
      </c>
      <c r="B35" s="23"/>
      <c r="C35" s="23"/>
      <c r="D35" s="23"/>
      <c r="E35" s="23"/>
      <c r="F35" s="23"/>
      <c r="G35" s="23"/>
      <c r="H35" s="23"/>
      <c r="I35" s="34" t="s">
        <v>41</v>
      </c>
      <c r="J35" s="47">
        <f>2/100</f>
        <v>2.e-002</v>
      </c>
      <c r="K35" s="1"/>
      <c r="L35" s="1"/>
      <c r="M35" s="1"/>
      <c r="N35" s="1"/>
      <c r="O35" s="1"/>
      <c r="P35" s="1"/>
      <c r="Q35" s="1"/>
    </row>
    <row r="36" s="0" customFormat="1" ht="14.25">
      <c r="A36" s="23" t="s">
        <v>42</v>
      </c>
      <c r="B36" s="23"/>
      <c r="C36" s="23"/>
      <c r="D36" s="23"/>
      <c r="E36" s="23"/>
      <c r="F36" s="23"/>
      <c r="G36" s="23"/>
      <c r="H36" s="23"/>
      <c r="I36" s="34" t="s">
        <v>43</v>
      </c>
      <c r="J36" s="47">
        <f>3.65/100</f>
        <v>3.6499999999999998e-002</v>
      </c>
      <c r="K36" s="1"/>
      <c r="L36" s="1"/>
      <c r="M36" s="1"/>
      <c r="N36" s="48"/>
      <c r="O36" s="48"/>
      <c r="P36" s="48"/>
      <c r="Q36" s="1"/>
    </row>
    <row r="37" s="0" customFormat="1" ht="14.25">
      <c r="A37" s="23" t="s">
        <v>44</v>
      </c>
      <c r="B37" s="23"/>
      <c r="C37" s="23"/>
      <c r="D37" s="23"/>
      <c r="E37" s="23"/>
      <c r="F37" s="23"/>
      <c r="G37" s="23"/>
      <c r="H37" s="23"/>
      <c r="I37" s="34" t="s">
        <v>45</v>
      </c>
      <c r="J37" s="47">
        <f>5/100</f>
        <v>5.0000000000000003e-002</v>
      </c>
      <c r="K37" s="1"/>
      <c r="L37" s="1"/>
      <c r="M37" s="1"/>
      <c r="N37" s="49"/>
      <c r="O37" s="1"/>
      <c r="P37" s="1"/>
      <c r="Q37" s="1"/>
    </row>
    <row r="38" s="0" customFormat="1" ht="14.25">
      <c r="A38" s="27" t="s">
        <v>46</v>
      </c>
      <c r="B38" s="27"/>
      <c r="C38" s="27"/>
      <c r="D38" s="27"/>
      <c r="E38" s="27"/>
      <c r="F38" s="27"/>
      <c r="G38" s="27"/>
      <c r="H38" s="27"/>
      <c r="I38" s="50" t="s">
        <v>47</v>
      </c>
      <c r="J38" s="51">
        <f>3.6/100</f>
        <v>3.6000000000000004e-002</v>
      </c>
      <c r="K38" s="1"/>
      <c r="L38" s="1"/>
      <c r="M38" s="1"/>
      <c r="N38" s="1"/>
      <c r="O38" s="1"/>
      <c r="P38" s="1"/>
      <c r="Q38" s="1"/>
    </row>
    <row r="39" s="0" customFormat="1" ht="14.25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"/>
      <c r="L39" s="1"/>
      <c r="M39" s="1"/>
      <c r="N39" s="1"/>
      <c r="O39" s="1"/>
      <c r="P39" s="1"/>
      <c r="Q39" s="1"/>
    </row>
    <row r="40" s="0" customFormat="1" ht="14.25">
      <c r="A40" s="52" t="s">
        <v>48</v>
      </c>
      <c r="B40" s="52"/>
      <c r="C40" s="52"/>
      <c r="D40" s="52"/>
      <c r="E40" s="52"/>
      <c r="F40" s="52"/>
      <c r="G40" s="52"/>
      <c r="H40" s="52"/>
      <c r="I40" s="53">
        <f>(((1+J31+J32+J33)*(1+J34)*(1+J35))/(1-J36-J37-J38))-1</f>
        <v>0.20568329914529904</v>
      </c>
      <c r="J40" s="60">
        <f>J41*I40</f>
        <v>14911.909037037611</v>
      </c>
      <c r="K40" s="1"/>
      <c r="L40" s="1"/>
      <c r="M40" s="1"/>
      <c r="N40" s="1"/>
      <c r="O40" s="1"/>
      <c r="P40" s="1"/>
      <c r="Q40" s="1"/>
    </row>
    <row r="41" s="0" customFormat="1" ht="14.25">
      <c r="A41" s="55" t="s">
        <v>49</v>
      </c>
      <c r="B41" s="55"/>
      <c r="C41" s="55"/>
      <c r="D41" s="55"/>
      <c r="E41" s="55"/>
      <c r="F41" s="55"/>
      <c r="G41" s="55"/>
      <c r="H41" s="55"/>
      <c r="I41" s="55"/>
      <c r="J41" s="56">
        <f>J29/(1-I40)</f>
        <v>72499.367226230272</v>
      </c>
      <c r="K41" s="49"/>
      <c r="L41" s="1"/>
      <c r="M41" s="1"/>
      <c r="N41" s="1"/>
      <c r="O41" s="1"/>
      <c r="P41" s="1"/>
      <c r="Q41" s="1"/>
    </row>
    <row r="42" s="0" customFormat="1" ht="14.25">
      <c r="A42" s="57" t="s">
        <v>50</v>
      </c>
      <c r="B42" s="57"/>
      <c r="C42" s="57"/>
      <c r="D42" s="57"/>
      <c r="E42" s="57"/>
      <c r="F42" s="57"/>
      <c r="G42" s="57"/>
      <c r="H42" s="57"/>
      <c r="I42" s="57"/>
      <c r="J42" s="41">
        <f>J41/F23</f>
        <v>28.999746890492109</v>
      </c>
      <c r="K42" s="1"/>
      <c r="L42" s="1"/>
      <c r="M42" s="1"/>
      <c r="N42" s="1"/>
      <c r="O42" s="1"/>
      <c r="P42" s="1"/>
      <c r="Q42" s="1"/>
    </row>
    <row r="44" s="0" customFormat="1" ht="14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58"/>
    </row>
    <row r="46" s="0" customFormat="1" ht="14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48"/>
      <c r="O46" s="48"/>
      <c r="P46" s="48"/>
      <c r="Q46" s="1"/>
    </row>
    <row r="47" s="0" customFormat="1" ht="14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49"/>
      <c r="O47" s="1"/>
      <c r="P47" s="1"/>
      <c r="Q47" s="1"/>
    </row>
    <row r="49" s="0" customFormat="1" ht="14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49"/>
      <c r="P49" s="1"/>
      <c r="Q49" s="1"/>
    </row>
    <row r="53" s="0" customFormat="1" ht="14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49"/>
      <c r="O53" s="49"/>
      <c r="P53" s="49"/>
      <c r="Q53" s="58"/>
    </row>
  </sheetData>
  <mergeCells count="52">
    <mergeCell ref="A1:J1"/>
    <mergeCell ref="A2:J2"/>
    <mergeCell ref="A3:J3"/>
    <mergeCell ref="A4:J4"/>
    <mergeCell ref="A5:J5"/>
    <mergeCell ref="A6:J6"/>
    <mergeCell ref="A7:B7"/>
    <mergeCell ref="D7:I7"/>
    <mergeCell ref="A8:B8"/>
    <mergeCell ref="D8:I8"/>
    <mergeCell ref="A9:B9"/>
    <mergeCell ref="D9:I9"/>
    <mergeCell ref="A10:B10"/>
    <mergeCell ref="D10:I10"/>
    <mergeCell ref="A11:J11"/>
    <mergeCell ref="A12:I12"/>
    <mergeCell ref="A13:J13"/>
    <mergeCell ref="A14:J14"/>
    <mergeCell ref="A15:I15"/>
    <mergeCell ref="A16:I16"/>
    <mergeCell ref="A17:I17"/>
    <mergeCell ref="A18:I18"/>
    <mergeCell ref="A19:I19"/>
    <mergeCell ref="A20:I20"/>
    <mergeCell ref="A21:E21"/>
    <mergeCell ref="G21:I21"/>
    <mergeCell ref="A22:E22"/>
    <mergeCell ref="G22:I22"/>
    <mergeCell ref="A23:E23"/>
    <mergeCell ref="G23:I23"/>
    <mergeCell ref="A24:E24"/>
    <mergeCell ref="G24:I24"/>
    <mergeCell ref="A25:E25"/>
    <mergeCell ref="G25:I25"/>
    <mergeCell ref="A26:E26"/>
    <mergeCell ref="G26:I26"/>
    <mergeCell ref="A27:I27"/>
    <mergeCell ref="A28:I28"/>
    <mergeCell ref="A29:I29"/>
    <mergeCell ref="A30:I30"/>
    <mergeCell ref="A31:H31"/>
    <mergeCell ref="A32:H32"/>
    <mergeCell ref="A33:H33"/>
    <mergeCell ref="A34:H34"/>
    <mergeCell ref="A35:H35"/>
    <mergeCell ref="A36:H36"/>
    <mergeCell ref="A37:H37"/>
    <mergeCell ref="A38:H38"/>
    <mergeCell ref="A39:J39"/>
    <mergeCell ref="A40:H40"/>
    <mergeCell ref="A41:I41"/>
    <mergeCell ref="A42:I42"/>
  </mergeCells>
  <printOptions headings="0" gridLines="0"/>
  <pageMargins left="0.25196850393700787" right="0.25196850393700787" top="0.75196850393700787" bottom="0.75196850393700787" header="0" footer="0"/>
  <pageSetup paperSize="9" scale="87" firstPageNumber="1" fitToWidth="0" fitToHeight="0" pageOrder="overThenDown" orientation="portrait" usePrinterDefaults="1" blackAndWhite="0" draft="0" cellComments="none" useFirstPageNumber="1" errors="displayed" horizontalDpi="600" verticalDpi="0" copies="1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view="pageBreakPreview" zoomScale="100" workbookViewId="0">
      <selection activeCell="A1" activeCellId="0" sqref="A1:J1"/>
    </sheetView>
  </sheetViews>
  <sheetFormatPr defaultRowHeight="14.25"/>
  <cols>
    <col customWidth="1" min="1" max="1" style="1" width="10.625"/>
    <col customWidth="1" min="2" max="2" style="1" width="11.875"/>
    <col customWidth="1" min="3" max="3" style="1" width="10.75"/>
    <col customWidth="1" min="4" max="4" style="1" width="10.625"/>
    <col customWidth="1" min="5" max="5" style="1" width="11"/>
    <col customWidth="1" min="6" max="6" style="1" width="11.125"/>
    <col customWidth="1" min="7" max="7" style="1" width="10.625"/>
    <col customWidth="1" min="8" max="8" style="1" width="9.5"/>
    <col customWidth="1" min="9" max="9" style="1" width="8.875"/>
    <col bestFit="1" customWidth="1" min="10" max="10" style="1" width="10.875"/>
    <col customWidth="1" min="11" max="11" style="1" width="10.625"/>
    <col bestFit="1" customWidth="1" min="12" max="12" style="1" width="12.75"/>
    <col customWidth="1" min="13" max="13" style="1" width="16.625"/>
    <col customWidth="1" min="14" max="15" style="1" width="10.625"/>
    <col customWidth="1" min="16" max="16" style="1" width="12.375"/>
    <col customWidth="1" min="17" max="17" style="1" width="10.625"/>
    <col customWidth="1" min="18" max="18" style="1" width="9"/>
    <col min="19" max="16384" style="1" width="9"/>
  </cols>
  <sheetData>
    <row r="1" ht="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 ht="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3"/>
    </row>
    <row r="3" ht="14.25">
      <c r="A3" s="5"/>
      <c r="B3" s="5"/>
      <c r="C3" s="5"/>
      <c r="D3" s="5"/>
      <c r="E3" s="5"/>
      <c r="F3" s="5"/>
      <c r="G3" s="5"/>
      <c r="H3" s="5"/>
      <c r="I3" s="5"/>
      <c r="J3" s="5"/>
    </row>
    <row r="4">
      <c r="A4" s="6" t="s">
        <v>53</v>
      </c>
      <c r="B4" s="6"/>
      <c r="C4" s="6"/>
      <c r="D4" s="6"/>
      <c r="E4" s="6"/>
      <c r="F4" s="6"/>
      <c r="G4" s="6"/>
      <c r="H4" s="6"/>
      <c r="I4" s="6"/>
      <c r="J4" s="6"/>
      <c r="K4" s="3"/>
    </row>
    <row r="5">
      <c r="A5" s="7" t="s">
        <v>3</v>
      </c>
      <c r="B5" s="7"/>
      <c r="C5" s="7"/>
      <c r="D5" s="7"/>
      <c r="E5" s="7"/>
      <c r="F5" s="7"/>
      <c r="G5" s="7"/>
      <c r="H5" s="7"/>
      <c r="I5" s="7"/>
      <c r="J5" s="7"/>
    </row>
    <row r="6">
      <c r="A6" s="8" t="s">
        <v>4</v>
      </c>
      <c r="B6" s="8"/>
      <c r="C6" s="8"/>
      <c r="D6" s="8"/>
      <c r="E6" s="8"/>
      <c r="F6" s="8"/>
      <c r="G6" s="8"/>
      <c r="H6" s="8"/>
      <c r="I6" s="8"/>
      <c r="J6" s="8"/>
    </row>
    <row r="7">
      <c r="A7" s="9" t="s">
        <v>5</v>
      </c>
      <c r="B7" s="9"/>
      <c r="C7" s="10" t="s">
        <v>6</v>
      </c>
      <c r="D7" s="10" t="s">
        <v>7</v>
      </c>
      <c r="E7" s="10"/>
      <c r="F7" s="10"/>
      <c r="G7" s="10"/>
      <c r="H7" s="10"/>
      <c r="I7" s="10"/>
      <c r="J7" s="11" t="s">
        <v>8</v>
      </c>
    </row>
    <row r="8">
      <c r="A8" s="12" t="s">
        <v>9</v>
      </c>
      <c r="B8" s="12"/>
      <c r="C8" s="13">
        <v>1</v>
      </c>
      <c r="D8" s="13" t="s">
        <v>10</v>
      </c>
      <c r="E8" s="13"/>
      <c r="F8" s="13"/>
      <c r="G8" s="13"/>
      <c r="H8" s="13"/>
      <c r="I8" s="13"/>
      <c r="J8" s="14">
        <f>Motorista!K39</f>
        <v>6939.9695830340352</v>
      </c>
    </row>
    <row r="9">
      <c r="A9" s="15" t="s">
        <v>11</v>
      </c>
      <c r="B9" s="15"/>
      <c r="C9" s="13">
        <f>1</f>
        <v>1</v>
      </c>
      <c r="D9" s="13" t="s">
        <v>10</v>
      </c>
      <c r="E9" s="13"/>
      <c r="F9" s="13"/>
      <c r="G9" s="13"/>
      <c r="H9" s="13"/>
      <c r="I9" s="13"/>
      <c r="J9" s="14">
        <f>Enfermeiro!K39</f>
        <v>9324.4914699682777</v>
      </c>
    </row>
    <row r="10">
      <c r="A10" s="16"/>
      <c r="B10" s="16"/>
      <c r="C10" s="16"/>
      <c r="D10" s="16"/>
      <c r="E10" s="16"/>
      <c r="F10" s="16"/>
      <c r="G10" s="16"/>
      <c r="H10" s="16"/>
      <c r="I10" s="16"/>
      <c r="J10" s="16"/>
    </row>
    <row r="11">
      <c r="A11" s="17" t="s">
        <v>13</v>
      </c>
      <c r="B11" s="17"/>
      <c r="C11" s="17"/>
      <c r="D11" s="17"/>
      <c r="E11" s="17"/>
      <c r="F11" s="17"/>
      <c r="G11" s="17"/>
      <c r="H11" s="17"/>
      <c r="I11" s="17"/>
      <c r="J11" s="18">
        <f>J8+J9</f>
        <v>16264.461053002313</v>
      </c>
    </row>
    <row r="12" ht="14.25">
      <c r="A12" s="19"/>
      <c r="B12" s="19"/>
      <c r="C12" s="19"/>
      <c r="D12" s="19"/>
      <c r="E12" s="19"/>
      <c r="F12" s="19"/>
      <c r="G12" s="19"/>
      <c r="H12" s="19"/>
      <c r="I12" s="19"/>
      <c r="J12" s="19"/>
    </row>
    <row r="13">
      <c r="A13" s="8" t="s">
        <v>14</v>
      </c>
      <c r="B13" s="8"/>
      <c r="C13" s="8"/>
      <c r="D13" s="8"/>
      <c r="E13" s="8"/>
      <c r="F13" s="8"/>
      <c r="G13" s="8"/>
      <c r="H13" s="8"/>
      <c r="I13" s="8"/>
      <c r="J13" s="8"/>
    </row>
    <row r="14">
      <c r="A14" s="20" t="s">
        <v>15</v>
      </c>
      <c r="B14" s="20"/>
      <c r="C14" s="20"/>
      <c r="D14" s="20"/>
      <c r="E14" s="20"/>
      <c r="F14" s="20"/>
      <c r="G14" s="20"/>
      <c r="H14" s="20"/>
      <c r="I14" s="20"/>
      <c r="J14" s="59">
        <f>Manutenções_e_Veículos!D22</f>
        <v>312899.45000000001</v>
      </c>
      <c r="L14" s="22"/>
    </row>
    <row r="15">
      <c r="A15" s="23" t="s">
        <v>16</v>
      </c>
      <c r="B15" s="23"/>
      <c r="C15" s="23"/>
      <c r="D15" s="23"/>
      <c r="E15" s="23"/>
      <c r="F15" s="23"/>
      <c r="G15" s="23"/>
      <c r="H15" s="23"/>
      <c r="I15" s="23"/>
      <c r="J15" s="24">
        <f>Manutenções_e_Veículos!F27</f>
        <v>23467.458750000002</v>
      </c>
    </row>
    <row r="16">
      <c r="A16" s="25" t="s">
        <v>17</v>
      </c>
      <c r="B16" s="25"/>
      <c r="C16" s="25"/>
      <c r="D16" s="25"/>
      <c r="E16" s="25"/>
      <c r="F16" s="25"/>
      <c r="G16" s="25"/>
      <c r="H16" s="25"/>
      <c r="I16" s="25"/>
      <c r="J16" s="24">
        <f>Manutenções_e_Veículos!F17</f>
        <v>121</v>
      </c>
      <c r="L16" s="26"/>
    </row>
    <row r="17">
      <c r="A17" s="25" t="s">
        <v>18</v>
      </c>
      <c r="B17" s="25"/>
      <c r="C17" s="25"/>
      <c r="D17" s="25"/>
      <c r="E17" s="25"/>
      <c r="F17" s="25"/>
      <c r="G17" s="25"/>
      <c r="H17" s="25"/>
      <c r="I17" s="25"/>
      <c r="J17" s="24">
        <f>Manutenções_e_Veículos!F12</f>
        <v>387.20749999999998</v>
      </c>
    </row>
    <row r="18">
      <c r="A18" s="27" t="s">
        <v>19</v>
      </c>
      <c r="B18" s="27"/>
      <c r="C18" s="27"/>
      <c r="D18" s="27"/>
      <c r="E18" s="27"/>
      <c r="F18" s="27"/>
      <c r="G18" s="27"/>
      <c r="H18" s="27"/>
      <c r="I18" s="27"/>
      <c r="J18" s="28">
        <f>Manutenções_e_Veículos!F32+Manutenções_e_Veículos!D37</f>
        <v>263.71787499999999</v>
      </c>
    </row>
    <row r="19">
      <c r="A19" s="29" t="s">
        <v>20</v>
      </c>
      <c r="B19" s="29"/>
      <c r="C19" s="29"/>
      <c r="D19" s="29"/>
      <c r="E19" s="29"/>
      <c r="F19" s="29"/>
      <c r="G19" s="29"/>
      <c r="H19" s="29"/>
      <c r="I19" s="29"/>
      <c r="J19" s="30"/>
    </row>
    <row r="20">
      <c r="A20" s="23" t="s">
        <v>21</v>
      </c>
      <c r="B20" s="23"/>
      <c r="C20" s="23"/>
      <c r="D20" s="23"/>
      <c r="E20" s="23"/>
      <c r="F20" s="31">
        <v>5.9500000000000002</v>
      </c>
      <c r="G20" s="32" t="s">
        <v>22</v>
      </c>
      <c r="H20" s="32"/>
      <c r="I20" s="32"/>
      <c r="J20" s="33"/>
    </row>
    <row r="21" s="0" customFormat="1" ht="14.25">
      <c r="A21" s="25" t="s">
        <v>23</v>
      </c>
      <c r="B21" s="25"/>
      <c r="C21" s="25"/>
      <c r="D21" s="25"/>
      <c r="E21" s="25"/>
      <c r="F21" s="34">
        <v>30</v>
      </c>
      <c r="G21" s="35"/>
      <c r="H21" s="35"/>
      <c r="I21" s="35"/>
      <c r="J21" s="33"/>
      <c r="K21" s="1"/>
      <c r="L21" s="1"/>
      <c r="M21" s="1"/>
      <c r="N21" s="1"/>
      <c r="O21" s="1"/>
      <c r="P21" s="1"/>
      <c r="Q21" s="1"/>
    </row>
    <row r="22" s="0" customFormat="1" ht="14.25">
      <c r="A22" s="25" t="s">
        <v>24</v>
      </c>
      <c r="B22" s="25"/>
      <c r="C22" s="25"/>
      <c r="D22" s="25"/>
      <c r="E22" s="25"/>
      <c r="F22" s="36">
        <f>8000</f>
        <v>8000</v>
      </c>
      <c r="G22" s="35"/>
      <c r="H22" s="35"/>
      <c r="I22" s="35"/>
      <c r="J22" s="33"/>
      <c r="K22" s="1"/>
      <c r="L22" s="1"/>
      <c r="M22" s="1"/>
      <c r="N22" s="1"/>
      <c r="O22" s="1"/>
      <c r="P22" s="1"/>
      <c r="Q22" s="1"/>
    </row>
    <row r="23" s="0" customFormat="1" ht="14.25">
      <c r="A23" s="23" t="s">
        <v>25</v>
      </c>
      <c r="B23" s="23"/>
      <c r="C23" s="23"/>
      <c r="D23" s="23"/>
      <c r="E23" s="23"/>
      <c r="F23" s="34">
        <f>9</f>
        <v>9</v>
      </c>
      <c r="G23" s="35"/>
      <c r="H23" s="35"/>
      <c r="I23" s="35"/>
      <c r="J23" s="33"/>
      <c r="K23" s="1"/>
      <c r="L23" s="1"/>
      <c r="M23" s="1"/>
      <c r="N23" s="1"/>
      <c r="O23" s="1"/>
      <c r="P23" s="1"/>
      <c r="Q23" s="1"/>
    </row>
    <row r="24" s="0" customFormat="1" ht="14.25">
      <c r="A24" s="23" t="s">
        <v>26</v>
      </c>
      <c r="B24" s="23"/>
      <c r="C24" s="23"/>
      <c r="D24" s="23"/>
      <c r="E24" s="23"/>
      <c r="F24" s="37">
        <f>(F22/F23)*F20</f>
        <v>5288.8888888888896</v>
      </c>
      <c r="G24" s="35"/>
      <c r="H24" s="35"/>
      <c r="I24" s="35"/>
      <c r="J24" s="38"/>
      <c r="K24" s="1"/>
      <c r="L24" s="1"/>
      <c r="M24" s="1"/>
      <c r="N24" s="1"/>
      <c r="O24" s="1"/>
      <c r="P24" s="1"/>
      <c r="Q24" s="1"/>
    </row>
    <row r="25" s="0" customFormat="1" ht="14.25">
      <c r="A25" s="25" t="s">
        <v>27</v>
      </c>
      <c r="B25" s="25"/>
      <c r="C25" s="25"/>
      <c r="D25" s="25"/>
      <c r="E25" s="25"/>
      <c r="F25" s="37">
        <f>Uniformes!F5+Uniformes!F10</f>
        <v>197.14333333333335</v>
      </c>
      <c r="G25" s="35"/>
      <c r="H25" s="35"/>
      <c r="I25" s="35"/>
      <c r="J25" s="38"/>
      <c r="K25" s="1"/>
      <c r="L25" s="1"/>
      <c r="M25" s="1"/>
      <c r="N25" s="1"/>
      <c r="O25" s="1"/>
      <c r="P25" s="1"/>
      <c r="Q25" s="1"/>
    </row>
    <row r="26" s="0" customFormat="1" ht="14.25">
      <c r="A26" s="39"/>
      <c r="B26" s="39"/>
      <c r="C26" s="39"/>
      <c r="D26" s="39"/>
      <c r="E26" s="39"/>
      <c r="F26" s="39"/>
      <c r="G26" s="39"/>
      <c r="H26" s="39"/>
      <c r="I26" s="39"/>
      <c r="J26" s="28">
        <f>SUM(F24:F25)</f>
        <v>5486.032222222223</v>
      </c>
      <c r="K26" s="1"/>
      <c r="L26" s="1"/>
      <c r="M26" s="1"/>
      <c r="N26" s="1"/>
      <c r="O26" s="1"/>
      <c r="P26" s="1"/>
      <c r="Q26" s="1"/>
    </row>
    <row r="27" s="0" customFormat="1" ht="14.25">
      <c r="A27" s="17" t="s">
        <v>28</v>
      </c>
      <c r="B27" s="17"/>
      <c r="C27" s="17"/>
      <c r="D27" s="17"/>
      <c r="E27" s="17"/>
      <c r="F27" s="17"/>
      <c r="G27" s="17"/>
      <c r="H27" s="17"/>
      <c r="I27" s="17"/>
      <c r="J27" s="18">
        <f>SUM(J15:J26)</f>
        <v>29725.416347222224</v>
      </c>
      <c r="K27" s="1"/>
      <c r="L27" s="1"/>
      <c r="M27" s="1"/>
      <c r="N27" s="1"/>
      <c r="O27" s="1"/>
      <c r="P27" s="1"/>
      <c r="Q27" s="1"/>
    </row>
    <row r="28" s="0" customFormat="1" ht="14.25">
      <c r="A28" s="40" t="s">
        <v>29</v>
      </c>
      <c r="B28" s="40"/>
      <c r="C28" s="40"/>
      <c r="D28" s="40"/>
      <c r="E28" s="40"/>
      <c r="F28" s="40"/>
      <c r="G28" s="40"/>
      <c r="H28" s="40"/>
      <c r="I28" s="40"/>
      <c r="J28" s="41">
        <f>J11+J27</f>
        <v>45989.877400224534</v>
      </c>
      <c r="K28" s="1"/>
      <c r="L28" s="1"/>
      <c r="M28" s="1"/>
      <c r="N28" s="1"/>
      <c r="O28" s="1"/>
      <c r="P28" s="1"/>
      <c r="Q28" s="1"/>
    </row>
    <row r="29" s="0" customFormat="1" ht="14.25">
      <c r="A29" s="42" t="s">
        <v>30</v>
      </c>
      <c r="B29" s="42"/>
      <c r="C29" s="42"/>
      <c r="D29" s="42"/>
      <c r="E29" s="42"/>
      <c r="F29" s="42"/>
      <c r="G29" s="42"/>
      <c r="H29" s="42"/>
      <c r="I29" s="42"/>
      <c r="J29" s="43" t="s">
        <v>31</v>
      </c>
      <c r="K29" s="1"/>
      <c r="L29" s="22"/>
      <c r="M29" s="1"/>
      <c r="N29" s="1"/>
      <c r="O29" s="1"/>
      <c r="P29" s="1"/>
      <c r="Q29" s="1"/>
    </row>
    <row r="30" s="0" customFormat="1" ht="14.25">
      <c r="A30" s="44" t="s">
        <v>32</v>
      </c>
      <c r="B30" s="44"/>
      <c r="C30" s="44"/>
      <c r="D30" s="44"/>
      <c r="E30" s="44"/>
      <c r="F30" s="44"/>
      <c r="G30" s="44"/>
      <c r="H30" s="44"/>
      <c r="I30" s="45" t="s">
        <v>33</v>
      </c>
      <c r="J30" s="46">
        <v>1.9900000000000001e-002</v>
      </c>
      <c r="K30" s="1"/>
      <c r="L30" s="1"/>
      <c r="M30" s="1"/>
      <c r="N30" s="1"/>
      <c r="O30" s="1"/>
      <c r="P30" s="1"/>
      <c r="Q30" s="1"/>
    </row>
    <row r="31" s="0" customFormat="1" ht="14.25">
      <c r="A31" s="23" t="s">
        <v>34</v>
      </c>
      <c r="B31" s="23"/>
      <c r="C31" s="23"/>
      <c r="D31" s="23"/>
      <c r="E31" s="23"/>
      <c r="F31" s="23"/>
      <c r="G31" s="23"/>
      <c r="H31" s="23"/>
      <c r="I31" s="34" t="s">
        <v>35</v>
      </c>
      <c r="J31" s="47">
        <f>0.3/100</f>
        <v>3.0000000000000001e-003</v>
      </c>
      <c r="K31" s="1"/>
      <c r="L31" s="1"/>
      <c r="M31" s="1"/>
      <c r="N31" s="1"/>
      <c r="O31" s="1"/>
      <c r="P31" s="1"/>
      <c r="Q31" s="1"/>
    </row>
    <row r="32" s="0" customFormat="1" ht="14.25">
      <c r="A32" s="23" t="s">
        <v>36</v>
      </c>
      <c r="B32" s="23"/>
      <c r="C32" s="23"/>
      <c r="D32" s="23"/>
      <c r="E32" s="23"/>
      <c r="F32" s="23"/>
      <c r="G32" s="23"/>
      <c r="H32" s="23"/>
      <c r="I32" s="34" t="s">
        <v>37</v>
      </c>
      <c r="J32" s="47">
        <f>0.56/100</f>
        <v>5.6000000000000008e-003</v>
      </c>
      <c r="K32" s="1"/>
      <c r="L32" s="1"/>
      <c r="M32" s="1"/>
      <c r="N32" s="1"/>
      <c r="O32" s="1"/>
      <c r="P32" s="1"/>
      <c r="Q32" s="1"/>
    </row>
    <row r="33" s="0" customFormat="1" ht="14.25">
      <c r="A33" s="23" t="s">
        <v>38</v>
      </c>
      <c r="B33" s="23"/>
      <c r="C33" s="23"/>
      <c r="D33" s="23"/>
      <c r="E33" s="23"/>
      <c r="F33" s="23"/>
      <c r="G33" s="23"/>
      <c r="H33" s="23"/>
      <c r="I33" s="34" t="s">
        <v>39</v>
      </c>
      <c r="J33" s="47">
        <f>0.85/100</f>
        <v>8.5000000000000006e-003</v>
      </c>
      <c r="K33" s="1"/>
      <c r="L33" s="1"/>
      <c r="M33" s="1"/>
      <c r="N33" s="1"/>
      <c r="O33" s="1"/>
      <c r="P33" s="1"/>
      <c r="Q33" s="1"/>
    </row>
    <row r="34" s="0" customFormat="1" ht="14.25">
      <c r="A34" s="23" t="s">
        <v>40</v>
      </c>
      <c r="B34" s="23"/>
      <c r="C34" s="23"/>
      <c r="D34" s="23"/>
      <c r="E34" s="23"/>
      <c r="F34" s="23"/>
      <c r="G34" s="23"/>
      <c r="H34" s="23"/>
      <c r="I34" s="34" t="s">
        <v>41</v>
      </c>
      <c r="J34" s="47">
        <f>2/100</f>
        <v>2.e-002</v>
      </c>
      <c r="K34" s="1"/>
      <c r="L34" s="1"/>
      <c r="M34" s="1"/>
      <c r="N34" s="1"/>
      <c r="O34" s="1"/>
      <c r="P34" s="1"/>
      <c r="Q34" s="1"/>
    </row>
    <row r="35" s="0" customFormat="1" ht="14.25">
      <c r="A35" s="23" t="s">
        <v>42</v>
      </c>
      <c r="B35" s="23"/>
      <c r="C35" s="23"/>
      <c r="D35" s="23"/>
      <c r="E35" s="23"/>
      <c r="F35" s="23"/>
      <c r="G35" s="23"/>
      <c r="H35" s="23"/>
      <c r="I35" s="34" t="s">
        <v>43</v>
      </c>
      <c r="J35" s="47">
        <f>3.65/100</f>
        <v>3.6499999999999998e-002</v>
      </c>
      <c r="K35" s="1"/>
      <c r="L35" s="1"/>
      <c r="M35" s="1"/>
      <c r="N35" s="48"/>
      <c r="O35" s="48"/>
      <c r="P35" s="48"/>
      <c r="Q35" s="1"/>
    </row>
    <row r="36" s="0" customFormat="1" ht="14.25">
      <c r="A36" s="23" t="s">
        <v>44</v>
      </c>
      <c r="B36" s="23"/>
      <c r="C36" s="23"/>
      <c r="D36" s="23"/>
      <c r="E36" s="23"/>
      <c r="F36" s="23"/>
      <c r="G36" s="23"/>
      <c r="H36" s="23"/>
      <c r="I36" s="34" t="s">
        <v>45</v>
      </c>
      <c r="J36" s="47">
        <f>5/100</f>
        <v>5.0000000000000003e-002</v>
      </c>
      <c r="K36" s="1"/>
      <c r="L36" s="1"/>
      <c r="M36" s="1"/>
      <c r="N36" s="49"/>
      <c r="O36" s="1"/>
      <c r="P36" s="1"/>
      <c r="Q36" s="1"/>
    </row>
    <row r="37" s="0" customFormat="1" ht="14.25">
      <c r="A37" s="27" t="s">
        <v>46</v>
      </c>
      <c r="B37" s="27"/>
      <c r="C37" s="27"/>
      <c r="D37" s="27"/>
      <c r="E37" s="27"/>
      <c r="F37" s="27"/>
      <c r="G37" s="27"/>
      <c r="H37" s="27"/>
      <c r="I37" s="50" t="s">
        <v>47</v>
      </c>
      <c r="J37" s="51">
        <f>3.6/100</f>
        <v>3.6000000000000004e-002</v>
      </c>
      <c r="K37" s="1"/>
      <c r="L37" s="1"/>
      <c r="M37" s="1"/>
      <c r="N37" s="1"/>
      <c r="O37" s="1"/>
      <c r="P37" s="1"/>
      <c r="Q37" s="1"/>
    </row>
    <row r="38" s="0" customFormat="1" ht="14.25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"/>
      <c r="L38" s="1"/>
      <c r="M38" s="1"/>
      <c r="N38" s="1"/>
      <c r="O38" s="1"/>
      <c r="P38" s="1"/>
      <c r="Q38" s="1"/>
    </row>
    <row r="39" s="0" customFormat="1" ht="14.25">
      <c r="A39" s="52" t="s">
        <v>48</v>
      </c>
      <c r="B39" s="52"/>
      <c r="C39" s="52"/>
      <c r="D39" s="52"/>
      <c r="E39" s="52"/>
      <c r="F39" s="52"/>
      <c r="G39" s="52"/>
      <c r="H39" s="52"/>
      <c r="I39" s="53">
        <f>(((1+J30+J31+J32)*(1+J33)*(1+J34))/(1-J35-J36-J37))-1</f>
        <v>0.20568329914529904</v>
      </c>
      <c r="J39" s="60">
        <f>J40*I39</f>
        <v>11908.788649146563</v>
      </c>
      <c r="K39" s="1"/>
      <c r="L39" s="1"/>
      <c r="M39" s="1"/>
      <c r="N39" s="1"/>
      <c r="O39" s="1"/>
      <c r="P39" s="1"/>
      <c r="Q39" s="1"/>
    </row>
    <row r="40" s="0" customFormat="1" ht="14.25">
      <c r="A40" s="55" t="s">
        <v>49</v>
      </c>
      <c r="B40" s="55"/>
      <c r="C40" s="55"/>
      <c r="D40" s="55"/>
      <c r="E40" s="55"/>
      <c r="F40" s="55"/>
      <c r="G40" s="55"/>
      <c r="H40" s="55"/>
      <c r="I40" s="55"/>
      <c r="J40" s="56">
        <f>J28/(1-I39)</f>
        <v>57898.666049371095</v>
      </c>
      <c r="K40" s="49"/>
      <c r="L40" s="1"/>
      <c r="M40" s="1"/>
      <c r="N40" s="1"/>
      <c r="O40" s="1"/>
      <c r="P40" s="1"/>
      <c r="Q40" s="1"/>
    </row>
    <row r="41" s="0" customFormat="1" ht="14.25">
      <c r="A41" s="57" t="s">
        <v>50</v>
      </c>
      <c r="B41" s="57"/>
      <c r="C41" s="57"/>
      <c r="D41" s="57"/>
      <c r="E41" s="57"/>
      <c r="F41" s="57"/>
      <c r="G41" s="57"/>
      <c r="H41" s="57"/>
      <c r="I41" s="57"/>
      <c r="J41" s="41">
        <f>J40/F22</f>
        <v>7.2373332561713868</v>
      </c>
      <c r="K41" s="1"/>
      <c r="L41" s="1"/>
      <c r="M41" s="1"/>
      <c r="N41" s="1"/>
      <c r="O41" s="1"/>
      <c r="P41" s="1"/>
      <c r="Q41" s="1"/>
    </row>
    <row r="43" s="0" customFormat="1" ht="14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58"/>
    </row>
    <row r="45" s="0" customFormat="1" ht="14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48"/>
      <c r="O45" s="48"/>
      <c r="P45" s="48"/>
      <c r="Q45" s="1"/>
    </row>
    <row r="46" s="0" customFormat="1" ht="14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49"/>
      <c r="O46" s="1"/>
      <c r="P46" s="1"/>
      <c r="Q46" s="1"/>
    </row>
    <row r="48" s="0" customFormat="1" ht="14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49"/>
      <c r="P48" s="1"/>
      <c r="Q48" s="1"/>
    </row>
    <row r="52" s="0" customFormat="1" ht="14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49"/>
      <c r="O52" s="49"/>
      <c r="P52" s="49"/>
      <c r="Q52" s="58"/>
    </row>
  </sheetData>
  <mergeCells count="50">
    <mergeCell ref="A1:J1"/>
    <mergeCell ref="A2:J2"/>
    <mergeCell ref="A3:J3"/>
    <mergeCell ref="A4:J4"/>
    <mergeCell ref="A5:J5"/>
    <mergeCell ref="A6:J6"/>
    <mergeCell ref="A7:B7"/>
    <mergeCell ref="D7:I7"/>
    <mergeCell ref="A8:B8"/>
    <mergeCell ref="D8:I8"/>
    <mergeCell ref="A9:B9"/>
    <mergeCell ref="D9:I9"/>
    <mergeCell ref="A10:J10"/>
    <mergeCell ref="A11:I11"/>
    <mergeCell ref="A12:J12"/>
    <mergeCell ref="A13:J13"/>
    <mergeCell ref="A14:I14"/>
    <mergeCell ref="A15:I15"/>
    <mergeCell ref="A16:I16"/>
    <mergeCell ref="A17:I17"/>
    <mergeCell ref="A18:I18"/>
    <mergeCell ref="A19:I19"/>
    <mergeCell ref="A20:E20"/>
    <mergeCell ref="G20:I20"/>
    <mergeCell ref="A21:E21"/>
    <mergeCell ref="G21:I21"/>
    <mergeCell ref="A22:E22"/>
    <mergeCell ref="G22:I22"/>
    <mergeCell ref="A23:E23"/>
    <mergeCell ref="G23:I23"/>
    <mergeCell ref="A24:E24"/>
    <mergeCell ref="G24:I24"/>
    <mergeCell ref="A25:E25"/>
    <mergeCell ref="G25:I25"/>
    <mergeCell ref="A26:I26"/>
    <mergeCell ref="A27:I27"/>
    <mergeCell ref="A28:I28"/>
    <mergeCell ref="A29:I29"/>
    <mergeCell ref="A30:H30"/>
    <mergeCell ref="A31:H31"/>
    <mergeCell ref="A32:H32"/>
    <mergeCell ref="A33:H33"/>
    <mergeCell ref="A34:H34"/>
    <mergeCell ref="A35:H35"/>
    <mergeCell ref="A36:H36"/>
    <mergeCell ref="A37:H37"/>
    <mergeCell ref="A38:J38"/>
    <mergeCell ref="A39:H39"/>
    <mergeCell ref="A40:I40"/>
    <mergeCell ref="A41:I41"/>
  </mergeCells>
  <printOptions headings="0" gridLines="0"/>
  <pageMargins left="0.25196850393700787" right="0.25196850393700787" top="0.75196850393700787" bottom="0.75196850393700787" header="0" footer="0"/>
  <pageSetup paperSize="9" scale="84" firstPageNumber="1" fitToWidth="1" fitToHeight="0" pageOrder="overThenDown" orientation="portrait" usePrinterDefaults="1" blackAndWhite="0" draft="0" cellComments="none" useFirstPageNumber="1" errors="displayed" horizontalDpi="600" verticalDpi="0" copies="1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pageBreakPreview" zoomScale="85" workbookViewId="0">
      <selection activeCell="J6" activeCellId="0" sqref="J6"/>
    </sheetView>
  </sheetViews>
  <sheetFormatPr defaultRowHeight="14.25"/>
  <cols>
    <col customWidth="1" min="1" max="1" width="1.75"/>
    <col bestFit="1" customWidth="1" min="2" max="2" width="31.5"/>
    <col bestFit="1" customWidth="1" min="3" max="3" width="9.375"/>
    <col customWidth="1" min="4" max="5" width="9"/>
    <col customWidth="1" min="6" max="6" width="10.625"/>
    <col customWidth="1" min="7" max="8" width="9"/>
    <col customWidth="1" min="9" max="9" width="10.625"/>
    <col customWidth="1" min="10" max="10" width="13.25"/>
    <col customWidth="1" min="11" max="11" width="12.25"/>
    <col customWidth="1" min="12" max="12" width="9"/>
  </cols>
  <sheetData>
    <row r="2" ht="27.75" customHeight="1">
      <c r="B2" s="61" t="s">
        <v>54</v>
      </c>
      <c r="C2" s="61"/>
      <c r="D2" s="61"/>
      <c r="E2" s="61"/>
      <c r="F2" s="61"/>
      <c r="G2" s="61"/>
      <c r="H2" s="61"/>
      <c r="I2" s="61"/>
      <c r="J2" s="61"/>
      <c r="K2" s="61"/>
    </row>
    <row r="3">
      <c r="B3" s="62" t="s">
        <v>55</v>
      </c>
      <c r="C3" s="62"/>
      <c r="D3" s="62"/>
      <c r="E3" s="62"/>
      <c r="F3" s="62"/>
      <c r="G3" s="62"/>
      <c r="H3" s="62"/>
      <c r="I3" s="62"/>
      <c r="J3" s="62"/>
      <c r="K3" s="62"/>
    </row>
    <row r="4">
      <c r="B4" s="63" t="s">
        <v>5</v>
      </c>
      <c r="C4" s="64"/>
      <c r="D4" s="65" t="s">
        <v>6</v>
      </c>
      <c r="E4" s="65"/>
      <c r="F4" s="65"/>
      <c r="G4" s="65"/>
      <c r="H4" s="65"/>
      <c r="I4" s="64"/>
      <c r="J4" s="64"/>
      <c r="K4" s="66"/>
    </row>
    <row r="5">
      <c r="B5" s="67" t="s">
        <v>54</v>
      </c>
      <c r="C5" s="68">
        <v>3707.27</v>
      </c>
      <c r="D5" s="69">
        <f>1</f>
        <v>1</v>
      </c>
      <c r="E5" s="69"/>
      <c r="F5" s="69"/>
      <c r="G5" s="69"/>
      <c r="H5" s="69"/>
      <c r="I5" s="70" t="s">
        <v>56</v>
      </c>
      <c r="J5" s="70"/>
      <c r="K5" s="70"/>
    </row>
    <row r="6" ht="24">
      <c r="B6" s="67"/>
      <c r="C6" s="68"/>
      <c r="D6" s="69"/>
      <c r="E6" s="69"/>
      <c r="F6" s="69"/>
      <c r="G6" s="69"/>
      <c r="H6" s="69"/>
      <c r="I6" s="71" t="s">
        <v>57</v>
      </c>
      <c r="J6" s="71" t="s">
        <v>58</v>
      </c>
      <c r="K6" s="72" t="s">
        <v>59</v>
      </c>
    </row>
    <row r="7">
      <c r="B7" s="73"/>
      <c r="C7" s="73"/>
      <c r="D7" s="35"/>
      <c r="E7" s="35"/>
      <c r="F7" s="35"/>
      <c r="G7" s="35"/>
      <c r="H7" s="35"/>
      <c r="I7" s="74">
        <v>1621</v>
      </c>
      <c r="J7" s="74">
        <f>0</f>
        <v>0</v>
      </c>
      <c r="K7" s="75">
        <f>C5+J7</f>
        <v>3707.27</v>
      </c>
    </row>
    <row r="8">
      <c r="B8" s="76" t="s">
        <v>60</v>
      </c>
      <c r="C8" s="76"/>
      <c r="D8" s="76"/>
      <c r="E8" s="76"/>
      <c r="F8" s="76"/>
      <c r="G8" s="76"/>
      <c r="H8" s="76"/>
      <c r="I8" s="76"/>
      <c r="J8" s="76"/>
      <c r="K8" s="77">
        <f>(K7*D5)</f>
        <v>3707.27</v>
      </c>
    </row>
    <row r="9" ht="36">
      <c r="B9" s="78" t="s">
        <v>61</v>
      </c>
      <c r="C9" s="78"/>
      <c r="D9" s="78"/>
      <c r="E9" s="78"/>
      <c r="F9" s="71" t="s">
        <v>62</v>
      </c>
      <c r="G9" s="71" t="s">
        <v>63</v>
      </c>
      <c r="H9" s="71" t="s">
        <v>64</v>
      </c>
      <c r="I9" s="71" t="s">
        <v>65</v>
      </c>
      <c r="J9" s="71" t="s">
        <v>66</v>
      </c>
      <c r="K9" s="72" t="s">
        <v>8</v>
      </c>
    </row>
    <row r="10">
      <c r="B10" s="78"/>
      <c r="C10" s="78"/>
      <c r="D10" s="78"/>
      <c r="E10" s="78"/>
      <c r="F10" s="79">
        <v>0</v>
      </c>
      <c r="G10" s="79">
        <f>(4.5*2)*22-78.55</f>
        <v>119.45</v>
      </c>
      <c r="H10" s="79">
        <f>C5*0.003</f>
        <v>11.12181</v>
      </c>
      <c r="I10" s="80">
        <v>28.969999999999999</v>
      </c>
      <c r="J10" s="81">
        <v>0.20000000000000001</v>
      </c>
      <c r="K10" s="82" t="s">
        <v>67</v>
      </c>
    </row>
    <row r="11">
      <c r="B11" s="78"/>
      <c r="C11" s="78"/>
      <c r="D11" s="78"/>
      <c r="E11" s="78"/>
      <c r="F11" s="79">
        <f>F10*D5</f>
        <v>0</v>
      </c>
      <c r="G11" s="79">
        <f>((2*4.5*(22))-(C5*0.06))*D5</f>
        <v>-24.436199999999985</v>
      </c>
      <c r="H11" s="79">
        <f>H10*(D5+D7)</f>
        <v>11.12181</v>
      </c>
      <c r="I11" s="80">
        <f>(D5+D7)*(I10*22)</f>
        <v>637.33999999999992</v>
      </c>
      <c r="J11" s="83">
        <f>I11*J10*-1</f>
        <v>-127.46799999999999</v>
      </c>
      <c r="K11" s="84">
        <f>SUM(F11:J11)</f>
        <v>496.55760999999995</v>
      </c>
    </row>
    <row r="12">
      <c r="B12" s="76" t="s">
        <v>68</v>
      </c>
      <c r="C12" s="76"/>
      <c r="D12" s="76"/>
      <c r="E12" s="76"/>
      <c r="F12" s="76"/>
      <c r="G12" s="76"/>
      <c r="H12" s="76"/>
      <c r="I12" s="76"/>
      <c r="J12" s="76"/>
      <c r="K12" s="77">
        <f>K11</f>
        <v>496.55760999999995</v>
      </c>
    </row>
    <row r="13" ht="36">
      <c r="B13" s="78" t="s">
        <v>69</v>
      </c>
      <c r="C13" s="78"/>
      <c r="D13" s="78"/>
      <c r="E13" s="78"/>
      <c r="F13" s="71" t="s">
        <v>70</v>
      </c>
      <c r="G13" s="71" t="s">
        <v>71</v>
      </c>
      <c r="H13" s="71" t="s">
        <v>72</v>
      </c>
      <c r="I13" s="71" t="s">
        <v>73</v>
      </c>
      <c r="J13" s="71" t="s">
        <v>74</v>
      </c>
      <c r="K13" s="72" t="s">
        <v>8</v>
      </c>
      <c r="M13" s="85" t="s">
        <v>75</v>
      </c>
    </row>
    <row r="14">
      <c r="B14" s="78"/>
      <c r="C14" s="78"/>
      <c r="D14" s="78"/>
      <c r="E14" s="78"/>
      <c r="F14" s="86">
        <v>0.20000000000000001</v>
      </c>
      <c r="G14" s="86">
        <v>3.5000000000000003e-002</v>
      </c>
      <c r="H14" s="86">
        <v>2.5000000000000001e-002</v>
      </c>
      <c r="I14" s="86">
        <v>8.0000000000000002e-002</v>
      </c>
      <c r="J14" s="86">
        <v>2.9999999999999999e-002</v>
      </c>
      <c r="K14" s="87">
        <f t="shared" ref="K14:K15" si="2">SUM(F14:J14)</f>
        <v>0.37</v>
      </c>
    </row>
    <row r="15">
      <c r="B15" s="78"/>
      <c r="C15" s="78"/>
      <c r="D15" s="78"/>
      <c r="E15" s="78"/>
      <c r="F15" s="74">
        <f>K8*F14</f>
        <v>741.45400000000006</v>
      </c>
      <c r="G15" s="74">
        <f>K8*G14</f>
        <v>129.75445000000002</v>
      </c>
      <c r="H15" s="74">
        <f>K8*H14</f>
        <v>92.681750000000008</v>
      </c>
      <c r="I15" s="74">
        <f>K8*I14</f>
        <v>296.58159999999998</v>
      </c>
      <c r="J15" s="74">
        <f>J14*K8</f>
        <v>111.21809999999999</v>
      </c>
      <c r="K15" s="75">
        <f t="shared" si="2"/>
        <v>1371.6899000000001</v>
      </c>
    </row>
    <row r="16">
      <c r="B16" s="76" t="s">
        <v>76</v>
      </c>
      <c r="C16" s="76"/>
      <c r="D16" s="76"/>
      <c r="E16" s="76"/>
      <c r="F16" s="76"/>
      <c r="G16" s="76"/>
      <c r="H16" s="76"/>
      <c r="I16" s="76"/>
      <c r="J16" s="76"/>
      <c r="K16" s="77">
        <f>K15</f>
        <v>1371.6899000000001</v>
      </c>
    </row>
    <row r="17" ht="36">
      <c r="B17" s="78" t="s">
        <v>77</v>
      </c>
      <c r="C17" s="78"/>
      <c r="D17" s="78"/>
      <c r="E17" s="78"/>
      <c r="F17" s="78"/>
      <c r="G17" s="78"/>
      <c r="H17" s="78"/>
      <c r="I17" s="71" t="s">
        <v>77</v>
      </c>
      <c r="J17" s="71" t="s">
        <v>78</v>
      </c>
      <c r="K17" s="72" t="s">
        <v>8</v>
      </c>
    </row>
    <row r="18">
      <c r="B18" s="78"/>
      <c r="C18" s="78"/>
      <c r="D18" s="78"/>
      <c r="E18" s="78"/>
      <c r="F18" s="78"/>
      <c r="G18" s="78"/>
      <c r="H18" s="78"/>
      <c r="I18" s="86">
        <v>8.3333333300000006e-002</v>
      </c>
      <c r="J18" s="86">
        <f>K14</f>
        <v>0.37</v>
      </c>
      <c r="K18" s="88"/>
    </row>
    <row r="19">
      <c r="B19" s="78"/>
      <c r="C19" s="78"/>
      <c r="D19" s="78"/>
      <c r="E19" s="78"/>
      <c r="F19" s="78"/>
      <c r="G19" s="78"/>
      <c r="H19" s="78"/>
      <c r="I19" s="74">
        <f>I18*($K$8)</f>
        <v>308.93916654309101</v>
      </c>
      <c r="J19" s="74">
        <f>I19*J18</f>
        <v>114.30749162094367</v>
      </c>
      <c r="K19" s="89">
        <f>SUM(I19:J19)</f>
        <v>423.24665816403467</v>
      </c>
    </row>
    <row r="20">
      <c r="B20" s="76" t="s">
        <v>79</v>
      </c>
      <c r="C20" s="76"/>
      <c r="D20" s="76"/>
      <c r="E20" s="76"/>
      <c r="F20" s="76"/>
      <c r="G20" s="76"/>
      <c r="H20" s="76"/>
      <c r="I20" s="76"/>
      <c r="J20" s="76"/>
      <c r="K20" s="77">
        <f>K19</f>
        <v>423.24665816403467</v>
      </c>
    </row>
    <row r="21" ht="96">
      <c r="B21" s="78" t="s">
        <v>80</v>
      </c>
      <c r="C21" s="78"/>
      <c r="D21" s="78"/>
      <c r="E21" s="71" t="s">
        <v>81</v>
      </c>
      <c r="F21" s="71" t="s">
        <v>82</v>
      </c>
      <c r="G21" s="71" t="s">
        <v>83</v>
      </c>
      <c r="H21" s="71" t="s">
        <v>84</v>
      </c>
      <c r="I21" s="71" t="s">
        <v>85</v>
      </c>
      <c r="J21" s="71" t="s">
        <v>86</v>
      </c>
      <c r="K21" s="72" t="s">
        <v>8</v>
      </c>
    </row>
    <row r="22">
      <c r="B22" s="78"/>
      <c r="C22" s="78"/>
      <c r="D22" s="78"/>
      <c r="E22" s="86">
        <v>4.1999999999999997e-003</v>
      </c>
      <c r="F22" s="86">
        <v>2.9999999999999997e-004</v>
      </c>
      <c r="G22" s="86">
        <v>2.1499999999999998e-002</v>
      </c>
      <c r="H22" s="86">
        <v>1.9400000000000001e-002</v>
      </c>
      <c r="I22" s="86">
        <v>7.1000000000000004e-003</v>
      </c>
      <c r="J22" s="86">
        <v>2.1499999999999998e-002</v>
      </c>
      <c r="K22" s="87">
        <f t="shared" ref="K22:K23" si="3">SUM(E22:J22)</f>
        <v>7.3999999999999996e-002</v>
      </c>
    </row>
    <row r="23">
      <c r="B23" s="78"/>
      <c r="C23" s="78"/>
      <c r="D23" s="78"/>
      <c r="E23" s="90">
        <f t="shared" ref="E23:J27" si="4">E22*($K$8)</f>
        <v>15.570533999999999</v>
      </c>
      <c r="F23" s="90">
        <f t="shared" si="4"/>
        <v>1.1121809999999999</v>
      </c>
      <c r="G23" s="90">
        <f t="shared" si="4"/>
        <v>79.706304999999986</v>
      </c>
      <c r="H23" s="90">
        <f t="shared" si="4"/>
        <v>71.921037999999996</v>
      </c>
      <c r="I23" s="90">
        <f t="shared" si="4"/>
        <v>26.321617</v>
      </c>
      <c r="J23" s="90">
        <f t="shared" si="4"/>
        <v>79.706304999999986</v>
      </c>
      <c r="K23" s="75">
        <f t="shared" si="3"/>
        <v>274.33797999999996</v>
      </c>
    </row>
    <row r="24">
      <c r="B24" s="76" t="s">
        <v>87</v>
      </c>
      <c r="C24" s="76"/>
      <c r="D24" s="76"/>
      <c r="E24" s="76"/>
      <c r="F24" s="76"/>
      <c r="G24" s="76"/>
      <c r="H24" s="76"/>
      <c r="I24" s="76"/>
      <c r="J24" s="76"/>
      <c r="K24" s="77">
        <f>K23</f>
        <v>274.33797999999996</v>
      </c>
    </row>
    <row r="25" ht="72">
      <c r="B25" s="91" t="s">
        <v>88</v>
      </c>
      <c r="C25" s="91"/>
      <c r="D25" s="71" t="s">
        <v>89</v>
      </c>
      <c r="E25" s="71" t="s">
        <v>90</v>
      </c>
      <c r="F25" s="71" t="s">
        <v>91</v>
      </c>
      <c r="G25" s="71" t="s">
        <v>92</v>
      </c>
      <c r="H25" s="71" t="s">
        <v>93</v>
      </c>
      <c r="I25" s="71" t="s">
        <v>94</v>
      </c>
      <c r="J25" s="71" t="s">
        <v>95</v>
      </c>
      <c r="K25" s="72" t="s">
        <v>8</v>
      </c>
    </row>
    <row r="26">
      <c r="B26" s="91"/>
      <c r="C26" s="91"/>
      <c r="D26" s="86">
        <v>0.1111</v>
      </c>
      <c r="E26" s="86">
        <v>1.3899999999999999e-002</v>
      </c>
      <c r="F26" s="86">
        <v>2.0000000000000001e-004</v>
      </c>
      <c r="G26" s="86">
        <v>2.8e-003</v>
      </c>
      <c r="H26" s="86">
        <v>3.3e-003</v>
      </c>
      <c r="I26" s="86">
        <f t="shared" ref="I26:I27" si="5">SUM(C26:H26)</f>
        <v>0.1313</v>
      </c>
      <c r="J26" s="86">
        <f>K14</f>
        <v>0.37</v>
      </c>
      <c r="K26" s="92">
        <f t="shared" ref="K26:K27" si="6">I26+J26</f>
        <v>0.50129999999999997</v>
      </c>
    </row>
    <row r="27">
      <c r="B27" s="91"/>
      <c r="C27" s="91"/>
      <c r="D27" s="74">
        <f>D26*($K$8)</f>
        <v>411.87769700000001</v>
      </c>
      <c r="E27" s="90">
        <f t="shared" si="4"/>
        <v>51.531053</v>
      </c>
      <c r="F27" s="90">
        <f>F26*($K$8)</f>
        <v>0.74145400000000006</v>
      </c>
      <c r="G27" s="90">
        <f>G26*($K$8)</f>
        <v>10.380355999999999</v>
      </c>
      <c r="H27" s="90">
        <f>H26*K8</f>
        <v>12.233991</v>
      </c>
      <c r="I27" s="74">
        <f t="shared" si="5"/>
        <v>486.76455099999998</v>
      </c>
      <c r="J27" s="90">
        <f>I27*J26</f>
        <v>180.10288387</v>
      </c>
      <c r="K27" s="75">
        <f t="shared" si="6"/>
        <v>666.86743487000001</v>
      </c>
    </row>
    <row r="28">
      <c r="B28" s="76" t="s">
        <v>96</v>
      </c>
      <c r="C28" s="76"/>
      <c r="D28" s="76"/>
      <c r="E28" s="76"/>
      <c r="F28" s="76"/>
      <c r="G28" s="76"/>
      <c r="H28" s="76"/>
      <c r="I28" s="76"/>
      <c r="J28" s="76"/>
      <c r="K28" s="77">
        <f>K27</f>
        <v>666.86743487000001</v>
      </c>
    </row>
    <row r="29">
      <c r="B29" s="93"/>
      <c r="C29" s="94"/>
      <c r="D29" s="94"/>
      <c r="E29" s="94"/>
      <c r="F29" s="94"/>
      <c r="G29" s="94"/>
      <c r="H29" s="94"/>
      <c r="I29" s="94"/>
      <c r="J29" s="94"/>
      <c r="K29" s="95"/>
    </row>
    <row r="30">
      <c r="B30" s="96" t="s">
        <v>97</v>
      </c>
      <c r="C30" s="96"/>
      <c r="D30" s="96"/>
      <c r="E30" s="96"/>
      <c r="F30" s="96"/>
      <c r="G30" s="96"/>
      <c r="H30" s="96"/>
      <c r="I30" s="96"/>
      <c r="J30" s="96"/>
      <c r="K30" s="96"/>
    </row>
    <row r="31">
      <c r="B31" s="97" t="s">
        <v>60</v>
      </c>
      <c r="C31" s="97"/>
      <c r="D31" s="97"/>
      <c r="E31" s="97"/>
      <c r="F31" s="97"/>
      <c r="G31" s="97"/>
      <c r="H31" s="97"/>
      <c r="I31" s="97"/>
      <c r="J31" s="97"/>
      <c r="K31" s="75">
        <f>K8</f>
        <v>3707.27</v>
      </c>
    </row>
    <row r="32">
      <c r="B32" s="97" t="s">
        <v>98</v>
      </c>
      <c r="C32" s="97"/>
      <c r="D32" s="97"/>
      <c r="E32" s="97"/>
      <c r="F32" s="97"/>
      <c r="G32" s="97"/>
      <c r="H32" s="97"/>
      <c r="I32" s="97"/>
      <c r="J32" s="97"/>
      <c r="K32" s="75">
        <f>K12</f>
        <v>496.55760999999995</v>
      </c>
    </row>
    <row r="33">
      <c r="B33" s="97" t="s">
        <v>99</v>
      </c>
      <c r="C33" s="97"/>
      <c r="D33" s="97"/>
      <c r="E33" s="97"/>
      <c r="F33" s="97"/>
      <c r="G33" s="97"/>
      <c r="H33" s="97"/>
      <c r="I33" s="97"/>
      <c r="J33" s="97"/>
      <c r="K33" s="75">
        <f>K16</f>
        <v>1371.6899000000001</v>
      </c>
    </row>
    <row r="34">
      <c r="B34" s="97" t="s">
        <v>77</v>
      </c>
      <c r="C34" s="97"/>
      <c r="D34" s="97"/>
      <c r="E34" s="97"/>
      <c r="F34" s="97"/>
      <c r="G34" s="97"/>
      <c r="H34" s="97"/>
      <c r="I34" s="97"/>
      <c r="J34" s="97"/>
      <c r="K34" s="75">
        <f>K20</f>
        <v>423.24665816403467</v>
      </c>
    </row>
    <row r="35">
      <c r="B35" s="97" t="s">
        <v>100</v>
      </c>
      <c r="C35" s="97"/>
      <c r="D35" s="97"/>
      <c r="E35" s="97"/>
      <c r="F35" s="97"/>
      <c r="G35" s="97"/>
      <c r="H35" s="97"/>
      <c r="I35" s="97"/>
      <c r="J35" s="97"/>
      <c r="K35" s="75">
        <f>K24</f>
        <v>274.33797999999996</v>
      </c>
    </row>
    <row r="36">
      <c r="B36" s="97" t="s">
        <v>101</v>
      </c>
      <c r="C36" s="97"/>
      <c r="D36" s="97"/>
      <c r="E36" s="97"/>
      <c r="F36" s="97"/>
      <c r="G36" s="97"/>
      <c r="H36" s="97"/>
      <c r="I36" s="97"/>
      <c r="J36" s="97"/>
      <c r="K36" s="75">
        <f>K28</f>
        <v>666.86743487000001</v>
      </c>
    </row>
    <row r="37">
      <c r="B37" s="76" t="s">
        <v>102</v>
      </c>
      <c r="C37" s="76"/>
      <c r="D37" s="76"/>
      <c r="E37" s="76"/>
      <c r="F37" s="76"/>
      <c r="G37" s="76"/>
      <c r="H37" s="76"/>
      <c r="I37" s="76"/>
      <c r="J37" s="76"/>
      <c r="K37" s="77">
        <f>SUM(K31:K36)</f>
        <v>6939.9695830340352</v>
      </c>
    </row>
    <row r="38">
      <c r="B38" s="98"/>
      <c r="C38" s="98"/>
      <c r="D38" s="98"/>
      <c r="E38" s="98"/>
      <c r="F38" s="98"/>
      <c r="G38" s="98"/>
      <c r="H38" s="98"/>
      <c r="I38" s="98"/>
      <c r="J38" s="98"/>
      <c r="K38" s="98"/>
    </row>
    <row r="39">
      <c r="B39" s="99" t="s">
        <v>103</v>
      </c>
      <c r="C39" s="99"/>
      <c r="D39" s="99"/>
      <c r="E39" s="99"/>
      <c r="F39" s="99"/>
      <c r="G39" s="99"/>
      <c r="H39" s="99"/>
      <c r="I39" s="99"/>
      <c r="J39" s="99"/>
      <c r="K39" s="100">
        <f>K8+K11+K15+K19+K23+K27</f>
        <v>6939.9695830340352</v>
      </c>
    </row>
    <row r="40">
      <c r="B40" s="101"/>
      <c r="C40" s="101"/>
      <c r="D40" s="101"/>
      <c r="E40" s="101"/>
      <c r="F40" s="101"/>
      <c r="G40" s="101"/>
      <c r="H40" s="101"/>
      <c r="I40" s="101"/>
      <c r="J40" s="101"/>
      <c r="K40" s="101"/>
    </row>
  </sheetData>
  <mergeCells count="31">
    <mergeCell ref="B2:K2"/>
    <mergeCell ref="B3:K3"/>
    <mergeCell ref="D4:H4"/>
    <mergeCell ref="B5:B6"/>
    <mergeCell ref="C5:C6"/>
    <mergeCell ref="D5:H6"/>
    <mergeCell ref="I5:K5"/>
    <mergeCell ref="B25:C27"/>
    <mergeCell ref="B7:C7"/>
    <mergeCell ref="D7:H7"/>
    <mergeCell ref="B8:J8"/>
    <mergeCell ref="B9:E11"/>
    <mergeCell ref="B12:J12"/>
    <mergeCell ref="B13:E15"/>
    <mergeCell ref="B16:J16"/>
    <mergeCell ref="B17:H19"/>
    <mergeCell ref="B20:J20"/>
    <mergeCell ref="B21:D23"/>
    <mergeCell ref="B24:J24"/>
    <mergeCell ref="B40:K40"/>
    <mergeCell ref="B28:J28"/>
    <mergeCell ref="B30:K30"/>
    <mergeCell ref="B31:J31"/>
    <mergeCell ref="B32:J32"/>
    <mergeCell ref="B33:J33"/>
    <mergeCell ref="B34:J34"/>
    <mergeCell ref="B35:J35"/>
    <mergeCell ref="B36:J36"/>
    <mergeCell ref="B37:J37"/>
    <mergeCell ref="B38:K38"/>
    <mergeCell ref="B39:J39"/>
  </mergeCells>
  <printOptions headings="0" gridLines="0"/>
  <pageMargins left="0.511811024" right="0.511811024" top="0.78740157500000008" bottom="0.78740157500000008" header="0.31496062000000014" footer="0.31496062000000014"/>
  <pageSetup paperSize="9" scale="63" fitToWidth="0" fitToHeight="0" pageOrder="downThenOver" orientation="portrait" usePrinterDefaults="1" blackAndWhite="0" draft="0" cellComments="none" useFirstPageNumber="0" errors="displayed" horizontalDpi="600" verticalDpi="0" copies="1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pageBreakPreview" zoomScale="115" workbookViewId="0">
      <selection activeCell="J7" activeCellId="0" sqref="J7"/>
    </sheetView>
  </sheetViews>
  <sheetFormatPr defaultRowHeight="14.25"/>
  <cols>
    <col customWidth="1" min="1" max="1" width="1.75"/>
    <col bestFit="1" customWidth="1" min="2" max="2" width="31.5"/>
    <col bestFit="1" customWidth="1" min="3" max="3" width="7.375"/>
    <col customWidth="1" min="4" max="5" width="9"/>
    <col customWidth="1" min="6" max="6" width="10.625"/>
    <col customWidth="1" min="7" max="8" width="9"/>
    <col customWidth="1" min="9" max="9" width="10.625"/>
    <col customWidth="1" min="10" max="10" width="13.25"/>
    <col customWidth="1" min="11" max="11" width="12.25"/>
    <col customWidth="1" min="12" max="12" width="9"/>
  </cols>
  <sheetData>
    <row r="2" ht="27.75" customHeight="1">
      <c r="B2" s="61" t="s">
        <v>104</v>
      </c>
      <c r="C2" s="61"/>
      <c r="D2" s="61"/>
      <c r="E2" s="61"/>
      <c r="F2" s="61"/>
      <c r="G2" s="61"/>
      <c r="H2" s="61"/>
      <c r="I2" s="61"/>
      <c r="J2" s="61"/>
      <c r="K2" s="61"/>
    </row>
    <row r="3">
      <c r="B3" s="62" t="s">
        <v>55</v>
      </c>
      <c r="C3" s="62"/>
      <c r="D3" s="62"/>
      <c r="E3" s="62"/>
      <c r="F3" s="62"/>
      <c r="G3" s="62"/>
      <c r="H3" s="62"/>
      <c r="I3" s="62"/>
      <c r="J3" s="62"/>
      <c r="K3" s="62"/>
    </row>
    <row r="4">
      <c r="B4" s="63" t="s">
        <v>5</v>
      </c>
      <c r="C4" s="64"/>
      <c r="D4" s="65" t="s">
        <v>6</v>
      </c>
      <c r="E4" s="65"/>
      <c r="F4" s="65"/>
      <c r="G4" s="65"/>
      <c r="H4" s="65"/>
      <c r="I4" s="64"/>
      <c r="J4" s="64"/>
      <c r="K4" s="66"/>
    </row>
    <row r="5">
      <c r="B5" s="67" t="s">
        <v>104</v>
      </c>
      <c r="C5" s="102">
        <v>4750</v>
      </c>
      <c r="D5" s="69">
        <f>1</f>
        <v>1</v>
      </c>
      <c r="E5" s="69"/>
      <c r="F5" s="69"/>
      <c r="G5" s="69"/>
      <c r="H5" s="69"/>
      <c r="I5" s="70" t="s">
        <v>56</v>
      </c>
      <c r="J5" s="70"/>
      <c r="K5" s="70"/>
    </row>
    <row r="6" ht="24">
      <c r="B6" s="67"/>
      <c r="C6" s="102"/>
      <c r="D6" s="69"/>
      <c r="E6" s="69"/>
      <c r="F6" s="69"/>
      <c r="G6" s="69"/>
      <c r="H6" s="69"/>
      <c r="I6" s="71" t="s">
        <v>57</v>
      </c>
      <c r="J6" s="71" t="s">
        <v>105</v>
      </c>
      <c r="K6" s="72" t="s">
        <v>59</v>
      </c>
    </row>
    <row r="7">
      <c r="B7" s="73"/>
      <c r="C7" s="73"/>
      <c r="D7" s="35"/>
      <c r="E7" s="35"/>
      <c r="F7" s="35"/>
      <c r="G7" s="35"/>
      <c r="H7" s="35"/>
      <c r="I7" s="74">
        <v>1621</v>
      </c>
      <c r="J7" s="74">
        <f>324.2</f>
        <v>324.19999999999999</v>
      </c>
      <c r="K7" s="75">
        <f>C5+J7</f>
        <v>5074.1999999999998</v>
      </c>
    </row>
    <row r="8">
      <c r="B8" s="76" t="s">
        <v>60</v>
      </c>
      <c r="C8" s="76"/>
      <c r="D8" s="76"/>
      <c r="E8" s="76"/>
      <c r="F8" s="76"/>
      <c r="G8" s="76"/>
      <c r="H8" s="76"/>
      <c r="I8" s="76"/>
      <c r="J8" s="76"/>
      <c r="K8" s="77">
        <f>(K7*D5)</f>
        <v>5074.1999999999998</v>
      </c>
    </row>
    <row r="9" ht="36">
      <c r="B9" s="78" t="s">
        <v>106</v>
      </c>
      <c r="C9" s="78"/>
      <c r="D9" s="78"/>
      <c r="E9" s="78"/>
      <c r="F9" s="71" t="s">
        <v>62</v>
      </c>
      <c r="G9" s="71" t="s">
        <v>63</v>
      </c>
      <c r="H9" s="71" t="s">
        <v>64</v>
      </c>
      <c r="I9" s="71" t="s">
        <v>65</v>
      </c>
      <c r="J9" s="71" t="s">
        <v>66</v>
      </c>
      <c r="K9" s="72" t="s">
        <v>8</v>
      </c>
    </row>
    <row r="10">
      <c r="B10" s="78"/>
      <c r="C10" s="78"/>
      <c r="D10" s="78"/>
      <c r="E10" s="78"/>
      <c r="F10" s="79">
        <v>65</v>
      </c>
      <c r="G10" s="79">
        <f>(4.5*2)*22-78.55</f>
        <v>119.45</v>
      </c>
      <c r="H10" s="79">
        <f>C5*0.003</f>
        <v>14.25</v>
      </c>
      <c r="I10" s="80">
        <v>29.149999999999999</v>
      </c>
      <c r="J10" s="81">
        <v>0.20000000000000001</v>
      </c>
      <c r="K10" s="82" t="s">
        <v>67</v>
      </c>
    </row>
    <row r="11">
      <c r="B11" s="78"/>
      <c r="C11" s="78"/>
      <c r="D11" s="78"/>
      <c r="E11" s="78"/>
      <c r="F11" s="79">
        <f>F10*D5</f>
        <v>65</v>
      </c>
      <c r="G11" s="79">
        <f>((2*4.5*(22))-(C5*0.06))*D5</f>
        <v>-87</v>
      </c>
      <c r="H11" s="79">
        <f>H10*(D5+D7)</f>
        <v>14.25</v>
      </c>
      <c r="I11" s="80">
        <f>(D5+D7)*(I10*22)</f>
        <v>641.29999999999995</v>
      </c>
      <c r="J11" s="83">
        <f>I11*J10*-1</f>
        <v>-128.25999999999999</v>
      </c>
      <c r="K11" s="84">
        <f>SUM(F11:J11)</f>
        <v>505.28999999999996</v>
      </c>
    </row>
    <row r="12">
      <c r="B12" s="76" t="s">
        <v>68</v>
      </c>
      <c r="C12" s="76"/>
      <c r="D12" s="76"/>
      <c r="E12" s="76"/>
      <c r="F12" s="76"/>
      <c r="G12" s="76"/>
      <c r="H12" s="76"/>
      <c r="I12" s="76"/>
      <c r="J12" s="76"/>
      <c r="K12" s="77">
        <f>K11</f>
        <v>505.28999999999996</v>
      </c>
    </row>
    <row r="13" ht="36">
      <c r="B13" s="78" t="s">
        <v>69</v>
      </c>
      <c r="C13" s="78"/>
      <c r="D13" s="78"/>
      <c r="E13" s="78"/>
      <c r="F13" s="71" t="s">
        <v>70</v>
      </c>
      <c r="G13" s="71" t="s">
        <v>71</v>
      </c>
      <c r="H13" s="71" t="s">
        <v>107</v>
      </c>
      <c r="I13" s="71" t="s">
        <v>73</v>
      </c>
      <c r="J13" s="71" t="s">
        <v>74</v>
      </c>
      <c r="K13" s="72" t="s">
        <v>8</v>
      </c>
    </row>
    <row r="14">
      <c r="B14" s="78"/>
      <c r="C14" s="78"/>
      <c r="D14" s="78"/>
      <c r="E14" s="78"/>
      <c r="F14" s="86">
        <v>0.20000000000000001</v>
      </c>
      <c r="G14" s="86">
        <v>3.5000000000000003e-002</v>
      </c>
      <c r="H14" s="86">
        <v>2.5000000000000001e-002</v>
      </c>
      <c r="I14" s="86">
        <v>8.0000000000000002e-002</v>
      </c>
      <c r="J14" s="86">
        <v>2.9999999999999999e-002</v>
      </c>
      <c r="K14" s="87">
        <f t="shared" ref="K14:K15" si="7">SUM(F14:J14)</f>
        <v>0.37</v>
      </c>
    </row>
    <row r="15">
      <c r="B15" s="78"/>
      <c r="C15" s="78"/>
      <c r="D15" s="78"/>
      <c r="E15" s="78"/>
      <c r="F15" s="74">
        <f>K8*F14</f>
        <v>1014.84</v>
      </c>
      <c r="G15" s="74">
        <f>K8*G14</f>
        <v>177.59700000000001</v>
      </c>
      <c r="H15" s="74">
        <f>K8*H14</f>
        <v>126.855</v>
      </c>
      <c r="I15" s="74">
        <f>K8*I14</f>
        <v>405.93599999999998</v>
      </c>
      <c r="J15" s="74">
        <f>J14*$K$8</f>
        <v>152.226</v>
      </c>
      <c r="K15" s="75">
        <f t="shared" si="7"/>
        <v>1877.4540000000002</v>
      </c>
    </row>
    <row r="16">
      <c r="B16" s="76" t="s">
        <v>76</v>
      </c>
      <c r="C16" s="76"/>
      <c r="D16" s="76"/>
      <c r="E16" s="76"/>
      <c r="F16" s="76"/>
      <c r="G16" s="76"/>
      <c r="H16" s="76"/>
      <c r="I16" s="76"/>
      <c r="J16" s="76"/>
      <c r="K16" s="77">
        <f>K15</f>
        <v>1877.4540000000002</v>
      </c>
    </row>
    <row r="17" ht="36">
      <c r="B17" s="78" t="s">
        <v>77</v>
      </c>
      <c r="C17" s="78"/>
      <c r="D17" s="78"/>
      <c r="E17" s="78"/>
      <c r="F17" s="78"/>
      <c r="G17" s="78"/>
      <c r="H17" s="78"/>
      <c r="I17" s="71" t="s">
        <v>77</v>
      </c>
      <c r="J17" s="71" t="s">
        <v>78</v>
      </c>
      <c r="K17" s="72" t="s">
        <v>8</v>
      </c>
    </row>
    <row r="18">
      <c r="B18" s="78"/>
      <c r="C18" s="78"/>
      <c r="D18" s="78"/>
      <c r="E18" s="78"/>
      <c r="F18" s="78"/>
      <c r="G18" s="78"/>
      <c r="H18" s="78"/>
      <c r="I18" s="86">
        <v>8.3333333300000006e-002</v>
      </c>
      <c r="J18" s="86">
        <f>K14</f>
        <v>0.37</v>
      </c>
      <c r="K18" s="88"/>
    </row>
    <row r="19">
      <c r="B19" s="78"/>
      <c r="C19" s="78"/>
      <c r="D19" s="78"/>
      <c r="E19" s="78"/>
      <c r="F19" s="78"/>
      <c r="G19" s="78"/>
      <c r="H19" s="78"/>
      <c r="I19" s="74">
        <f>I18*($K$8)</f>
        <v>422.84999983086004</v>
      </c>
      <c r="J19" s="74">
        <f>I19*J18</f>
        <v>156.45449993741821</v>
      </c>
      <c r="K19" s="89">
        <f>SUM(I19:J19)</f>
        <v>579.30449976827822</v>
      </c>
    </row>
    <row r="20">
      <c r="B20" s="76" t="s">
        <v>79</v>
      </c>
      <c r="C20" s="76"/>
      <c r="D20" s="76"/>
      <c r="E20" s="76"/>
      <c r="F20" s="76"/>
      <c r="G20" s="76"/>
      <c r="H20" s="76"/>
      <c r="I20" s="76"/>
      <c r="J20" s="76"/>
      <c r="K20" s="77">
        <f>K19</f>
        <v>579.30449976827822</v>
      </c>
    </row>
    <row r="21" ht="96">
      <c r="B21" s="78" t="s">
        <v>80</v>
      </c>
      <c r="C21" s="78"/>
      <c r="D21" s="78"/>
      <c r="E21" s="71" t="s">
        <v>81</v>
      </c>
      <c r="F21" s="71" t="s">
        <v>82</v>
      </c>
      <c r="G21" s="71" t="s">
        <v>83</v>
      </c>
      <c r="H21" s="71" t="s">
        <v>84</v>
      </c>
      <c r="I21" s="71" t="s">
        <v>85</v>
      </c>
      <c r="J21" s="71" t="s">
        <v>86</v>
      </c>
      <c r="K21" s="72" t="s">
        <v>8</v>
      </c>
    </row>
    <row r="22">
      <c r="B22" s="78"/>
      <c r="C22" s="78"/>
      <c r="D22" s="78"/>
      <c r="E22" s="86">
        <v>4.1999999999999997e-003</v>
      </c>
      <c r="F22" s="86">
        <v>2.9999999999999997e-004</v>
      </c>
      <c r="G22" s="86">
        <v>2.1499999999999998e-002</v>
      </c>
      <c r="H22" s="86">
        <v>1.9400000000000001e-002</v>
      </c>
      <c r="I22" s="86">
        <v>7.1000000000000004e-003</v>
      </c>
      <c r="J22" s="86">
        <v>2.1499999999999998e-002</v>
      </c>
      <c r="K22" s="87">
        <f t="shared" ref="K22:K23" si="8">SUM(E22:J22)</f>
        <v>7.3999999999999996e-002</v>
      </c>
    </row>
    <row r="23">
      <c r="B23" s="78"/>
      <c r="C23" s="78"/>
      <c r="D23" s="78"/>
      <c r="E23" s="90">
        <f t="shared" ref="E23:J27" si="9">E22*($K$8)</f>
        <v>21.311639999999997</v>
      </c>
      <c r="F23" s="90">
        <f t="shared" si="9"/>
        <v>1.5222599999999997</v>
      </c>
      <c r="G23" s="90">
        <f t="shared" si="9"/>
        <v>109.09529999999998</v>
      </c>
      <c r="H23" s="90">
        <f t="shared" si="9"/>
        <v>98.439480000000003</v>
      </c>
      <c r="I23" s="90">
        <f t="shared" si="9"/>
        <v>36.026820000000001</v>
      </c>
      <c r="J23" s="90">
        <f t="shared" si="9"/>
        <v>109.09529999999998</v>
      </c>
      <c r="K23" s="75">
        <f t="shared" si="8"/>
        <v>375.49079999999992</v>
      </c>
    </row>
    <row r="24">
      <c r="B24" s="76" t="s">
        <v>87</v>
      </c>
      <c r="C24" s="76"/>
      <c r="D24" s="76"/>
      <c r="E24" s="76"/>
      <c r="F24" s="76"/>
      <c r="G24" s="76"/>
      <c r="H24" s="76"/>
      <c r="I24" s="76"/>
      <c r="J24" s="76"/>
      <c r="K24" s="77">
        <f>K23</f>
        <v>375.49079999999992</v>
      </c>
    </row>
    <row r="25" ht="72">
      <c r="B25" s="91" t="s">
        <v>88</v>
      </c>
      <c r="C25" s="91"/>
      <c r="D25" s="71" t="s">
        <v>89</v>
      </c>
      <c r="E25" s="71" t="s">
        <v>90</v>
      </c>
      <c r="F25" s="71" t="s">
        <v>91</v>
      </c>
      <c r="G25" s="71" t="s">
        <v>92</v>
      </c>
      <c r="H25" s="71" t="s">
        <v>93</v>
      </c>
      <c r="I25" s="71" t="s">
        <v>94</v>
      </c>
      <c r="J25" s="71" t="s">
        <v>95</v>
      </c>
      <c r="K25" s="72" t="s">
        <v>8</v>
      </c>
    </row>
    <row r="26">
      <c r="B26" s="91"/>
      <c r="C26" s="91"/>
      <c r="D26" s="86">
        <v>0.1111</v>
      </c>
      <c r="E26" s="86">
        <v>1.3899999999999999e-002</v>
      </c>
      <c r="F26" s="86">
        <v>2.0000000000000001e-004</v>
      </c>
      <c r="G26" s="86">
        <v>2.8e-003</v>
      </c>
      <c r="H26" s="86">
        <v>3.3e-003</v>
      </c>
      <c r="I26" s="86">
        <f t="shared" ref="I26:I27" si="10">SUM(C26:H26)</f>
        <v>0.1313</v>
      </c>
      <c r="J26" s="86">
        <f>K14</f>
        <v>0.37</v>
      </c>
      <c r="K26" s="92">
        <f t="shared" ref="K26:K27" si="11">I26+J26</f>
        <v>0.50129999999999997</v>
      </c>
    </row>
    <row r="27">
      <c r="B27" s="91"/>
      <c r="C27" s="91"/>
      <c r="D27" s="74">
        <f>D26*($K$8)</f>
        <v>563.74361999999996</v>
      </c>
      <c r="E27" s="90">
        <f t="shared" si="9"/>
        <v>70.531379999999999</v>
      </c>
      <c r="F27" s="90">
        <f>F26*($K$8)</f>
        <v>1.01484</v>
      </c>
      <c r="G27" s="90">
        <f>G26*($K$8)</f>
        <v>14.207759999999999</v>
      </c>
      <c r="H27" s="90">
        <f>H26*K8</f>
        <v>16.744859999999999</v>
      </c>
      <c r="I27" s="74">
        <f t="shared" si="10"/>
        <v>666.24246000000005</v>
      </c>
      <c r="J27" s="90">
        <f>I27*J26</f>
        <v>246.50971020000003</v>
      </c>
      <c r="K27" s="75">
        <f t="shared" si="11"/>
        <v>912.75217020000014</v>
      </c>
    </row>
    <row r="28">
      <c r="B28" s="76" t="s">
        <v>96</v>
      </c>
      <c r="C28" s="76"/>
      <c r="D28" s="76"/>
      <c r="E28" s="76"/>
      <c r="F28" s="76"/>
      <c r="G28" s="76"/>
      <c r="H28" s="76"/>
      <c r="I28" s="76"/>
      <c r="J28" s="76"/>
      <c r="K28" s="77">
        <f>K27</f>
        <v>912.75217020000014</v>
      </c>
    </row>
    <row r="29">
      <c r="B29" s="93"/>
      <c r="C29" s="94"/>
      <c r="D29" s="94"/>
      <c r="E29" s="94"/>
      <c r="F29" s="94"/>
      <c r="G29" s="94"/>
      <c r="H29" s="94"/>
      <c r="I29" s="94"/>
      <c r="J29" s="94"/>
      <c r="K29" s="95"/>
    </row>
    <row r="30">
      <c r="B30" s="96" t="s">
        <v>97</v>
      </c>
      <c r="C30" s="96"/>
      <c r="D30" s="96"/>
      <c r="E30" s="96"/>
      <c r="F30" s="96"/>
      <c r="G30" s="96"/>
      <c r="H30" s="96"/>
      <c r="I30" s="96"/>
      <c r="J30" s="96"/>
      <c r="K30" s="96"/>
    </row>
    <row r="31">
      <c r="B31" s="97" t="s">
        <v>60</v>
      </c>
      <c r="C31" s="97"/>
      <c r="D31" s="97"/>
      <c r="E31" s="97"/>
      <c r="F31" s="97"/>
      <c r="G31" s="97"/>
      <c r="H31" s="97"/>
      <c r="I31" s="97"/>
      <c r="J31" s="97"/>
      <c r="K31" s="75">
        <f>K8</f>
        <v>5074.1999999999998</v>
      </c>
    </row>
    <row r="32">
      <c r="B32" s="97" t="s">
        <v>98</v>
      </c>
      <c r="C32" s="97"/>
      <c r="D32" s="97"/>
      <c r="E32" s="97"/>
      <c r="F32" s="97"/>
      <c r="G32" s="97"/>
      <c r="H32" s="97"/>
      <c r="I32" s="97"/>
      <c r="J32" s="97"/>
      <c r="K32" s="75">
        <f>K12</f>
        <v>505.28999999999996</v>
      </c>
    </row>
    <row r="33">
      <c r="B33" s="97" t="s">
        <v>99</v>
      </c>
      <c r="C33" s="97"/>
      <c r="D33" s="97"/>
      <c r="E33" s="97"/>
      <c r="F33" s="97"/>
      <c r="G33" s="97"/>
      <c r="H33" s="97"/>
      <c r="I33" s="97"/>
      <c r="J33" s="97"/>
      <c r="K33" s="75">
        <f>K16</f>
        <v>1877.4540000000002</v>
      </c>
    </row>
    <row r="34">
      <c r="B34" s="97" t="s">
        <v>77</v>
      </c>
      <c r="C34" s="97"/>
      <c r="D34" s="97"/>
      <c r="E34" s="97"/>
      <c r="F34" s="97"/>
      <c r="G34" s="97"/>
      <c r="H34" s="97"/>
      <c r="I34" s="97"/>
      <c r="J34" s="97"/>
      <c r="K34" s="75">
        <f>K20</f>
        <v>579.30449976827822</v>
      </c>
    </row>
    <row r="35">
      <c r="B35" s="97" t="s">
        <v>100</v>
      </c>
      <c r="C35" s="97"/>
      <c r="D35" s="97"/>
      <c r="E35" s="97"/>
      <c r="F35" s="97"/>
      <c r="G35" s="97"/>
      <c r="H35" s="97"/>
      <c r="I35" s="97"/>
      <c r="J35" s="97"/>
      <c r="K35" s="75">
        <f>K24</f>
        <v>375.49079999999992</v>
      </c>
    </row>
    <row r="36">
      <c r="B36" s="97" t="s">
        <v>101</v>
      </c>
      <c r="C36" s="97"/>
      <c r="D36" s="97"/>
      <c r="E36" s="97"/>
      <c r="F36" s="97"/>
      <c r="G36" s="97"/>
      <c r="H36" s="97"/>
      <c r="I36" s="97"/>
      <c r="J36" s="97"/>
      <c r="K36" s="75">
        <f>K28</f>
        <v>912.75217020000014</v>
      </c>
    </row>
    <row r="37">
      <c r="B37" s="76" t="s">
        <v>102</v>
      </c>
      <c r="C37" s="76"/>
      <c r="D37" s="76"/>
      <c r="E37" s="76"/>
      <c r="F37" s="76"/>
      <c r="G37" s="76"/>
      <c r="H37" s="76"/>
      <c r="I37" s="76"/>
      <c r="J37" s="76"/>
      <c r="K37" s="77">
        <f>SUM(K31:K36)</f>
        <v>9324.4914699682777</v>
      </c>
    </row>
    <row r="38">
      <c r="B38" s="98"/>
      <c r="C38" s="98"/>
      <c r="D38" s="98"/>
      <c r="E38" s="98"/>
      <c r="F38" s="98"/>
      <c r="G38" s="98"/>
      <c r="H38" s="98"/>
      <c r="I38" s="98"/>
      <c r="J38" s="98"/>
      <c r="K38" s="98"/>
    </row>
    <row r="39">
      <c r="B39" s="99" t="s">
        <v>103</v>
      </c>
      <c r="C39" s="99"/>
      <c r="D39" s="99"/>
      <c r="E39" s="99"/>
      <c r="F39" s="99"/>
      <c r="G39" s="99"/>
      <c r="H39" s="99"/>
      <c r="I39" s="99"/>
      <c r="J39" s="99"/>
      <c r="K39" s="100">
        <f>K8+K11+K15+K19+K23+K27</f>
        <v>9324.4914699682777</v>
      </c>
    </row>
    <row r="40">
      <c r="B40" s="101"/>
      <c r="C40" s="101"/>
      <c r="D40" s="101"/>
      <c r="E40" s="101"/>
      <c r="F40" s="101"/>
      <c r="G40" s="101"/>
      <c r="H40" s="101"/>
      <c r="I40" s="101"/>
      <c r="J40" s="101"/>
      <c r="K40" s="101"/>
    </row>
  </sheetData>
  <mergeCells count="31">
    <mergeCell ref="B2:K2"/>
    <mergeCell ref="B3:K3"/>
    <mergeCell ref="D4:H4"/>
    <mergeCell ref="B5:B6"/>
    <mergeCell ref="C5:C6"/>
    <mergeCell ref="D5:H6"/>
    <mergeCell ref="I5:K5"/>
    <mergeCell ref="B25:C27"/>
    <mergeCell ref="B7:C7"/>
    <mergeCell ref="D7:H7"/>
    <mergeCell ref="B8:J8"/>
    <mergeCell ref="B9:E11"/>
    <mergeCell ref="B12:J12"/>
    <mergeCell ref="B13:E15"/>
    <mergeCell ref="B16:J16"/>
    <mergeCell ref="B17:H19"/>
    <mergeCell ref="B20:J20"/>
    <mergeCell ref="B21:D23"/>
    <mergeCell ref="B24:J24"/>
    <mergeCell ref="B40:K40"/>
    <mergeCell ref="B28:J28"/>
    <mergeCell ref="B30:K30"/>
    <mergeCell ref="B31:J31"/>
    <mergeCell ref="B32:J32"/>
    <mergeCell ref="B33:J33"/>
    <mergeCell ref="B34:J34"/>
    <mergeCell ref="B35:J35"/>
    <mergeCell ref="B36:J36"/>
    <mergeCell ref="B37:J37"/>
    <mergeCell ref="B38:K38"/>
    <mergeCell ref="B39:J39"/>
  </mergeCells>
  <printOptions headings="0" gridLines="0"/>
  <pageMargins left="0.511811024" right="0.511811024" top="0.78740157500000008" bottom="0.78740157500000008" header="0.31496062000000014" footer="0.31496062000000014"/>
  <pageSetup paperSize="9" scale="64" fitToWidth="0" fitToHeight="0" pageOrder="downThenOver" orientation="portrait" usePrinterDefaults="1" blackAndWhite="0" draft="0" cellComments="none" useFirstPageNumber="0" errors="displayed" horizontalDpi="600" verticalDpi="0" copies="1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topLeftCell="A4" zoomScale="100" workbookViewId="0">
      <selection activeCell="J7" activeCellId="0" sqref="J7"/>
    </sheetView>
  </sheetViews>
  <sheetFormatPr defaultRowHeight="14.25"/>
  <cols>
    <col customWidth="1" min="1" max="1" width="1.75"/>
    <col bestFit="1" customWidth="1" min="2" max="2" width="31.5"/>
    <col bestFit="1" customWidth="1" min="3" max="3" width="7.375"/>
    <col customWidth="1" min="4" max="5" width="9"/>
    <col customWidth="1" min="6" max="6" width="10.625"/>
    <col customWidth="1" min="7" max="8" width="9"/>
    <col customWidth="1" min="9" max="9" width="10.625"/>
    <col customWidth="1" min="10" max="10" width="13.25"/>
    <col customWidth="1" min="11" max="11" width="12.25"/>
    <col customWidth="1" min="12" max="12" width="9"/>
  </cols>
  <sheetData>
    <row r="2" ht="27.75" customHeight="1">
      <c r="B2" s="61" t="s">
        <v>108</v>
      </c>
      <c r="C2" s="61"/>
      <c r="D2" s="61"/>
      <c r="E2" s="61"/>
      <c r="F2" s="61"/>
      <c r="G2" s="61"/>
      <c r="H2" s="61"/>
      <c r="I2" s="61"/>
      <c r="J2" s="61"/>
      <c r="K2" s="61"/>
    </row>
    <row r="3">
      <c r="B3" s="62" t="s">
        <v>55</v>
      </c>
      <c r="C3" s="62"/>
      <c r="D3" s="62"/>
      <c r="E3" s="62"/>
      <c r="F3" s="62"/>
      <c r="G3" s="62"/>
      <c r="H3" s="62"/>
      <c r="I3" s="62"/>
      <c r="J3" s="62"/>
      <c r="K3" s="62"/>
    </row>
    <row r="4">
      <c r="B4" s="63" t="s">
        <v>5</v>
      </c>
      <c r="C4" s="64"/>
      <c r="D4" s="65" t="s">
        <v>6</v>
      </c>
      <c r="E4" s="65"/>
      <c r="F4" s="65"/>
      <c r="G4" s="65"/>
      <c r="H4" s="65"/>
      <c r="I4" s="64"/>
      <c r="J4" s="64"/>
      <c r="K4" s="66"/>
    </row>
    <row r="5">
      <c r="B5" s="67" t="s">
        <v>108</v>
      </c>
      <c r="C5" s="102">
        <v>8305.7399999999998</v>
      </c>
      <c r="D5" s="69">
        <f>1</f>
        <v>1</v>
      </c>
      <c r="E5" s="69"/>
      <c r="F5" s="69"/>
      <c r="G5" s="69"/>
      <c r="H5" s="69"/>
      <c r="I5" s="70" t="s">
        <v>56</v>
      </c>
      <c r="J5" s="70"/>
      <c r="K5" s="70"/>
    </row>
    <row r="6" ht="24">
      <c r="B6" s="67"/>
      <c r="C6" s="102"/>
      <c r="D6" s="69"/>
      <c r="E6" s="69"/>
      <c r="F6" s="69"/>
      <c r="G6" s="69"/>
      <c r="H6" s="69"/>
      <c r="I6" s="71" t="s">
        <v>57</v>
      </c>
      <c r="J6" s="71" t="s">
        <v>105</v>
      </c>
      <c r="K6" s="72" t="s">
        <v>59</v>
      </c>
    </row>
    <row r="7">
      <c r="B7" s="73"/>
      <c r="C7" s="73"/>
      <c r="D7" s="35"/>
      <c r="E7" s="35"/>
      <c r="F7" s="35"/>
      <c r="G7" s="35"/>
      <c r="H7" s="35"/>
      <c r="I7" s="74">
        <v>1621</v>
      </c>
      <c r="J7" s="74">
        <f>I7*0.2</f>
        <v>324.20000000000005</v>
      </c>
      <c r="K7" s="75">
        <f>C5+J7</f>
        <v>8629.9400000000005</v>
      </c>
    </row>
    <row r="8">
      <c r="B8" s="76" t="s">
        <v>60</v>
      </c>
      <c r="C8" s="76"/>
      <c r="D8" s="76"/>
      <c r="E8" s="76"/>
      <c r="F8" s="76"/>
      <c r="G8" s="76"/>
      <c r="H8" s="76"/>
      <c r="I8" s="76"/>
      <c r="J8" s="76"/>
      <c r="K8" s="77">
        <f>(K7*D5)</f>
        <v>8629.9400000000005</v>
      </c>
    </row>
    <row r="9" ht="36">
      <c r="B9" s="78" t="s">
        <v>109</v>
      </c>
      <c r="C9" s="78"/>
      <c r="D9" s="78"/>
      <c r="E9" s="78"/>
      <c r="F9" s="71" t="s">
        <v>62</v>
      </c>
      <c r="G9" s="71" t="s">
        <v>63</v>
      </c>
      <c r="H9" s="71" t="s">
        <v>64</v>
      </c>
      <c r="I9" s="71" t="s">
        <v>65</v>
      </c>
      <c r="J9" s="71" t="s">
        <v>66</v>
      </c>
      <c r="K9" s="72" t="s">
        <v>8</v>
      </c>
    </row>
    <row r="10">
      <c r="B10" s="78"/>
      <c r="C10" s="78"/>
      <c r="D10" s="78"/>
      <c r="E10" s="78"/>
      <c r="F10" s="79">
        <v>0</v>
      </c>
      <c r="G10" s="79">
        <f>(4.5*2)*22-78.55</f>
        <v>119.45</v>
      </c>
      <c r="H10" s="79">
        <f>C5*0.003</f>
        <v>24.91722</v>
      </c>
      <c r="I10" s="80">
        <v>28.969999999999999</v>
      </c>
      <c r="J10" s="81">
        <v>0.20000000000000001</v>
      </c>
      <c r="K10" s="82" t="s">
        <v>67</v>
      </c>
    </row>
    <row r="11">
      <c r="B11" s="78"/>
      <c r="C11" s="78"/>
      <c r="D11" s="78"/>
      <c r="E11" s="78"/>
      <c r="F11" s="79">
        <f>F10*D5</f>
        <v>0</v>
      </c>
      <c r="G11" s="79">
        <f>((2*4.5*(22))-(C5*0.06))*D5</f>
        <v>-300.34439999999995</v>
      </c>
      <c r="H11" s="79">
        <f>H10*(D5+D7)</f>
        <v>24.91722</v>
      </c>
      <c r="I11" s="80">
        <f>(D5+D7)*(I10*22)</f>
        <v>637.33999999999992</v>
      </c>
      <c r="J11" s="83">
        <f>I11*J10*-1</f>
        <v>-127.46799999999999</v>
      </c>
      <c r="K11" s="84">
        <f>SUM(F11:J11)</f>
        <v>234.44481999999996</v>
      </c>
    </row>
    <row r="12">
      <c r="B12" s="76" t="s">
        <v>68</v>
      </c>
      <c r="C12" s="76"/>
      <c r="D12" s="76"/>
      <c r="E12" s="76"/>
      <c r="F12" s="76"/>
      <c r="G12" s="76"/>
      <c r="H12" s="76"/>
      <c r="I12" s="76"/>
      <c r="J12" s="76"/>
      <c r="K12" s="77">
        <f>K11</f>
        <v>234.44481999999996</v>
      </c>
    </row>
    <row r="13" ht="36">
      <c r="B13" s="78" t="s">
        <v>69</v>
      </c>
      <c r="C13" s="78"/>
      <c r="D13" s="78"/>
      <c r="E13" s="78"/>
      <c r="F13" s="71" t="s">
        <v>70</v>
      </c>
      <c r="G13" s="71" t="s">
        <v>71</v>
      </c>
      <c r="H13" s="71" t="s">
        <v>110</v>
      </c>
      <c r="I13" s="71" t="s">
        <v>73</v>
      </c>
      <c r="J13" s="71" t="s">
        <v>74</v>
      </c>
      <c r="K13" s="72" t="s">
        <v>8</v>
      </c>
    </row>
    <row r="14">
      <c r="B14" s="78"/>
      <c r="C14" s="78"/>
      <c r="D14" s="78"/>
      <c r="E14" s="78"/>
      <c r="F14" s="86">
        <v>0.20000000000000001</v>
      </c>
      <c r="G14" s="86">
        <v>3.5000000000000003e-002</v>
      </c>
      <c r="H14" s="86">
        <v>2.5000000000000001e-002</v>
      </c>
      <c r="I14" s="86">
        <v>8.0000000000000002e-002</v>
      </c>
      <c r="J14" s="86">
        <v>2.9999999999999999e-002</v>
      </c>
      <c r="K14" s="87">
        <f t="shared" ref="K14:K15" si="12">SUM(F14:J14)</f>
        <v>0.37</v>
      </c>
    </row>
    <row r="15">
      <c r="B15" s="78"/>
      <c r="C15" s="78"/>
      <c r="D15" s="78"/>
      <c r="E15" s="78"/>
      <c r="F15" s="74">
        <f>K8*F14</f>
        <v>1725.9880000000003</v>
      </c>
      <c r="G15" s="74">
        <f>K8*G14</f>
        <v>302.04790000000003</v>
      </c>
      <c r="H15" s="74">
        <f>K8*H14</f>
        <v>215.74850000000004</v>
      </c>
      <c r="I15" s="74">
        <f>K8*I14</f>
        <v>690.39520000000005</v>
      </c>
      <c r="J15" s="74">
        <f>J14*$K$8</f>
        <v>258.89820000000003</v>
      </c>
      <c r="K15" s="75">
        <f t="shared" si="12"/>
        <v>3193.0778000000005</v>
      </c>
    </row>
    <row r="16">
      <c r="B16" s="76" t="s">
        <v>76</v>
      </c>
      <c r="C16" s="76"/>
      <c r="D16" s="76"/>
      <c r="E16" s="76"/>
      <c r="F16" s="76"/>
      <c r="G16" s="76"/>
      <c r="H16" s="76"/>
      <c r="I16" s="76"/>
      <c r="J16" s="76"/>
      <c r="K16" s="77">
        <f>K15</f>
        <v>3193.0778000000005</v>
      </c>
    </row>
    <row r="17" ht="36">
      <c r="B17" s="78" t="s">
        <v>77</v>
      </c>
      <c r="C17" s="78"/>
      <c r="D17" s="78"/>
      <c r="E17" s="78"/>
      <c r="F17" s="78"/>
      <c r="G17" s="78"/>
      <c r="H17" s="78"/>
      <c r="I17" s="71" t="s">
        <v>77</v>
      </c>
      <c r="J17" s="71" t="s">
        <v>78</v>
      </c>
      <c r="K17" s="72" t="s">
        <v>8</v>
      </c>
    </row>
    <row r="18">
      <c r="B18" s="78"/>
      <c r="C18" s="78"/>
      <c r="D18" s="78"/>
      <c r="E18" s="78"/>
      <c r="F18" s="78"/>
      <c r="G18" s="78"/>
      <c r="H18" s="78"/>
      <c r="I18" s="86">
        <v>8.3333333300000006e-002</v>
      </c>
      <c r="J18" s="86">
        <f>K14</f>
        <v>0.37</v>
      </c>
      <c r="K18" s="88"/>
    </row>
    <row r="19">
      <c r="B19" s="78"/>
      <c r="C19" s="78"/>
      <c r="D19" s="78"/>
      <c r="E19" s="78"/>
      <c r="F19" s="78"/>
      <c r="G19" s="78"/>
      <c r="H19" s="78"/>
      <c r="I19" s="74">
        <f>I18*($K$8)</f>
        <v>719.1616663790021</v>
      </c>
      <c r="J19" s="74">
        <f>I19*J18</f>
        <v>266.08981656023076</v>
      </c>
      <c r="K19" s="89">
        <f>SUM(I19:J19)</f>
        <v>985.2514829392328</v>
      </c>
    </row>
    <row r="20">
      <c r="B20" s="76" t="s">
        <v>79</v>
      </c>
      <c r="C20" s="76"/>
      <c r="D20" s="76"/>
      <c r="E20" s="76"/>
      <c r="F20" s="76"/>
      <c r="G20" s="76"/>
      <c r="H20" s="76"/>
      <c r="I20" s="76"/>
      <c r="J20" s="76"/>
      <c r="K20" s="77">
        <f>K19</f>
        <v>985.2514829392328</v>
      </c>
    </row>
    <row r="21" ht="96">
      <c r="B21" s="78" t="s">
        <v>80</v>
      </c>
      <c r="C21" s="78"/>
      <c r="D21" s="78"/>
      <c r="E21" s="71" t="s">
        <v>81</v>
      </c>
      <c r="F21" s="71" t="s">
        <v>82</v>
      </c>
      <c r="G21" s="71" t="s">
        <v>83</v>
      </c>
      <c r="H21" s="71" t="s">
        <v>84</v>
      </c>
      <c r="I21" s="71" t="s">
        <v>85</v>
      </c>
      <c r="J21" s="71" t="s">
        <v>86</v>
      </c>
      <c r="K21" s="72" t="s">
        <v>8</v>
      </c>
    </row>
    <row r="22">
      <c r="B22" s="78"/>
      <c r="C22" s="78"/>
      <c r="D22" s="78"/>
      <c r="E22" s="86">
        <v>4.1999999999999997e-003</v>
      </c>
      <c r="F22" s="86">
        <v>2.9999999999999997e-004</v>
      </c>
      <c r="G22" s="86">
        <v>2.1499999999999998e-002</v>
      </c>
      <c r="H22" s="86">
        <v>1.9400000000000001e-002</v>
      </c>
      <c r="I22" s="86">
        <v>7.1000000000000004e-003</v>
      </c>
      <c r="J22" s="86">
        <v>2.1499999999999998e-002</v>
      </c>
      <c r="K22" s="87">
        <f t="shared" ref="K22:K23" si="13">SUM(E22:J22)</f>
        <v>7.3999999999999996e-002</v>
      </c>
    </row>
    <row r="23">
      <c r="B23" s="78"/>
      <c r="C23" s="78"/>
      <c r="D23" s="78"/>
      <c r="E23" s="90">
        <f t="shared" ref="E23:J27" si="14">E22*($K$8)</f>
        <v>36.245747999999999</v>
      </c>
      <c r="F23" s="90">
        <f t="shared" si="14"/>
        <v>2.5889820000000001</v>
      </c>
      <c r="G23" s="90">
        <f t="shared" si="14"/>
        <v>185.54371</v>
      </c>
      <c r="H23" s="90">
        <f t="shared" si="14"/>
        <v>167.42083600000001</v>
      </c>
      <c r="I23" s="90">
        <f t="shared" si="14"/>
        <v>61.272574000000006</v>
      </c>
      <c r="J23" s="90">
        <f t="shared" si="14"/>
        <v>185.54371</v>
      </c>
      <c r="K23" s="75">
        <f t="shared" si="13"/>
        <v>638.61556000000007</v>
      </c>
    </row>
    <row r="24">
      <c r="B24" s="76" t="s">
        <v>87</v>
      </c>
      <c r="C24" s="76"/>
      <c r="D24" s="76"/>
      <c r="E24" s="76"/>
      <c r="F24" s="76"/>
      <c r="G24" s="76"/>
      <c r="H24" s="76"/>
      <c r="I24" s="76"/>
      <c r="J24" s="76"/>
      <c r="K24" s="77">
        <f>K23</f>
        <v>638.61556000000007</v>
      </c>
    </row>
    <row r="25" ht="72">
      <c r="B25" s="91" t="s">
        <v>88</v>
      </c>
      <c r="C25" s="91"/>
      <c r="D25" s="71" t="s">
        <v>89</v>
      </c>
      <c r="E25" s="71" t="s">
        <v>90</v>
      </c>
      <c r="F25" s="71" t="s">
        <v>91</v>
      </c>
      <c r="G25" s="71" t="s">
        <v>92</v>
      </c>
      <c r="H25" s="71" t="s">
        <v>93</v>
      </c>
      <c r="I25" s="71" t="s">
        <v>94</v>
      </c>
      <c r="J25" s="71" t="s">
        <v>95</v>
      </c>
      <c r="K25" s="72" t="s">
        <v>8</v>
      </c>
    </row>
    <row r="26">
      <c r="B26" s="91"/>
      <c r="C26" s="91"/>
      <c r="D26" s="86">
        <v>0.1111</v>
      </c>
      <c r="E26" s="86">
        <v>1.3899999999999999e-002</v>
      </c>
      <c r="F26" s="86">
        <v>2.0000000000000001e-004</v>
      </c>
      <c r="G26" s="86">
        <v>2.8e-003</v>
      </c>
      <c r="H26" s="86">
        <v>3.3e-003</v>
      </c>
      <c r="I26" s="86">
        <f t="shared" ref="I26:I27" si="15">SUM(C26:H26)</f>
        <v>0.1313</v>
      </c>
      <c r="J26" s="86">
        <f>K14</f>
        <v>0.37</v>
      </c>
      <c r="K26" s="92">
        <f t="shared" ref="K26:K27" si="16">I26+J26</f>
        <v>0.50129999999999997</v>
      </c>
    </row>
    <row r="27">
      <c r="B27" s="91"/>
      <c r="C27" s="91"/>
      <c r="D27" s="74">
        <f>D26*($K$8)</f>
        <v>958.78633400000012</v>
      </c>
      <c r="E27" s="90">
        <f t="shared" si="14"/>
        <v>119.956166</v>
      </c>
      <c r="F27" s="90">
        <f>F26*($K$8)</f>
        <v>1.7259880000000001</v>
      </c>
      <c r="G27" s="90">
        <f>G26*($K$8)</f>
        <v>24.163832000000003</v>
      </c>
      <c r="H27" s="90">
        <f>H26*K8</f>
        <v>28.478802000000002</v>
      </c>
      <c r="I27" s="74">
        <f t="shared" si="15"/>
        <v>1133.111122</v>
      </c>
      <c r="J27" s="90">
        <f>I27*J26</f>
        <v>419.25111514000002</v>
      </c>
      <c r="K27" s="75">
        <f t="shared" si="16"/>
        <v>1552.3622371400002</v>
      </c>
    </row>
    <row r="28">
      <c r="B28" s="76" t="s">
        <v>96</v>
      </c>
      <c r="C28" s="76"/>
      <c r="D28" s="76"/>
      <c r="E28" s="76"/>
      <c r="F28" s="76"/>
      <c r="G28" s="76"/>
      <c r="H28" s="76"/>
      <c r="I28" s="76"/>
      <c r="J28" s="76"/>
      <c r="K28" s="77">
        <f>K27</f>
        <v>1552.3622371400002</v>
      </c>
    </row>
    <row r="29">
      <c r="B29" s="93"/>
      <c r="C29" s="94"/>
      <c r="D29" s="94"/>
      <c r="E29" s="94"/>
      <c r="F29" s="94"/>
      <c r="G29" s="94"/>
      <c r="H29" s="94"/>
      <c r="I29" s="94"/>
      <c r="J29" s="94"/>
      <c r="K29" s="95"/>
    </row>
    <row r="30">
      <c r="B30" s="96" t="s">
        <v>97</v>
      </c>
      <c r="C30" s="96"/>
      <c r="D30" s="96"/>
      <c r="E30" s="96"/>
      <c r="F30" s="96"/>
      <c r="G30" s="96"/>
      <c r="H30" s="96"/>
      <c r="I30" s="96"/>
      <c r="J30" s="96"/>
      <c r="K30" s="96"/>
    </row>
    <row r="31">
      <c r="B31" s="97" t="s">
        <v>60</v>
      </c>
      <c r="C31" s="97"/>
      <c r="D31" s="97"/>
      <c r="E31" s="97"/>
      <c r="F31" s="97"/>
      <c r="G31" s="97"/>
      <c r="H31" s="97"/>
      <c r="I31" s="97"/>
      <c r="J31" s="97"/>
      <c r="K31" s="75">
        <f>K8</f>
        <v>8629.9400000000005</v>
      </c>
    </row>
    <row r="32">
      <c r="B32" s="97" t="s">
        <v>98</v>
      </c>
      <c r="C32" s="97"/>
      <c r="D32" s="97"/>
      <c r="E32" s="97"/>
      <c r="F32" s="97"/>
      <c r="G32" s="97"/>
      <c r="H32" s="97"/>
      <c r="I32" s="97"/>
      <c r="J32" s="97"/>
      <c r="K32" s="75">
        <f>K12</f>
        <v>234.44481999999996</v>
      </c>
    </row>
    <row r="33">
      <c r="B33" s="97" t="s">
        <v>99</v>
      </c>
      <c r="C33" s="97"/>
      <c r="D33" s="97"/>
      <c r="E33" s="97"/>
      <c r="F33" s="97"/>
      <c r="G33" s="97"/>
      <c r="H33" s="97"/>
      <c r="I33" s="97"/>
      <c r="J33" s="97"/>
      <c r="K33" s="75">
        <f>K16</f>
        <v>3193.0778000000005</v>
      </c>
    </row>
    <row r="34">
      <c r="B34" s="97" t="s">
        <v>77</v>
      </c>
      <c r="C34" s="97"/>
      <c r="D34" s="97"/>
      <c r="E34" s="97"/>
      <c r="F34" s="97"/>
      <c r="G34" s="97"/>
      <c r="H34" s="97"/>
      <c r="I34" s="97"/>
      <c r="J34" s="97"/>
      <c r="K34" s="75">
        <f>K20</f>
        <v>985.2514829392328</v>
      </c>
    </row>
    <row r="35">
      <c r="B35" s="97" t="s">
        <v>100</v>
      </c>
      <c r="C35" s="97"/>
      <c r="D35" s="97"/>
      <c r="E35" s="97"/>
      <c r="F35" s="97"/>
      <c r="G35" s="97"/>
      <c r="H35" s="97"/>
      <c r="I35" s="97"/>
      <c r="J35" s="97"/>
      <c r="K35" s="75">
        <f>K24</f>
        <v>638.61556000000007</v>
      </c>
    </row>
    <row r="36">
      <c r="B36" s="97" t="s">
        <v>101</v>
      </c>
      <c r="C36" s="97"/>
      <c r="D36" s="97"/>
      <c r="E36" s="97"/>
      <c r="F36" s="97"/>
      <c r="G36" s="97"/>
      <c r="H36" s="97"/>
      <c r="I36" s="97"/>
      <c r="J36" s="97"/>
      <c r="K36" s="75">
        <f>K28</f>
        <v>1552.3622371400002</v>
      </c>
    </row>
    <row r="37">
      <c r="B37" s="76" t="s">
        <v>102</v>
      </c>
      <c r="C37" s="76"/>
      <c r="D37" s="76"/>
      <c r="E37" s="76"/>
      <c r="F37" s="76"/>
      <c r="G37" s="76"/>
      <c r="H37" s="76"/>
      <c r="I37" s="76"/>
      <c r="J37" s="76"/>
      <c r="K37" s="77">
        <f>SUM(K31:K36)</f>
        <v>15233.691900079235</v>
      </c>
    </row>
    <row r="38">
      <c r="B38" s="98"/>
      <c r="C38" s="98"/>
      <c r="D38" s="98"/>
      <c r="E38" s="98"/>
      <c r="F38" s="98"/>
      <c r="G38" s="98"/>
      <c r="H38" s="98"/>
      <c r="I38" s="98"/>
      <c r="J38" s="98"/>
      <c r="K38" s="98"/>
    </row>
    <row r="39">
      <c r="B39" s="99" t="s">
        <v>103</v>
      </c>
      <c r="C39" s="99"/>
      <c r="D39" s="99"/>
      <c r="E39" s="99"/>
      <c r="F39" s="99"/>
      <c r="G39" s="99"/>
      <c r="H39" s="99"/>
      <c r="I39" s="99"/>
      <c r="J39" s="99"/>
      <c r="K39" s="100">
        <f>K8+K11+K15+K19+K23+K27</f>
        <v>15233.691900079235</v>
      </c>
    </row>
    <row r="40">
      <c r="B40" s="101"/>
      <c r="C40" s="101"/>
      <c r="D40" s="101"/>
      <c r="E40" s="101"/>
      <c r="F40" s="101"/>
      <c r="G40" s="101"/>
      <c r="H40" s="101"/>
      <c r="I40" s="101"/>
      <c r="J40" s="101"/>
      <c r="K40" s="101"/>
    </row>
  </sheetData>
  <mergeCells count="31">
    <mergeCell ref="B2:K2"/>
    <mergeCell ref="B3:K3"/>
    <mergeCell ref="D4:H4"/>
    <mergeCell ref="B5:B6"/>
    <mergeCell ref="C5:C6"/>
    <mergeCell ref="D5:H6"/>
    <mergeCell ref="I5:K5"/>
    <mergeCell ref="B25:C27"/>
    <mergeCell ref="B7:C7"/>
    <mergeCell ref="D7:H7"/>
    <mergeCell ref="B8:J8"/>
    <mergeCell ref="B9:E11"/>
    <mergeCell ref="B12:J12"/>
    <mergeCell ref="B13:E15"/>
    <mergeCell ref="B16:J16"/>
    <mergeCell ref="B17:H19"/>
    <mergeCell ref="B20:J20"/>
    <mergeCell ref="B21:D23"/>
    <mergeCell ref="B24:J24"/>
    <mergeCell ref="B40:K40"/>
    <mergeCell ref="B28:J28"/>
    <mergeCell ref="B30:K30"/>
    <mergeCell ref="B31:J31"/>
    <mergeCell ref="B32:J32"/>
    <mergeCell ref="B33:J33"/>
    <mergeCell ref="B34:J34"/>
    <mergeCell ref="B35:J35"/>
    <mergeCell ref="B36:J36"/>
    <mergeCell ref="B37:J37"/>
    <mergeCell ref="B38:K38"/>
    <mergeCell ref="B39:J39"/>
  </mergeCells>
  <printOptions headings="0" gridLines="0"/>
  <pageMargins left="0.511811024" right="0.511811024" top="0.78740157500000008" bottom="0.78740157500000008" header="0.31496062000000014" footer="0.31496062000000014"/>
  <pageSetup paperSize="9" scale="64" fitToWidth="0" fitToHeight="0" pageOrder="downThenOver" orientation="portrait" usePrinterDefaults="1" blackAndWhite="0" draft="0" cellComments="none" useFirstPageNumber="0" errors="displayed" horizontalDpi="600" verticalDpi="0" copies="1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pageBreakPreview" zoomScale="60" workbookViewId="0">
      <selection activeCell="E27" activeCellId="0" sqref="E27"/>
    </sheetView>
  </sheetViews>
  <sheetFormatPr defaultRowHeight="15.75"/>
  <cols>
    <col bestFit="1" customWidth="1" min="1" max="1" style="104" width="22.625"/>
    <col bestFit="1" customWidth="1" min="2" max="2" style="105" width="12.625"/>
    <col customWidth="1" min="3" max="3" style="105" width="14.125"/>
    <col bestFit="1" customWidth="1" min="4" max="4" style="106" width="13.875"/>
    <col bestFit="1" customWidth="1" min="5" max="5" style="106" width="15.875"/>
    <col customWidth="1" min="6" max="6" style="105" width="12.5"/>
    <col bestFit="1" customWidth="1" min="7" max="7" style="105" width="15.125"/>
    <col customWidth="1" min="8" max="8" style="103" width="9"/>
    <col min="9" max="16384" style="103" width="9"/>
  </cols>
  <sheetData>
    <row r="2">
      <c r="A2" s="107" t="s">
        <v>111</v>
      </c>
      <c r="B2" s="107"/>
      <c r="C2" s="107"/>
      <c r="D2" s="107"/>
      <c r="E2" s="107"/>
      <c r="F2" s="107"/>
      <c r="G2" s="107"/>
    </row>
    <row r="3" ht="31.5">
      <c r="A3" s="108" t="s">
        <v>112</v>
      </c>
      <c r="B3" s="109" t="s">
        <v>113</v>
      </c>
      <c r="C3" s="109" t="s">
        <v>114</v>
      </c>
      <c r="D3" s="110" t="s">
        <v>115</v>
      </c>
      <c r="E3" s="110" t="s">
        <v>116</v>
      </c>
      <c r="F3" s="110" t="s">
        <v>117</v>
      </c>
      <c r="G3" s="111" t="s">
        <v>118</v>
      </c>
    </row>
    <row r="4">
      <c r="A4" s="112" t="s">
        <v>119</v>
      </c>
      <c r="B4" s="113">
        <f>8</f>
        <v>8</v>
      </c>
      <c r="C4" s="114" t="s">
        <v>114</v>
      </c>
      <c r="D4" s="115">
        <v>51.829999999999998</v>
      </c>
      <c r="E4" s="115">
        <f t="shared" ref="E4:E11" si="17">D4*B4</f>
        <v>414.63999999999999</v>
      </c>
      <c r="F4" s="116">
        <f t="shared" ref="F4:F11" si="18">E4/12</f>
        <v>34.553333333333335</v>
      </c>
      <c r="G4" s="117" t="s">
        <v>120</v>
      </c>
    </row>
    <row r="5">
      <c r="A5" s="118" t="s">
        <v>121</v>
      </c>
      <c r="B5" s="119">
        <f>2</f>
        <v>2</v>
      </c>
      <c r="C5" s="120" t="s">
        <v>114</v>
      </c>
      <c r="D5" s="121">
        <v>37.329999999999998</v>
      </c>
      <c r="E5" s="121">
        <f t="shared" si="17"/>
        <v>74.659999999999997</v>
      </c>
      <c r="F5" s="122">
        <f t="shared" si="18"/>
        <v>6.2216666666666667</v>
      </c>
      <c r="G5" s="123" t="s">
        <v>120</v>
      </c>
    </row>
    <row r="6">
      <c r="A6" s="118" t="s">
        <v>122</v>
      </c>
      <c r="B6" s="119">
        <f>8</f>
        <v>8</v>
      </c>
      <c r="C6" s="120" t="s">
        <v>114</v>
      </c>
      <c r="D6" s="121">
        <v>141.66999999999999</v>
      </c>
      <c r="E6" s="121">
        <f t="shared" si="17"/>
        <v>1133.3599999999999</v>
      </c>
      <c r="F6" s="122">
        <f t="shared" si="18"/>
        <v>94.446666666666658</v>
      </c>
      <c r="G6" s="123" t="s">
        <v>120</v>
      </c>
    </row>
    <row r="7">
      <c r="A7" s="118" t="s">
        <v>123</v>
      </c>
      <c r="B7" s="119">
        <f t="shared" ref="B7:B9" si="19">2</f>
        <v>2</v>
      </c>
      <c r="C7" s="120" t="s">
        <v>114</v>
      </c>
      <c r="D7" s="121">
        <v>22.379999999999999</v>
      </c>
      <c r="E7" s="121">
        <f t="shared" si="17"/>
        <v>44.759999999999998</v>
      </c>
      <c r="F7" s="122">
        <f t="shared" si="18"/>
        <v>3.73</v>
      </c>
      <c r="G7" s="123" t="s">
        <v>120</v>
      </c>
    </row>
    <row r="8" ht="31.5">
      <c r="A8" s="118" t="s">
        <v>124</v>
      </c>
      <c r="B8" s="119">
        <f t="shared" si="19"/>
        <v>2</v>
      </c>
      <c r="C8" s="120" t="s">
        <v>114</v>
      </c>
      <c r="D8" s="121">
        <v>175.30000000000001</v>
      </c>
      <c r="E8" s="121">
        <f t="shared" si="17"/>
        <v>350.60000000000002</v>
      </c>
      <c r="F8" s="122">
        <f t="shared" si="18"/>
        <v>29.216666666666669</v>
      </c>
      <c r="G8" s="123" t="s">
        <v>120</v>
      </c>
    </row>
    <row r="9">
      <c r="A9" s="118" t="s">
        <v>125</v>
      </c>
      <c r="B9" s="119">
        <f t="shared" si="19"/>
        <v>2</v>
      </c>
      <c r="C9" s="120" t="s">
        <v>114</v>
      </c>
      <c r="D9" s="121">
        <v>46</v>
      </c>
      <c r="E9" s="121">
        <f t="shared" si="17"/>
        <v>92</v>
      </c>
      <c r="F9" s="122">
        <f t="shared" si="18"/>
        <v>7.666666666666667</v>
      </c>
      <c r="G9" s="123" t="s">
        <v>120</v>
      </c>
    </row>
    <row r="10">
      <c r="A10" s="118" t="s">
        <v>126</v>
      </c>
      <c r="B10" s="119">
        <f>2*12</f>
        <v>24</v>
      </c>
      <c r="C10" s="120" t="s">
        <v>114</v>
      </c>
      <c r="D10" s="121">
        <v>101.04000000000001</v>
      </c>
      <c r="E10" s="121">
        <f t="shared" si="17"/>
        <v>2424.96</v>
      </c>
      <c r="F10" s="122">
        <f t="shared" si="18"/>
        <v>202.08000000000001</v>
      </c>
      <c r="G10" s="123" t="s">
        <v>120</v>
      </c>
    </row>
    <row r="11">
      <c r="A11" s="124" t="s">
        <v>127</v>
      </c>
      <c r="B11" s="125">
        <f>1</f>
        <v>1</v>
      </c>
      <c r="C11" s="126" t="s">
        <v>114</v>
      </c>
      <c r="D11" s="127">
        <v>111.51000000000001</v>
      </c>
      <c r="E11" s="127">
        <f t="shared" si="17"/>
        <v>111.51000000000001</v>
      </c>
      <c r="F11" s="128">
        <f t="shared" si="18"/>
        <v>9.2925000000000004</v>
      </c>
      <c r="G11" s="129" t="s">
        <v>120</v>
      </c>
    </row>
    <row r="12">
      <c r="A12" s="130" t="s">
        <v>128</v>
      </c>
      <c r="B12" s="130"/>
      <c r="C12" s="130"/>
      <c r="D12" s="130"/>
      <c r="E12" s="130"/>
      <c r="F12" s="131">
        <f>SUM(F4:F11)</f>
        <v>387.20749999999998</v>
      </c>
      <c r="G12" s="132"/>
    </row>
    <row r="15">
      <c r="A15" s="107" t="s">
        <v>129</v>
      </c>
      <c r="B15" s="107"/>
      <c r="C15" s="107"/>
      <c r="D15" s="107"/>
      <c r="E15" s="107"/>
      <c r="F15" s="107"/>
      <c r="G15" s="107"/>
    </row>
    <row r="16" ht="31.5">
      <c r="A16" s="108" t="s">
        <v>112</v>
      </c>
      <c r="B16" s="109" t="s">
        <v>130</v>
      </c>
      <c r="C16" s="109" t="s">
        <v>114</v>
      </c>
      <c r="D16" s="110" t="s">
        <v>115</v>
      </c>
      <c r="E16" s="110" t="s">
        <v>131</v>
      </c>
      <c r="F16" s="110" t="s">
        <v>117</v>
      </c>
      <c r="G16" s="111" t="s">
        <v>118</v>
      </c>
    </row>
    <row r="17">
      <c r="A17" s="112" t="s">
        <v>132</v>
      </c>
      <c r="B17" s="113">
        <v>4</v>
      </c>
      <c r="C17" s="114" t="s">
        <v>114</v>
      </c>
      <c r="D17" s="115">
        <v>363</v>
      </c>
      <c r="E17" s="115">
        <f>D17*B17</f>
        <v>1452</v>
      </c>
      <c r="F17" s="116">
        <f>E17/12</f>
        <v>121</v>
      </c>
      <c r="G17" s="117" t="s">
        <v>120</v>
      </c>
    </row>
    <row r="18" s="0" customFormat="1">
      <c r="A18" s="104"/>
      <c r="B18" s="105"/>
      <c r="C18" s="105"/>
      <c r="D18" s="106"/>
      <c r="E18" s="106"/>
      <c r="F18" s="105"/>
      <c r="G18" s="105"/>
    </row>
    <row r="19" s="0" customFormat="1">
      <c r="A19" s="104"/>
      <c r="B19" s="105"/>
      <c r="C19" s="105"/>
      <c r="D19" s="106"/>
      <c r="E19" s="106"/>
      <c r="F19" s="105"/>
      <c r="G19" s="105"/>
    </row>
    <row r="20" s="0" customFormat="1">
      <c r="A20" s="107" t="s">
        <v>133</v>
      </c>
      <c r="B20" s="107"/>
      <c r="C20" s="107"/>
      <c r="D20" s="107"/>
      <c r="E20" s="107"/>
      <c r="F20" s="105"/>
      <c r="G20" s="105"/>
    </row>
    <row r="21" s="0" customFormat="1" ht="31.5">
      <c r="A21" s="108" t="s">
        <v>112</v>
      </c>
      <c r="B21" s="109" t="s">
        <v>134</v>
      </c>
      <c r="C21" s="109" t="s">
        <v>114</v>
      </c>
      <c r="D21" s="110" t="s">
        <v>115</v>
      </c>
      <c r="E21" s="111" t="s">
        <v>118</v>
      </c>
      <c r="F21" s="105"/>
      <c r="G21" s="105"/>
    </row>
    <row r="22" s="0" customFormat="1">
      <c r="A22" s="112" t="s">
        <v>135</v>
      </c>
      <c r="B22" s="113">
        <f>1</f>
        <v>1</v>
      </c>
      <c r="C22" s="114" t="s">
        <v>114</v>
      </c>
      <c r="D22" s="115">
        <v>312899.45000000001</v>
      </c>
      <c r="E22" s="117" t="s">
        <v>120</v>
      </c>
      <c r="F22" s="105"/>
      <c r="G22" s="105"/>
    </row>
    <row r="23" s="0" customFormat="1">
      <c r="A23" s="104"/>
      <c r="B23" s="105"/>
      <c r="C23" s="105"/>
      <c r="D23" s="106"/>
      <c r="E23" s="106"/>
      <c r="F23" s="105"/>
      <c r="G23" s="105"/>
    </row>
    <row r="24" s="0" customFormat="1">
      <c r="A24" s="104"/>
      <c r="B24" s="105"/>
      <c r="C24" s="105"/>
      <c r="D24" s="106"/>
      <c r="E24" s="106"/>
      <c r="F24" s="105"/>
      <c r="G24" s="105"/>
    </row>
    <row r="25" s="0" customFormat="1">
      <c r="A25" s="107" t="s">
        <v>136</v>
      </c>
      <c r="B25" s="107"/>
      <c r="C25" s="107"/>
      <c r="D25" s="107"/>
      <c r="E25" s="107"/>
      <c r="F25" s="107"/>
      <c r="G25" s="105"/>
    </row>
    <row r="26" s="0" customFormat="1" ht="31.5">
      <c r="A26" s="108" t="s">
        <v>137</v>
      </c>
      <c r="B26" s="109" t="s">
        <v>138</v>
      </c>
      <c r="C26" s="110" t="s">
        <v>139</v>
      </c>
      <c r="D26" s="110" t="s">
        <v>140</v>
      </c>
      <c r="E26" s="110" t="s">
        <v>141</v>
      </c>
      <c r="F26" s="111" t="s">
        <v>142</v>
      </c>
      <c r="G26" s="105"/>
    </row>
    <row r="27" s="0" customFormat="1">
      <c r="A27" s="133" t="s">
        <v>135</v>
      </c>
      <c r="B27" s="134">
        <f>D22</f>
        <v>312899.45000000001</v>
      </c>
      <c r="C27" s="134">
        <f>B27/10</f>
        <v>31289.945</v>
      </c>
      <c r="D27" s="114" t="s">
        <v>143</v>
      </c>
      <c r="E27" s="135">
        <f>(B27-C27)</f>
        <v>281609.505</v>
      </c>
      <c r="F27" s="136">
        <f>E27/12</f>
        <v>23467.458750000002</v>
      </c>
      <c r="G27" s="105"/>
    </row>
    <row r="28" s="0" customFormat="1">
      <c r="A28" s="104"/>
      <c r="B28" s="105"/>
      <c r="C28" s="105"/>
      <c r="D28" s="106"/>
      <c r="E28" s="106"/>
      <c r="F28" s="105"/>
      <c r="G28" s="105"/>
    </row>
    <row r="29" s="0" customFormat="1">
      <c r="A29" s="104"/>
      <c r="B29" s="105"/>
      <c r="C29" s="105"/>
      <c r="D29" s="106"/>
      <c r="E29" s="106"/>
      <c r="F29" s="105"/>
      <c r="G29" s="105"/>
    </row>
    <row r="30" s="0" customFormat="1">
      <c r="A30" s="107" t="s">
        <v>144</v>
      </c>
      <c r="B30" s="107"/>
      <c r="C30" s="107"/>
      <c r="D30" s="107"/>
      <c r="E30" s="107"/>
      <c r="F30" s="107"/>
      <c r="G30" s="105"/>
    </row>
    <row r="31" s="0" customFormat="1" ht="31.5">
      <c r="A31" s="108" t="s">
        <v>112</v>
      </c>
      <c r="B31" s="109" t="s">
        <v>134</v>
      </c>
      <c r="C31" s="110" t="s">
        <v>115</v>
      </c>
      <c r="D31" s="110" t="s">
        <v>145</v>
      </c>
      <c r="E31" s="110" t="s">
        <v>146</v>
      </c>
      <c r="F31" s="111" t="s">
        <v>147</v>
      </c>
      <c r="G31" s="105"/>
    </row>
    <row r="32" s="0" customFormat="1">
      <c r="A32" s="112" t="s">
        <v>135</v>
      </c>
      <c r="B32" s="113">
        <f>1</f>
        <v>1</v>
      </c>
      <c r="C32" s="115">
        <f>D22</f>
        <v>312899.45000000001</v>
      </c>
      <c r="D32" s="137">
        <f>0.01</f>
        <v>1.e-002</v>
      </c>
      <c r="E32" s="134">
        <f>C32*0.01</f>
        <v>3128.9945000000002</v>
      </c>
      <c r="F32" s="138">
        <f>E32/12</f>
        <v>260.74954166666669</v>
      </c>
      <c r="G32" s="105"/>
    </row>
    <row r="33" s="0" customFormat="1">
      <c r="A33" s="104"/>
      <c r="B33" s="105"/>
      <c r="C33" s="105"/>
      <c r="D33" s="106"/>
      <c r="E33" s="106"/>
      <c r="F33" s="105"/>
      <c r="G33" s="105"/>
    </row>
    <row r="34" s="0" customFormat="1">
      <c r="A34" s="104"/>
      <c r="B34" s="105"/>
      <c r="C34" s="105"/>
      <c r="D34" s="106"/>
      <c r="E34" s="106"/>
      <c r="F34" s="105"/>
      <c r="G34" s="105"/>
    </row>
    <row r="35" s="0" customFormat="1">
      <c r="A35" s="107" t="s">
        <v>148</v>
      </c>
      <c r="B35" s="107"/>
      <c r="C35" s="107"/>
      <c r="D35" s="107"/>
      <c r="E35" s="105"/>
      <c r="F35" s="105"/>
      <c r="G35" s="105"/>
    </row>
    <row r="36" s="0" customFormat="1">
      <c r="A36" s="108" t="s">
        <v>112</v>
      </c>
      <c r="B36" s="109" t="s">
        <v>134</v>
      </c>
      <c r="C36" s="110" t="s">
        <v>149</v>
      </c>
      <c r="D36" s="111" t="s">
        <v>150</v>
      </c>
      <c r="E36" s="105"/>
      <c r="F36" s="105"/>
      <c r="G36" s="105"/>
    </row>
    <row r="37" s="0" customFormat="1">
      <c r="A37" s="112" t="s">
        <v>135</v>
      </c>
      <c r="B37" s="113">
        <f>1</f>
        <v>1</v>
      </c>
      <c r="C37" s="115">
        <v>35.619999999999997</v>
      </c>
      <c r="D37" s="139">
        <f>C37/12</f>
        <v>2.9683333333333333</v>
      </c>
      <c r="E37" s="105"/>
      <c r="F37" s="105"/>
      <c r="G37" s="105"/>
    </row>
  </sheetData>
  <mergeCells count="7">
    <mergeCell ref="A35:D35"/>
    <mergeCell ref="A2:G2"/>
    <mergeCell ref="A12:E12"/>
    <mergeCell ref="A15:G15"/>
    <mergeCell ref="A20:E20"/>
    <mergeCell ref="A25:F25"/>
    <mergeCell ref="A30:F30"/>
  </mergeCells>
  <printOptions headings="0" gridLines="0"/>
  <pageMargins left="0.511811024" right="0.511811024" top="0.78740157500000008" bottom="0.78740157500000008" header="0.31496062000000014" footer="0.31496062000000014"/>
  <pageSetup paperSize="9" scale="73" fitToWidth="0" fitToHeight="0" pageOrder="downThenOver" orientation="portrait" usePrinterDefaults="1" blackAndWhite="0" draft="0" cellComments="none" useFirstPageNumber="0" errors="displayed" horizontalDpi="600" verticalDpi="0" copies="1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view="pageBreakPreview" zoomScale="60" workbookViewId="0">
      <selection activeCell="H8" activeCellId="0" sqref="H8"/>
    </sheetView>
  </sheetViews>
  <sheetFormatPr defaultRowHeight="14.25"/>
  <cols>
    <col customWidth="1" min="1" max="1" style="140" width="13.625"/>
    <col bestFit="1" customWidth="1" min="2" max="2" width="11.5"/>
    <col customWidth="1" min="3" max="3" width="9"/>
    <col customWidth="1" min="4" max="4" style="140" width="13.125"/>
    <col bestFit="1" customWidth="1" min="5" max="5" style="140" width="12"/>
    <col bestFit="1" customWidth="1" min="6" max="6" width="10.5"/>
    <col bestFit="1" customWidth="1" min="7" max="7" width="15.125"/>
    <col customWidth="1" min="8" max="8" width="9"/>
  </cols>
  <sheetData>
    <row r="2" ht="15">
      <c r="A2" s="141" t="s">
        <v>151</v>
      </c>
      <c r="B2" s="141"/>
      <c r="C2" s="141"/>
      <c r="D2" s="141"/>
      <c r="E2" s="141"/>
      <c r="F2" s="141"/>
      <c r="G2" s="141"/>
    </row>
    <row r="3" ht="43.5" customHeight="1">
      <c r="A3" s="142" t="s">
        <v>112</v>
      </c>
      <c r="B3" s="143" t="s">
        <v>113</v>
      </c>
      <c r="C3" s="143" t="s">
        <v>114</v>
      </c>
      <c r="D3" s="144" t="s">
        <v>115</v>
      </c>
      <c r="E3" s="144" t="s">
        <v>116</v>
      </c>
      <c r="F3" s="144" t="s">
        <v>117</v>
      </c>
      <c r="G3" s="145" t="s">
        <v>118</v>
      </c>
    </row>
    <row r="4" ht="57">
      <c r="A4" s="146" t="s">
        <v>152</v>
      </c>
      <c r="B4" s="147">
        <f>2*7*2</f>
        <v>28</v>
      </c>
      <c r="C4" s="148" t="s">
        <v>114</v>
      </c>
      <c r="D4" s="149">
        <v>80.730000000000004</v>
      </c>
      <c r="E4" s="149">
        <f>D4*B4</f>
        <v>2260.4400000000001</v>
      </c>
      <c r="F4" s="150">
        <f>E4/12</f>
        <v>188.37</v>
      </c>
      <c r="G4" s="151" t="s">
        <v>120</v>
      </c>
    </row>
    <row r="5" ht="15">
      <c r="A5" s="152" t="s">
        <v>128</v>
      </c>
      <c r="B5" s="152"/>
      <c r="C5" s="152"/>
      <c r="D5" s="152"/>
      <c r="E5" s="152"/>
      <c r="F5" s="153">
        <f>SUM(F4:F4)</f>
        <v>188.37</v>
      </c>
      <c r="G5" s="154"/>
    </row>
    <row r="6">
      <c r="A6" s="155"/>
      <c r="B6" s="156"/>
      <c r="C6" s="156"/>
      <c r="D6" s="155"/>
      <c r="E6" s="155"/>
      <c r="F6" s="156"/>
    </row>
    <row r="7" ht="15">
      <c r="A7" s="141" t="s">
        <v>153</v>
      </c>
      <c r="B7" s="141"/>
      <c r="C7" s="141"/>
      <c r="D7" s="141"/>
      <c r="E7" s="141"/>
      <c r="F7" s="141"/>
      <c r="G7" s="141"/>
    </row>
    <row r="8" ht="45">
      <c r="A8" s="142" t="s">
        <v>112</v>
      </c>
      <c r="B8" s="143" t="s">
        <v>113</v>
      </c>
      <c r="C8" s="143" t="s">
        <v>114</v>
      </c>
      <c r="D8" s="144" t="s">
        <v>115</v>
      </c>
      <c r="E8" s="144" t="s">
        <v>116</v>
      </c>
      <c r="F8" s="144" t="s">
        <v>117</v>
      </c>
      <c r="G8" s="145" t="s">
        <v>118</v>
      </c>
    </row>
    <row r="9" ht="42.75">
      <c r="A9" s="146" t="s">
        <v>154</v>
      </c>
      <c r="B9" s="147">
        <v>4</v>
      </c>
      <c r="C9" s="148" t="s">
        <v>114</v>
      </c>
      <c r="D9" s="149">
        <v>26.32</v>
      </c>
      <c r="E9" s="149">
        <f>D9*B9</f>
        <v>105.28</v>
      </c>
      <c r="F9" s="150">
        <f>E9/12</f>
        <v>8.7733333333333334</v>
      </c>
      <c r="G9" s="151" t="s">
        <v>120</v>
      </c>
    </row>
    <row r="10" ht="15">
      <c r="A10" s="152" t="s">
        <v>128</v>
      </c>
      <c r="B10" s="152"/>
      <c r="C10" s="152"/>
      <c r="D10" s="152"/>
      <c r="E10" s="152"/>
      <c r="F10" s="153">
        <f>SUM(F9:F9)</f>
        <v>8.7733333333333334</v>
      </c>
      <c r="G10" s="154"/>
    </row>
  </sheetData>
  <mergeCells count="4">
    <mergeCell ref="A2:G2"/>
    <mergeCell ref="A5:E5"/>
    <mergeCell ref="A7:G7"/>
    <mergeCell ref="A10:E10"/>
  </mergeCells>
  <printOptions headings="0" gridLines="0"/>
  <pageMargins left="0.511811024" right="0.511811024" top="0.78740157500000008" bottom="0.78740157500000008" header="0.31496062000000014" footer="0.31496062000000014"/>
  <pageSetup paperSize="9" scale="100" fitToWidth="0" fitToHeight="0" pageOrder="downThenOver" orientation="portrait" usePrinterDefaults="1" blackAndWhite="0" draft="0" cellComments="none" useFirstPageNumber="0" errors="displayed" horizontalDpi="600" verticalDpi="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ONLYOFFICE/9.1.0.167</Application>
  <DocSecurity>0</DocSecurity>
  <ScaleCrop>0</ScaleCrop>
  <HeadingPairs>
    <vt:vector size="0" baseType="variant"/>
  </HeadingPairs>
  <TitlesOfParts>
    <vt:vector size="0" baseType="lpstr"/>
  </TitlesOfParts>
  <LinksUpToDate>0</LinksUpToDate>
  <SharedDoc>0</SharedDoc>
  <HyperlinksChanged>0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Luiza Cabral</dc:creator>
  <cp:revision>43</cp:revision>
  <dcterms:created xsi:type="dcterms:W3CDTF">2017-09-14T20:39:56Z</dcterms:created>
  <dcterms:modified xsi:type="dcterms:W3CDTF">2026-04-28T18:37:13Z</dcterms:modified>
</cp:coreProperties>
</file>