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Outros computadores\Meu laptop\REDE\OBRAS\OBRA 000-00 - PONTES ARROZAL, ALFOREGEZ, RIACHO, GUILO E PALMEIRA\PROJETO ÚNICO PDF\"/>
    </mc:Choice>
  </mc:AlternateContent>
  <xr:revisionPtr revIDLastSave="0" documentId="13_ncr:1_{FBFDAEB4-E391-4969-914D-2677C9A6645E}" xr6:coauthVersionLast="47" xr6:coauthVersionMax="47" xr10:uidLastSave="{00000000-0000-0000-0000-000000000000}"/>
  <bookViews>
    <workbookView xWindow="-120" yWindow="-120" windowWidth="29040" windowHeight="15840" tabRatio="685" xr2:uid="{00000000-000D-0000-FFFF-FFFF00000000}"/>
  </bookViews>
  <sheets>
    <sheet name="Planilha Orçamentária" sheetId="3" r:id="rId1"/>
    <sheet name="ADUELA CAPELINHA" sheetId="15" r:id="rId2"/>
    <sheet name="PONTE RIACHO" sheetId="16" r:id="rId3"/>
    <sheet name="PONTE ALFORGES" sheetId="17" r:id="rId4"/>
    <sheet name="PONTE ARROZAL" sheetId="18" r:id="rId5"/>
    <sheet name="CRONOGRAMA FISICO FINANCEIRO" sheetId="9" r:id="rId6"/>
  </sheets>
  <externalReferences>
    <externalReference r:id="rId7"/>
  </externalReferences>
  <definedNames>
    <definedName name="ACOMPANHAMENTO" hidden="1">IF(VALUE([1]Menu!$O$4)=2,"BM","PLE")</definedName>
    <definedName name="_xlnm.Print_Area" localSheetId="1">'ADUELA CAPELINHA'!$A$1:$J$53</definedName>
    <definedName name="_xlnm.Print_Area" localSheetId="5">'CRONOGRAMA FISICO FINANCEIRO'!$A$1:$N$50</definedName>
    <definedName name="_xlnm.Print_Area" localSheetId="0">'Planilha Orçamentária'!$A$1:$J$152</definedName>
    <definedName name="_xlnm.Print_Area" localSheetId="3">'PONTE ALFORGES'!$A$1:$J$49</definedName>
    <definedName name="_xlnm.Print_Area" localSheetId="4">'PONTE ARROZAL'!$A$1:$J$49</definedName>
    <definedName name="_xlnm.Print_Area" localSheetId="2">'PONTE RIACHO'!$A$1:$J$50</definedName>
    <definedName name="AUTOEVENTO" hidden="1">[1]CÁLCULO!$A$12</definedName>
    <definedName name="BDI.Filtro" hidden="1">#REF!</definedName>
    <definedName name="BDI.Opcao" hidden="1">[1]DADOS!$F$18</definedName>
    <definedName name="BDI.TipoObra" hidden="1">#REF!</definedName>
    <definedName name="BM.AFAcumulado" hidden="1">[1]BM!$R1</definedName>
    <definedName name="BM.AFAnterior" hidden="1">[1]BM!$Q1</definedName>
    <definedName name="BM.MaxMed" localSheetId="1" hidden="1">IF('ADUELA CAPELINHA'!RegimeExecucao="Global",1,[1]BM!$G1)</definedName>
    <definedName name="BM.MaxMed" localSheetId="3" hidden="1">IF('PONTE ALFORGES'!RegimeExecucao="Global",1,[1]BM!$G1)</definedName>
    <definedName name="BM.MaxMed" localSheetId="4" hidden="1">IF('PONTE ARROZAL'!RegimeExecucao="Global",1,[1]BM!$G1)</definedName>
    <definedName name="BM.MaxMed" localSheetId="2" hidden="1">IF('PONTE RIACHO'!RegimeExecucao="Global",1,[1]BM!$G1)</definedName>
    <definedName name="BM.MaxMed" hidden="1">IF(RegimeExecucao="Global",1,[1]BM!$G1)</definedName>
    <definedName name="BM.MEDAcumulado" localSheetId="1" hidden="1">IF(COUNTIF([1]BM!$AB$13:$AM$13,BM.medicao)&gt;0,SUM(OFFSET([1]BM!$AB1,0,0,1,MATCH(BM.medicao,[1]BM!$AB$13:$AM$13,0))),0)</definedName>
    <definedName name="BM.MEDAcumulado" localSheetId="3" hidden="1">IF(COUNTIF([1]BM!$AB$13:$AM$13,BM.medicao)&gt;0,SUM(OFFSET([1]BM!$AB1,0,0,1,MATCH(BM.medicao,[1]BM!$AB$13:$AM$13,0))),0)</definedName>
    <definedName name="BM.MEDAcumulado" localSheetId="4" hidden="1">IF(COUNTIF([1]BM!$AB$13:$AM$13,BM.medicao)&gt;0,SUM(OFFSET([1]BM!$AB1,0,0,1,MATCH(BM.medicao,[1]BM!$AB$13:$AM$13,0))),0)</definedName>
    <definedName name="BM.MEDAcumulado" localSheetId="2" hidden="1">IF(COUNTIF([1]BM!$AB$13:$AM$13,BM.medicao)&gt;0,SUM(OFFSET([1]BM!$AB1,0,0,1,MATCH(BM.medicao,[1]BM!$AB$13:$AM$13,0))),0)</definedName>
    <definedName name="BM.MEDAcumulado" hidden="1">IF(COUNTIF([1]BM!$AB$13:$AM$13,BM.medicao)&gt;0,SUM(OFFSET([1]BM!$AB1,0,0,1,MATCH(BM.medicao,[1]BM!$AB$13:$AM$13,0))),0)</definedName>
    <definedName name="BM.MEDAnterior" localSheetId="1" hidden="1">IF(COUNTIF([1]BM!$AB$13:$AM$13,BM.medicao-1)&gt;0,SUM(OFFSET([1]BM!$AB1,0,0,1,MATCH(BM.medicao-1,[1]BM!$AB$13:$AM$13,0))),0)</definedName>
    <definedName name="BM.MEDAnterior" localSheetId="3" hidden="1">IF(COUNTIF([1]BM!$AB$13:$AM$13,BM.medicao-1)&gt;0,SUM(OFFSET([1]BM!$AB1,0,0,1,MATCH(BM.medicao-1,[1]BM!$AB$13:$AM$13,0))),0)</definedName>
    <definedName name="BM.MEDAnterior" localSheetId="4" hidden="1">IF(COUNTIF([1]BM!$AB$13:$AM$13,BM.medicao-1)&gt;0,SUM(OFFSET([1]BM!$AB1,0,0,1,MATCH(BM.medicao-1,[1]BM!$AB$13:$AM$13,0))),0)</definedName>
    <definedName name="BM.MEDAnterior" localSheetId="2" hidden="1">IF(COUNTIF([1]BM!$AB$13:$AM$13,BM.medicao-1)&gt;0,SUM(OFFSET([1]BM!$AB1,0,0,1,MATCH(BM.medicao-1,[1]BM!$AB$13:$AM$13,0))),0)</definedName>
    <definedName name="BM.MEDAnterior" hidden="1">IF(COUNTIF([1]BM!$AB$13:$AM$13,BM.medicao-1)&gt;0,SUM(OFFSET([1]BM!$AB1,0,0,1,MATCH(BM.medicao-1,[1]BM!$AB$13:$AM$13,0))),0)</definedName>
    <definedName name="BM.medicao" hidden="1">OFFSET([1]BM!$O$7,1,0)</definedName>
    <definedName name="BM.MinMed" localSheetId="1" hidden="1">IF('ADUELA CAPELINHA'!RegimeExecucao="Global",-1,-[1]BM!$G1)</definedName>
    <definedName name="BM.MinMed" localSheetId="3" hidden="1">IF('PONTE ALFORGES'!RegimeExecucao="Global",-1,-[1]BM!$G1)</definedName>
    <definedName name="BM.MinMed" localSheetId="4" hidden="1">IF('PONTE ARROZAL'!RegimeExecucao="Global",-1,-[1]BM!$G1)</definedName>
    <definedName name="BM.MinMed" localSheetId="2" hidden="1">IF('PONTE RIACHO'!RegimeExecucao="Global",-1,-[1]BM!$G1)</definedName>
    <definedName name="BM.MinMed" hidden="1">IF(RegimeExecucao="Global",-1,-[1]BM!$G1)</definedName>
    <definedName name="CAIXA.Modo" hidden="1">[1]BM!$A$3</definedName>
    <definedName name="CÁLCULO.NúmeroDeEventos" localSheetId="1" hidden="1">IF(AUTOEVENTO&lt;&gt;"manual",MAX([1]CÁLCULO!$M$15:$M$38),MAX(OFFSET([1]EVENTOS!$C$14:$C$21,1,0)))</definedName>
    <definedName name="CÁLCULO.NúmeroDeEventos" localSheetId="3" hidden="1">IF(AUTOEVENTO&lt;&gt;"manual",MAX([1]CÁLCULO!$M$15:$M$38),MAX(OFFSET([1]EVENTOS!$C$14:$C$21,1,0)))</definedName>
    <definedName name="CÁLCULO.NúmeroDeEventos" localSheetId="4" hidden="1">IF(AUTOEVENTO&lt;&gt;"manual",MAX([1]CÁLCULO!$M$15:$M$38),MAX(OFFSET([1]EVENTOS!$C$14:$C$21,1,0)))</definedName>
    <definedName name="CÁLCULO.NúmeroDeEventos" localSheetId="2" hidden="1">IF(AUTOEVENTO&lt;&gt;"manual",MAX([1]CÁLCULO!$M$15:$M$38),MAX(OFFSET([1]EVENTOS!$C$14:$C$21,1,0)))</definedName>
    <definedName name="CÁLCULO.NúmeroDeEventos" hidden="1">IF(AUTOEVENTO&lt;&gt;"manual",MAX([1]CÁLCULO!$M$15:$M$38),MAX(OFFSET([1]EVENTOS!$C$14:$C$21,1,0)))</definedName>
    <definedName name="CÁLCULO.NúmeroDeFrentes" hidden="1">COLUMN([1]CÁLCULO!$AA$15)-COLUMN([1]CÁLCULO!$Q$15)</definedName>
    <definedName name="CÁLCULO.TotalAdmLocal" localSheetId="1" hidden="1">IF(AUTOEVENTO="manual",SUMIF([1]CÁLCULO!$M$15:$M$38,1,[1]ORÇAMENTO!$X$15:$X$38),0)</definedName>
    <definedName name="CÁLCULO.TotalAdmLocal" localSheetId="3" hidden="1">IF(AUTOEVENTO="manual",SUMIF([1]CÁLCULO!$M$15:$M$38,1,[1]ORÇAMENTO!$X$15:$X$38),0)</definedName>
    <definedName name="CÁLCULO.TotalAdmLocal" localSheetId="4" hidden="1">IF(AUTOEVENTO="manual",SUMIF([1]CÁLCULO!$M$15:$M$38,1,[1]ORÇAMENTO!$X$15:$X$38),0)</definedName>
    <definedName name="CÁLCULO.TotalAdmLocal" localSheetId="2" hidden="1">IF(AUTOEVENTO="manual",SUMIF([1]CÁLCULO!$M$15:$M$38,1,[1]ORÇAMENTO!$X$15:$X$38),0)</definedName>
    <definedName name="CÁLCULO.TotalAdmLocal" hidden="1">IF(AUTOEVENTO="manual",SUMIF([1]CÁLCULO!$M$15:$M$38,1,[1]ORÇAMENTO!$X$15:$X$38),0)</definedName>
    <definedName name="CRONO.LinhasNecessarias" localSheetId="1" hidden="1">COUNTIF([1]QCI!$B$13:$B$17,"Manual")+COUNTIF([1]QCI!$B$13:$B$17,"SemiAuto")+COUNT(ORÇAMENTO.ListaCrono)</definedName>
    <definedName name="CRONO.LinhasNecessarias" localSheetId="3" hidden="1">COUNTIF([1]QCI!$B$13:$B$17,"Manual")+COUNTIF([1]QCI!$B$13:$B$17,"SemiAuto")+COUNT(ORÇAMENTO.ListaCrono)</definedName>
    <definedName name="CRONO.LinhasNecessarias" localSheetId="4" hidden="1">COUNTIF([1]QCI!$B$13:$B$17,"Manual")+COUNTIF([1]QCI!$B$13:$B$17,"SemiAuto")+COUNT(ORÇAMENTO.ListaCrono)</definedName>
    <definedName name="CRONO.LinhasNecessarias" localSheetId="2" hidden="1">COUNTIF([1]QCI!$B$13:$B$17,"Manual")+COUNTIF([1]QCI!$B$13:$B$17,"SemiAuto")+COUNT(ORÇAMENTO.ListaCrono)</definedName>
    <definedName name="CRONO.LinhasNecessarias" hidden="1">COUNTIF([1]QCI!$B$13:$B$17,"Manual")+COUNTIF([1]QCI!$B$13:$B$17,"SemiAuto")+COUNT(ORÇAMENTO.ListaCrono)</definedName>
    <definedName name="CRONO.MaxParc" hidden="1">[1]CRONO!$G65536+[1]CRONO!A1</definedName>
    <definedName name="CRONO.NivelExibicao" hidden="1">[1]CRONO!$G$10</definedName>
    <definedName name="CRONOPLE.ValorDoEvento" hidden="1">SUMIF([1]CÁLCULO!$M$15:$M$38,[1]CRONOPLE!$B1,OFFSET([1]CÁLCULO!$AA$15:$AA$38,0,[1]CRONOPLE!A$12))</definedName>
    <definedName name="DESONERACAO" localSheetId="1" hidden="1">IF(OR(Import.Desoneracao="DESONERADO",Import.Desoneracao="SIM"),"SIM","NÃO")</definedName>
    <definedName name="DESONERACAO" localSheetId="3" hidden="1">IF(OR(Import.Desoneracao="DESONERADO",Import.Desoneracao="SIM"),"SIM","NÃO")</definedName>
    <definedName name="DESONERACAO" localSheetId="4" hidden="1">IF(OR(Import.Desoneracao="DESONERADO",Import.Desoneracao="SIM"),"SIM","NÃO")</definedName>
    <definedName name="DESONERACAO" localSheetId="2" hidden="1">IF(OR(Import.Desoneracao="DESONERADO",Import.Desoneracao="SIM"),"SIM","NÃO")</definedName>
    <definedName name="DESONERACAO" hidden="1">IF(OR(Import.Desoneracao="DESONERADO",Import.Desoneracao="SIM"),"SIM","NÃO")</definedName>
    <definedName name="EVENTOS.Lista" hidden="1">[1]EVENTOS!$C$15:OFFSET([1]EVENTOS!$C$21,-1,0)</definedName>
    <definedName name="EVENTOS.ListaValidacao" hidden="1">[1]EVENTOS!$B$15:OFFSET([1]EVENTOS!$B$21,-1,0)</definedName>
    <definedName name="Excel_BuiltIn_Database" localSheetId="1" hidden="1">TEXT(Import.DataBase,"mm-aaaa")</definedName>
    <definedName name="Excel_BuiltIn_Database" localSheetId="3" hidden="1">TEXT(Import.DataBase,"mm-aaaa")</definedName>
    <definedName name="Excel_BuiltIn_Database" localSheetId="4" hidden="1">TEXT(Import.DataBase,"mm-aaaa")</definedName>
    <definedName name="Excel_BuiltIn_Database" localSheetId="2" hidden="1">TEXT(Import.DataBase,"mm-aaaa")</definedName>
    <definedName name="Excel_BuiltIn_Database" hidden="1">TEXT(Import.DataBase,"mm-aaaa")</definedName>
    <definedName name="Import.Apelido" hidden="1">[1]DADOS!$F$16</definedName>
    <definedName name="Import.BDI.Det1" hidden="1">#REF!</definedName>
    <definedName name="Import.BDI.Det2" hidden="1">#REF!</definedName>
    <definedName name="Import.BDI.Det3" hidden="1">#REF!</definedName>
    <definedName name="Import.BDI.ISS" hidden="1">#REF!</definedName>
    <definedName name="Import.BDI.Obs1" hidden="1">#REF!</definedName>
    <definedName name="Import.BDI.Obs2" hidden="1">#REF!</definedName>
    <definedName name="Import.BDI.Obs3" hidden="1">#REF!</definedName>
    <definedName name="Import.BDI.Tipo1" hidden="1">#REF!</definedName>
    <definedName name="Import.BDI.Tipo2" hidden="1">#REF!</definedName>
    <definedName name="Import.BDI.Tipo3" hidden="1">#REF!</definedName>
    <definedName name="Import.BMAFAcumulado" hidden="1">OFFSET([1]BM!$R$15,1,0):OFFSET([1]BM!$R$38,-1,0)</definedName>
    <definedName name="Import.CNPJ" hidden="1">[1]DADOS!$F$38</definedName>
    <definedName name="Import.Código" hidden="1">OFFSET([1]ORÇAMENTO!$Q$15,1,0):OFFSET([1]ORÇAMENTO!$Q$38,-1,0)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OFFSET([1]CRONOPLE!$F$15,1,1):OFFSET([1]CRONOPLE!$AF$21,-1,-1)</definedName>
    <definedName name="Import.CTEF" hidden="1">[1]DADOS!$F$36</definedName>
    <definedName name="Import.CustoUnitário" hidden="1">OFFSET([1]ORÇAMENTO!$U$15,1,0):OFFSET([1]ORÇAMENTO!$U$38,-1,0)</definedName>
    <definedName name="Import.DataBase" hidden="1">OFFSET([1]DADOS!$G$19,0,-1)</definedName>
    <definedName name="Import.DataBaseLicit" hidden="1">OFFSET([1]DADOS!$G$40,0,-1)</definedName>
    <definedName name="Import.DataInicioObra" hidden="1">[1]DADOS!$F$46</definedName>
    <definedName name="Import.DescLote" hidden="1">[1]DADOS!$F$17</definedName>
    <definedName name="Import.Descrição" hidden="1">OFFSET([1]ORÇAMENTO!$R$15,1,0):OFFSET([1]ORÇAMENTO!$R$38,-1,0)</definedName>
    <definedName name="Import.Desoneracao" hidden="1">OFFSET([1]DADOS!$G$18,0,-1)</definedName>
    <definedName name="Import.empresa" hidden="1">[1]DADOS!$F$37</definedName>
    <definedName name="Import.Fonte" hidden="1">OFFSET([1]ORÇAMENTO!$P$15,1,0):OFFSET([1]ORÇAMENTO!$P$38,-1,0)</definedName>
    <definedName name="Import.FrenteDeObra" hidden="1">[1]CÁLCULO!$Q$12:OFFSET([1]CÁLCULO!$AA$12,0,-1)</definedName>
    <definedName name="Import.Município" hidden="1">[1]DADOS!$F$6</definedName>
    <definedName name="Import.Nível" hidden="1">OFFSET([1]ORÇAMENTO!$M$15,1,0):OFFSET([1]ORÇAMENTO!$M$38,-1,0)</definedName>
    <definedName name="Import.OpcaoBDI" hidden="1">OFFSET([1]ORÇAMENTO!$V$15,1,0):OFFSET([1]ORÇAMENTO!$V$38,-1,0)</definedName>
    <definedName name="Import.ORÇAMENTO.DivRecurso" hidden="1">OFFSET([1]ORÇAMENTO!$Y$15,1,0):OFFSET([1]ORÇAMENTO!$Y$38,-1,0)</definedName>
    <definedName name="Import.PLE" hidden="1">OFFSET([1]PLE!$G$15,1,1):OFFSET([1]PLE!$AG$21,-1,-1)</definedName>
    <definedName name="Import.PLQ" hidden="1">OFFSET([1]CÁLCULO!$P$15,1,1):OFFSET([1]CÁLCULO!$AA$38,-1,-1)</definedName>
    <definedName name="Import.Proponente" hidden="1">[1]DADOS!$F$5</definedName>
    <definedName name="Import.QCI.Divisao" hidden="1">OFFSET([1]QCI!$V$13,1,0):OFFSET([1]QCI!$V$17,-1,0)</definedName>
    <definedName name="Import.QCI.ItemInv" hidden="1">OFFSET([1]QCI!$E$13,1,0):OFFSET([1]QCI!$E$17,-1,0)</definedName>
    <definedName name="Import.QCI.Qtde" hidden="1">OFFSET([1]QCI!$I$13,1,0):OFFSET([1]QCI!$I$17,-1,0)</definedName>
    <definedName name="Import.QCI.Situacao" hidden="1">OFFSET([1]QCI!$H$13,1,0):OFFSET([1]QCI!$H$17,-1,0)</definedName>
    <definedName name="Import.QCI.SubItemInv" hidden="1">OFFSET([1]QCI!$F$13,1,0):OFFSET([1]QCI!$F$17,-1,0)</definedName>
    <definedName name="Import.QCICP" hidden="1">OFFSET([1]QCI!$W$13,1,0):OFFSET([1]QCI!$W$17,-1,0)</definedName>
    <definedName name="Import.QCIDesc" hidden="1">OFFSET([1]QCI!$R$13,1,0):OFFSET([1]QCI!$R$17,-1,0)</definedName>
    <definedName name="Import.QCIInv" hidden="1">OFFSET([1]QCI!$U$13,1,0):OFFSET([1]QCI!$U$17,-1,0)</definedName>
    <definedName name="Import.QCILote" hidden="1">OFFSET([1]QCI!$T$13,1,0):OFFSET([1]QCI!$T$17,-1,0)</definedName>
    <definedName name="Import.QCIOutros" hidden="1">OFFSET([1]QCI!$X$13,1,0):OFFSET([1]QCI!$X$17,-1,0)</definedName>
    <definedName name="Import.Quantidade" hidden="1">OFFSET([1]ORÇAMENTO!$AJ$15,1,0):OFFSET([1]ORÇAMENTO!$AJ$38,-1,0)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[1]DADOS!$F$22:$F$24</definedName>
    <definedName name="Import.SICONV" hidden="1">[1]DADOS!$F$8</definedName>
    <definedName name="Import.Unidade" hidden="1">OFFSET([1]ORÇAMENTO!$S$15,1,0):OFFSET([1]ORÇAMENTO!$S$38,-1,0)</definedName>
    <definedName name="Import.UnitarioLicitado" hidden="1">OFFSET([1]ORÇAMENTO!$AL$15,1,0):OFFSET([1]ORÇAMENTO!$AL$38,-1,0)</definedName>
    <definedName name="MENU.CRONO" hidden="1">OFFSET([1]CRONO!$T$11,1,0)</definedName>
    <definedName name="ORÇAMENTO.BancoRef" hidden="1">[1]ORÇAMENTO!$F$8</definedName>
    <definedName name="ORÇAMENTO.CodBarra" localSheetId="1" hidden="1">IF(ORÇAMENTO.Fonte="Sinapi",SUBSTITUTE(SUBSTITUTE(ORÇAMENTO.Codigo,"/00","/"),"/0","/"),ORÇAMENTO.Codigo)</definedName>
    <definedName name="ORÇAMENTO.CodBarra" localSheetId="3" hidden="1">IF(ORÇAMENTO.Fonte="Sinapi",SUBSTITUTE(SUBSTITUTE(ORÇAMENTO.Codigo,"/00","/"),"/0","/"),ORÇAMENTO.Codigo)</definedName>
    <definedName name="ORÇAMENTO.CodBarra" localSheetId="4" hidden="1">IF(ORÇAMENTO.Fonte="Sinapi",SUBSTITUTE(SUBSTITUTE(ORÇAMENTO.Codigo,"/00","/"),"/0","/"),ORÇAMENTO.Codigo)</definedName>
    <definedName name="ORÇAMENTO.CodBarra" localSheetId="2" hidden="1">IF(ORÇAMENTO.Fonte="Sinapi",SUBSTITUTE(SUBSTITUTE(ORÇAMENTO.Codigo,"/00","/"),"/0","/"),ORÇAMENTO.Codigo)</definedName>
    <definedName name="ORÇAMENTO.CodBarra" hidden="1">IF(ORÇAMENTO.Fonte="Sinapi",SUBSTITUTE(SUBSTITUTE(ORÇAMENTO.Codigo,"/00","/"),"/0","/"),ORÇAMENTO.Codigo)</definedName>
    <definedName name="ORÇAMENTO.Codigo" hidden="1">[1]ORÇAMENTO!$Q1</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OFFSET([1]ORÇAMENTO!$AD$15,1,0):OFFSET([1]ORÇAMENTO!$AD$38,-1,0)</definedName>
    <definedName name="ORÇAMENTO.MáximoListaCrono" localSheetId="1" hidden="1">MAX(ORÇAMENTO.ListaCrono)</definedName>
    <definedName name="ORÇAMENTO.MáximoListaCrono" localSheetId="3" hidden="1">MAX(ORÇAMENTO.ListaCrono)</definedName>
    <definedName name="ORÇAMENTO.MáximoListaCrono" localSheetId="4" hidden="1">MAX(ORÇAMENTO.ListaCrono)</definedName>
    <definedName name="ORÇAMENTO.MáximoListaCrono" localSheetId="2" hidden="1">MAX(ORÇAMENTO.ListaCrono)</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OFFSET([1]ORÇAMENTO!$P$15,1,0):OFFSET([1]ORÇAMENTO!$S$38,-1,0)</definedName>
    <definedName name="ORÇAMENTO.PasteFormat2" hidden="1">OFFSET([1]ORÇAMENTO!$U$15,1,0):OFFSET([1]ORÇAMENTO!$V$38,-1,0)</definedName>
    <definedName name="ORÇAMENTO.PrecoUnitarioLicitado" hidden="1">[1]ORÇAMENTO!$AL1</definedName>
    <definedName name="ORÇAMENTO.SumCPMANUAL" hidden="1">SUMIF([1]ORÇAMENTO!$Z$15:$Z$38,"CP",[1]ORÇAMENTO!$AA$15:$AA$38)</definedName>
    <definedName name="ORÇAMENTO.SumINVMANUAL" hidden="1">SUMIF([1]ORÇAMENTO!$Z$15:$Z$38,"RP",[1]ORÇAMENTO!$X$15:$X$38)+SUMIF([1]ORÇAMENTO!$Z$15:$Z$38,"CP",[1]ORÇAMENTO!$X$15:$X$38)+SUMIF([1]ORÇAMENTO!$Z$15:$Z$38,"OU",[1]ORÇAMENTO!$X$15:$X$38)</definedName>
    <definedName name="ORÇAMENTO.SumOUTROSMANUAL" hidden="1">SUMIF([1]ORÇAMENTO!$Z$15:$Z$38,"OU",[1]ORÇAMENTO!$AB$15:$AB$38)</definedName>
    <definedName name="ORÇAMENTO.SumREPASSEMANUAL" localSheetId="1" hidden="1">ORÇAMENTO.SumINVMANUAL-ORÇAMENTO.SumCPMANUAL-ORÇAMENTO.SumOUTROSMANUAL</definedName>
    <definedName name="ORÇAMENTO.SumREPASSEMANUAL" localSheetId="3" hidden="1">ORÇAMENTO.SumINVMANUAL-ORÇAMENTO.SumCPMANUAL-ORÇAMENTO.SumOUTROSMANUAL</definedName>
    <definedName name="ORÇAMENTO.SumREPASSEMANUAL" localSheetId="4" hidden="1">ORÇAMENTO.SumINVMANUAL-ORÇAMENTO.SumCPMANUAL-ORÇAMENTO.SumOUTROSMANUAL</definedName>
    <definedName name="ORÇAMENTO.SumREPASSEMANUAL" localSheetId="2" hidden="1">ORÇAMENTO.SumINVMANUAL-ORÇAMENTO.SumCPMANUAL-ORÇAMENTO.SumOUTROSMANUAL</definedName>
    <definedName name="ORÇAMENTO.SumREPASSEMANUAL" hidden="1">ORÇAMENTO.SumINVMANUAL-ORÇAMENTO.SumCPMANUAL-ORÇAMENTO.SumOUTROSMANUAL</definedName>
    <definedName name="ORÇAMENTO.Unidade" hidden="1">[1]ORÇAMENTO!$S1</definedName>
    <definedName name="PLE.firstrow" hidden="1">[1]PLE!$15:$15</definedName>
    <definedName name="PLE.lastrow" hidden="1">[1]PLE!$21:$21</definedName>
    <definedName name="PLE.Medicao" hidden="1">[1]PLE!$J$9</definedName>
    <definedName name="PLE.ValorDoEvento" hidden="1">SUMIF([1]CÁLCULO!$M$15:$M$38,[1]PLE!$B1,OFFSET([1]CÁLCULO!$AA$15:$AA$38,0,[1]PLE!A$12))</definedName>
    <definedName name="PO.ValoresBDI" hidden="1">OFFSET([1]ORÇAMENTO!$AH$15,1,0):OFFSET([1]ORÇAMENTO!$AH$38,-1,0)</definedName>
    <definedName name="QCI.CPManual" hidden="1">ROUND([1]QCI!$W1,2)</definedName>
    <definedName name="QCI.DescManual" hidden="1">[1]QCI!$R1</definedName>
    <definedName name="QCI.Divisao" hidden="1">[1]QCI!$V1</definedName>
    <definedName name="QCI.ExisteManual" hidden="1">(COUNTIF([1]QCI!$B$13:$B$17,"Manual")+COUNTIF([1]QCI!$B$13:$B$17,"SemiAuto"))&gt;0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SUMIF([1]QCI!$B$13:$B$17,"Manual",[1]QCI!$AA$13:$AA$17)</definedName>
    <definedName name="QCI.SumINVMANUAL" hidden="1">SUMIF([1]QCI!$B$13:$B$17,"Manual",[1]QCI!$O$13:$O$17)</definedName>
    <definedName name="QCI.SumOUTROSMANUAL" hidden="1">SUMIF([1]QCI!$B$13:$B$17,"Manual",[1]QCI!$AB$13:$AB$17)</definedName>
    <definedName name="QCI.SumREPASSEMANUAL" localSheetId="1" hidden="1">QCI.SumINVMANUAL-QCI.CPManual-QCI.OutrosManual</definedName>
    <definedName name="QCI.SumREPASSEMANUAL" localSheetId="3" hidden="1">QCI.SumINVMANUAL-QCI.CPManual-QCI.OutrosManual</definedName>
    <definedName name="QCI.SumREPASSEMANUAL" localSheetId="4" hidden="1">QCI.SumINVMANUAL-QCI.CPManual-QCI.OutrosManual</definedName>
    <definedName name="QCI.SumREPASSEMANUAL" localSheetId="2" hidden="1">QCI.SumINVMANUAL-QCI.CPManual-QCI.OutrosManual</definedName>
    <definedName name="QCI.SumREPASSEMANUAL" hidden="1">QCI.SumINVMANUAL-QCI.CPManual-QCI.OutrosManual</definedName>
    <definedName name="REFERENCIA.Descricao" localSheetId="1" hidden="1">IF(ISNUMBER([1]ORÇAMENTO!$AF1),OFFSET(INDIRECT(ORÇAMENTO.BancoRef),[1]ORÇAMENTO!$AF1-1,3,1),[1]ORÇAMENTO!$AF1)</definedName>
    <definedName name="REFERENCIA.Descricao" localSheetId="3" hidden="1">IF(ISNUMBER([1]ORÇAMENTO!$AF1),OFFSET(INDIRECT(ORÇAMENTO.BancoRef),[1]ORÇAMENTO!$AF1-1,3,1),[1]ORÇAMENTO!$AF1)</definedName>
    <definedName name="REFERENCIA.Descricao" localSheetId="4" hidden="1">IF(ISNUMBER([1]ORÇAMENTO!$AF1),OFFSET(INDIRECT(ORÇAMENTO.BancoRef),[1]ORÇAMENTO!$AF1-1,3,1),[1]ORÇAMENTO!$AF1)</definedName>
    <definedName name="REFERENCIA.Descricao" localSheetId="2" hidden="1">IF(ISNUMBER([1]ORÇAMENTO!$AF1),OFFSET(INDIRECT(ORÇAMENTO.BancoRef),[1]ORÇAMENTO!$AF1-1,3,1),[1]ORÇAMENTO!$AF1)</definedName>
    <definedName name="REFERENCIA.Descricao" hidden="1">IF(ISNUMBER([1]ORÇAMENTO!$AF1),OFFSET(INDIRECT(ORÇAMENTO.BancoRef),[1]ORÇAMENTO!$AF1-1,3,1),[1]ORÇAMENTO!$AF1)</definedName>
    <definedName name="REFERENCIA.Desonerado" localSheetId="1" hidden="1">IF(ISNUMBER([1]ORÇAMENTO!$AF1),VALUE(OFFSET(INDIRECT(ORÇAMENTO.BancoRef),[1]ORÇAMENTO!$AF1-1,5,1)),0)</definedName>
    <definedName name="REFERENCIA.Desonerado" localSheetId="3" hidden="1">IF(ISNUMBER([1]ORÇAMENTO!$AF1),VALUE(OFFSET(INDIRECT(ORÇAMENTO.BancoRef),[1]ORÇAMENTO!$AF1-1,5,1)),0)</definedName>
    <definedName name="REFERENCIA.Desonerado" localSheetId="4" hidden="1">IF(ISNUMBER([1]ORÇAMENTO!$AF1),VALUE(OFFSET(INDIRECT(ORÇAMENTO.BancoRef),[1]ORÇAMENTO!$AF1-1,5,1)),0)</definedName>
    <definedName name="REFERENCIA.Desonerado" localSheetId="2" hidden="1">IF(ISNUMBER([1]ORÇAMENTO!$AF1),VALUE(OFFSET(INDIRECT(ORÇAMENTO.BancoRef),[1]ORÇAMENTO!$AF1-1,5,1)),0)</definedName>
    <definedName name="REFERENCIA.Desonerado" hidden="1">IF(ISNUMBER([1]ORÇAMENTO!$AF1),VALUE(OFFSET(INDIRECT(ORÇAMENTO.BancoRef),[1]ORÇAMENTO!$AF1-1,5,1)),0)</definedName>
    <definedName name="REFERENCIA.NaoDesonerado" localSheetId="1" hidden="1">IF(ISNUMBER([1]ORÇAMENTO!$AF1),VALUE(OFFSET(INDIRECT(ORÇAMENTO.BancoRef),[1]ORÇAMENTO!$AF1-1,6,1)),0)</definedName>
    <definedName name="REFERENCIA.NaoDesonerado" localSheetId="3" hidden="1">IF(ISNUMBER([1]ORÇAMENTO!$AF1),VALUE(OFFSET(INDIRECT(ORÇAMENTO.BancoRef),[1]ORÇAMENTO!$AF1-1,6,1)),0)</definedName>
    <definedName name="REFERENCIA.NaoDesonerado" localSheetId="4" hidden="1">IF(ISNUMBER([1]ORÇAMENTO!$AF1),VALUE(OFFSET(INDIRECT(ORÇAMENTO.BancoRef),[1]ORÇAMENTO!$AF1-1,6,1)),0)</definedName>
    <definedName name="REFERENCIA.NaoDesonerado" localSheetId="2" hidden="1">IF(ISNUMBER([1]ORÇAMENTO!$AF1),VALUE(OFFSET(INDIRECT(ORÇAMENTO.BancoRef),[1]ORÇAMENTO!$AF1-1,6,1)),0)</definedName>
    <definedName name="REFERENCIA.NaoDesonerado" hidden="1">IF(ISNUMBER([1]ORÇAMENTO!$AF1),VALUE(OFFSET(INDIRECT(ORÇAMENTO.BancoRef),[1]ORÇAMENTO!$AF1-1,6,1)),0)</definedName>
    <definedName name="REFERENCIA.Unidade" localSheetId="1" hidden="1">IF(ISNUMBER([1]ORÇAMENTO!$AF1),OFFSET(INDIRECT(ORÇAMENTO.BancoRef),[1]ORÇAMENTO!$AF1-1,4,1),"-")</definedName>
    <definedName name="REFERENCIA.Unidade" localSheetId="3" hidden="1">IF(ISNUMBER([1]ORÇAMENTO!$AF1),OFFSET(INDIRECT(ORÇAMENTO.BancoRef),[1]ORÇAMENTO!$AF1-1,4,1),"-")</definedName>
    <definedName name="REFERENCIA.Unidade" localSheetId="4" hidden="1">IF(ISNUMBER([1]ORÇAMENTO!$AF1),OFFSET(INDIRECT(ORÇAMENTO.BancoRef),[1]ORÇAMENTO!$AF1-1,4,1),"-")</definedName>
    <definedName name="REFERENCIA.Unidade" localSheetId="2" hidden="1">IF(ISNUMBER([1]ORÇAMENTO!$AF1),OFFSET(INDIRECT(ORÇAMENTO.BancoRef),[1]ORÇAMENTO!$AF1-1,4,1),"-")</definedName>
    <definedName name="REFERENCIA.Unidade" hidden="1">IF(ISNUMBER([1]ORÇAMENTO!$AF1),OFFSET(INDIRECT(ORÇAMENTO.BancoRef),[1]ORÇAMENTO!$AF1-1,4,1),"-")</definedName>
    <definedName name="RegimeExecucao" localSheetId="1" hidden="1">IF(OR(Import.RegimeExecução="",Import.RegimeExecução="Empreitada por Preço Global",Import.RegimeExecução="Empreitada Integral"),"Global","Unitário")</definedName>
    <definedName name="RegimeExecucao" localSheetId="3" hidden="1">IF(OR(Import.RegimeExecução="",Import.RegimeExecução="Empreitada por Preço Global",Import.RegimeExecução="Empreitada Integral"),"Global","Unitário")</definedName>
    <definedName name="RegimeExecucao" localSheetId="4" hidden="1">IF(OR(Import.RegimeExecução="",Import.RegimeExecução="Empreitada por Preço Global",Import.RegimeExecução="Empreitada Integral"),"Global","Unitário")</definedName>
    <definedName name="RegimeExecucao" localSheetId="2"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hidden="1">[1]RRE!$AD$19</definedName>
    <definedName name="RRE.MaxCPAnt" hidden="1">[1]RRE!$AC$19</definedName>
    <definedName name="RRE.MaxOUAcum" hidden="1">[1]RRE!$AD$20</definedName>
    <definedName name="RRE.MaxOUAnt" hidden="1">[1]RRE!$AC$20</definedName>
    <definedName name="RRE.Numero" hidden="1">OFFSET([1]RRE!$O$7,0,1)</definedName>
    <definedName name="RRE.VIMeta" hidden="1">[1]RRE!$L1</definedName>
    <definedName name="SENHAGT" hidden="1">"PM3CAIXA"</definedName>
    <definedName name="SomaAgrup" hidden="1">SUMIF(OFFSET([1]ORÇAMENTO!$C1,1,0,[1]ORÇAMENTO!$D1),"S",OFFSET([1]ORÇAMENTO!A1,1,0,[1]ORÇAMENTO!$D1))</definedName>
    <definedName name="SomaAgrupBM" hidden="1">SUMIF(OFFSET([1]BM!$A1,1,0,[1]BM!$B1),"S",OFFSET([1]BM!A1,1,0,[1]BM!$B1))</definedName>
    <definedName name="TIPOORCAMENTO" hidden="1">IF(VALUE([1]Menu!$O$3)=2,"Licitado","Proposto")</definedName>
    <definedName name="Versao" hidden="1">[1]Menu!$J$2</definedName>
    <definedName name="VTOTAL1" hidden="1">ROUND([1]ORÇAMENTO!$T1*[1]ORÇAMENTO!$W1,15-13*[1]ORÇAMENTO!$AF$11)</definedName>
    <definedName name="VTOTALBM" localSheetId="1" hidden="1">IF([1]BM!$I1=0,0,CHOOSE(MATCH('ADUELA CAPELINHA'!RegimeExecucao,{"Global","Unitário"},0),ROUND(ROUND([1]BM!#REF!,15-13*[1]BM!$A$9)/100*[1]BM!$I1,15-13*[1]ORÇAMENTO!$AF$11),ROUND(ROUND([1]BM!#REF!,15-13*[1]BM!$A$9)*ROUND([1]BM!$H1,15-13*[1]ORÇAMENTO!$AF$10),15-13*[1]ORÇAMENTO!$AF$11)))</definedName>
    <definedName name="VTOTALBM" localSheetId="3" hidden="1">IF([1]BM!$I1=0,0,CHOOSE(MATCH('PONTE ALFORGES'!RegimeExecucao,{"Global","Unitário"},0),ROUND(ROUND([1]BM!#REF!,15-13*[1]BM!$A$9)/100*[1]BM!$I1,15-13*[1]ORÇAMENTO!$AF$11),ROUND(ROUND([1]BM!#REF!,15-13*[1]BM!$A$9)*ROUND([1]BM!$H1,15-13*[1]ORÇAMENTO!$AF$10),15-13*[1]ORÇAMENTO!$AF$11)))</definedName>
    <definedName name="VTOTALBM" localSheetId="4" hidden="1">IF([1]BM!$I1=0,0,CHOOSE(MATCH('PONTE ARROZAL'!RegimeExecucao,{"Global","Unitário"},0),ROUND(ROUND([1]BM!#REF!,15-13*[1]BM!$A$9)/100*[1]BM!$I1,15-13*[1]ORÇAMENTO!$AF$11),ROUND(ROUND([1]BM!#REF!,15-13*[1]BM!$A$9)*ROUND([1]BM!$H1,15-13*[1]ORÇAMENTO!$AF$10),15-13*[1]ORÇAMENTO!$AF$11)))</definedName>
    <definedName name="VTOTALBM" localSheetId="2" hidden="1">IF([1]BM!$I1=0,0,CHOOSE(MATCH('PONTE RIACHO'!RegimeExecucao,{"Global","Unitário"},0),ROUND(ROUND([1]BM!#REF!,15-13*[1]BM!$A$9)/100*[1]BM!$I1,15-13*[1]ORÇAMENTO!$AF$11),ROUND(ROUND([1]BM!#REF!,15-13*[1]BM!$A$9)*ROUND([1]BM!$H1,15-13*[1]ORÇAMENTO!$AF$10),15-13*[1]ORÇAMENTO!$AF$11)))</definedName>
    <definedName name="VTOTALBM" hidden="1">IF([1]BM!$I1=0,0,CHOOSE(MATCH(RegimeExecucao,{"Global","Unitário"},0),ROUND(ROUND([1]BM!#REF!,15-13*[1]BM!$A$9)/100*[1]BM!$I1,15-13*[1]ORÇAMENTO!$AF$11),ROUND(ROUND([1]BM!#REF!,15-13*[1]BM!$A$9)*ROUND([1]BM!$H1,15-13*[1]ORÇAMENTO!$AF$10),15-13*[1]ORÇAMENTO!$AF$11)))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9" l="1"/>
  <c r="M19" i="9"/>
  <c r="M35" i="9" s="1"/>
  <c r="M34" i="9" s="1"/>
  <c r="N19" i="9"/>
  <c r="N35" i="9" s="1"/>
  <c r="N34" i="9" s="1"/>
  <c r="I17" i="9"/>
  <c r="J17" i="9"/>
  <c r="J15" i="9"/>
  <c r="K15" i="9"/>
  <c r="L15" i="9"/>
  <c r="E19" i="9"/>
  <c r="F19" i="9" s="1"/>
  <c r="E17" i="9"/>
  <c r="K17" i="9" s="1"/>
  <c r="K35" i="9" s="1"/>
  <c r="K34" i="9" s="1"/>
  <c r="E15" i="9"/>
  <c r="M15" i="9" s="1"/>
  <c r="E13" i="9"/>
  <c r="E11" i="9"/>
  <c r="B49" i="9"/>
  <c r="B43" i="9"/>
  <c r="I34" i="18"/>
  <c r="J34" i="18" s="1"/>
  <c r="I33" i="18"/>
  <c r="J33" i="18" s="1"/>
  <c r="G33" i="18"/>
  <c r="I32" i="18"/>
  <c r="J32" i="18" s="1"/>
  <c r="G32" i="18"/>
  <c r="I31" i="18"/>
  <c r="J31" i="18" s="1"/>
  <c r="J30" i="18" s="1"/>
  <c r="I29" i="18"/>
  <c r="J29" i="18" s="1"/>
  <c r="I28" i="18"/>
  <c r="J28" i="18" s="1"/>
  <c r="G28" i="18"/>
  <c r="I27" i="18"/>
  <c r="J27" i="18" s="1"/>
  <c r="G27" i="18"/>
  <c r="I26" i="18"/>
  <c r="J26" i="18" s="1"/>
  <c r="G26" i="18"/>
  <c r="I24" i="18"/>
  <c r="G24" i="18"/>
  <c r="J24" i="18" s="1"/>
  <c r="I23" i="18"/>
  <c r="J23" i="18" s="1"/>
  <c r="J22" i="18" s="1"/>
  <c r="G23" i="18"/>
  <c r="J21" i="18"/>
  <c r="I21" i="18"/>
  <c r="G21" i="18"/>
  <c r="R20" i="18"/>
  <c r="I20" i="18"/>
  <c r="J20" i="18" s="1"/>
  <c r="I19" i="18"/>
  <c r="J19" i="18" s="1"/>
  <c r="J18" i="18"/>
  <c r="I18" i="18"/>
  <c r="I17" i="18"/>
  <c r="J17" i="18" s="1"/>
  <c r="G17" i="18"/>
  <c r="I16" i="18"/>
  <c r="J16" i="18" s="1"/>
  <c r="I15" i="18"/>
  <c r="J15" i="18" s="1"/>
  <c r="I15" i="9" l="1"/>
  <c r="N17" i="9"/>
  <c r="L19" i="9"/>
  <c r="M17" i="9"/>
  <c r="K19" i="9"/>
  <c r="N15" i="9"/>
  <c r="L17" i="9"/>
  <c r="L35" i="9" s="1"/>
  <c r="L34" i="9" s="1"/>
  <c r="J19" i="9"/>
  <c r="I19" i="9"/>
  <c r="J25" i="18"/>
  <c r="J14" i="18"/>
  <c r="J37" i="18" s="1"/>
  <c r="I34" i="17" l="1"/>
  <c r="J34" i="17" s="1"/>
  <c r="I33" i="17"/>
  <c r="J33" i="17" s="1"/>
  <c r="G33" i="17"/>
  <c r="I32" i="17"/>
  <c r="J32" i="17" s="1"/>
  <c r="G32" i="17"/>
  <c r="I31" i="17"/>
  <c r="J31" i="17" s="1"/>
  <c r="J30" i="17" s="1"/>
  <c r="G31" i="17"/>
  <c r="I29" i="17"/>
  <c r="J29" i="17" s="1"/>
  <c r="J28" i="17"/>
  <c r="I28" i="17"/>
  <c r="G28" i="17"/>
  <c r="I27" i="17"/>
  <c r="J27" i="17" s="1"/>
  <c r="G27" i="17"/>
  <c r="I26" i="17"/>
  <c r="J26" i="17" s="1"/>
  <c r="J25" i="17" s="1"/>
  <c r="G26" i="17"/>
  <c r="I24" i="17"/>
  <c r="J24" i="17" s="1"/>
  <c r="G24" i="17"/>
  <c r="J23" i="17"/>
  <c r="I23" i="17"/>
  <c r="G23" i="17"/>
  <c r="J21" i="17"/>
  <c r="I21" i="17"/>
  <c r="G21" i="17"/>
  <c r="R20" i="17"/>
  <c r="J20" i="17"/>
  <c r="I20" i="17"/>
  <c r="I19" i="17"/>
  <c r="J19" i="17" s="1"/>
  <c r="G19" i="17"/>
  <c r="I18" i="17"/>
  <c r="J18" i="17" s="1"/>
  <c r="I17" i="17"/>
  <c r="J17" i="17" s="1"/>
  <c r="G17" i="17"/>
  <c r="I16" i="17"/>
  <c r="J16" i="17" s="1"/>
  <c r="J15" i="17"/>
  <c r="I15" i="17"/>
  <c r="J22" i="17" l="1"/>
  <c r="J14" i="17"/>
  <c r="J37" i="17" s="1"/>
  <c r="I81" i="3" l="1"/>
  <c r="A74" i="3"/>
  <c r="B74" i="3"/>
  <c r="D74" i="3"/>
  <c r="E74" i="3"/>
  <c r="F74" i="3"/>
  <c r="G74" i="3"/>
  <c r="H74" i="3"/>
  <c r="I74" i="3"/>
  <c r="J74" i="3"/>
  <c r="A75" i="3"/>
  <c r="B75" i="3"/>
  <c r="D75" i="3"/>
  <c r="E75" i="3"/>
  <c r="F75" i="3"/>
  <c r="G75" i="3"/>
  <c r="H75" i="3"/>
  <c r="I75" i="3"/>
  <c r="J75" i="3"/>
  <c r="A76" i="3"/>
  <c r="B76" i="3"/>
  <c r="D76" i="3"/>
  <c r="E76" i="3"/>
  <c r="F76" i="3"/>
  <c r="G76" i="3"/>
  <c r="H76" i="3"/>
  <c r="I76" i="3"/>
  <c r="J76" i="3"/>
  <c r="A77" i="3"/>
  <c r="B77" i="3"/>
  <c r="D77" i="3"/>
  <c r="E77" i="3"/>
  <c r="F77" i="3"/>
  <c r="G77" i="3"/>
  <c r="H77" i="3"/>
  <c r="I77" i="3"/>
  <c r="J77" i="3"/>
  <c r="A78" i="3"/>
  <c r="B78" i="3"/>
  <c r="D78" i="3"/>
  <c r="E78" i="3"/>
  <c r="F78" i="3"/>
  <c r="G78" i="3"/>
  <c r="H78" i="3"/>
  <c r="I78" i="3"/>
  <c r="J78" i="3"/>
  <c r="A79" i="3"/>
  <c r="B79" i="3"/>
  <c r="D79" i="3"/>
  <c r="E79" i="3"/>
  <c r="F79" i="3"/>
  <c r="G79" i="3"/>
  <c r="H79" i="3"/>
  <c r="I79" i="3"/>
  <c r="J79" i="3"/>
  <c r="A80" i="3"/>
  <c r="B80" i="3"/>
  <c r="D80" i="3"/>
  <c r="E80" i="3"/>
  <c r="F80" i="3"/>
  <c r="G80" i="3"/>
  <c r="H80" i="3"/>
  <c r="I80" i="3"/>
  <c r="J80" i="3"/>
  <c r="A81" i="3"/>
  <c r="E81" i="3"/>
  <c r="J81" i="3"/>
  <c r="A82" i="3"/>
  <c r="B82" i="3"/>
  <c r="D82" i="3"/>
  <c r="E82" i="3"/>
  <c r="F82" i="3"/>
  <c r="G82" i="3"/>
  <c r="H82" i="3"/>
  <c r="I82" i="3"/>
  <c r="J82" i="3"/>
  <c r="A83" i="3"/>
  <c r="B83" i="3"/>
  <c r="D83" i="3"/>
  <c r="E83" i="3"/>
  <c r="F83" i="3"/>
  <c r="G83" i="3"/>
  <c r="H83" i="3"/>
  <c r="I83" i="3"/>
  <c r="J83" i="3"/>
  <c r="A84" i="3"/>
  <c r="E84" i="3"/>
  <c r="I84" i="3"/>
  <c r="J84" i="3"/>
  <c r="A85" i="3"/>
  <c r="B85" i="3"/>
  <c r="D85" i="3"/>
  <c r="E85" i="3"/>
  <c r="F85" i="3"/>
  <c r="G85" i="3"/>
  <c r="H85" i="3"/>
  <c r="I85" i="3"/>
  <c r="J85" i="3"/>
  <c r="A86" i="3"/>
  <c r="B86" i="3"/>
  <c r="D86" i="3"/>
  <c r="E86" i="3"/>
  <c r="F86" i="3"/>
  <c r="G86" i="3"/>
  <c r="H86" i="3"/>
  <c r="I86" i="3"/>
  <c r="J86" i="3"/>
  <c r="A87" i="3"/>
  <c r="B87" i="3"/>
  <c r="D87" i="3"/>
  <c r="E87" i="3"/>
  <c r="F87" i="3"/>
  <c r="G87" i="3"/>
  <c r="H87" i="3"/>
  <c r="I87" i="3"/>
  <c r="J87" i="3"/>
  <c r="A88" i="3"/>
  <c r="B88" i="3"/>
  <c r="D88" i="3"/>
  <c r="E88" i="3"/>
  <c r="F88" i="3"/>
  <c r="G88" i="3"/>
  <c r="H88" i="3"/>
  <c r="I88" i="3"/>
  <c r="J88" i="3"/>
  <c r="A89" i="3"/>
  <c r="E89" i="3"/>
  <c r="I89" i="3"/>
  <c r="J89" i="3"/>
  <c r="A90" i="3"/>
  <c r="B90" i="3"/>
  <c r="D90" i="3"/>
  <c r="E90" i="3"/>
  <c r="F90" i="3"/>
  <c r="G90" i="3"/>
  <c r="H90" i="3"/>
  <c r="I90" i="3"/>
  <c r="J90" i="3"/>
  <c r="A91" i="3"/>
  <c r="B91" i="3"/>
  <c r="D91" i="3"/>
  <c r="E91" i="3"/>
  <c r="F91" i="3"/>
  <c r="G91" i="3"/>
  <c r="H91" i="3"/>
  <c r="I91" i="3"/>
  <c r="J91" i="3"/>
  <c r="A92" i="3"/>
  <c r="B92" i="3"/>
  <c r="D92" i="3"/>
  <c r="E92" i="3"/>
  <c r="F92" i="3"/>
  <c r="G92" i="3"/>
  <c r="H92" i="3"/>
  <c r="I92" i="3"/>
  <c r="J92" i="3"/>
  <c r="A93" i="3"/>
  <c r="B93" i="3"/>
  <c r="D93" i="3"/>
  <c r="E93" i="3"/>
  <c r="F93" i="3"/>
  <c r="G93" i="3"/>
  <c r="H93" i="3"/>
  <c r="I93" i="3"/>
  <c r="J93" i="3"/>
  <c r="A94" i="3"/>
  <c r="B94" i="3"/>
  <c r="D94" i="3"/>
  <c r="E94" i="3"/>
  <c r="F94" i="3"/>
  <c r="G94" i="3"/>
  <c r="H94" i="3"/>
  <c r="I94" i="3"/>
  <c r="J94" i="3"/>
  <c r="A96" i="3"/>
  <c r="J96" i="3"/>
  <c r="E73" i="3"/>
  <c r="I73" i="3"/>
  <c r="J73" i="3"/>
  <c r="A73" i="3"/>
  <c r="I35" i="16"/>
  <c r="J35" i="16" s="1"/>
  <c r="I34" i="16"/>
  <c r="J34" i="16" s="1"/>
  <c r="G34" i="16"/>
  <c r="I33" i="16"/>
  <c r="J33" i="16" s="1"/>
  <c r="G33" i="16"/>
  <c r="I32" i="16"/>
  <c r="I31" i="16"/>
  <c r="J31" i="16" s="1"/>
  <c r="G31" i="16"/>
  <c r="G32" i="16" s="1"/>
  <c r="J29" i="16"/>
  <c r="I29" i="16"/>
  <c r="I28" i="16"/>
  <c r="J28" i="16" s="1"/>
  <c r="G28" i="16"/>
  <c r="I27" i="16"/>
  <c r="J27" i="16" s="1"/>
  <c r="G27" i="16"/>
  <c r="J26" i="16"/>
  <c r="J25" i="16" s="1"/>
  <c r="I26" i="16"/>
  <c r="G26" i="16"/>
  <c r="I24" i="16"/>
  <c r="J24" i="16" s="1"/>
  <c r="G24" i="16"/>
  <c r="I23" i="16"/>
  <c r="J23" i="16" s="1"/>
  <c r="J22" i="16" s="1"/>
  <c r="G23" i="16"/>
  <c r="I21" i="16"/>
  <c r="J21" i="16" s="1"/>
  <c r="R20" i="16"/>
  <c r="I20" i="16"/>
  <c r="J20" i="16" s="1"/>
  <c r="J19" i="16"/>
  <c r="I19" i="16"/>
  <c r="G19" i="16"/>
  <c r="I18" i="16"/>
  <c r="J18" i="16" s="1"/>
  <c r="I17" i="16"/>
  <c r="J17" i="16" s="1"/>
  <c r="G17" i="16"/>
  <c r="J16" i="16"/>
  <c r="I16" i="16"/>
  <c r="I15" i="16"/>
  <c r="J15" i="16" s="1"/>
  <c r="J32" i="16" l="1"/>
  <c r="J30" i="16" s="1"/>
  <c r="J14" i="16"/>
  <c r="J38" i="16" l="1"/>
  <c r="I59" i="3" l="1"/>
  <c r="B54" i="3"/>
  <c r="B55" i="3"/>
  <c r="B56" i="3"/>
  <c r="B57" i="3"/>
  <c r="B58" i="3"/>
  <c r="B60" i="3"/>
  <c r="B61" i="3"/>
  <c r="B62" i="3"/>
  <c r="B63" i="3"/>
  <c r="B64" i="3"/>
  <c r="B65" i="3"/>
  <c r="B66" i="3"/>
  <c r="B68" i="3"/>
  <c r="B69" i="3"/>
  <c r="B52" i="3"/>
  <c r="B46" i="3"/>
  <c r="B47" i="3"/>
  <c r="B48" i="3"/>
  <c r="B49" i="3"/>
  <c r="B50" i="3"/>
  <c r="B51" i="3"/>
  <c r="B45" i="3"/>
  <c r="A45" i="3"/>
  <c r="D45" i="3"/>
  <c r="E45" i="3"/>
  <c r="F45" i="3"/>
  <c r="G45" i="3"/>
  <c r="H45" i="3"/>
  <c r="A46" i="3"/>
  <c r="D46" i="3"/>
  <c r="E46" i="3"/>
  <c r="F46" i="3"/>
  <c r="G46" i="3"/>
  <c r="H46" i="3"/>
  <c r="A47" i="3"/>
  <c r="D47" i="3"/>
  <c r="E47" i="3"/>
  <c r="F47" i="3"/>
  <c r="H47" i="3"/>
  <c r="A48" i="3"/>
  <c r="D48" i="3"/>
  <c r="E48" i="3"/>
  <c r="F48" i="3"/>
  <c r="G48" i="3"/>
  <c r="H48" i="3"/>
  <c r="A49" i="3"/>
  <c r="D49" i="3"/>
  <c r="E49" i="3"/>
  <c r="F49" i="3"/>
  <c r="H49" i="3"/>
  <c r="A50" i="3"/>
  <c r="D50" i="3"/>
  <c r="E50" i="3"/>
  <c r="F50" i="3"/>
  <c r="G50" i="3"/>
  <c r="H50" i="3"/>
  <c r="A51" i="3"/>
  <c r="D51" i="3"/>
  <c r="E51" i="3"/>
  <c r="F51" i="3"/>
  <c r="G51" i="3"/>
  <c r="H51" i="3"/>
  <c r="A52" i="3"/>
  <c r="D52" i="3"/>
  <c r="E52" i="3"/>
  <c r="F52" i="3"/>
  <c r="H52" i="3"/>
  <c r="A53" i="3"/>
  <c r="E53" i="3"/>
  <c r="I53" i="3"/>
  <c r="A54" i="3"/>
  <c r="D54" i="3"/>
  <c r="E54" i="3"/>
  <c r="F54" i="3"/>
  <c r="H54" i="3"/>
  <c r="A55" i="3"/>
  <c r="D55" i="3"/>
  <c r="E55" i="3"/>
  <c r="F55" i="3"/>
  <c r="H55" i="3"/>
  <c r="A56" i="3"/>
  <c r="D56" i="3"/>
  <c r="E56" i="3"/>
  <c r="F56" i="3"/>
  <c r="H56" i="3"/>
  <c r="A57" i="3"/>
  <c r="D57" i="3"/>
  <c r="E57" i="3"/>
  <c r="F57" i="3"/>
  <c r="H57" i="3"/>
  <c r="A58" i="3"/>
  <c r="D58" i="3"/>
  <c r="E58" i="3"/>
  <c r="F58" i="3"/>
  <c r="H58" i="3"/>
  <c r="A59" i="3"/>
  <c r="E59" i="3"/>
  <c r="A60" i="3"/>
  <c r="D60" i="3"/>
  <c r="E60" i="3"/>
  <c r="F60" i="3"/>
  <c r="H60" i="3"/>
  <c r="A61" i="3"/>
  <c r="D61" i="3"/>
  <c r="E61" i="3"/>
  <c r="F61" i="3"/>
  <c r="H61" i="3"/>
  <c r="A62" i="3"/>
  <c r="D62" i="3"/>
  <c r="E62" i="3"/>
  <c r="F62" i="3"/>
  <c r="H62" i="3"/>
  <c r="A63" i="3"/>
  <c r="D63" i="3"/>
  <c r="E63" i="3"/>
  <c r="F63" i="3"/>
  <c r="H63" i="3"/>
  <c r="A64" i="3"/>
  <c r="D64" i="3"/>
  <c r="E64" i="3"/>
  <c r="F64" i="3"/>
  <c r="G64" i="3"/>
  <c r="H64" i="3"/>
  <c r="A65" i="3"/>
  <c r="D65" i="3"/>
  <c r="E65" i="3"/>
  <c r="F65" i="3"/>
  <c r="H65" i="3"/>
  <c r="A66" i="3"/>
  <c r="D66" i="3"/>
  <c r="E66" i="3"/>
  <c r="F66" i="3"/>
  <c r="H66" i="3"/>
  <c r="A67" i="3"/>
  <c r="E67" i="3"/>
  <c r="I67" i="3"/>
  <c r="A68" i="3"/>
  <c r="D68" i="3"/>
  <c r="E68" i="3"/>
  <c r="F68" i="3"/>
  <c r="H68" i="3"/>
  <c r="A69" i="3"/>
  <c r="D69" i="3"/>
  <c r="E69" i="3"/>
  <c r="F69" i="3"/>
  <c r="H69" i="3"/>
  <c r="A71" i="3"/>
  <c r="I44" i="3"/>
  <c r="E44" i="3"/>
  <c r="A44" i="3"/>
  <c r="I39" i="15"/>
  <c r="J39" i="15" s="1"/>
  <c r="J69" i="3" s="1"/>
  <c r="G39" i="15"/>
  <c r="G69" i="3" s="1"/>
  <c r="I38" i="15"/>
  <c r="J38" i="15" s="1"/>
  <c r="J37" i="15" s="1"/>
  <c r="J67" i="3" s="1"/>
  <c r="G38" i="15"/>
  <c r="G68" i="3" s="1"/>
  <c r="I36" i="15"/>
  <c r="G36" i="15"/>
  <c r="G66" i="3" s="1"/>
  <c r="I35" i="15"/>
  <c r="J35" i="15" s="1"/>
  <c r="J65" i="3" s="1"/>
  <c r="G35" i="15"/>
  <c r="G65" i="3" s="1"/>
  <c r="I34" i="15"/>
  <c r="J34" i="15" s="1"/>
  <c r="J64" i="3" s="1"/>
  <c r="I33" i="15"/>
  <c r="G33" i="15"/>
  <c r="G63" i="3" s="1"/>
  <c r="I32" i="15"/>
  <c r="J32" i="15" s="1"/>
  <c r="J62" i="3" s="1"/>
  <c r="G32" i="15"/>
  <c r="G62" i="3" s="1"/>
  <c r="I31" i="15"/>
  <c r="J31" i="15" s="1"/>
  <c r="J61" i="3" s="1"/>
  <c r="G31" i="15"/>
  <c r="G61" i="3" s="1"/>
  <c r="I30" i="15"/>
  <c r="G30" i="15"/>
  <c r="G60" i="3" s="1"/>
  <c r="I28" i="15"/>
  <c r="G28" i="15"/>
  <c r="G58" i="3" s="1"/>
  <c r="I27" i="15"/>
  <c r="J27" i="15" s="1"/>
  <c r="J57" i="3" s="1"/>
  <c r="G27" i="15"/>
  <c r="G57" i="3" s="1"/>
  <c r="I26" i="15"/>
  <c r="J26" i="15" s="1"/>
  <c r="J56" i="3" s="1"/>
  <c r="G26" i="15"/>
  <c r="G56" i="3" s="1"/>
  <c r="I25" i="15"/>
  <c r="G25" i="15"/>
  <c r="G55" i="3" s="1"/>
  <c r="I24" i="15"/>
  <c r="G24" i="15"/>
  <c r="G54" i="3" s="1"/>
  <c r="I22" i="15"/>
  <c r="J22" i="15" s="1"/>
  <c r="J52" i="3" s="1"/>
  <c r="G22" i="15"/>
  <c r="G52" i="3" s="1"/>
  <c r="I21" i="15"/>
  <c r="J21" i="15" s="1"/>
  <c r="J51" i="3" s="1"/>
  <c r="I20" i="15"/>
  <c r="J20" i="15" s="1"/>
  <c r="J50" i="3" s="1"/>
  <c r="I19" i="15"/>
  <c r="G19" i="15"/>
  <c r="G49" i="3" s="1"/>
  <c r="I18" i="15"/>
  <c r="I48" i="3" s="1"/>
  <c r="I17" i="15"/>
  <c r="J17" i="15" s="1"/>
  <c r="J47" i="3" s="1"/>
  <c r="G17" i="15"/>
  <c r="G47" i="3" s="1"/>
  <c r="I16" i="15"/>
  <c r="J16" i="15" s="1"/>
  <c r="J46" i="3" s="1"/>
  <c r="I15" i="15"/>
  <c r="J15" i="15" s="1"/>
  <c r="J45" i="3" s="1"/>
  <c r="J36" i="15" l="1"/>
  <c r="J66" i="3" s="1"/>
  <c r="J18" i="15"/>
  <c r="J48" i="3" s="1"/>
  <c r="J24" i="15"/>
  <c r="J54" i="3" s="1"/>
  <c r="J28" i="15"/>
  <c r="J58" i="3" s="1"/>
  <c r="J33" i="15"/>
  <c r="J63" i="3" s="1"/>
  <c r="J19" i="15"/>
  <c r="J49" i="3" s="1"/>
  <c r="J25" i="15"/>
  <c r="J55" i="3" s="1"/>
  <c r="J30" i="15"/>
  <c r="J68" i="3"/>
  <c r="I69" i="3"/>
  <c r="I68" i="3"/>
  <c r="I66" i="3"/>
  <c r="I65" i="3"/>
  <c r="I64" i="3"/>
  <c r="I63" i="3"/>
  <c r="I62" i="3"/>
  <c r="I61" i="3"/>
  <c r="I60" i="3"/>
  <c r="I58" i="3"/>
  <c r="I57" i="3"/>
  <c r="I56" i="3"/>
  <c r="I55" i="3"/>
  <c r="I54" i="3"/>
  <c r="I52" i="3"/>
  <c r="I51" i="3"/>
  <c r="I50" i="3"/>
  <c r="I49" i="3"/>
  <c r="I47" i="3"/>
  <c r="I46" i="3"/>
  <c r="I45" i="3"/>
  <c r="J14" i="15"/>
  <c r="I23" i="3"/>
  <c r="G23" i="3"/>
  <c r="G37" i="3"/>
  <c r="G32" i="3"/>
  <c r="G29" i="3"/>
  <c r="G28" i="3"/>
  <c r="G27" i="3"/>
  <c r="G25" i="3"/>
  <c r="G20" i="3"/>
  <c r="G18" i="3"/>
  <c r="G36" i="3"/>
  <c r="I16" i="3"/>
  <c r="J44" i="3" l="1"/>
  <c r="J23" i="15"/>
  <c r="J53" i="3" s="1"/>
  <c r="J29" i="15"/>
  <c r="J59" i="3" s="1"/>
  <c r="J60" i="3"/>
  <c r="J23" i="3"/>
  <c r="G26" i="3"/>
  <c r="I31" i="3"/>
  <c r="I37" i="3"/>
  <c r="I36" i="3"/>
  <c r="I35" i="3"/>
  <c r="J35" i="3" s="1"/>
  <c r="I22" i="3"/>
  <c r="J22" i="3" s="1"/>
  <c r="I27" i="3"/>
  <c r="I32" i="3"/>
  <c r="I33" i="3"/>
  <c r="I26" i="3"/>
  <c r="I25" i="3"/>
  <c r="J41" i="15" l="1"/>
  <c r="J71" i="3" s="1"/>
  <c r="J26" i="3"/>
  <c r="J37" i="3"/>
  <c r="J32" i="3"/>
  <c r="J25" i="3"/>
  <c r="J27" i="3"/>
  <c r="J33" i="3"/>
  <c r="J31" i="3"/>
  <c r="J36" i="3"/>
  <c r="I29" i="3" l="1"/>
  <c r="J29" i="3" s="1"/>
  <c r="I28" i="3"/>
  <c r="J28" i="3" s="1"/>
  <c r="J24" i="3" l="1"/>
  <c r="I40" i="3" l="1"/>
  <c r="I39" i="3"/>
  <c r="I34" i="3"/>
  <c r="I17" i="3"/>
  <c r="I18" i="3"/>
  <c r="I19" i="3"/>
  <c r="I20" i="3"/>
  <c r="J20" i="3" s="1"/>
  <c r="I21" i="3"/>
  <c r="J21" i="3" s="1"/>
  <c r="D8" i="9"/>
  <c r="I8" i="9"/>
  <c r="I7" i="9"/>
  <c r="A8" i="9"/>
  <c r="A7" i="9"/>
  <c r="J34" i="3" l="1"/>
  <c r="J30" i="3" s="1"/>
  <c r="J40" i="3"/>
  <c r="J17" i="3"/>
  <c r="J18" i="3"/>
  <c r="J19" i="3"/>
  <c r="J39" i="3" l="1"/>
  <c r="J38" i="3" s="1"/>
  <c r="J16" i="3"/>
  <c r="J15" i="3" s="1"/>
  <c r="J42" i="3" l="1"/>
  <c r="J146" i="3" s="1"/>
  <c r="J33" i="9" l="1"/>
  <c r="I33" i="9"/>
  <c r="H33" i="9"/>
  <c r="G33" i="9"/>
  <c r="F33" i="9"/>
  <c r="J31" i="9"/>
  <c r="I31" i="9"/>
  <c r="H31" i="9"/>
  <c r="G31" i="9"/>
  <c r="F31" i="9"/>
  <c r="J29" i="9"/>
  <c r="I29" i="9"/>
  <c r="H29" i="9"/>
  <c r="G29" i="9"/>
  <c r="F29" i="9"/>
  <c r="J27" i="9"/>
  <c r="I27" i="9"/>
  <c r="H27" i="9"/>
  <c r="G27" i="9"/>
  <c r="F27" i="9"/>
  <c r="J25" i="9"/>
  <c r="I25" i="9"/>
  <c r="H25" i="9"/>
  <c r="G25" i="9"/>
  <c r="F25" i="9"/>
  <c r="J23" i="9"/>
  <c r="I23" i="9"/>
  <c r="H23" i="9"/>
  <c r="G23" i="9"/>
  <c r="F23" i="9"/>
  <c r="J21" i="9"/>
  <c r="I21" i="9"/>
  <c r="H21" i="9"/>
  <c r="G21" i="9"/>
  <c r="F21" i="9"/>
  <c r="J13" i="9"/>
  <c r="I13" i="9"/>
  <c r="H13" i="9"/>
  <c r="G13" i="9"/>
  <c r="F13" i="9"/>
  <c r="J11" i="9"/>
  <c r="I11" i="9"/>
  <c r="H11" i="9"/>
  <c r="G11" i="9"/>
  <c r="F11" i="9"/>
  <c r="G19" i="9" l="1"/>
  <c r="E35" i="9"/>
  <c r="E14" i="9" s="1"/>
  <c r="H15" i="9"/>
  <c r="J35" i="9"/>
  <c r="I35" i="9"/>
  <c r="F15" i="9"/>
  <c r="G15" i="9"/>
  <c r="G17" i="9" l="1"/>
  <c r="G35" i="9" s="1"/>
  <c r="G34" i="9" s="1"/>
  <c r="F17" i="9"/>
  <c r="F35" i="9" s="1"/>
  <c r="F34" i="9" s="1"/>
  <c r="H17" i="9"/>
  <c r="H34" i="9" s="1"/>
  <c r="J34" i="9"/>
  <c r="I34" i="9"/>
  <c r="F7" i="9"/>
  <c r="E10" i="9"/>
  <c r="E16" i="9"/>
  <c r="E12" i="9"/>
  <c r="E18" i="9"/>
  <c r="E34" i="9" l="1"/>
</calcChain>
</file>

<file path=xl/sharedStrings.xml><?xml version="1.0" encoding="utf-8"?>
<sst xmlns="http://schemas.openxmlformats.org/spreadsheetml/2006/main" count="918" uniqueCount="184">
  <si>
    <t>ITEM</t>
  </si>
  <si>
    <t>FONTE</t>
  </si>
  <si>
    <t>CÓDIGO</t>
  </si>
  <si>
    <t>DESCRIÇÃO</t>
  </si>
  <si>
    <t>UNIDADE</t>
  </si>
  <si>
    <t>QUANTIDADE</t>
  </si>
  <si>
    <t>CUSTO UNITÁRIO SEM BDI (R$)</t>
  </si>
  <si>
    <t>PREÇO UNITÁRIO COM BDI (R$)</t>
  </si>
  <si>
    <t>PREÇO TOTAL (R$)</t>
  </si>
  <si>
    <t>PLANILHA ORÇAMENTÁRIA</t>
  </si>
  <si>
    <t>(   )</t>
  </si>
  <si>
    <t>DIRETA</t>
  </si>
  <si>
    <t>INDIRETA</t>
  </si>
  <si>
    <t xml:space="preserve">BDI: </t>
  </si>
  <si>
    <t>FORMA DE EXECUÇÃO</t>
  </si>
  <si>
    <t>TOTA GERAL DA OBRA</t>
  </si>
  <si>
    <t>Miguel César Feliciano - Eng. Civil - CREA-MG 202.020/D</t>
  </si>
  <si>
    <t>SETOP</t>
  </si>
  <si>
    <t>M2</t>
  </si>
  <si>
    <t>( X )</t>
  </si>
  <si>
    <t>M3</t>
  </si>
  <si>
    <t>1.1</t>
  </si>
  <si>
    <t>TOTAL</t>
  </si>
  <si>
    <t>CRONOGRAMA FÍSICO-FINANCEIRO</t>
  </si>
  <si>
    <t>ETAPAS/DESCRIÇÃO</t>
  </si>
  <si>
    <t>FÍSICO/ FINANCEIRO</t>
  </si>
  <si>
    <t>TOTAL  ETAPAS</t>
  </si>
  <si>
    <t>MÊS 1</t>
  </si>
  <si>
    <t>MÊS 2</t>
  </si>
  <si>
    <t>MÊS 3</t>
  </si>
  <si>
    <t>MÊS 4</t>
  </si>
  <si>
    <t>MÊS 5</t>
  </si>
  <si>
    <t>MÊS 6</t>
  </si>
  <si>
    <t>Físico %</t>
  </si>
  <si>
    <t>Financeiro</t>
  </si>
  <si>
    <t xml:space="preserve"> </t>
  </si>
  <si>
    <t>Observações:</t>
  </si>
  <si>
    <t xml:space="preserve">        Prefeitura Municipal de Morada Nova de Minas</t>
  </si>
  <si>
    <t xml:space="preserve">                        Av. Cel. Sebastião Pereira M. e Castro, 315, Centro - CEP 35628000</t>
  </si>
  <si>
    <t xml:space="preserve">                CNPJ 18.296.665/0001-50</t>
  </si>
  <si>
    <r>
      <t xml:space="preserve">PREFEITURA: </t>
    </r>
    <r>
      <rPr>
        <sz val="9"/>
        <color theme="1"/>
        <rFont val="Calibri"/>
        <family val="2"/>
        <scheme val="minor"/>
      </rPr>
      <t>PREFEITURA MUNICIPAL DE MORADA NOVA DE MINAS</t>
    </r>
  </si>
  <si>
    <t>SERVIÇOS PRELIMINARES</t>
  </si>
  <si>
    <t>2.1</t>
  </si>
  <si>
    <t>2.2</t>
  </si>
  <si>
    <t>UN</t>
  </si>
  <si>
    <t>3.1</t>
  </si>
  <si>
    <t>3.2</t>
  </si>
  <si>
    <t>M</t>
  </si>
  <si>
    <t>SUB-TOTAL</t>
  </si>
  <si>
    <t>VALOR DA OBRA:</t>
  </si>
  <si>
    <t xml:space="preserve">                                         Av. Cel. Sebastião Pereira M. e Castro, 315, Centro - CEP 35628000</t>
  </si>
  <si>
    <t xml:space="preserve">                              CNPJ 18.296.665/0001-50</t>
  </si>
  <si>
    <t>Hermano Álvares Francisco de Moura - Prefeito Municipal</t>
  </si>
  <si>
    <t>MOBILIZAÇÃO E DESMOBILIZAÇÃO DE CONTAINER, INCLUSIVE CARGA, DESCARGA E TRANSPORTE EM CAMINHÃO CARROCERIA COM GUINDAUTO (MUNCK), EXCLUSIVE LOCAÇÃO DO CONTAINER</t>
  </si>
  <si>
    <t>1.2</t>
  </si>
  <si>
    <t>ED-50137</t>
  </si>
  <si>
    <t>ED-16350</t>
  </si>
  <si>
    <t>MÊS</t>
  </si>
  <si>
    <t>SUPERESTRUTURA</t>
  </si>
  <si>
    <t>RO-00542</t>
  </si>
  <si>
    <t>ARMAÇÃO DE AÇO CA-50 PARA OBRAS DE ARTES ESPECIAIS - FORNECIMENTO, PREPARO E COLOCAÇÃO</t>
  </si>
  <si>
    <t>KG</t>
  </si>
  <si>
    <t>FORNECIMENTO DE CONCRETO ESTRUTURAL, USINADO, COM FCK 35MPA, INCLUSIVE LANÇAMENTO, ADENSAMENTO E ACABAMENTO</t>
  </si>
  <si>
    <t>ED-49632</t>
  </si>
  <si>
    <t>SERVIÇO COMPLEMENTARES</t>
  </si>
  <si>
    <t>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t>
  </si>
  <si>
    <t>1.3</t>
  </si>
  <si>
    <t>ED-48485</t>
  </si>
  <si>
    <t>REMOÇÃO MANUAL DE PISO DE TÁBUAS, COM REAPROVEITAMENTO, INCLUSIVE AFASTAMENTO E
EMPILHAMENTO, EXCLUSIVE TRANSPORTE E RETIRADA DO MATERIAL REMOVIDO NÃO REAPROVEITÁVEL</t>
  </si>
  <si>
    <t>1.4</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</si>
  <si>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</si>
  <si>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</si>
  <si>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 xml:space="preserve"> GRUPO GERADOR REBOCÁVEL, POTÊNCIA 66 KVA, MOTOR A DIESEL - CHP DIURNO. AF_03/2016</t>
  </si>
  <si>
    <t>1.6</t>
  </si>
  <si>
    <t>SINAPI</t>
  </si>
  <si>
    <t>H</t>
  </si>
  <si>
    <t>1.5</t>
  </si>
  <si>
    <t>LOCAÇÃO CONVENCIONAL DE OBRA, UTILIZANDO GABARITO DE TÁBUAS CORRIDAS PONTALETADAS A CADA 2,00M - 2 UTILIZAÇÕES. AF_03/2024</t>
  </si>
  <si>
    <t>4.1</t>
  </si>
  <si>
    <t>4.2</t>
  </si>
  <si>
    <t>ART:</t>
  </si>
  <si>
    <t>FÔRMA E DESFORMA PARA CORTINA DE CONCRETO OU PAREDE ESTRUTURAL (VIGA-PAREDE), ALTURA MÁXIMA DE 360CM, COM CHAPA DE COMPENSADO PLASTIFICADO, ESP. 18MM, REAPROVEITAMENTO (3X), INCLUSIVE TRAVAMENTO COM TIRANTES EM ARAME E ESCORA PARA PRUMO EM MADEIRA</t>
  </si>
  <si>
    <t>ED-15690</t>
  </si>
  <si>
    <t>2.3</t>
  </si>
  <si>
    <t>2.4</t>
  </si>
  <si>
    <t>2.5</t>
  </si>
  <si>
    <t>ESCAVAÇÃO BLOCO</t>
  </si>
  <si>
    <t>RO-00218</t>
  </si>
  <si>
    <t>ESCAVAÇÃO MANUAL DE VALA EM MATERIAL DE 1ª CATEGORIA NA PROFUNDIDADE DE 0 A 1,50 M</t>
  </si>
  <si>
    <t>PERFURAÇÃO MANUAL DE ESTACA TIPO BROCA A TRADO, INCLUSIVE AFASTAMENTO, EXCLUSIVE ARMAÇÃO, CONCRETO ESTRUTURAL, TRANSPORTE E RETIRADA DO MATERIAL ESCAVADO</t>
  </si>
  <si>
    <t>ED-29801</t>
  </si>
  <si>
    <t>ESCAVAÇÃO ESTACA</t>
  </si>
  <si>
    <t>INFRAESTRUTURA (ESTACA E BLOCO)</t>
  </si>
  <si>
    <t>REGULARIZAÇÃO MANUAL E COMPACTAÇÃO MECANIZADA DE TERRENO COM PLACA VIBRATÓRIA, EXCLUSIVE DESMATAMENTO,  DESTOCAMENTO, LIMPEZA/ROÇADA DO TERRENO</t>
  </si>
  <si>
    <t>ED-51123</t>
  </si>
  <si>
    <t>RETROESCAVADEIRA SOBRE RODAS COM CARREGADEIRA, TRAÇÃO 4X4, POTÊNCIA LÍQ. 72 HP, CAÇAMBA
CARREG. CAP. MÍN. 0,79 M3, CAÇAMBA RETRO CAP. 0,18 M3, PESO OPERACIONAL MÍN. 7.140 KG,
PROFUNDIDADE ESCAVAÇÃO MÁX. 4,50 M - CHP DIURNO. AF_06/2014</t>
  </si>
  <si>
    <t>1.7</t>
  </si>
  <si>
    <t>CHP</t>
  </si>
  <si>
    <t>estaca e bloco</t>
  </si>
  <si>
    <t>Berço das aduelas, cortina</t>
  </si>
  <si>
    <t>cortina</t>
  </si>
  <si>
    <t>cortina, pilar e viga</t>
  </si>
  <si>
    <t>CARGA, MANOBRA E DESCARGA DE MATERIAIS DIVERSOS EM CAMINHÃO CARROCERIA DE 15 T - CARGA E DESCARGA COM CAMINHÃO GUINDAUTO DE 20 T.M</t>
  </si>
  <si>
    <t>RO-00856</t>
  </si>
  <si>
    <t>T</t>
  </si>
  <si>
    <t>ESCAVAÇÃO, CARGA E TRANSPORTE DE MATERIAL DE 1ª CATEGORIA - EXECUTADO COM ESCAVADEIRA DE 1,40 M3 E CAMINHÃO BASCULANTE DE 12 M3 E COM CAMINHO DE SERVIÇO EM LEITO NATURAL - DMT DE 800 A 1.000 M</t>
  </si>
  <si>
    <t>RO-00050</t>
  </si>
  <si>
    <t>TRANSPORTE COM CAMINHÃO CARROCERIA 15T DE 10 M³, EM VIA URBANA PAVIMENTADA, ADICIONAL PARA DMT EXCEDENTE A 30 KM (UNIDADE: TXKM). AF_02/2026</t>
  </si>
  <si>
    <t>TXKM</t>
  </si>
  <si>
    <t>ESPALHAMENTO E COMPATAÇÃO</t>
  </si>
  <si>
    <t>REGULARIZAÇÃO E COMPACTAÇÃO MECÂNICA DE TERRENO COM ROLO VIBRATÓRIO, EXCLUSIVE DESMATAMENTO, DESTOCAMENTO, LIMPEZA/ROÇADA DO TERRENO</t>
  </si>
  <si>
    <t>ED-51124</t>
  </si>
  <si>
    <t>LIMPEZA E PREPARAÇÃO DO TERRENO</t>
  </si>
  <si>
    <t>LOCAÇÃO DA OBRA</t>
  </si>
  <si>
    <t>REGULARIZAÇÃO E COMPACTAÇÃO DO BERÇO</t>
  </si>
  <si>
    <t>Regularização e compactação DO BLOCO</t>
  </si>
  <si>
    <t>ESCAVAÇÃO, CARGA E TRANSPORTE DE MATERIAL PARA ATERRO</t>
  </si>
  <si>
    <r>
      <t xml:space="preserve">PRAZO DE EXECUÇÃO: 2 </t>
    </r>
    <r>
      <rPr>
        <sz val="9"/>
        <color theme="1"/>
        <rFont val="Calibri"/>
        <family val="2"/>
        <scheme val="minor"/>
      </rPr>
      <t>MÊSES</t>
    </r>
  </si>
  <si>
    <t>3.3</t>
  </si>
  <si>
    <t>3.4</t>
  </si>
  <si>
    <t>3.5</t>
  </si>
  <si>
    <t>3.6</t>
  </si>
  <si>
    <t>3.7</t>
  </si>
  <si>
    <t>ADUELA/ GALERIA FECHADA PRE-MOLDADA DE CONCRETO ARMADO, SECAO QUADRANGULAR INTERNA DE 3,00 X 3,00 M (L X A), MISULA DE 20 X 20 CM, C = 1,00 M, ESPESSURA MIN = 20 CM, TB-45 E FCK DO CONCRETO = 30MPA FORNECIMENTO E ASSENTAMENTO. AF_01/2023</t>
  </si>
  <si>
    <r>
      <t xml:space="preserve">REGIÃO/MÊS DE REFERÊNCIA: </t>
    </r>
    <r>
      <rPr>
        <sz val="9"/>
        <rFont val="Calibri"/>
        <family val="2"/>
        <scheme val="minor"/>
      </rPr>
      <t>SETOP - R. CENTRAL - JAN. 2026/SINAPI - MARÇO 2026 - SEM DESONERAÇÃO</t>
    </r>
  </si>
  <si>
    <t>DATA: 15/06/2026</t>
  </si>
  <si>
    <t>1.8</t>
  </si>
  <si>
    <t>CP</t>
  </si>
  <si>
    <t>TRANSPORTE PLUVIAL</t>
  </si>
  <si>
    <t>DIA</t>
  </si>
  <si>
    <t>ASSENTAMENTO ADUELA CAPELINHA</t>
  </si>
  <si>
    <t>ASSENTAMENTO ADUELA PALMEIRAS</t>
  </si>
  <si>
    <t>PONTE RIACHO</t>
  </si>
  <si>
    <t>PONTE ALFORGEZ</t>
  </si>
  <si>
    <t>PONTE ARROZAL</t>
  </si>
  <si>
    <t>SUB TOTAL</t>
  </si>
  <si>
    <r>
      <t>OBRA: ASSENTAMENTO DE ADUELAS</t>
    </r>
    <r>
      <rPr>
        <sz val="9"/>
        <color theme="1"/>
        <rFont val="Calibri"/>
        <family val="2"/>
        <scheme val="minor"/>
      </rPr>
      <t xml:space="preserve"> CAPELINHA</t>
    </r>
  </si>
  <si>
    <r>
      <t xml:space="preserve">LOCAL: </t>
    </r>
    <r>
      <rPr>
        <sz val="9"/>
        <color theme="1"/>
        <rFont val="Calibri"/>
        <family val="2"/>
        <scheme val="minor"/>
      </rPr>
      <t>PASSAGEM REGIÃO CAPELINHA - LAT.: 18º33'3.22"S - LONG.: 45º30'34.44"O</t>
    </r>
  </si>
  <si>
    <t>ADUELA/ GALERIA FECHADA PRE-MOLDADA DE CONCRETO ARMADO, SECAO QUADRANGULAR INTERNA DE 2,50 X 2,50 M (L X A), MISULA DE 20 X 20 CM, C = 1,00 M, ESPESSURA MIN = 15 CM, TB-45 E FCK DO CONCRETO = 30 MPA FORNECIMENTO E ASSENTAMENTO. AF_01/2023</t>
  </si>
  <si>
    <t>OBRA: ASSENTAMENTO DE ADUELAS CÓRREGO PALMEIRAS E NA GROTA CAPELINHA - PONTE DO RIACHO, ALFORGEZ E ARROZAL</t>
  </si>
  <si>
    <t>LOCAL: REGIÃO DO TRAÇADAL E LAGOINHA</t>
  </si>
  <si>
    <r>
      <t xml:space="preserve">PRAZO DE EXECUÇÃO: 12 </t>
    </r>
    <r>
      <rPr>
        <sz val="9"/>
        <color theme="1"/>
        <rFont val="Calibri"/>
        <family val="2"/>
        <scheme val="minor"/>
      </rPr>
      <t>MÊSES</t>
    </r>
  </si>
  <si>
    <t>ASSENTAMENTO DE ADUELA CÓRREGO PALMEIRAS</t>
  </si>
  <si>
    <t>ASSENTAMENTO ADUELA GROTA CAPELINHA</t>
  </si>
  <si>
    <r>
      <t xml:space="preserve">OBRA: </t>
    </r>
    <r>
      <rPr>
        <sz val="9"/>
        <color theme="1"/>
        <rFont val="Calibri"/>
        <family val="2"/>
        <scheme val="minor"/>
      </rPr>
      <t xml:space="preserve">Ponte de 9m </t>
    </r>
  </si>
  <si>
    <r>
      <t xml:space="preserve">LOCAL: </t>
    </r>
    <r>
      <rPr>
        <sz val="9"/>
        <rFont val="Calibri"/>
        <family val="2"/>
        <scheme val="minor"/>
      </rPr>
      <t>Córrego Riacho (Região Traçadal e Pindaíbas) - Lat. 18º 25' 19.77" S - Longit. 45º 28' 5.79" O</t>
    </r>
  </si>
  <si>
    <r>
      <t xml:space="preserve">REGIÃO/MÊS DE REFERÊNCIA: </t>
    </r>
    <r>
      <rPr>
        <sz val="9"/>
        <rFont val="Calibri"/>
        <family val="2"/>
        <scheme val="minor"/>
      </rPr>
      <t>SETOP - R. CENTRAL - JAN. 2026/SINAPI - MARÇO 2026/ SICRO - JAN. 2026 - SEM DESONERAÇÃO</t>
    </r>
  </si>
  <si>
    <r>
      <t xml:space="preserve">PRAZO DE EXECUÇÃO: 3 </t>
    </r>
    <r>
      <rPr>
        <sz val="9"/>
        <color theme="1"/>
        <rFont val="Calibri"/>
        <family val="2"/>
        <scheme val="minor"/>
      </rPr>
      <t>MÊSES</t>
    </r>
  </si>
  <si>
    <t xml:space="preserve">ART: </t>
  </si>
  <si>
    <t>TRANSPORTE FLUVIAL</t>
  </si>
  <si>
    <t>MESOESTRUTURA (TRANSVERSINAS)</t>
  </si>
  <si>
    <t>ED-49664</t>
  </si>
  <si>
    <t>FORNECIMENTO DE ESTRUTURA METÁLICA EM PERFIL LAMINADO, INCLUSIVE FABRICAÇÃO, TRANSPORTE, MONTAGEM E APLICAÇÃO DE FUNDO PREPARADOR ANTICORROSIVO EM SUPERFÍCIE METÁLICA, UMA (1) DEMÃO</t>
  </si>
  <si>
    <t>22,5KG/M</t>
  </si>
  <si>
    <t>2.3.</t>
  </si>
  <si>
    <t>ED-50495</t>
  </si>
  <si>
    <t>PINTURA ESMALTE BASE SOLVENTE EM SUPERFÍCIES METÁLICAS , DUAS (2) DEMÃOS, COM APLICAÇÃO MANUAL, INCLUSIVE UMA (1)  DEMÃO DE FUNDO ANTICORROSIVO</t>
  </si>
  <si>
    <t>RO-01089</t>
  </si>
  <si>
    <t>TELHA-FÔRMA EM AÇO GAÇVANIZADO ASTM A653 GRAU 40- E= 1,25MM - FORNECIMENTO E INSTALAÇÃO</t>
  </si>
  <si>
    <t>SICRO</t>
  </si>
  <si>
    <t>DRENO DE PVC D=100MM PARA OAE - FORNECIMENTO E INSTALAÇÃO</t>
  </si>
  <si>
    <t>COLOCAR NO PROJETO</t>
  </si>
  <si>
    <t>ED-20478</t>
  </si>
  <si>
    <t>PERFIL "UDC" ENRIJECIDO DOBRADO DE CHAPA (MATERIAL: AÇO PATINÁVEL|DIMENSÕES: 200X75X20MM|ESPESSURA: 2,25MM|MASSA LINEAR: 6,66KG/M) - FORNECIMENTO, EXCLUSIVE SERVIÇO DE MONTAGEM/INSTALAÇÃO.</t>
  </si>
  <si>
    <t>4.3</t>
  </si>
  <si>
    <t>20,46kg/m</t>
  </si>
  <si>
    <t>conectores de cisalhamento</t>
  </si>
  <si>
    <t>4.4</t>
  </si>
  <si>
    <t>ED-50428</t>
  </si>
  <si>
    <t>LANÇAMENTO DE VIGA PARA PONTE, EXCLUSIVE FORNECIMENTO , DESCARGA E TRANSPORTE - PROJETO PADRÃO SEINFRA-MG</t>
  </si>
  <si>
    <t>4.5</t>
  </si>
  <si>
    <t>ED-29091</t>
  </si>
  <si>
    <t>TRANSPORTE DE VIGA OU TABULEIRO PARA PONTE (CUSTO FIXO ), INCLUSIVE CARGA, EXCLUSIVE FORNECIMENTO , DESCARGA E TRANSPORTE EM QUILÔMETRO RODADO (CUSTO VARIÁVEL)</t>
  </si>
  <si>
    <r>
      <t xml:space="preserve">OBRA: </t>
    </r>
    <r>
      <rPr>
        <sz val="9"/>
        <color theme="1"/>
        <rFont val="Calibri"/>
        <family val="2"/>
        <scheme val="minor"/>
      </rPr>
      <t xml:space="preserve">Ponte de 10m </t>
    </r>
  </si>
  <si>
    <r>
      <t xml:space="preserve">LOCAL: </t>
    </r>
    <r>
      <rPr>
        <sz val="9"/>
        <color theme="1"/>
        <rFont val="Calibri"/>
        <family val="2"/>
        <scheme val="minor"/>
      </rPr>
      <t>Córrego Alforges (Região Traçadal e Pindaíbas) - Lat. 18º 26' 57.00" S - Longit. 45º 28' 34.44" O</t>
    </r>
  </si>
  <si>
    <t>un</t>
  </si>
  <si>
    <t>PONTE ALFORGES</t>
  </si>
  <si>
    <r>
      <t xml:space="preserve">OBRA: </t>
    </r>
    <r>
      <rPr>
        <sz val="9"/>
        <color theme="1"/>
        <rFont val="Calibri"/>
        <family val="2"/>
        <scheme val="minor"/>
      </rPr>
      <t xml:space="preserve">Ponte de 12m </t>
    </r>
  </si>
  <si>
    <r>
      <t xml:space="preserve">LOCAL: </t>
    </r>
    <r>
      <rPr>
        <sz val="9"/>
        <color theme="1"/>
        <rFont val="Calibri"/>
        <family val="2"/>
        <scheme val="minor"/>
      </rPr>
      <t>Córrego Arrozal (Região Traçadal e Pindaíbas) - Lat. 18º 28' 51.39" S - Longit. 45º 30' 28.26" O</t>
    </r>
  </si>
  <si>
    <t>TELHA-FÔRMA EM AÇO GALVANIZADO ASTM A653 GRAU 40- E= 1,25MM - FORNECIMENTO E INSTALAÇÃO</t>
  </si>
  <si>
    <t>TOTAL GERAL DA OBRA</t>
  </si>
  <si>
    <t>MÊS 7</t>
  </si>
  <si>
    <t>MÊS 8</t>
  </si>
  <si>
    <t>MÊS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</si>
</sst>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164" formatCode="_-[$R$-416]\ * #,##0.00_-;\-[$R$-416]\ * #,##0.00_-;_-[$R$-416]\ * &quot;-&quot;??_-;_-@_-"/>
    <numFmt numFmtId="165" formatCode="0.00\ #%#"/>
    <numFmt numFmtId="166" formatCode="_(* #,##0.00_);_(* \(#,##0.00\);_(* &quot;-&quot;??_);_(@_)"/>
    <numFmt numFmtId="167" formatCode="&quot;R$ &quot;#,##0.00"/>
    <numFmt numFmtId="168" formatCode="_-&quot;R$&quot;\ * #,##0.000_-;\-&quot;R$&quot;\ * #,##0.000_-;_-&quot;R$&quot;\ * &quot;-&quot;??_-;_-@_-"/>
  </numFmts>
  <fonts count="31" x14ac:knownFonts="1">
    <font>
      <sz val="11"/>
      <color theme="1"/>
      <name val="Calibri"/>
      <family val="2"/>
      <scheme val="minor"/>
    </font>
    <font>
      <sz val="9"/>
      <color theme="1"/>
      <name val="Calibri"/>
      <family val="2"/>
      <scheme val="minor"/>
    </font>
    <font>
      <sz val="8"/>
      <color theme="1"/>
      <name val="Calibri"/>
      <family val="2"/>
      <scheme val="minor"/>
    </font>
    <font>
      <b/>
      <sz val="8"/>
      <color theme="1"/>
      <name val="Calibri"/>
      <family val="2"/>
      <scheme val="minor"/>
    </font>
    <font>
      <b/>
      <sz val="9"/>
      <color theme="1"/>
      <name val="Calibri"/>
      <family val="2"/>
      <scheme val="minor"/>
    </font>
    <font>
      <b/>
      <sz val="12"/>
      <color theme="1"/>
      <name val="Calibri"/>
      <family val="2"/>
      <scheme val="minor"/>
    </font>
    <font>
      <b/>
      <sz val="18"/>
      <color theme="1"/>
      <name val="Bookman Old Style"/>
      <family val="1"/>
    </font>
    <font>
      <b/>
      <sz val="10"/>
      <color theme="1"/>
      <name val="Bookman Old Style"/>
      <family val="1"/>
    </font>
    <font>
      <sz val="10"/>
      <name val="Arial"/>
      <family val="2"/>
    </font>
    <font>
      <b/>
      <sz val="19"/>
      <color theme="1"/>
      <name val="Bookman Old Style"/>
      <family val="1"/>
    </font>
    <font>
      <b/>
      <sz val="11"/>
      <color theme="1"/>
      <name val="Bookman Old Style"/>
      <family val="1"/>
    </font>
    <font>
      <b/>
      <sz val="12"/>
      <name val="Arial"/>
      <family val="2"/>
    </font>
    <font>
      <b/>
      <sz val="10"/>
      <name val="Arial"/>
      <family val="2"/>
    </font>
    <font>
      <sz val="10"/>
      <color rgb="FF0070C0"/>
      <name val="Arial"/>
      <family val="2"/>
    </font>
    <font>
      <sz val="9"/>
      <color indexed="8"/>
      <name val="Arial"/>
      <family val="2"/>
    </font>
    <font>
      <sz val="9"/>
      <color rgb="FF0070C0"/>
      <name val="Arial"/>
      <family val="2"/>
    </font>
    <font>
      <sz val="9"/>
      <name val="Arial"/>
      <family val="2"/>
    </font>
    <font>
      <sz val="9"/>
      <color theme="1"/>
      <name val="Arial"/>
      <family val="2"/>
    </font>
    <font>
      <sz val="10"/>
      <color theme="1"/>
      <name val="Arial"/>
      <family val="2"/>
    </font>
    <font>
      <b/>
      <sz val="9"/>
      <color indexed="8"/>
      <name val="Arial"/>
      <family val="2"/>
    </font>
    <font>
      <sz val="10"/>
      <name val="Arial"/>
      <family val="2"/>
    </font>
    <font>
      <sz val="8"/>
      <name val="Arial"/>
      <family val="2"/>
    </font>
    <font>
      <b/>
      <sz val="9"/>
      <name val="Arial"/>
      <family val="2"/>
    </font>
    <font>
      <sz val="10"/>
      <color theme="1"/>
      <name val="Bookman Old Style"/>
      <family val="1"/>
    </font>
    <font>
      <sz val="9"/>
      <color theme="4" tint="-0.249977111117893"/>
      <name val="Arial"/>
      <family val="2"/>
    </font>
    <font>
      <sz val="8"/>
      <name val="Calibri"/>
      <family val="2"/>
      <scheme val="minor"/>
    </font>
    <font>
      <b/>
      <sz val="9"/>
      <name val="Calibri"/>
      <family val="2"/>
      <scheme val="minor"/>
    </font>
    <font>
      <sz val="9"/>
      <name val="Calibri"/>
      <family val="2"/>
      <scheme val="minor"/>
    </font>
    <font>
      <sz val="11"/>
      <color theme="1"/>
      <name val="Calibri"/>
      <family val="2"/>
      <scheme val="minor"/>
    </font>
    <font>
      <b/>
      <sz val="11"/>
      <color theme="1"/>
      <name val="Calibri"/>
      <family val="2"/>
      <scheme val="minor"/>
    </font>
    <font>
      <b/>
      <sz val="9"/>
      <color rgb="FFFF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diagonal/>
    </border>
    <border>
      <left style="thin">
        <color auto="1"/>
      </left>
      <right style="thin">
        <color auto="1"/>
      </right>
      <top/>
      <bottom style="medium">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indexed="64"/>
      </top>
      <bottom style="medium">
        <color auto="1"/>
      </bottom>
      <diagonal/>
    </border>
    <border>
      <left/>
      <right style="thin">
        <color auto="1"/>
      </right>
      <top/>
      <bottom style="medium">
        <color auto="1"/>
      </bottom>
      <diagonal/>
    </border>
    <border>
      <left style="medium">
        <color auto="1"/>
      </left>
      <right/>
      <top style="thin">
        <color auto="1"/>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top/>
      <bottom style="medium">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right style="medium">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indexed="64"/>
      </left>
      <right style="thin">
        <color indexed="64"/>
      </right>
      <top/>
      <bottom style="thin">
        <color indexed="64"/>
      </bottom>
      <diagonal/>
    </border>
    <border>
      <left style="medium">
        <color auto="1"/>
      </left>
      <right style="thin">
        <color indexed="64"/>
      </right>
      <top/>
      <bottom style="thin">
        <color indexed="64"/>
      </bottom>
      <diagonal/>
    </border>
    <border>
      <left style="thin">
        <color indexed="64"/>
      </left>
      <right style="medium">
        <color auto="1"/>
      </right>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s>
  <cellStyleXfs count="6">
    <xf numFmtId="0" fontId="0" fillId="0" borderId="0"/>
    <xf numFmtId="0" fontId="8" fillId="0" borderId="0"/>
    <xf numFmtId="166" fontId="8" fillId="0" borderId="0" applyFont="0" applyFill="0" applyBorder="0" applyAlignment="0" applyProtection="0"/>
    <xf numFmtId="9" fontId="8" fillId="0" borderId="0" applyFont="0" applyFill="0" applyBorder="0" applyAlignment="0" applyProtection="0"/>
    <xf numFmtId="0" fontId="20" fillId="0" borderId="0"/>
    <xf numFmtId="44" fontId="28" fillId="0" borderId="0" applyFont="0" applyFill="0" applyBorder="0" applyAlignment="0" applyProtection="0"/>
  </cellStyleXfs>
  <cellXfs count="292">
    <xf numFmtId="0" fontId="0" fillId="0" borderId="0" xfId="0"/>
    <xf numFmtId="0" fontId="0" fillId="0" borderId="0" xfId="0" applyAlignment="1">
      <alignment vertical="center"/>
    </xf>
    <xf numFmtId="0" fontId="1" fillId="0" borderId="0" xfId="0" applyFont="1" applyAlignment="1">
      <alignment horizontal="lef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6" xfId="0" applyFont="1" applyBorder="1" applyAlignment="1">
      <alignment horizontal="left" vertical="center"/>
    </xf>
    <xf numFmtId="0" fontId="3" fillId="0" borderId="22" xfId="0" applyFont="1" applyBorder="1" applyAlignment="1">
      <alignment horizontal="left" vertical="center"/>
    </xf>
    <xf numFmtId="0" fontId="0" fillId="0" borderId="0" xfId="0" applyAlignment="1">
      <alignment horizontal="center" vertical="center"/>
    </xf>
    <xf numFmtId="2" fontId="0" fillId="0" borderId="0" xfId="0" applyNumberFormat="1" applyAlignment="1">
      <alignment horizontal="right"/>
    </xf>
    <xf numFmtId="164" fontId="0" fillId="0" borderId="0" xfId="0" applyNumberFormat="1" applyAlignment="1">
      <alignment horizontal="right" vertical="center"/>
    </xf>
    <xf numFmtId="0" fontId="3" fillId="0" borderId="26"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xf numFmtId="2" fontId="2" fillId="0" borderId="1" xfId="0" applyNumberFormat="1" applyFont="1" applyBorder="1" applyAlignment="1">
      <alignment horizontal="right"/>
    </xf>
    <xf numFmtId="164" fontId="2" fillId="0" borderId="1" xfId="0" applyNumberFormat="1" applyFont="1" applyBorder="1" applyAlignment="1">
      <alignment horizontal="right" vertical="center"/>
    </xf>
    <xf numFmtId="165" fontId="3" fillId="0" borderId="15" xfId="0" applyNumberFormat="1" applyFont="1" applyBorder="1" applyAlignment="1">
      <alignment horizontal="left" vertical="center"/>
    </xf>
    <xf numFmtId="0" fontId="3" fillId="2" borderId="23" xfId="0" applyFont="1" applyFill="1" applyBorder="1" applyAlignment="1">
      <alignment horizontal="center" vertical="center"/>
    </xf>
    <xf numFmtId="0" fontId="3" fillId="2" borderId="23" xfId="0" applyFont="1" applyFill="1" applyBorder="1" applyAlignment="1">
      <alignment vertical="center"/>
    </xf>
    <xf numFmtId="2" fontId="3" fillId="2" borderId="23" xfId="0" applyNumberFormat="1" applyFont="1" applyFill="1" applyBorder="1" applyAlignment="1">
      <alignment horizontal="right"/>
    </xf>
    <xf numFmtId="164" fontId="3" fillId="2" borderId="23" xfId="0" applyNumberFormat="1" applyFont="1" applyFill="1" applyBorder="1" applyAlignment="1">
      <alignment horizontal="right"/>
    </xf>
    <xf numFmtId="0" fontId="2" fillId="2" borderId="1" xfId="0" applyFont="1" applyFill="1" applyBorder="1" applyAlignment="1">
      <alignment horizontal="center" vertical="center"/>
    </xf>
    <xf numFmtId="164" fontId="3" fillId="0" borderId="1" xfId="0" applyNumberFormat="1" applyFont="1" applyBorder="1" applyAlignment="1">
      <alignment horizontal="center" vertical="center"/>
    </xf>
    <xf numFmtId="164" fontId="3" fillId="0" borderId="8" xfId="0" applyNumberFormat="1" applyFont="1" applyBorder="1" applyAlignment="1">
      <alignment horizontal="right" vertical="center"/>
    </xf>
    <xf numFmtId="0" fontId="2" fillId="0" borderId="1" xfId="0" applyFont="1" applyBorder="1" applyAlignment="1">
      <alignment wrapText="1"/>
    </xf>
    <xf numFmtId="2" fontId="2" fillId="0" borderId="1" xfId="0" applyNumberFormat="1" applyFont="1" applyBorder="1" applyAlignment="1">
      <alignment horizontal="right"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2" fontId="2" fillId="0" borderId="0" xfId="0" applyNumberFormat="1" applyFont="1" applyAlignment="1">
      <alignment horizontal="right"/>
    </xf>
    <xf numFmtId="164" fontId="2" fillId="0" borderId="0" xfId="0" applyNumberFormat="1" applyFont="1" applyAlignment="1">
      <alignment horizontal="right" vertical="center"/>
    </xf>
    <xf numFmtId="164" fontId="3" fillId="0" borderId="0" xfId="0" applyNumberFormat="1" applyFont="1" applyAlignment="1">
      <alignment horizontal="right" vertical="center"/>
    </xf>
    <xf numFmtId="0" fontId="8" fillId="3" borderId="12" xfId="1" applyFill="1" applyBorder="1"/>
    <xf numFmtId="0" fontId="8" fillId="3" borderId="13" xfId="1" applyFill="1" applyBorder="1"/>
    <xf numFmtId="0" fontId="8" fillId="3" borderId="0" xfId="1" applyFill="1"/>
    <xf numFmtId="0" fontId="8" fillId="3" borderId="0" xfId="1" applyFill="1" applyAlignment="1">
      <alignment wrapText="1"/>
    </xf>
    <xf numFmtId="0" fontId="12" fillId="3" borderId="43" xfId="1" applyFont="1" applyFill="1" applyBorder="1" applyAlignment="1">
      <alignment horizontal="center" vertical="center"/>
    </xf>
    <xf numFmtId="0" fontId="12" fillId="3" borderId="23" xfId="1" applyFont="1" applyFill="1" applyBorder="1" applyAlignment="1">
      <alignment horizontal="center" vertical="center"/>
    </xf>
    <xf numFmtId="0" fontId="12" fillId="3" borderId="23" xfId="1" applyFont="1" applyFill="1" applyBorder="1" applyAlignment="1">
      <alignment horizontal="center" vertical="center" wrapText="1"/>
    </xf>
    <xf numFmtId="49" fontId="14" fillId="5" borderId="45" xfId="1" applyNumberFormat="1" applyFont="1" applyFill="1" applyBorder="1" applyAlignment="1">
      <alignment horizontal="center" vertical="top" wrapText="1"/>
    </xf>
    <xf numFmtId="10" fontId="15" fillId="5" borderId="45" xfId="1" applyNumberFormat="1" applyFont="1" applyFill="1" applyBorder="1" applyAlignment="1">
      <alignment vertical="top" wrapText="1"/>
    </xf>
    <xf numFmtId="10" fontId="16" fillId="5" borderId="45" xfId="2" applyNumberFormat="1" applyFont="1" applyFill="1" applyBorder="1" applyAlignment="1">
      <alignment vertical="top" wrapText="1"/>
    </xf>
    <xf numFmtId="10" fontId="16" fillId="5" borderId="45" xfId="1" applyNumberFormat="1" applyFont="1" applyFill="1" applyBorder="1" applyAlignment="1">
      <alignment vertical="top" wrapText="1"/>
    </xf>
    <xf numFmtId="49" fontId="14" fillId="5" borderId="47" xfId="1" applyNumberFormat="1" applyFont="1" applyFill="1" applyBorder="1" applyAlignment="1">
      <alignment horizontal="center" vertical="top" wrapText="1"/>
    </xf>
    <xf numFmtId="44" fontId="15" fillId="5" borderId="47" xfId="1" applyNumberFormat="1" applyFont="1" applyFill="1" applyBorder="1" applyAlignment="1">
      <alignment vertical="top" wrapText="1"/>
    </xf>
    <xf numFmtId="4" fontId="15" fillId="5" borderId="47" xfId="1" applyNumberFormat="1" applyFont="1" applyFill="1" applyBorder="1" applyAlignment="1">
      <alignment vertical="top" wrapText="1"/>
    </xf>
    <xf numFmtId="4" fontId="14" fillId="5" borderId="47" xfId="1" applyNumberFormat="1" applyFont="1" applyFill="1" applyBorder="1" applyAlignment="1">
      <alignment vertical="top" wrapText="1"/>
    </xf>
    <xf numFmtId="49" fontId="14" fillId="3" borderId="47" xfId="1" applyNumberFormat="1" applyFont="1" applyFill="1" applyBorder="1" applyAlignment="1">
      <alignment horizontal="center" vertical="top" wrapText="1"/>
    </xf>
    <xf numFmtId="10" fontId="15" fillId="3" borderId="45" xfId="1" applyNumberFormat="1" applyFont="1" applyFill="1" applyBorder="1" applyAlignment="1">
      <alignment vertical="top" wrapText="1"/>
    </xf>
    <xf numFmtId="10" fontId="16" fillId="3" borderId="45" xfId="2" applyNumberFormat="1" applyFont="1" applyFill="1" applyBorder="1" applyAlignment="1">
      <alignment vertical="top" wrapText="1"/>
    </xf>
    <xf numFmtId="10" fontId="16" fillId="3" borderId="45" xfId="1" applyNumberFormat="1" applyFont="1" applyFill="1" applyBorder="1" applyAlignment="1">
      <alignment vertical="top" wrapText="1"/>
    </xf>
    <xf numFmtId="44" fontId="15" fillId="3" borderId="47" xfId="1" applyNumberFormat="1" applyFont="1" applyFill="1" applyBorder="1" applyAlignment="1">
      <alignment vertical="top" wrapText="1"/>
    </xf>
    <xf numFmtId="4" fontId="15" fillId="3" borderId="47" xfId="1" applyNumberFormat="1" applyFont="1" applyFill="1" applyBorder="1" applyAlignment="1">
      <alignment vertical="top" wrapText="1"/>
    </xf>
    <xf numFmtId="4" fontId="14" fillId="3" borderId="47" xfId="1" applyNumberFormat="1" applyFont="1" applyFill="1" applyBorder="1" applyAlignment="1">
      <alignment vertical="top" wrapText="1"/>
    </xf>
    <xf numFmtId="49" fontId="17" fillId="3" borderId="47" xfId="1" applyNumberFormat="1" applyFont="1" applyFill="1" applyBorder="1" applyAlignment="1">
      <alignment horizontal="center" vertical="top" wrapText="1"/>
    </xf>
    <xf numFmtId="0" fontId="18" fillId="3" borderId="0" xfId="1" applyFont="1" applyFill="1"/>
    <xf numFmtId="10" fontId="14" fillId="5" borderId="45" xfId="1" applyNumberFormat="1" applyFont="1" applyFill="1" applyBorder="1" applyAlignment="1">
      <alignment vertical="top" wrapText="1"/>
    </xf>
    <xf numFmtId="10" fontId="14" fillId="3" borderId="45" xfId="1" applyNumberFormat="1" applyFont="1" applyFill="1" applyBorder="1" applyAlignment="1">
      <alignment vertical="top" wrapText="1"/>
    </xf>
    <xf numFmtId="49" fontId="14" fillId="3" borderId="49" xfId="1" applyNumberFormat="1" applyFont="1" applyFill="1" applyBorder="1" applyAlignment="1">
      <alignment horizontal="center" vertical="top" wrapText="1"/>
    </xf>
    <xf numFmtId="4" fontId="14" fillId="3" borderId="49" xfId="1" applyNumberFormat="1" applyFont="1" applyFill="1" applyBorder="1" applyAlignment="1">
      <alignment vertical="top" wrapText="1"/>
    </xf>
    <xf numFmtId="49" fontId="19" fillId="4" borderId="50" xfId="1" applyNumberFormat="1" applyFont="1" applyFill="1" applyBorder="1" applyAlignment="1">
      <alignment horizontal="center" vertical="top" wrapText="1"/>
    </xf>
    <xf numFmtId="9" fontId="19" fillId="4" borderId="50" xfId="3" applyFont="1" applyFill="1" applyBorder="1" applyAlignment="1">
      <alignment vertical="top" wrapText="1"/>
    </xf>
    <xf numFmtId="10" fontId="19" fillId="4" borderId="50" xfId="1" applyNumberFormat="1" applyFont="1" applyFill="1" applyBorder="1" applyAlignment="1">
      <alignment vertical="top" wrapText="1"/>
    </xf>
    <xf numFmtId="49" fontId="19" fillId="4" borderId="51" xfId="1" applyNumberFormat="1" applyFont="1" applyFill="1" applyBorder="1" applyAlignment="1">
      <alignment horizontal="center" vertical="top" wrapText="1"/>
    </xf>
    <xf numFmtId="167" fontId="19" fillId="4" borderId="51" xfId="1" applyNumberFormat="1" applyFont="1" applyFill="1" applyBorder="1" applyAlignment="1">
      <alignment vertical="top" wrapText="1"/>
    </xf>
    <xf numFmtId="0" fontId="8" fillId="3" borderId="0" xfId="1" applyFill="1" applyAlignment="1">
      <alignment vertical="center"/>
    </xf>
    <xf numFmtId="0" fontId="8" fillId="3" borderId="0" xfId="1" applyFill="1" applyAlignment="1">
      <alignment vertical="center" wrapText="1"/>
    </xf>
    <xf numFmtId="0" fontId="12" fillId="3" borderId="12" xfId="1" applyFont="1" applyFill="1" applyBorder="1" applyAlignment="1">
      <alignment wrapText="1"/>
    </xf>
    <xf numFmtId="0" fontId="12" fillId="3" borderId="13" xfId="1" applyFont="1" applyFill="1" applyBorder="1" applyAlignment="1">
      <alignment wrapText="1"/>
    </xf>
    <xf numFmtId="0" fontId="12" fillId="3" borderId="52" xfId="1" applyFont="1" applyFill="1" applyBorder="1" applyAlignment="1">
      <alignment wrapText="1"/>
    </xf>
    <xf numFmtId="0" fontId="20" fillId="3" borderId="0" xfId="1" applyFont="1" applyFill="1"/>
    <xf numFmtId="0" fontId="12" fillId="3" borderId="35" xfId="1" applyFont="1" applyFill="1" applyBorder="1" applyAlignment="1">
      <alignment wrapText="1"/>
    </xf>
    <xf numFmtId="0" fontId="8" fillId="3" borderId="32" xfId="1" applyFill="1" applyBorder="1" applyAlignment="1">
      <alignment vertical="center"/>
    </xf>
    <xf numFmtId="0" fontId="12" fillId="3" borderId="0" xfId="1" applyFont="1" applyFill="1" applyAlignment="1">
      <alignment wrapText="1"/>
    </xf>
    <xf numFmtId="0" fontId="8" fillId="3" borderId="34" xfId="1" applyFill="1" applyBorder="1" applyAlignment="1">
      <alignment vertical="center"/>
    </xf>
    <xf numFmtId="0" fontId="12" fillId="3" borderId="33" xfId="1" applyFont="1" applyFill="1" applyBorder="1"/>
    <xf numFmtId="0" fontId="12" fillId="3" borderId="35" xfId="1" applyFont="1" applyFill="1" applyBorder="1"/>
    <xf numFmtId="0" fontId="21" fillId="3" borderId="34" xfId="1" applyFont="1" applyFill="1" applyBorder="1" applyAlignment="1">
      <alignment vertical="center"/>
    </xf>
    <xf numFmtId="0" fontId="8" fillId="3" borderId="33" xfId="1" applyFill="1" applyBorder="1"/>
    <xf numFmtId="0" fontId="20" fillId="3" borderId="35" xfId="1" applyFont="1" applyFill="1" applyBorder="1"/>
    <xf numFmtId="0" fontId="8" fillId="3" borderId="34" xfId="1" applyFill="1" applyBorder="1"/>
    <xf numFmtId="0" fontId="22" fillId="3" borderId="35" xfId="1" applyFont="1" applyFill="1" applyBorder="1"/>
    <xf numFmtId="0" fontId="22" fillId="3" borderId="0" xfId="1" applyFont="1" applyFill="1" applyAlignment="1">
      <alignment wrapText="1"/>
    </xf>
    <xf numFmtId="0" fontId="12" fillId="3" borderId="0" xfId="1" applyFont="1" applyFill="1" applyAlignment="1">
      <alignment horizontal="right"/>
    </xf>
    <xf numFmtId="0" fontId="16" fillId="3" borderId="35" xfId="1" applyFont="1" applyFill="1" applyBorder="1"/>
    <xf numFmtId="0" fontId="16" fillId="3" borderId="0" xfId="1" applyFont="1" applyFill="1" applyAlignment="1">
      <alignment wrapText="1"/>
    </xf>
    <xf numFmtId="0" fontId="0" fillId="3" borderId="0" xfId="0" applyFill="1" applyAlignment="1">
      <alignment vertical="center"/>
    </xf>
    <xf numFmtId="0" fontId="0" fillId="3" borderId="0" xfId="0" applyFill="1" applyAlignment="1">
      <alignment horizontal="center" vertical="center"/>
    </xf>
    <xf numFmtId="164" fontId="0" fillId="3" borderId="0" xfId="0" applyNumberFormat="1" applyFill="1" applyAlignment="1">
      <alignment horizontal="right" vertical="center"/>
    </xf>
    <xf numFmtId="0" fontId="12" fillId="3" borderId="25" xfId="1" applyFont="1" applyFill="1" applyBorder="1" applyAlignment="1">
      <alignment vertical="center"/>
    </xf>
    <xf numFmtId="168" fontId="15" fillId="5" borderId="47" xfId="1" applyNumberFormat="1" applyFont="1" applyFill="1" applyBorder="1" applyAlignment="1">
      <alignment vertical="top" wrapText="1"/>
    </xf>
    <xf numFmtId="168" fontId="15" fillId="3" borderId="47" xfId="1" applyNumberFormat="1" applyFont="1" applyFill="1" applyBorder="1" applyAlignment="1">
      <alignment vertical="top" wrapText="1"/>
    </xf>
    <xf numFmtId="0" fontId="7" fillId="3" borderId="0" xfId="0" applyFont="1" applyFill="1" applyAlignment="1">
      <alignment vertical="center"/>
    </xf>
    <xf numFmtId="0" fontId="5" fillId="3" borderId="0" xfId="0" applyFont="1" applyFill="1" applyAlignment="1">
      <alignment vertical="center"/>
    </xf>
    <xf numFmtId="0" fontId="4" fillId="3" borderId="0" xfId="0" applyFont="1" applyFill="1" applyAlignment="1">
      <alignment vertical="center"/>
    </xf>
    <xf numFmtId="0" fontId="6" fillId="3" borderId="0" xfId="0" applyFont="1" applyFill="1" applyAlignment="1">
      <alignment vertical="center"/>
    </xf>
    <xf numFmtId="164" fontId="2" fillId="0" borderId="21" xfId="0" applyNumberFormat="1" applyFont="1" applyBorder="1" applyAlignment="1">
      <alignment horizontal="right" vertical="center"/>
    </xf>
    <xf numFmtId="167" fontId="19" fillId="4" borderId="20" xfId="1" applyNumberFormat="1" applyFont="1" applyFill="1" applyBorder="1" applyAlignment="1">
      <alignment vertical="top" wrapText="1"/>
    </xf>
    <xf numFmtId="0" fontId="3" fillId="2" borderId="1" xfId="0" applyFont="1" applyFill="1" applyBorder="1" applyAlignment="1">
      <alignment vertical="center"/>
    </xf>
    <xf numFmtId="2" fontId="3" fillId="2" borderId="1" xfId="0" applyNumberFormat="1" applyFont="1" applyFill="1" applyBorder="1" applyAlignment="1">
      <alignment horizontal="right"/>
    </xf>
    <xf numFmtId="164" fontId="3" fillId="2" borderId="1" xfId="0" applyNumberFormat="1" applyFont="1" applyFill="1" applyBorder="1" applyAlignment="1">
      <alignment horizontal="righ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3" fillId="2" borderId="1" xfId="0" applyFont="1" applyFill="1" applyBorder="1" applyAlignment="1">
      <alignment horizontal="right" vertical="center"/>
    </xf>
    <xf numFmtId="164" fontId="3" fillId="2" borderId="1" xfId="0" applyNumberFormat="1" applyFont="1" applyFill="1" applyBorder="1" applyAlignment="1">
      <alignment vertical="center"/>
    </xf>
    <xf numFmtId="10" fontId="24" fillId="3" borderId="45" xfId="1" applyNumberFormat="1" applyFont="1" applyFill="1" applyBorder="1" applyAlignment="1">
      <alignment vertical="top" wrapText="1"/>
    </xf>
    <xf numFmtId="0" fontId="2" fillId="0" borderId="2" xfId="0" applyFont="1" applyBorder="1" applyAlignment="1">
      <alignment vertical="top"/>
    </xf>
    <xf numFmtId="0" fontId="2" fillId="0" borderId="0" xfId="0" applyFont="1" applyBorder="1" applyAlignment="1">
      <alignment vertical="top"/>
    </xf>
    <xf numFmtId="164" fontId="3" fillId="2" borderId="1" xfId="0" applyNumberFormat="1" applyFont="1" applyFill="1" applyBorder="1" applyAlignment="1">
      <alignment horizontal="right" vertical="center"/>
    </xf>
    <xf numFmtId="164" fontId="3" fillId="2" borderId="21" xfId="0" applyNumberFormat="1" applyFont="1" applyFill="1" applyBorder="1" applyAlignment="1">
      <alignment horizontal="right" vertical="center"/>
    </xf>
    <xf numFmtId="4" fontId="24" fillId="5" borderId="47" xfId="1" applyNumberFormat="1" applyFont="1" applyFill="1" applyBorder="1" applyAlignment="1">
      <alignment vertical="top" wrapText="1"/>
    </xf>
    <xf numFmtId="0" fontId="2" fillId="0" borderId="1" xfId="0" applyFont="1" applyBorder="1" applyAlignment="1">
      <alignment horizontal="left" vertical="center"/>
    </xf>
    <xf numFmtId="164" fontId="2" fillId="0" borderId="4" xfId="0" applyNumberFormat="1" applyFont="1" applyBorder="1" applyAlignment="1">
      <alignment horizontal="righ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0" fontId="2" fillId="0" borderId="7" xfId="0" applyFont="1" applyBorder="1" applyAlignment="1">
      <alignment horizontal="center" vertical="center"/>
    </xf>
    <xf numFmtId="2" fontId="2" fillId="0" borderId="7" xfId="0" applyNumberFormat="1" applyFont="1" applyBorder="1" applyAlignment="1">
      <alignment horizontal="righ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22"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4" fillId="0" borderId="55" xfId="0" applyFont="1" applyBorder="1" applyAlignment="1">
      <alignment vertical="center"/>
    </xf>
    <xf numFmtId="0" fontId="4" fillId="0" borderId="28"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26" fillId="0" borderId="28" xfId="0" applyFont="1" applyBorder="1" applyAlignment="1">
      <alignment vertical="center"/>
    </xf>
    <xf numFmtId="0" fontId="26" fillId="0" borderId="5" xfId="0" applyFont="1" applyBorder="1" applyAlignment="1">
      <alignment vertical="center"/>
    </xf>
    <xf numFmtId="0" fontId="26" fillId="0" borderId="6" xfId="0" applyFont="1" applyBorder="1" applyAlignment="1">
      <alignment vertical="center"/>
    </xf>
    <xf numFmtId="0" fontId="12" fillId="3" borderId="29" xfId="1" applyFont="1" applyFill="1" applyBorder="1" applyAlignment="1">
      <alignment vertical="center"/>
    </xf>
    <xf numFmtId="0" fontId="12" fillId="3" borderId="30" xfId="1" applyFont="1" applyFill="1" applyBorder="1" applyAlignment="1">
      <alignment vertical="center"/>
    </xf>
    <xf numFmtId="0" fontId="12" fillId="3" borderId="31" xfId="1" applyFont="1" applyFill="1" applyBorder="1" applyAlignment="1">
      <alignment vertical="center"/>
    </xf>
    <xf numFmtId="0" fontId="12" fillId="3" borderId="23" xfId="1" applyFont="1" applyFill="1" applyBorder="1" applyAlignment="1">
      <alignment vertical="center"/>
    </xf>
    <xf numFmtId="0" fontId="12" fillId="3" borderId="24" xfId="1" applyFont="1" applyFill="1" applyBorder="1" applyAlignment="1">
      <alignment vertical="center"/>
    </xf>
    <xf numFmtId="0" fontId="8" fillId="3" borderId="26" xfId="1" applyFont="1" applyFill="1" applyBorder="1" applyAlignment="1">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7" xfId="0" applyFont="1" applyBorder="1" applyAlignment="1">
      <alignment horizontal="left" vertical="center" wrapText="1"/>
    </xf>
    <xf numFmtId="164" fontId="2" fillId="0" borderId="7" xfId="0" applyNumberFormat="1" applyFont="1" applyBorder="1" applyAlignment="1">
      <alignment horizontal="right" vertical="center"/>
    </xf>
    <xf numFmtId="0" fontId="22" fillId="3" borderId="30" xfId="1" applyFont="1" applyFill="1" applyBorder="1" applyAlignment="1">
      <alignment vertical="center"/>
    </xf>
    <xf numFmtId="0" fontId="2" fillId="0" borderId="1" xfId="0" applyFont="1" applyFill="1" applyBorder="1" applyAlignment="1">
      <alignment horizontal="left" vertical="center" wrapText="1"/>
    </xf>
    <xf numFmtId="0" fontId="2" fillId="0" borderId="0" xfId="0" applyFont="1" applyAlignment="1">
      <alignment horizontal="center" vertical="top"/>
    </xf>
    <xf numFmtId="0" fontId="3" fillId="2" borderId="1"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58"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1" fillId="3" borderId="0" xfId="1" applyFont="1" applyFill="1" applyAlignment="1">
      <alignment horizontal="center" vertical="center"/>
    </xf>
    <xf numFmtId="0" fontId="2" fillId="0" borderId="0" xfId="0" applyFont="1" applyAlignment="1">
      <alignment horizontal="center" vertical="top"/>
    </xf>
    <xf numFmtId="0" fontId="1" fillId="0" borderId="0" xfId="0" applyFont="1" applyBorder="1" applyAlignment="1">
      <alignment horizontal="center" vertical="center"/>
    </xf>
    <xf numFmtId="0" fontId="6" fillId="0" borderId="0" xfId="0" applyFont="1" applyAlignment="1">
      <alignment horizontal="center" vertical="center"/>
    </xf>
    <xf numFmtId="0" fontId="23" fillId="0" borderId="0" xfId="0" applyFont="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8" xfId="0" applyFont="1" applyBorder="1" applyAlignment="1">
      <alignment horizontal="center" vertical="center"/>
    </xf>
    <xf numFmtId="0" fontId="2" fillId="0" borderId="3" xfId="0" applyFont="1" applyBorder="1" applyAlignment="1">
      <alignment horizontal="center" vertical="center"/>
    </xf>
    <xf numFmtId="0" fontId="3" fillId="2" borderId="1"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2" xfId="0" applyFont="1" applyBorder="1" applyAlignment="1">
      <alignment horizontal="center" vertical="center"/>
    </xf>
    <xf numFmtId="0" fontId="3" fillId="0" borderId="26" xfId="0" applyFont="1" applyBorder="1" applyAlignment="1">
      <alignment horizontal="left" vertical="center"/>
    </xf>
    <xf numFmtId="0" fontId="3" fillId="0" borderId="31" xfId="0" applyFont="1" applyBorder="1" applyAlignment="1">
      <alignment horizontal="left" vertical="center"/>
    </xf>
    <xf numFmtId="0" fontId="5" fillId="0" borderId="39"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12" fillId="3" borderId="41" xfId="1" applyFont="1" applyFill="1" applyBorder="1" applyAlignment="1">
      <alignment horizontal="left" vertical="center"/>
    </xf>
    <xf numFmtId="0" fontId="12" fillId="3" borderId="42" xfId="1" applyFont="1" applyFill="1" applyBorder="1" applyAlignment="1">
      <alignment horizontal="left" vertical="center"/>
    </xf>
    <xf numFmtId="0" fontId="12" fillId="3" borderId="25" xfId="1" applyFont="1" applyFill="1" applyBorder="1" applyAlignment="1">
      <alignment horizontal="left" vertical="center"/>
    </xf>
    <xf numFmtId="0" fontId="9" fillId="0" borderId="0" xfId="1" applyFont="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vertical="center"/>
    </xf>
    <xf numFmtId="0" fontId="11" fillId="3" borderId="0" xfId="1" applyFont="1" applyFill="1" applyAlignment="1">
      <alignment horizontal="center"/>
    </xf>
    <xf numFmtId="0" fontId="12" fillId="3" borderId="40" xfId="1" applyFont="1" applyFill="1" applyBorder="1" applyAlignment="1">
      <alignment horizontal="center" vertical="center"/>
    </xf>
    <xf numFmtId="0" fontId="12" fillId="3" borderId="20" xfId="1" applyFont="1" applyFill="1" applyBorder="1" applyAlignment="1">
      <alignment horizontal="center" vertical="center"/>
    </xf>
    <xf numFmtId="167" fontId="12" fillId="3" borderId="42" xfId="1" applyNumberFormat="1" applyFont="1" applyFill="1" applyBorder="1" applyAlignment="1">
      <alignment horizontal="center" vertical="center"/>
    </xf>
    <xf numFmtId="0" fontId="12" fillId="3" borderId="24" xfId="1" applyFont="1" applyFill="1" applyBorder="1" applyAlignment="1">
      <alignment horizontal="center" vertical="center"/>
    </xf>
    <xf numFmtId="0" fontId="12" fillId="3" borderId="42" xfId="1" applyFont="1" applyFill="1" applyBorder="1" applyAlignment="1">
      <alignment horizontal="center" vertical="center"/>
    </xf>
    <xf numFmtId="0" fontId="13" fillId="5" borderId="44" xfId="1" applyFont="1" applyFill="1" applyBorder="1" applyAlignment="1">
      <alignment horizontal="center" vertical="top" wrapText="1"/>
    </xf>
    <xf numFmtId="0" fontId="13" fillId="5" borderId="46" xfId="1" applyFont="1" applyFill="1" applyBorder="1" applyAlignment="1">
      <alignment horizontal="center" vertical="top" wrapText="1"/>
    </xf>
    <xf numFmtId="0" fontId="13" fillId="5" borderId="45" xfId="1" applyFont="1" applyFill="1" applyBorder="1" applyAlignment="1">
      <alignment horizontal="center" vertical="top" wrapText="1"/>
    </xf>
    <xf numFmtId="0" fontId="13" fillId="5" borderId="47" xfId="1" applyFont="1" applyFill="1" applyBorder="1" applyAlignment="1">
      <alignment horizontal="center" vertical="top" wrapText="1"/>
    </xf>
    <xf numFmtId="0" fontId="13" fillId="5" borderId="45" xfId="1" applyFont="1" applyFill="1" applyBorder="1" applyAlignment="1">
      <alignment vertical="top" wrapText="1"/>
    </xf>
    <xf numFmtId="0" fontId="13" fillId="5" borderId="47" xfId="1" applyFont="1" applyFill="1" applyBorder="1" applyAlignment="1">
      <alignment vertical="top" wrapText="1"/>
    </xf>
    <xf numFmtId="0" fontId="13" fillId="3" borderId="46" xfId="1" applyFont="1" applyFill="1" applyBorder="1" applyAlignment="1">
      <alignment horizontal="center" vertical="top" wrapText="1"/>
    </xf>
    <xf numFmtId="0" fontId="13" fillId="3" borderId="47" xfId="1" applyFont="1" applyFill="1" applyBorder="1" applyAlignment="1">
      <alignment horizontal="center" vertical="top" wrapText="1"/>
    </xf>
    <xf numFmtId="0" fontId="13" fillId="3" borderId="47" xfId="1" applyFont="1" applyFill="1" applyBorder="1" applyAlignment="1">
      <alignment vertical="top" wrapText="1"/>
    </xf>
    <xf numFmtId="0" fontId="13" fillId="3" borderId="47" xfId="1" applyFont="1" applyFill="1" applyBorder="1" applyAlignment="1">
      <alignment horizontal="left" vertical="top" wrapText="1"/>
    </xf>
    <xf numFmtId="0" fontId="13" fillId="5" borderId="47" xfId="1" applyFont="1" applyFill="1" applyBorder="1" applyAlignment="1">
      <alignment horizontal="left" vertical="top" wrapText="1"/>
    </xf>
    <xf numFmtId="0" fontId="8" fillId="3" borderId="46" xfId="1" applyFill="1" applyBorder="1" applyAlignment="1">
      <alignment vertical="top" wrapText="1"/>
    </xf>
    <xf numFmtId="0" fontId="8" fillId="5" borderId="46" xfId="1" applyFill="1" applyBorder="1" applyAlignment="1">
      <alignment vertical="top" wrapText="1"/>
    </xf>
    <xf numFmtId="0" fontId="8" fillId="5" borderId="47" xfId="1" applyFill="1" applyBorder="1" applyAlignment="1">
      <alignment vertical="top" wrapText="1"/>
    </xf>
    <xf numFmtId="0" fontId="21" fillId="3" borderId="0" xfId="1" applyFont="1" applyFill="1" applyAlignment="1">
      <alignment horizontal="center" vertical="center"/>
    </xf>
    <xf numFmtId="0" fontId="8" fillId="3" borderId="47" xfId="1" applyFill="1" applyBorder="1" applyAlignment="1">
      <alignment vertical="top" wrapText="1"/>
    </xf>
    <xf numFmtId="49" fontId="14" fillId="5" borderId="46" xfId="1" applyNumberFormat="1" applyFont="1" applyFill="1" applyBorder="1" applyAlignment="1">
      <alignment vertical="top" wrapText="1"/>
    </xf>
    <xf numFmtId="49" fontId="14" fillId="5" borderId="47" xfId="1" applyNumberFormat="1" applyFont="1" applyFill="1" applyBorder="1" applyAlignment="1">
      <alignment vertical="top" wrapText="1"/>
    </xf>
    <xf numFmtId="0" fontId="8" fillId="3" borderId="32" xfId="1" applyFill="1" applyBorder="1" applyAlignment="1">
      <alignment horizontal="center" vertical="center"/>
    </xf>
    <xf numFmtId="0" fontId="8" fillId="3" borderId="48" xfId="1" applyFill="1" applyBorder="1" applyAlignment="1">
      <alignment vertical="top" wrapText="1"/>
    </xf>
    <xf numFmtId="0" fontId="8" fillId="3" borderId="49" xfId="1" applyFill="1" applyBorder="1" applyAlignment="1">
      <alignment vertical="top" wrapText="1"/>
    </xf>
    <xf numFmtId="0" fontId="12" fillId="4" borderId="37" xfId="1" applyFont="1" applyFill="1" applyBorder="1" applyAlignment="1">
      <alignment horizontal="center" vertical="center" wrapText="1"/>
    </xf>
    <xf numFmtId="0" fontId="12" fillId="4" borderId="2" xfId="1" applyFont="1" applyFill="1" applyBorder="1" applyAlignment="1">
      <alignment horizontal="center" vertical="center" wrapText="1"/>
    </xf>
    <xf numFmtId="0" fontId="12" fillId="4" borderId="3" xfId="1" applyFont="1" applyFill="1" applyBorder="1" applyAlignment="1">
      <alignment horizontal="center" vertical="center" wrapText="1"/>
    </xf>
    <xf numFmtId="0" fontId="12" fillId="4" borderId="38" xfId="1" applyFont="1" applyFill="1" applyBorder="1" applyAlignment="1">
      <alignment horizontal="center" vertical="center" wrapText="1"/>
    </xf>
    <xf numFmtId="0" fontId="12" fillId="4" borderId="39" xfId="1" applyFont="1" applyFill="1" applyBorder="1" applyAlignment="1">
      <alignment horizontal="center" vertical="center" wrapText="1"/>
    </xf>
    <xf numFmtId="0" fontId="12" fillId="4" borderId="27" xfId="1" applyFont="1" applyFill="1" applyBorder="1" applyAlignment="1">
      <alignment horizontal="center" vertical="center" wrapText="1"/>
    </xf>
    <xf numFmtId="0" fontId="2" fillId="0" borderId="0" xfId="0" applyFont="1" applyAlignment="1">
      <alignment vertical="top"/>
    </xf>
    <xf numFmtId="0" fontId="4" fillId="0" borderId="13" xfId="0" applyFont="1" applyBorder="1" applyAlignment="1">
      <alignment horizontal="right"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4" fillId="0" borderId="12" xfId="0" applyFont="1" applyBorder="1" applyAlignment="1">
      <alignment horizontal="right" vertical="center"/>
    </xf>
    <xf numFmtId="0" fontId="4" fillId="0" borderId="14" xfId="0" applyFont="1" applyBorder="1" applyAlignment="1">
      <alignment horizontal="right" vertical="center"/>
    </xf>
    <xf numFmtId="0" fontId="2" fillId="0" borderId="4" xfId="0" applyFont="1" applyBorder="1" applyAlignment="1">
      <alignment vertical="center"/>
    </xf>
    <xf numFmtId="0" fontId="2" fillId="0" borderId="6" xfId="0" applyFont="1" applyBorder="1" applyAlignment="1">
      <alignment vertical="center"/>
    </xf>
    <xf numFmtId="0" fontId="3" fillId="2" borderId="24" xfId="0" applyFont="1" applyFill="1" applyBorder="1" applyAlignment="1">
      <alignment vertical="center"/>
    </xf>
    <xf numFmtId="0" fontId="3" fillId="2" borderId="25" xfId="0" applyFont="1" applyFill="1" applyBorder="1" applyAlignment="1">
      <alignment vertical="center"/>
    </xf>
    <xf numFmtId="44" fontId="2" fillId="0" borderId="1" xfId="5" applyFont="1" applyBorder="1" applyAlignment="1">
      <alignment vertical="center"/>
    </xf>
    <xf numFmtId="0" fontId="2" fillId="0" borderId="58" xfId="0" applyFont="1" applyBorder="1" applyAlignment="1">
      <alignment vertical="center"/>
    </xf>
    <xf numFmtId="0" fontId="2" fillId="0" borderId="3" xfId="0" applyFont="1" applyBorder="1" applyAlignment="1">
      <alignment vertical="center"/>
    </xf>
    <xf numFmtId="2" fontId="2" fillId="0" borderId="1" xfId="0" applyNumberFormat="1" applyFont="1" applyBorder="1" applyAlignment="1">
      <alignment vertical="center"/>
    </xf>
    <xf numFmtId="0" fontId="2" fillId="0" borderId="2" xfId="0" applyFont="1" applyBorder="1" applyAlignment="1">
      <alignment vertical="center"/>
    </xf>
    <xf numFmtId="0" fontId="3" fillId="2" borderId="1" xfId="0" applyFont="1" applyFill="1" applyBorder="1" applyAlignment="1">
      <alignment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30" fillId="0" borderId="5" xfId="0" applyFont="1" applyBorder="1" applyAlignment="1">
      <alignment vertical="center"/>
    </xf>
    <xf numFmtId="0" fontId="3" fillId="2" borderId="4" xfId="0" applyFont="1" applyFill="1" applyBorder="1" applyAlignment="1">
      <alignment vertical="center"/>
    </xf>
    <xf numFmtId="0" fontId="3" fillId="2" borderId="6" xfId="0" applyFont="1" applyFill="1" applyBorder="1" applyAlignment="1">
      <alignment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44" fontId="2" fillId="0" borderId="1" xfId="5" applyFont="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xf>
    <xf numFmtId="0" fontId="4" fillId="0" borderId="9" xfId="0" applyFont="1" applyBorder="1" applyAlignment="1">
      <alignment horizontal="right" vertical="center" indent="1"/>
    </xf>
    <xf numFmtId="0" fontId="4" fillId="0" borderId="10" xfId="0" applyFont="1" applyBorder="1" applyAlignment="1">
      <alignment horizontal="right" vertical="center" indent="1"/>
    </xf>
    <xf numFmtId="0" fontId="4" fillId="0" borderId="54" xfId="0" applyFont="1" applyBorder="1" applyAlignment="1">
      <alignment horizontal="right" vertical="center" indent="1"/>
    </xf>
    <xf numFmtId="44" fontId="4" fillId="0" borderId="18" xfId="5" applyFont="1" applyBorder="1" applyAlignment="1">
      <alignment vertical="center"/>
    </xf>
    <xf numFmtId="164" fontId="4" fillId="0" borderId="61" xfId="0" applyNumberFormat="1" applyFont="1" applyBorder="1" applyAlignment="1">
      <alignment horizontal="right" vertical="center"/>
    </xf>
    <xf numFmtId="0" fontId="4" fillId="0" borderId="8" xfId="0" applyFont="1" applyBorder="1" applyAlignment="1">
      <alignment horizontal="right" vertical="center"/>
    </xf>
    <xf numFmtId="44" fontId="4" fillId="0" borderId="8" xfId="5" applyFont="1" applyBorder="1" applyAlignment="1">
      <alignment horizontal="center" vertical="center"/>
    </xf>
    <xf numFmtId="0" fontId="29" fillId="0" borderId="61" xfId="0" applyFont="1" applyBorder="1" applyAlignment="1">
      <alignment horizontal="right" vertical="center"/>
    </xf>
    <xf numFmtId="0" fontId="29" fillId="0" borderId="62" xfId="0" applyFont="1" applyBorder="1" applyAlignment="1">
      <alignment horizontal="right" vertical="center"/>
    </xf>
    <xf numFmtId="44" fontId="29" fillId="0" borderId="61" xfId="0" applyNumberFormat="1" applyFont="1" applyBorder="1" applyAlignment="1">
      <alignment horizontal="center" vertical="center"/>
    </xf>
    <xf numFmtId="0" fontId="29" fillId="0" borderId="62" xfId="0" applyFont="1" applyBorder="1" applyAlignment="1">
      <alignment horizontal="center" vertical="center"/>
    </xf>
    <xf numFmtId="0" fontId="1" fillId="0" borderId="63" xfId="0" applyFont="1" applyBorder="1" applyAlignment="1">
      <alignment horizontal="center" vertical="center"/>
    </xf>
    <xf numFmtId="0" fontId="0" fillId="0" borderId="35" xfId="0" applyBorder="1" applyAlignment="1">
      <alignment vertical="center"/>
    </xf>
    <xf numFmtId="0" fontId="0" fillId="0" borderId="0" xfId="0" applyBorder="1" applyAlignment="1">
      <alignment vertical="center"/>
    </xf>
    <xf numFmtId="0" fontId="0" fillId="0" borderId="36" xfId="0" applyBorder="1" applyAlignment="1">
      <alignment vertical="center"/>
    </xf>
    <xf numFmtId="0" fontId="1" fillId="0" borderId="35" xfId="0" applyFont="1" applyBorder="1" applyAlignment="1">
      <alignment horizontal="left" vertical="center"/>
    </xf>
    <xf numFmtId="0" fontId="1" fillId="0" borderId="36" xfId="0" applyFont="1" applyBorder="1" applyAlignment="1">
      <alignment horizontal="left" vertical="center"/>
    </xf>
    <xf numFmtId="0" fontId="2" fillId="2" borderId="56" xfId="0" applyFont="1" applyFill="1" applyBorder="1" applyAlignment="1">
      <alignment horizontal="center" vertical="center"/>
    </xf>
    <xf numFmtId="0" fontId="2" fillId="0" borderId="56" xfId="0" applyFont="1" applyBorder="1" applyAlignment="1">
      <alignment horizontal="center" vertical="center"/>
    </xf>
    <xf numFmtId="0" fontId="3" fillId="2" borderId="56" xfId="0" applyFont="1" applyFill="1" applyBorder="1" applyAlignment="1">
      <alignment horizontal="center" vertical="center"/>
    </xf>
    <xf numFmtId="164" fontId="3" fillId="2" borderId="21" xfId="0" applyNumberFormat="1" applyFont="1" applyFill="1" applyBorder="1" applyAlignment="1">
      <alignment vertical="center"/>
    </xf>
    <xf numFmtId="0" fontId="2" fillId="0" borderId="35" xfId="0" applyFont="1" applyBorder="1" applyAlignment="1">
      <alignment horizontal="center" vertical="center"/>
    </xf>
    <xf numFmtId="2" fontId="2" fillId="0" borderId="0" xfId="0" applyNumberFormat="1" applyFont="1" applyBorder="1" applyAlignment="1">
      <alignment horizontal="right"/>
    </xf>
    <xf numFmtId="164" fontId="2" fillId="0" borderId="0" xfId="0" applyNumberFormat="1" applyFont="1" applyBorder="1" applyAlignment="1">
      <alignment horizontal="right" vertical="center"/>
    </xf>
    <xf numFmtId="164" fontId="3" fillId="0" borderId="0" xfId="0" applyNumberFormat="1" applyFont="1" applyBorder="1" applyAlignment="1">
      <alignment horizontal="right" vertical="center"/>
    </xf>
    <xf numFmtId="164" fontId="3" fillId="0" borderId="36" xfId="0" applyNumberFormat="1" applyFont="1" applyBorder="1" applyAlignment="1">
      <alignment horizontal="right" vertical="center"/>
    </xf>
    <xf numFmtId="44" fontId="2" fillId="0" borderId="21" xfId="5" applyFont="1" applyBorder="1" applyAlignment="1">
      <alignment vertical="center"/>
    </xf>
    <xf numFmtId="0" fontId="2" fillId="0" borderId="37" xfId="0" applyFont="1" applyBorder="1" applyAlignment="1">
      <alignment horizontal="center" vertical="center"/>
    </xf>
    <xf numFmtId="44" fontId="2" fillId="0" borderId="60" xfId="5" applyFont="1" applyBorder="1" applyAlignment="1">
      <alignment vertical="center"/>
    </xf>
    <xf numFmtId="44" fontId="2" fillId="0" borderId="21" xfId="5" applyFont="1" applyBorder="1" applyAlignment="1">
      <alignment horizontal="center" vertical="center"/>
    </xf>
    <xf numFmtId="0" fontId="2" fillId="0" borderId="59" xfId="0" applyFont="1" applyBorder="1" applyAlignment="1">
      <alignment horizontal="center" vertical="center"/>
    </xf>
    <xf numFmtId="0" fontId="2" fillId="0" borderId="19" xfId="0" applyFont="1" applyBorder="1" applyAlignment="1">
      <alignment horizontal="center" vertical="center"/>
    </xf>
    <xf numFmtId="0" fontId="1" fillId="0" borderId="64" xfId="0" applyFont="1" applyBorder="1" applyAlignment="1">
      <alignment horizontal="center" vertical="center"/>
    </xf>
    <xf numFmtId="0" fontId="1" fillId="0" borderId="65"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2" fillId="0" borderId="36" xfId="0" applyFont="1" applyBorder="1" applyAlignment="1">
      <alignment horizontal="center" vertical="center"/>
    </xf>
    <xf numFmtId="0" fontId="16" fillId="3" borderId="2" xfId="1" applyFont="1" applyFill="1" applyBorder="1" applyAlignment="1">
      <alignment horizontal="center" vertical="center"/>
    </xf>
    <xf numFmtId="0" fontId="16" fillId="3" borderId="0" xfId="1" applyFont="1" applyFill="1" applyBorder="1" applyAlignment="1">
      <alignment horizontal="center" vertical="center"/>
    </xf>
    <xf numFmtId="0" fontId="12" fillId="3" borderId="0" xfId="1" applyFont="1" applyFill="1" applyBorder="1" applyAlignment="1">
      <alignment wrapText="1"/>
    </xf>
    <xf numFmtId="0" fontId="12" fillId="3" borderId="34" xfId="1" applyFont="1" applyFill="1" applyBorder="1" applyAlignment="1">
      <alignment wrapText="1"/>
    </xf>
    <xf numFmtId="0" fontId="8" fillId="3" borderId="0" xfId="1" applyFill="1" applyBorder="1"/>
    <xf numFmtId="0" fontId="12" fillId="3" borderId="57" xfId="1" applyFont="1" applyFill="1" applyBorder="1" applyAlignment="1">
      <alignment horizontal="center" vertical="center"/>
    </xf>
    <xf numFmtId="0" fontId="12" fillId="3" borderId="42" xfId="1" applyFont="1" applyFill="1" applyBorder="1" applyAlignment="1">
      <alignment vertical="center"/>
    </xf>
    <xf numFmtId="10" fontId="16" fillId="5" borderId="66" xfId="1" applyNumberFormat="1" applyFont="1" applyFill="1" applyBorder="1" applyAlignment="1">
      <alignment vertical="top" wrapText="1"/>
    </xf>
    <xf numFmtId="4" fontId="14" fillId="5" borderId="67" xfId="1" applyNumberFormat="1" applyFont="1" applyFill="1" applyBorder="1" applyAlignment="1">
      <alignment vertical="top" wrapText="1"/>
    </xf>
    <xf numFmtId="10" fontId="16" fillId="3" borderId="66" xfId="1" applyNumberFormat="1" applyFont="1" applyFill="1" applyBorder="1" applyAlignment="1">
      <alignment vertical="top" wrapText="1"/>
    </xf>
    <xf numFmtId="4" fontId="14" fillId="3" borderId="67" xfId="1" applyNumberFormat="1" applyFont="1" applyFill="1" applyBorder="1" applyAlignment="1">
      <alignment vertical="top" wrapText="1"/>
    </xf>
  </cellXfs>
  <cellStyles count="6">
    <cellStyle name="Moeda" xfId="5" builtinId="4"/>
    <cellStyle name="Normal" xfId="0" builtinId="0"/>
    <cellStyle name="Normal 2" xfId="1" xr:uid="{E038AFE6-B42A-47C1-9FB1-93D9D1BF998D}"/>
    <cellStyle name="Normal 2 2" xfId="4" xr:uid="{1F6BF24C-F492-4510-AA4C-87FF62541675}"/>
    <cellStyle name="Porcentagem 2" xfId="3" xr:uid="{750AE24E-19F5-4A88-A2C0-2F94B984CC99}"/>
    <cellStyle name="Vírgula 2" xfId="2" xr:uid="{02140A49-D3AE-4201-987A-17933B6C6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35200</xdr:colOff>
      <xdr:row>0</xdr:row>
      <xdr:rowOff>0</xdr:rowOff>
    </xdr:from>
    <xdr:to>
      <xdr:col>3</xdr:col>
      <xdr:colOff>430695</xdr:colOff>
      <xdr:row>3</xdr:row>
      <xdr:rowOff>35201</xdr:rowOff>
    </xdr:to>
    <xdr:pic>
      <xdr:nvPicPr>
        <xdr:cNvPr id="4" name="Imagem 3">
          <a:extLst>
            <a:ext uri="{FF2B5EF4-FFF2-40B4-BE49-F238E27FC236}">
              <a16:creationId xmlns:a16="http://schemas.microsoft.com/office/drawing/2014/main" id="{0E0CEC59-0A52-43D4-8063-22951A62AB47}"/>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359050" y="0"/>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35200</xdr:colOff>
      <xdr:row>0</xdr:row>
      <xdr:rowOff>0</xdr:rowOff>
    </xdr:from>
    <xdr:to>
      <xdr:col>3</xdr:col>
      <xdr:colOff>430695</xdr:colOff>
      <xdr:row>3</xdr:row>
      <xdr:rowOff>35201</xdr:rowOff>
    </xdr:to>
    <xdr:pic>
      <xdr:nvPicPr>
        <xdr:cNvPr id="2" name="Imagem 1">
          <a:extLst>
            <a:ext uri="{FF2B5EF4-FFF2-40B4-BE49-F238E27FC236}">
              <a16:creationId xmlns:a16="http://schemas.microsoft.com/office/drawing/2014/main" id="{698FB8AA-36DE-464D-AF86-1DC1A4F77F2E}"/>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359050" y="0"/>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35200</xdr:colOff>
      <xdr:row>0</xdr:row>
      <xdr:rowOff>0</xdr:rowOff>
    </xdr:from>
    <xdr:to>
      <xdr:col>3</xdr:col>
      <xdr:colOff>430695</xdr:colOff>
      <xdr:row>3</xdr:row>
      <xdr:rowOff>35201</xdr:rowOff>
    </xdr:to>
    <xdr:pic>
      <xdr:nvPicPr>
        <xdr:cNvPr id="2" name="Imagem 1">
          <a:extLst>
            <a:ext uri="{FF2B5EF4-FFF2-40B4-BE49-F238E27FC236}">
              <a16:creationId xmlns:a16="http://schemas.microsoft.com/office/drawing/2014/main" id="{BEB055EB-F0DD-48F0-9530-70563537F523}"/>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359050" y="0"/>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35200</xdr:colOff>
      <xdr:row>0</xdr:row>
      <xdr:rowOff>0</xdr:rowOff>
    </xdr:from>
    <xdr:to>
      <xdr:col>3</xdr:col>
      <xdr:colOff>430695</xdr:colOff>
      <xdr:row>3</xdr:row>
      <xdr:rowOff>35201</xdr:rowOff>
    </xdr:to>
    <xdr:pic>
      <xdr:nvPicPr>
        <xdr:cNvPr id="2" name="Imagem 1">
          <a:extLst>
            <a:ext uri="{FF2B5EF4-FFF2-40B4-BE49-F238E27FC236}">
              <a16:creationId xmlns:a16="http://schemas.microsoft.com/office/drawing/2014/main" id="{9949F497-67D4-4937-A833-DE50E74BD2E0}"/>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359050" y="0"/>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35200</xdr:colOff>
      <xdr:row>0</xdr:row>
      <xdr:rowOff>0</xdr:rowOff>
    </xdr:from>
    <xdr:to>
      <xdr:col>3</xdr:col>
      <xdr:colOff>430695</xdr:colOff>
      <xdr:row>3</xdr:row>
      <xdr:rowOff>35201</xdr:rowOff>
    </xdr:to>
    <xdr:pic>
      <xdr:nvPicPr>
        <xdr:cNvPr id="2" name="Imagem 1">
          <a:extLst>
            <a:ext uri="{FF2B5EF4-FFF2-40B4-BE49-F238E27FC236}">
              <a16:creationId xmlns:a16="http://schemas.microsoft.com/office/drawing/2014/main" id="{FD115417-3F37-410C-A370-4614E3A8AE35}"/>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359050" y="0"/>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285750</xdr:colOff>
      <xdr:row>0</xdr:row>
      <xdr:rowOff>180975</xdr:rowOff>
    </xdr:from>
    <xdr:to>
      <xdr:col>1</xdr:col>
      <xdr:colOff>290720</xdr:colOff>
      <xdr:row>3</xdr:row>
      <xdr:rowOff>73301</xdr:rowOff>
    </xdr:to>
    <xdr:pic>
      <xdr:nvPicPr>
        <xdr:cNvPr id="3" name="Imagem 2">
          <a:extLst>
            <a:ext uri="{FF2B5EF4-FFF2-40B4-BE49-F238E27FC236}">
              <a16:creationId xmlns:a16="http://schemas.microsoft.com/office/drawing/2014/main" id="{C68A5424-E63C-4CBD-9D20-0BC3EF4537B2}"/>
            </a:ext>
          </a:extLst>
        </xdr:cNvPr>
        <xdr:cNvPicPr>
          <a:picLocks noChangeAspect="1" noChangeArrowheads="1"/>
        </xdr:cNvPicPr>
      </xdr:nvPicPr>
      <xdr:blipFill>
        <a:blip xmlns:r="http://schemas.openxmlformats.org/officeDocument/2006/relationships" r:embed="rId1" cstate="print">
          <a:lum bright="6000"/>
          <a:extLst>
            <a:ext uri="{28A0092B-C50C-407E-A947-70E740481C1C}">
              <a14:useLocalDpi xmlns:a14="http://schemas.microsoft.com/office/drawing/2010/main" val="0"/>
            </a:ext>
          </a:extLst>
        </a:blip>
        <a:srcRect/>
        <a:stretch>
          <a:fillRect/>
        </a:stretch>
      </xdr:blipFill>
      <xdr:spPr bwMode="auto">
        <a:xfrm>
          <a:off x="285750" y="180975"/>
          <a:ext cx="814595" cy="7114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2.155\compartilhador\Obra%20em%20Geral\OBRAS%20INDIRETAS\OBRA%20016%20-%20PL-031-2021%20-%20RECAPEAMENTO%20EM%20CBUQ\PROJETO\PLANILHA%20MULTIPLA%205%20CT%201066598-20%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2">
          <cell r="J2" t="str">
            <v>v3.0.3</v>
          </cell>
        </row>
        <row r="3">
          <cell r="O3">
            <v>2</v>
          </cell>
        </row>
        <row r="4">
          <cell r="O4">
            <v>1</v>
          </cell>
        </row>
      </sheetData>
      <sheetData sheetId="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PREFEITURA MUNICIPAL DE PAINEIRAS</v>
          </cell>
          <cell r="J5" t="str">
            <v>Pavimentação</v>
          </cell>
        </row>
        <row r="6">
          <cell r="F6" t="str">
            <v>PAINEIRAS / MG</v>
          </cell>
          <cell r="J6" t="str">
            <v xml:space="preserve">Drenagem </v>
          </cell>
        </row>
        <row r="7">
          <cell r="F7" t="str">
            <v>1066598-20/2019</v>
          </cell>
          <cell r="J7" t="str">
            <v>Abastecimento de água</v>
          </cell>
        </row>
        <row r="8">
          <cell r="F8" t="str">
            <v>888883/2019</v>
          </cell>
          <cell r="J8" t="str">
            <v>Esgotamento sanitário</v>
          </cell>
        </row>
        <row r="9">
          <cell r="F9">
            <v>238750</v>
          </cell>
          <cell r="J9" t="str">
            <v>Energia elétrica e iluminação pública</v>
          </cell>
        </row>
        <row r="10">
          <cell r="F10">
            <v>40589.1</v>
          </cell>
          <cell r="J10" t="str">
            <v>Coleta e tratamento de resíduos sólidos</v>
          </cell>
        </row>
        <row r="11">
          <cell r="F11">
            <v>2.0000000000000001E-4</v>
          </cell>
          <cell r="J11" t="str">
            <v xml:space="preserve">Contenção e estabilização de encostas </v>
          </cell>
        </row>
        <row r="12">
          <cell r="F12">
            <v>7142.86</v>
          </cell>
          <cell r="J12" t="str">
            <v>Regularização fundiária</v>
          </cell>
        </row>
        <row r="13">
          <cell r="J13" t="str">
            <v>Aquisição de terreno</v>
          </cell>
        </row>
        <row r="14">
          <cell r="J14" t="str">
            <v>Aquisição de equipamentos e insumos</v>
          </cell>
        </row>
        <row r="15">
          <cell r="J15" t="str">
            <v>Elaboração de estudos e projetos</v>
          </cell>
        </row>
        <row r="16">
          <cell r="F16" t="str">
            <v>Recapeamento rua Hipolito Rosa e outras</v>
          </cell>
          <cell r="J16" t="str">
            <v>Instrumentos e ações em planejamento e gestão pública</v>
          </cell>
        </row>
        <row r="17">
          <cell r="F17" t="str">
            <v>Recapeamento rua Hipolito Rosa e outras</v>
          </cell>
          <cell r="J17" t="str">
            <v>Ações complementares às obras</v>
          </cell>
        </row>
        <row r="18">
          <cell r="F18" t="str">
            <v>NÃO DESONERADO</v>
          </cell>
          <cell r="J18" t="str">
            <v>Gerenciamento</v>
          </cell>
        </row>
        <row r="19">
          <cell r="J19" t="str">
            <v>Trabalho social</v>
          </cell>
        </row>
        <row r="22">
          <cell r="F22" t="str">
            <v>AAAAAAAAAAAAAAAAAAAAAAA</v>
          </cell>
        </row>
        <row r="23">
          <cell r="F23" t="str">
            <v>CREA/MG 000.000/D</v>
          </cell>
        </row>
        <row r="24">
          <cell r="F24" t="str">
            <v>14202000000000000000</v>
          </cell>
        </row>
      </sheetData>
      <sheetData sheetId="2"/>
      <sheetData sheetId="3"/>
      <sheetData sheetId="4">
        <row r="8">
          <cell r="F8" t="str">
            <v>'[Referência 04-2020.xls]Banco'!$a5:$a$65536</v>
          </cell>
          <cell r="AF8" t="b">
            <v>1</v>
          </cell>
        </row>
        <row r="10">
          <cell r="AF10" t="b">
            <v>1</v>
          </cell>
        </row>
        <row r="11">
          <cell r="AF11" t="b">
            <v>1</v>
          </cell>
        </row>
        <row r="15">
          <cell r="M15" t="str">
            <v>CTEF</v>
          </cell>
          <cell r="X15">
            <v>279048.24999999994</v>
          </cell>
          <cell r="Z15" t="str">
            <v/>
          </cell>
          <cell r="AA15">
            <v>40298.249999999993</v>
          </cell>
          <cell r="AB15">
            <v>0</v>
          </cell>
        </row>
        <row r="16">
          <cell r="X16">
            <v>279048.25</v>
          </cell>
          <cell r="Z16" t="str">
            <v/>
          </cell>
          <cell r="AA16">
            <v>40298.249999999993</v>
          </cell>
          <cell r="AB16">
            <v>0</v>
          </cell>
        </row>
        <row r="17">
          <cell r="X17">
            <v>991.63</v>
          </cell>
          <cell r="Z17" t="str">
            <v/>
          </cell>
          <cell r="AA17">
            <v>143.20445889734123</v>
          </cell>
          <cell r="AB17">
            <v>0</v>
          </cell>
        </row>
        <row r="18">
          <cell r="X18">
            <v>991.63</v>
          </cell>
          <cell r="Z18" t="str">
            <v>RA</v>
          </cell>
          <cell r="AA18">
            <v>143.20445889734123</v>
          </cell>
          <cell r="AB18">
            <v>0</v>
          </cell>
        </row>
        <row r="19">
          <cell r="X19">
            <v>231094.95</v>
          </cell>
          <cell r="Z19" t="str">
            <v/>
          </cell>
          <cell r="AA19">
            <v>33373.16062307325</v>
          </cell>
          <cell r="AB19">
            <v>0</v>
          </cell>
        </row>
        <row r="20">
          <cell r="X20">
            <v>10905.51</v>
          </cell>
          <cell r="Z20" t="str">
            <v>RA</v>
          </cell>
          <cell r="AA20">
            <v>1574.8995679331442</v>
          </cell>
          <cell r="AB20">
            <v>0</v>
          </cell>
        </row>
        <row r="21">
          <cell r="X21">
            <v>203243.66</v>
          </cell>
          <cell r="Z21" t="str">
            <v>RA</v>
          </cell>
          <cell r="AA21">
            <v>29351.066783593877</v>
          </cell>
          <cell r="AB21">
            <v>0</v>
          </cell>
        </row>
        <row r="22">
          <cell r="X22">
            <v>16945.78</v>
          </cell>
          <cell r="Z22" t="str">
            <v>RA</v>
          </cell>
          <cell r="AA22">
            <v>2447.1942715462287</v>
          </cell>
          <cell r="AB22">
            <v>0</v>
          </cell>
        </row>
        <row r="23">
          <cell r="X23">
            <v>29032.93</v>
          </cell>
          <cell r="Z23" t="str">
            <v/>
          </cell>
          <cell r="AA23">
            <v>4192.7382500069425</v>
          </cell>
          <cell r="AB23">
            <v>0</v>
          </cell>
        </row>
        <row r="24">
          <cell r="X24">
            <v>4648.3100000000004</v>
          </cell>
          <cell r="Z24" t="str">
            <v>RA</v>
          </cell>
          <cell r="AA24">
            <v>671.27730941691982</v>
          </cell>
          <cell r="AB24">
            <v>0</v>
          </cell>
        </row>
        <row r="25">
          <cell r="X25">
            <v>632.96</v>
          </cell>
          <cell r="Z25" t="str">
            <v>RA</v>
          </cell>
          <cell r="AA25">
            <v>91.407777400503321</v>
          </cell>
          <cell r="AB25">
            <v>0</v>
          </cell>
        </row>
        <row r="26">
          <cell r="X26">
            <v>23236.5</v>
          </cell>
          <cell r="Z26" t="str">
            <v>RA</v>
          </cell>
          <cell r="AA26">
            <v>3355.6572604379348</v>
          </cell>
          <cell r="AB26">
            <v>0</v>
          </cell>
        </row>
        <row r="27">
          <cell r="X27">
            <v>515.16</v>
          </cell>
          <cell r="Z27" t="str">
            <v>RA</v>
          </cell>
          <cell r="AA27">
            <v>74.395902751585069</v>
          </cell>
          <cell r="AB27">
            <v>0</v>
          </cell>
        </row>
        <row r="28">
          <cell r="X28">
            <v>11980.87</v>
          </cell>
          <cell r="Z28" t="str">
            <v/>
          </cell>
          <cell r="AA28">
            <v>1730.1957438453742</v>
          </cell>
          <cell r="AB28">
            <v>0</v>
          </cell>
        </row>
        <row r="29">
          <cell r="X29">
            <v>140.05000000000001</v>
          </cell>
          <cell r="Z29" t="str">
            <v>RA</v>
          </cell>
          <cell r="AA29">
            <v>20.225068290161289</v>
          </cell>
          <cell r="AB29">
            <v>0</v>
          </cell>
        </row>
        <row r="30">
          <cell r="X30">
            <v>9957.4599999999991</v>
          </cell>
          <cell r="Z30" t="str">
            <v>RA</v>
          </cell>
          <cell r="AA30">
            <v>1437.9886361767183</v>
          </cell>
          <cell r="AB30">
            <v>0</v>
          </cell>
        </row>
        <row r="31">
          <cell r="X31">
            <v>830.22</v>
          </cell>
          <cell r="Z31" t="str">
            <v>RA</v>
          </cell>
          <cell r="AA31">
            <v>119.89472471158662</v>
          </cell>
          <cell r="AB31">
            <v>0</v>
          </cell>
        </row>
        <row r="32">
          <cell r="X32">
            <v>921.12</v>
          </cell>
          <cell r="Z32" t="str">
            <v>RA</v>
          </cell>
          <cell r="AA32">
            <v>133.02188435154136</v>
          </cell>
          <cell r="AB32">
            <v>0</v>
          </cell>
        </row>
        <row r="33">
          <cell r="X33">
            <v>132.02000000000001</v>
          </cell>
          <cell r="Z33" t="str">
            <v>RA</v>
          </cell>
          <cell r="AA33">
            <v>19.065430315366608</v>
          </cell>
          <cell r="AB33">
            <v>0</v>
          </cell>
        </row>
        <row r="34">
          <cell r="X34">
            <v>5947.87</v>
          </cell>
          <cell r="Z34" t="str">
            <v/>
          </cell>
          <cell r="AA34">
            <v>858.95092417709111</v>
          </cell>
          <cell r="AB34">
            <v>0</v>
          </cell>
        </row>
        <row r="35">
          <cell r="X35">
            <v>2751.19</v>
          </cell>
          <cell r="Z35" t="str">
            <v>RA</v>
          </cell>
          <cell r="AA35">
            <v>397.30814444276211</v>
          </cell>
          <cell r="AB35">
            <v>0</v>
          </cell>
        </row>
        <row r="36">
          <cell r="X36">
            <v>329.1</v>
          </cell>
          <cell r="Z36" t="str">
            <v>RA</v>
          </cell>
          <cell r="AA36">
            <v>47.526383250925242</v>
          </cell>
          <cell r="AB36">
            <v>0</v>
          </cell>
        </row>
        <row r="37">
          <cell r="X37">
            <v>2867.58</v>
          </cell>
          <cell r="Z37" t="str">
            <v>RA</v>
          </cell>
          <cell r="AA37">
            <v>414.11639648340383</v>
          </cell>
          <cell r="AB37">
            <v>0</v>
          </cell>
        </row>
      </sheetData>
      <sheetData sheetId="5">
        <row r="12">
          <cell r="A12" t="str">
            <v>Manual</v>
          </cell>
          <cell r="Q12" t="str">
            <v>Rua Hipolito Rosa - Trecho 01</v>
          </cell>
          <cell r="AA12" t="str">
            <v>.</v>
          </cell>
        </row>
        <row r="15">
          <cell r="M15">
            <v>0</v>
          </cell>
          <cell r="Q15">
            <v>57233.81</v>
          </cell>
        </row>
        <row r="16">
          <cell r="M16" t="str">
            <v/>
          </cell>
        </row>
        <row r="17">
          <cell r="M17" t="str">
            <v/>
          </cell>
        </row>
        <row r="18">
          <cell r="M18">
            <v>2</v>
          </cell>
        </row>
        <row r="19">
          <cell r="M19" t="str">
            <v/>
          </cell>
        </row>
        <row r="20">
          <cell r="M20">
            <v>3</v>
          </cell>
        </row>
        <row r="21">
          <cell r="M21">
            <v>3</v>
          </cell>
        </row>
        <row r="22">
          <cell r="M22">
            <v>3</v>
          </cell>
        </row>
        <row r="23">
          <cell r="M23" t="str">
            <v/>
          </cell>
        </row>
        <row r="24">
          <cell r="M24">
            <v>4</v>
          </cell>
        </row>
        <row r="25">
          <cell r="M25">
            <v>4</v>
          </cell>
        </row>
        <row r="26">
          <cell r="M26">
            <v>4</v>
          </cell>
        </row>
        <row r="27">
          <cell r="M27">
            <v>4</v>
          </cell>
        </row>
        <row r="28">
          <cell r="M28" t="str">
            <v/>
          </cell>
        </row>
        <row r="29">
          <cell r="M29">
            <v>5</v>
          </cell>
        </row>
        <row r="30">
          <cell r="M30">
            <v>5</v>
          </cell>
        </row>
        <row r="31">
          <cell r="M31">
            <v>5</v>
          </cell>
        </row>
        <row r="32">
          <cell r="M32">
            <v>5</v>
          </cell>
        </row>
        <row r="33">
          <cell r="M33">
            <v>5</v>
          </cell>
        </row>
        <row r="34">
          <cell r="M34" t="str">
            <v/>
          </cell>
        </row>
        <row r="35">
          <cell r="M35">
            <v>6</v>
          </cell>
        </row>
        <row r="36">
          <cell r="M36">
            <v>6</v>
          </cell>
        </row>
        <row r="37">
          <cell r="M37">
            <v>6</v>
          </cell>
        </row>
      </sheetData>
      <sheetData sheetId="6">
        <row r="14">
          <cell r="C14" t="e">
            <v>#VALUE!</v>
          </cell>
        </row>
        <row r="15">
          <cell r="B15" t="str">
            <v>1.Administração Local</v>
          </cell>
          <cell r="C15">
            <v>1</v>
          </cell>
        </row>
        <row r="16">
          <cell r="C16">
            <v>2</v>
          </cell>
        </row>
        <row r="17">
          <cell r="C17">
            <v>3</v>
          </cell>
        </row>
        <row r="18">
          <cell r="C18">
            <v>4</v>
          </cell>
        </row>
        <row r="19">
          <cell r="C19">
            <v>5</v>
          </cell>
        </row>
        <row r="20">
          <cell r="C20">
            <v>6</v>
          </cell>
        </row>
      </sheetData>
      <sheetData sheetId="7">
        <row r="10">
          <cell r="G10">
            <v>2</v>
          </cell>
        </row>
      </sheetData>
      <sheetData sheetId="8"/>
      <sheetData sheetId="9">
        <row r="9">
          <cell r="J9">
            <v>1</v>
          </cell>
        </row>
        <row r="15">
          <cell r="A15" t="str">
            <v/>
          </cell>
          <cell r="B15">
            <v>1</v>
          </cell>
          <cell r="C15" t="str">
            <v>Administração Local</v>
          </cell>
          <cell r="H15" t="str">
            <v>A administração local será proporcional a execução dos demais eventos, independente de frentes de obra.</v>
          </cell>
        </row>
        <row r="21">
          <cell r="A21" t="str">
            <v>F</v>
          </cell>
        </row>
      </sheetData>
      <sheetData sheetId="10">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279048.25</v>
          </cell>
          <cell r="AA14">
            <v>40298.249999999993</v>
          </cell>
          <cell r="AB14">
            <v>0</v>
          </cell>
        </row>
        <row r="15">
          <cell r="B15" t="str">
            <v>Branco</v>
          </cell>
          <cell r="O15">
            <v>0</v>
          </cell>
          <cell r="AA15">
            <v>0</v>
          </cell>
          <cell r="AB15">
            <v>0</v>
          </cell>
        </row>
        <row r="16">
          <cell r="B16" t="str">
            <v>Branco</v>
          </cell>
          <cell r="O16">
            <v>0</v>
          </cell>
          <cell r="AA16">
            <v>0</v>
          </cell>
          <cell r="AB16">
            <v>0</v>
          </cell>
        </row>
        <row r="17">
          <cell r="B17" t="str">
            <v>TR$</v>
          </cell>
          <cell r="O17">
            <v>279048.25</v>
          </cell>
          <cell r="AA17">
            <v>40298.25</v>
          </cell>
          <cell r="AB17">
            <v>0</v>
          </cell>
        </row>
      </sheetData>
      <sheetData sheetId="1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2">
        <row r="7">
          <cell r="O7">
            <v>279339.09999999998</v>
          </cell>
        </row>
        <row r="19">
          <cell r="AC19">
            <v>0</v>
          </cell>
          <cell r="AD19">
            <v>0</v>
          </cell>
        </row>
        <row r="20">
          <cell r="AC20">
            <v>0</v>
          </cell>
          <cell r="AD20">
            <v>0</v>
          </cell>
        </row>
      </sheetData>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60"/>
  <sheetViews>
    <sheetView showGridLines="0" tabSelected="1" view="pageBreakPreview" zoomScaleNormal="100" zoomScaleSheetLayoutView="100" workbookViewId="0">
      <selection activeCell="L148" sqref="L148"/>
    </sheetView>
  </sheetViews>
  <sheetFormatPr defaultRowHeight="15" x14ac:dyDescent="0.25"/>
  <cols>
    <col min="1" max="1" width="4.85546875" style="9" customWidth="1"/>
    <col min="2" max="2" width="2.140625" style="1" customWidth="1"/>
    <col min="3" max="3" width="4.140625" style="1" customWidth="1"/>
    <col min="4" max="4" width="7.85546875" style="1" customWidth="1"/>
    <col min="5" max="5" width="68" customWidth="1"/>
    <col min="6" max="6" width="6.5703125" style="9" customWidth="1"/>
    <col min="7" max="7" width="9.5703125" style="10" customWidth="1"/>
    <col min="8" max="8" width="10.85546875" style="11" customWidth="1"/>
    <col min="9" max="9" width="11" style="11" customWidth="1"/>
    <col min="10" max="10" width="14.140625" style="11" customWidth="1"/>
    <col min="11" max="11" width="10.85546875" customWidth="1"/>
  </cols>
  <sheetData>
    <row r="1" spans="1:15" ht="23.25" customHeight="1" x14ac:dyDescent="0.25">
      <c r="E1" s="155" t="s">
        <v>37</v>
      </c>
      <c r="F1" s="155"/>
      <c r="G1" s="155"/>
      <c r="H1" s="155"/>
      <c r="I1" s="155"/>
    </row>
    <row r="2" spans="1:15" x14ac:dyDescent="0.25">
      <c r="E2" s="156" t="s">
        <v>38</v>
      </c>
      <c r="F2" s="156"/>
      <c r="G2" s="156"/>
      <c r="H2" s="156"/>
      <c r="I2" s="156"/>
    </row>
    <row r="3" spans="1:15" x14ac:dyDescent="0.25">
      <c r="E3" s="156" t="s">
        <v>39</v>
      </c>
      <c r="F3" s="156"/>
      <c r="G3" s="156"/>
      <c r="H3" s="156"/>
      <c r="I3" s="156"/>
    </row>
    <row r="4" spans="1:15" ht="6.75" customHeight="1" thickBot="1" x14ac:dyDescent="0.3">
      <c r="A4" s="170"/>
      <c r="B4" s="170"/>
      <c r="C4" s="170"/>
      <c r="D4" s="170"/>
      <c r="E4" s="170"/>
      <c r="F4" s="170"/>
      <c r="G4" s="170"/>
      <c r="H4" s="170"/>
      <c r="I4" s="170"/>
      <c r="J4" s="170"/>
    </row>
    <row r="5" spans="1:15" ht="14.25" customHeight="1" thickBot="1" x14ac:dyDescent="0.3">
      <c r="A5" s="157" t="s">
        <v>9</v>
      </c>
      <c r="B5" s="158"/>
      <c r="C5" s="158"/>
      <c r="D5" s="158"/>
      <c r="E5" s="158"/>
      <c r="F5" s="158"/>
      <c r="G5" s="158"/>
      <c r="H5" s="158"/>
      <c r="I5" s="158"/>
      <c r="J5" s="159"/>
    </row>
    <row r="6" spans="1:15" ht="5.0999999999999996" customHeight="1" thickBot="1" x14ac:dyDescent="0.3">
      <c r="A6" s="256"/>
      <c r="B6" s="257"/>
      <c r="C6" s="257"/>
      <c r="D6" s="257"/>
      <c r="E6" s="257"/>
      <c r="F6" s="257"/>
      <c r="G6" s="257"/>
      <c r="H6" s="257"/>
      <c r="I6" s="257"/>
      <c r="J6" s="258"/>
    </row>
    <row r="7" spans="1:15" x14ac:dyDescent="0.25">
      <c r="A7" s="123" t="s">
        <v>40</v>
      </c>
      <c r="B7" s="124"/>
      <c r="C7" s="124"/>
      <c r="D7" s="124"/>
      <c r="E7" s="124"/>
      <c r="F7" s="124"/>
      <c r="G7" s="124"/>
      <c r="H7" s="124"/>
      <c r="I7" s="124"/>
      <c r="J7" s="125"/>
    </row>
    <row r="8" spans="1:15" x14ac:dyDescent="0.25">
      <c r="A8" s="126" t="s">
        <v>139</v>
      </c>
      <c r="B8" s="127"/>
      <c r="C8" s="127"/>
      <c r="D8" s="127"/>
      <c r="E8" s="127"/>
      <c r="F8" s="127"/>
      <c r="G8" s="128"/>
      <c r="H8" s="120" t="s">
        <v>125</v>
      </c>
      <c r="I8" s="121"/>
      <c r="J8" s="122"/>
    </row>
    <row r="9" spans="1:15" ht="13.5" customHeight="1" x14ac:dyDescent="0.25">
      <c r="A9" s="126" t="s">
        <v>140</v>
      </c>
      <c r="B9" s="127"/>
      <c r="C9" s="127"/>
      <c r="D9" s="127"/>
      <c r="E9" s="127"/>
      <c r="F9" s="128"/>
      <c r="G9" s="165" t="s">
        <v>14</v>
      </c>
      <c r="H9" s="166"/>
      <c r="I9" s="166"/>
      <c r="J9" s="167"/>
    </row>
    <row r="10" spans="1:15" x14ac:dyDescent="0.25">
      <c r="A10" s="129" t="s">
        <v>124</v>
      </c>
      <c r="B10" s="130"/>
      <c r="C10" s="130"/>
      <c r="D10" s="130"/>
      <c r="E10" s="130"/>
      <c r="F10" s="131"/>
      <c r="G10" s="148" t="s">
        <v>10</v>
      </c>
      <c r="H10" s="7" t="s">
        <v>11</v>
      </c>
      <c r="I10" s="147" t="s">
        <v>19</v>
      </c>
      <c r="J10" s="8" t="s">
        <v>12</v>
      </c>
    </row>
    <row r="11" spans="1:15" ht="15.75" thickBot="1" x14ac:dyDescent="0.3">
      <c r="A11" s="115" t="s">
        <v>141</v>
      </c>
      <c r="B11" s="116"/>
      <c r="C11" s="116"/>
      <c r="D11" s="116"/>
      <c r="E11" s="116"/>
      <c r="F11" s="117"/>
      <c r="G11" s="168" t="s">
        <v>80</v>
      </c>
      <c r="H11" s="169"/>
      <c r="I11" s="12" t="s">
        <v>13</v>
      </c>
      <c r="J11" s="18">
        <v>0.29509999999999997</v>
      </c>
      <c r="K11">
        <v>1.2950999999999999</v>
      </c>
    </row>
    <row r="12" spans="1:15" ht="5.0999999999999996" customHeight="1" thickBot="1" x14ac:dyDescent="0.3">
      <c r="A12" s="259"/>
      <c r="B12" s="138"/>
      <c r="C12" s="138"/>
      <c r="D12" s="138"/>
      <c r="E12" s="138"/>
      <c r="F12" s="138"/>
      <c r="G12" s="138"/>
      <c r="H12" s="138"/>
      <c r="I12" s="138"/>
      <c r="J12" s="260"/>
    </row>
    <row r="13" spans="1:15" ht="19.5" customHeight="1" thickBot="1" x14ac:dyDescent="0.3">
      <c r="A13" s="218" t="s">
        <v>142</v>
      </c>
      <c r="B13" s="219"/>
      <c r="C13" s="219"/>
      <c r="D13" s="219"/>
      <c r="E13" s="219"/>
      <c r="F13" s="219"/>
      <c r="G13" s="219"/>
      <c r="H13" s="219"/>
      <c r="I13" s="219"/>
      <c r="J13" s="220"/>
    </row>
    <row r="14" spans="1:15" ht="34.5" thickBot="1" x14ac:dyDescent="0.3">
      <c r="A14" s="3" t="s">
        <v>0</v>
      </c>
      <c r="B14" s="171" t="s">
        <v>1</v>
      </c>
      <c r="C14" s="172"/>
      <c r="D14" s="4" t="s">
        <v>2</v>
      </c>
      <c r="E14" s="4" t="s">
        <v>3</v>
      </c>
      <c r="F14" s="4" t="s">
        <v>4</v>
      </c>
      <c r="G14" s="4" t="s">
        <v>5</v>
      </c>
      <c r="H14" s="5" t="s">
        <v>6</v>
      </c>
      <c r="I14" s="5" t="s">
        <v>7</v>
      </c>
      <c r="J14" s="6" t="s">
        <v>8</v>
      </c>
      <c r="O14" t="s">
        <v>35</v>
      </c>
    </row>
    <row r="15" spans="1:15" ht="12" customHeight="1" x14ac:dyDescent="0.25">
      <c r="A15" s="261">
        <v>1</v>
      </c>
      <c r="B15" s="173"/>
      <c r="C15" s="174"/>
      <c r="D15" s="20"/>
      <c r="E15" s="20" t="s">
        <v>41</v>
      </c>
      <c r="F15" s="19"/>
      <c r="G15" s="21"/>
      <c r="H15" s="22"/>
      <c r="I15" s="110" t="s">
        <v>48</v>
      </c>
      <c r="J15" s="111">
        <f>SUM(J16:J23)</f>
        <v>35199.26</v>
      </c>
    </row>
    <row r="16" spans="1:15" ht="45" x14ac:dyDescent="0.25">
      <c r="A16" s="262" t="s">
        <v>21</v>
      </c>
      <c r="B16" s="160" t="s">
        <v>17</v>
      </c>
      <c r="C16" s="161"/>
      <c r="D16" s="13" t="s">
        <v>56</v>
      </c>
      <c r="E16" s="103" t="s">
        <v>65</v>
      </c>
      <c r="F16" s="13" t="s">
        <v>57</v>
      </c>
      <c r="G16" s="27">
        <v>2</v>
      </c>
      <c r="H16" s="17">
        <v>858.6</v>
      </c>
      <c r="I16" s="17">
        <f>H16*1.2951</f>
        <v>1111.9728599999999</v>
      </c>
      <c r="J16" s="98">
        <f>TRUNC(I16*G16,2)</f>
        <v>2223.94</v>
      </c>
    </row>
    <row r="17" spans="1:11" ht="22.5" x14ac:dyDescent="0.25">
      <c r="A17" s="262" t="s">
        <v>54</v>
      </c>
      <c r="B17" s="160" t="s">
        <v>17</v>
      </c>
      <c r="C17" s="161"/>
      <c r="D17" s="13" t="s">
        <v>55</v>
      </c>
      <c r="E17" s="103" t="s">
        <v>53</v>
      </c>
      <c r="F17" s="13" t="s">
        <v>44</v>
      </c>
      <c r="G17" s="27">
        <v>1</v>
      </c>
      <c r="H17" s="17">
        <v>1702.32</v>
      </c>
      <c r="I17" s="17">
        <f t="shared" ref="I17:I23" si="0">H17*1.2951</f>
        <v>2204.6746319999997</v>
      </c>
      <c r="J17" s="98">
        <f t="shared" ref="J17:J23" si="1">TRUNC(I17*G17,2)</f>
        <v>2204.67</v>
      </c>
    </row>
    <row r="18" spans="1:11" ht="27.75" customHeight="1" x14ac:dyDescent="0.25">
      <c r="A18" s="262" t="s">
        <v>66</v>
      </c>
      <c r="B18" s="160" t="s">
        <v>17</v>
      </c>
      <c r="C18" s="161"/>
      <c r="D18" s="13" t="s">
        <v>67</v>
      </c>
      <c r="E18" s="103" t="s">
        <v>68</v>
      </c>
      <c r="F18" s="13" t="s">
        <v>18</v>
      </c>
      <c r="G18" s="27">
        <f>3.5*12.6</f>
        <v>44.1</v>
      </c>
      <c r="H18" s="17">
        <v>30.58</v>
      </c>
      <c r="I18" s="17">
        <f t="shared" si="0"/>
        <v>39.604157999999998</v>
      </c>
      <c r="J18" s="98">
        <f t="shared" si="1"/>
        <v>1746.54</v>
      </c>
    </row>
    <row r="19" spans="1:11" ht="45" x14ac:dyDescent="0.25">
      <c r="A19" s="262" t="s">
        <v>69</v>
      </c>
      <c r="B19" s="160" t="s">
        <v>17</v>
      </c>
      <c r="C19" s="161"/>
      <c r="D19" s="13" t="s">
        <v>70</v>
      </c>
      <c r="E19" s="103" t="s">
        <v>71</v>
      </c>
      <c r="F19" s="13" t="s">
        <v>44</v>
      </c>
      <c r="G19" s="27">
        <v>1</v>
      </c>
      <c r="H19" s="17">
        <v>1206.72</v>
      </c>
      <c r="I19" s="17">
        <f t="shared" si="0"/>
        <v>1562.8230719999999</v>
      </c>
      <c r="J19" s="98">
        <f t="shared" si="1"/>
        <v>1562.82</v>
      </c>
    </row>
    <row r="20" spans="1:11" ht="22.5" x14ac:dyDescent="0.25">
      <c r="A20" s="262" t="s">
        <v>76</v>
      </c>
      <c r="B20" s="160" t="s">
        <v>74</v>
      </c>
      <c r="C20" s="161"/>
      <c r="D20" s="13">
        <v>99059</v>
      </c>
      <c r="E20" s="103" t="s">
        <v>77</v>
      </c>
      <c r="F20" s="13" t="s">
        <v>47</v>
      </c>
      <c r="G20" s="27">
        <f>10*8.3</f>
        <v>83</v>
      </c>
      <c r="H20" s="17">
        <v>77.739999999999995</v>
      </c>
      <c r="I20" s="17">
        <f t="shared" si="0"/>
        <v>100.68107399999998</v>
      </c>
      <c r="J20" s="98">
        <f t="shared" si="1"/>
        <v>8356.52</v>
      </c>
      <c r="K20" t="s">
        <v>113</v>
      </c>
    </row>
    <row r="21" spans="1:11" x14ac:dyDescent="0.25">
      <c r="A21" s="262" t="s">
        <v>73</v>
      </c>
      <c r="B21" s="162" t="s">
        <v>74</v>
      </c>
      <c r="C21" s="163"/>
      <c r="D21" s="118">
        <v>93421</v>
      </c>
      <c r="E21" s="141" t="s">
        <v>72</v>
      </c>
      <c r="F21" s="118" t="s">
        <v>75</v>
      </c>
      <c r="G21" s="119">
        <v>40</v>
      </c>
      <c r="H21" s="142">
        <v>91.89</v>
      </c>
      <c r="I21" s="17">
        <f t="shared" si="0"/>
        <v>119.006739</v>
      </c>
      <c r="J21" s="98">
        <f t="shared" si="1"/>
        <v>4760.26</v>
      </c>
    </row>
    <row r="22" spans="1:11" ht="36" customHeight="1" x14ac:dyDescent="0.25">
      <c r="A22" s="262" t="s">
        <v>96</v>
      </c>
      <c r="B22" s="160" t="s">
        <v>74</v>
      </c>
      <c r="C22" s="161"/>
      <c r="D22" s="118">
        <v>5875</v>
      </c>
      <c r="E22" s="141" t="s">
        <v>95</v>
      </c>
      <c r="F22" s="118" t="s">
        <v>97</v>
      </c>
      <c r="G22" s="119">
        <v>50</v>
      </c>
      <c r="H22" s="142">
        <v>159.91999999999999</v>
      </c>
      <c r="I22" s="17">
        <f t="shared" si="0"/>
        <v>207.11239199999997</v>
      </c>
      <c r="J22" s="98">
        <f t="shared" si="1"/>
        <v>10355.61</v>
      </c>
      <c r="K22" t="s">
        <v>112</v>
      </c>
    </row>
    <row r="23" spans="1:11" x14ac:dyDescent="0.25">
      <c r="A23" s="262" t="s">
        <v>126</v>
      </c>
      <c r="B23" s="160" t="s">
        <v>127</v>
      </c>
      <c r="C23" s="161"/>
      <c r="D23" s="118">
        <v>1</v>
      </c>
      <c r="E23" s="141" t="s">
        <v>128</v>
      </c>
      <c r="F23" s="118" t="s">
        <v>129</v>
      </c>
      <c r="G23" s="119">
        <f>22*2*2</f>
        <v>88</v>
      </c>
      <c r="H23" s="142">
        <v>35</v>
      </c>
      <c r="I23" s="17">
        <f t="shared" si="0"/>
        <v>45.328499999999998</v>
      </c>
      <c r="J23" s="98">
        <f t="shared" si="1"/>
        <v>3988.9</v>
      </c>
    </row>
    <row r="24" spans="1:11" x14ac:dyDescent="0.25">
      <c r="A24" s="261">
        <v>2</v>
      </c>
      <c r="B24" s="164"/>
      <c r="C24" s="164"/>
      <c r="D24" s="100"/>
      <c r="E24" s="100" t="s">
        <v>92</v>
      </c>
      <c r="F24" s="146"/>
      <c r="G24" s="101"/>
      <c r="H24" s="102"/>
      <c r="I24" s="110" t="s">
        <v>48</v>
      </c>
      <c r="J24" s="111">
        <f>SUM(J25:J29)</f>
        <v>30106.776827300389</v>
      </c>
    </row>
    <row r="25" spans="1:11" x14ac:dyDescent="0.25">
      <c r="A25" s="262" t="s">
        <v>42</v>
      </c>
      <c r="B25" s="160" t="s">
        <v>17</v>
      </c>
      <c r="C25" s="161"/>
      <c r="D25" s="13" t="s">
        <v>87</v>
      </c>
      <c r="E25" s="144" t="s">
        <v>88</v>
      </c>
      <c r="F25" s="13" t="s">
        <v>20</v>
      </c>
      <c r="G25" s="27">
        <f>(1.6*0.5*(3.55+3.3+3.55))*2</f>
        <v>16.639999999999997</v>
      </c>
      <c r="H25" s="17">
        <v>89.59</v>
      </c>
      <c r="I25" s="17">
        <f t="shared" ref="I25:I29" si="2">H25*$K$11</f>
        <v>116.028009</v>
      </c>
      <c r="J25" s="98">
        <f t="shared" ref="J25:J29" si="3">I25*G25</f>
        <v>1930.7060697599995</v>
      </c>
      <c r="K25" t="s">
        <v>86</v>
      </c>
    </row>
    <row r="26" spans="1:11" ht="22.5" x14ac:dyDescent="0.25">
      <c r="A26" s="262" t="s">
        <v>43</v>
      </c>
      <c r="B26" s="160" t="s">
        <v>17</v>
      </c>
      <c r="C26" s="161"/>
      <c r="D26" s="13" t="s">
        <v>90</v>
      </c>
      <c r="E26" s="144" t="s">
        <v>89</v>
      </c>
      <c r="F26" s="13" t="s">
        <v>20</v>
      </c>
      <c r="G26" s="27">
        <f>(3.14*0.15^2)*3*8</f>
        <v>1.6956000000000002</v>
      </c>
      <c r="H26" s="17">
        <v>276.67</v>
      </c>
      <c r="I26" s="17">
        <f t="shared" si="2"/>
        <v>358.31531699999999</v>
      </c>
      <c r="J26" s="98">
        <f t="shared" si="3"/>
        <v>607.55945150520006</v>
      </c>
      <c r="K26" t="s">
        <v>91</v>
      </c>
    </row>
    <row r="27" spans="1:11" ht="22.5" x14ac:dyDescent="0.25">
      <c r="A27" s="262" t="s">
        <v>83</v>
      </c>
      <c r="B27" s="160" t="s">
        <v>17</v>
      </c>
      <c r="C27" s="161"/>
      <c r="D27" s="13" t="s">
        <v>94</v>
      </c>
      <c r="E27" s="144" t="s">
        <v>93</v>
      </c>
      <c r="F27" s="13" t="s">
        <v>18</v>
      </c>
      <c r="G27" s="27">
        <f>(1.6*(3.55+3.3+3.55))*2</f>
        <v>33.279999999999994</v>
      </c>
      <c r="H27" s="17">
        <v>6.1</v>
      </c>
      <c r="I27" s="17">
        <f t="shared" si="2"/>
        <v>7.9001099999999989</v>
      </c>
      <c r="J27" s="98">
        <f t="shared" si="3"/>
        <v>262.9156607999999</v>
      </c>
      <c r="K27" t="s">
        <v>115</v>
      </c>
    </row>
    <row r="28" spans="1:11" x14ac:dyDescent="0.25">
      <c r="A28" s="262" t="s">
        <v>84</v>
      </c>
      <c r="B28" s="160" t="s">
        <v>17</v>
      </c>
      <c r="C28" s="161"/>
      <c r="D28" s="13" t="s">
        <v>59</v>
      </c>
      <c r="E28" s="103" t="s">
        <v>60</v>
      </c>
      <c r="F28" s="13" t="s">
        <v>61</v>
      </c>
      <c r="G28" s="27">
        <f>(((70*3.8*2)+(20*10.4*2))*0.617)+((5*3.1*8)*0.617)+((25*0.84*8)*0.154)</f>
        <v>687.29599999999994</v>
      </c>
      <c r="H28" s="17">
        <v>10.35</v>
      </c>
      <c r="I28" s="17">
        <f t="shared" si="2"/>
        <v>13.404284999999998</v>
      </c>
      <c r="J28" s="98">
        <f t="shared" si="3"/>
        <v>9212.7114633599977</v>
      </c>
      <c r="K28" t="s">
        <v>98</v>
      </c>
    </row>
    <row r="29" spans="1:11" ht="22.5" x14ac:dyDescent="0.25">
      <c r="A29" s="262" t="s">
        <v>85</v>
      </c>
      <c r="B29" s="160" t="s">
        <v>17</v>
      </c>
      <c r="C29" s="161"/>
      <c r="D29" s="13" t="s">
        <v>63</v>
      </c>
      <c r="E29" s="103" t="s">
        <v>62</v>
      </c>
      <c r="F29" s="13" t="s">
        <v>20</v>
      </c>
      <c r="G29" s="27">
        <f>(3.14*0.15^2*3*8)+((0.5*1.6*(3.55+3.3+3.55))*2)</f>
        <v>18.335599999999996</v>
      </c>
      <c r="H29" s="17">
        <v>761.92</v>
      </c>
      <c r="I29" s="17">
        <f t="shared" si="2"/>
        <v>986.76259199999993</v>
      </c>
      <c r="J29" s="98">
        <f t="shared" si="3"/>
        <v>18092.884181875193</v>
      </c>
      <c r="K29" t="s">
        <v>98</v>
      </c>
    </row>
    <row r="30" spans="1:11" x14ac:dyDescent="0.25">
      <c r="A30" s="263">
        <v>3</v>
      </c>
      <c r="B30" s="175"/>
      <c r="C30" s="176"/>
      <c r="D30" s="100"/>
      <c r="E30" s="100" t="s">
        <v>58</v>
      </c>
      <c r="F30" s="100"/>
      <c r="G30" s="100"/>
      <c r="H30" s="100"/>
      <c r="I30" s="100"/>
      <c r="J30" s="264">
        <f>SUM(J31:J37)</f>
        <v>95653.483781471979</v>
      </c>
    </row>
    <row r="31" spans="1:11" ht="22.5" x14ac:dyDescent="0.25">
      <c r="A31" s="262" t="s">
        <v>45</v>
      </c>
      <c r="B31" s="160" t="s">
        <v>17</v>
      </c>
      <c r="C31" s="161"/>
      <c r="D31" s="13" t="s">
        <v>94</v>
      </c>
      <c r="E31" s="144" t="s">
        <v>93</v>
      </c>
      <c r="F31" s="13" t="s">
        <v>18</v>
      </c>
      <c r="G31" s="27">
        <v>30.28</v>
      </c>
      <c r="H31" s="17">
        <v>6.1</v>
      </c>
      <c r="I31" s="17">
        <f t="shared" ref="I31:I33" si="4">H31*1.2951</f>
        <v>7.9001099999999989</v>
      </c>
      <c r="J31" s="98">
        <f t="shared" ref="J31:J33" si="5">I31*G31</f>
        <v>239.21533079999998</v>
      </c>
      <c r="K31" t="s">
        <v>114</v>
      </c>
    </row>
    <row r="32" spans="1:11" ht="22.5" x14ac:dyDescent="0.25">
      <c r="A32" s="262" t="s">
        <v>46</v>
      </c>
      <c r="B32" s="160" t="s">
        <v>17</v>
      </c>
      <c r="C32" s="161"/>
      <c r="D32" s="13" t="s">
        <v>63</v>
      </c>
      <c r="E32" s="103" t="s">
        <v>62</v>
      </c>
      <c r="F32" s="13" t="s">
        <v>20</v>
      </c>
      <c r="G32" s="27">
        <f>(30.28*0.1)+(((3.55*4.1*0.2)*4)+((3.3*0.7*0.2)*2))</f>
        <v>15.595999999999998</v>
      </c>
      <c r="H32" s="17">
        <v>761.92</v>
      </c>
      <c r="I32" s="17">
        <f t="shared" si="4"/>
        <v>986.76259199999993</v>
      </c>
      <c r="J32" s="98">
        <f t="shared" si="5"/>
        <v>15389.549384831997</v>
      </c>
      <c r="K32" t="s">
        <v>99</v>
      </c>
    </row>
    <row r="33" spans="1:11" x14ac:dyDescent="0.25">
      <c r="A33" s="262" t="s">
        <v>118</v>
      </c>
      <c r="B33" s="160" t="s">
        <v>17</v>
      </c>
      <c r="C33" s="161"/>
      <c r="D33" s="13" t="s">
        <v>59</v>
      </c>
      <c r="E33" s="103" t="s">
        <v>60</v>
      </c>
      <c r="F33" s="13" t="s">
        <v>61</v>
      </c>
      <c r="G33" s="27">
        <v>752.68</v>
      </c>
      <c r="H33" s="17">
        <v>10.35</v>
      </c>
      <c r="I33" s="17">
        <f t="shared" si="4"/>
        <v>13.404284999999998</v>
      </c>
      <c r="J33" s="98">
        <f t="shared" si="5"/>
        <v>10089.137233799998</v>
      </c>
      <c r="K33" t="s">
        <v>101</v>
      </c>
    </row>
    <row r="34" spans="1:11" ht="33.75" x14ac:dyDescent="0.25">
      <c r="A34" s="262" t="s">
        <v>119</v>
      </c>
      <c r="B34" s="160" t="s">
        <v>17</v>
      </c>
      <c r="C34" s="161"/>
      <c r="D34" s="13" t="s">
        <v>82</v>
      </c>
      <c r="E34" s="103" t="s">
        <v>81</v>
      </c>
      <c r="F34" s="13" t="s">
        <v>18</v>
      </c>
      <c r="G34" s="27">
        <v>119.08</v>
      </c>
      <c r="H34" s="17">
        <v>146.63</v>
      </c>
      <c r="I34" s="17">
        <f>H34*1.2951</f>
        <v>189.90051299999999</v>
      </c>
      <c r="J34" s="98">
        <f>I34*G34</f>
        <v>22613.353088039999</v>
      </c>
      <c r="K34" t="s">
        <v>100</v>
      </c>
    </row>
    <row r="35" spans="1:11" ht="33.75" x14ac:dyDescent="0.25">
      <c r="A35" s="262" t="s">
        <v>120</v>
      </c>
      <c r="B35" s="160" t="s">
        <v>74</v>
      </c>
      <c r="C35" s="161"/>
      <c r="D35" s="13">
        <v>104497</v>
      </c>
      <c r="E35" s="103" t="s">
        <v>123</v>
      </c>
      <c r="F35" s="13" t="s">
        <v>47</v>
      </c>
      <c r="G35" s="27">
        <v>4</v>
      </c>
      <c r="H35" s="17">
        <v>8198.0499999999993</v>
      </c>
      <c r="I35" s="17">
        <f>H35*1.2951</f>
        <v>10617.294554999999</v>
      </c>
      <c r="J35" s="98">
        <f>I35*G35</f>
        <v>42469.178219999994</v>
      </c>
    </row>
    <row r="36" spans="1:11" ht="22.5" x14ac:dyDescent="0.25">
      <c r="A36" s="262" t="s">
        <v>121</v>
      </c>
      <c r="B36" s="160" t="s">
        <v>17</v>
      </c>
      <c r="C36" s="161"/>
      <c r="D36" s="13" t="s">
        <v>103</v>
      </c>
      <c r="E36" s="103" t="s">
        <v>102</v>
      </c>
      <c r="F36" s="13" t="s">
        <v>104</v>
      </c>
      <c r="G36" s="27">
        <f>(((12*1*0.15)*2500)/1000)*4</f>
        <v>18</v>
      </c>
      <c r="H36" s="17">
        <v>36.46</v>
      </c>
      <c r="I36" s="17">
        <f>H36*1.2951</f>
        <v>47.219346000000002</v>
      </c>
      <c r="J36" s="98">
        <f t="shared" ref="J36:J37" si="6">I36*G36</f>
        <v>849.94822799999997</v>
      </c>
    </row>
    <row r="37" spans="1:11" ht="22.5" x14ac:dyDescent="0.25">
      <c r="A37" s="262" t="s">
        <v>122</v>
      </c>
      <c r="B37" s="160" t="s">
        <v>74</v>
      </c>
      <c r="C37" s="161"/>
      <c r="D37" s="13">
        <v>106685</v>
      </c>
      <c r="E37" s="103" t="s">
        <v>107</v>
      </c>
      <c r="F37" s="13" t="s">
        <v>108</v>
      </c>
      <c r="G37" s="27">
        <f>18*212</f>
        <v>3816</v>
      </c>
      <c r="H37" s="17">
        <v>0.81</v>
      </c>
      <c r="I37" s="17">
        <f>H37*1.2951</f>
        <v>1.049031</v>
      </c>
      <c r="J37" s="98">
        <f t="shared" si="6"/>
        <v>4003.102296</v>
      </c>
    </row>
    <row r="38" spans="1:11" x14ac:dyDescent="0.25">
      <c r="A38" s="261">
        <v>4</v>
      </c>
      <c r="B38" s="164"/>
      <c r="C38" s="164"/>
      <c r="D38" s="146"/>
      <c r="E38" s="100" t="s">
        <v>64</v>
      </c>
      <c r="F38" s="146"/>
      <c r="G38" s="101"/>
      <c r="H38" s="102"/>
      <c r="I38" s="105" t="s">
        <v>48</v>
      </c>
      <c r="J38" s="264">
        <f>SUM(J39:J40)</f>
        <v>2675.99</v>
      </c>
    </row>
    <row r="39" spans="1:11" ht="34.5" x14ac:dyDescent="0.25">
      <c r="A39" s="262" t="s">
        <v>78</v>
      </c>
      <c r="B39" s="160" t="s">
        <v>17</v>
      </c>
      <c r="C39" s="161"/>
      <c r="D39" s="13" t="s">
        <v>106</v>
      </c>
      <c r="E39" s="26" t="s">
        <v>105</v>
      </c>
      <c r="F39" s="13" t="s">
        <v>20</v>
      </c>
      <c r="G39" s="27">
        <v>203.16</v>
      </c>
      <c r="H39" s="17">
        <v>9.0500000000000007</v>
      </c>
      <c r="I39" s="17">
        <f>H39*1.2951</f>
        <v>11.720655000000001</v>
      </c>
      <c r="J39" s="98">
        <f t="shared" ref="J39:J40" si="7">TRUNC(I39*G39,2)</f>
        <v>2381.16</v>
      </c>
      <c r="K39" t="s">
        <v>116</v>
      </c>
    </row>
    <row r="40" spans="1:11" ht="22.5" x14ac:dyDescent="0.25">
      <c r="A40" s="262" t="s">
        <v>79</v>
      </c>
      <c r="B40" s="160" t="s">
        <v>17</v>
      </c>
      <c r="C40" s="161"/>
      <c r="D40" s="13" t="s">
        <v>111</v>
      </c>
      <c r="E40" s="104" t="s">
        <v>110</v>
      </c>
      <c r="F40" s="13" t="s">
        <v>18</v>
      </c>
      <c r="G40" s="27">
        <v>79.599999999999994</v>
      </c>
      <c r="H40" s="17">
        <v>2.86</v>
      </c>
      <c r="I40" s="17">
        <f t="shared" ref="I40" si="8">H40*1.2951</f>
        <v>3.7039859999999996</v>
      </c>
      <c r="J40" s="98">
        <f t="shared" si="7"/>
        <v>294.83</v>
      </c>
      <c r="K40" t="s">
        <v>109</v>
      </c>
    </row>
    <row r="41" spans="1:11" ht="5.25" customHeight="1" thickBot="1" x14ac:dyDescent="0.3">
      <c r="A41" s="265"/>
      <c r="B41" s="139"/>
      <c r="C41" s="139"/>
      <c r="D41" s="140"/>
      <c r="E41" s="140"/>
      <c r="F41" s="139"/>
      <c r="G41" s="266"/>
      <c r="H41" s="267"/>
      <c r="I41" s="268"/>
      <c r="J41" s="269"/>
    </row>
    <row r="42" spans="1:11" ht="12" customHeight="1" thickBot="1" x14ac:dyDescent="0.3">
      <c r="A42" s="221" t="s">
        <v>135</v>
      </c>
      <c r="B42" s="217"/>
      <c r="C42" s="217"/>
      <c r="D42" s="217"/>
      <c r="E42" s="217"/>
      <c r="F42" s="217"/>
      <c r="G42" s="217"/>
      <c r="H42" s="217"/>
      <c r="I42" s="222"/>
      <c r="J42" s="248">
        <f>J15+J38+J30+J24</f>
        <v>163635.51060877234</v>
      </c>
    </row>
    <row r="43" spans="1:11" ht="17.25" customHeight="1" x14ac:dyDescent="0.25">
      <c r="A43" s="233" t="s">
        <v>143</v>
      </c>
      <c r="B43" s="234"/>
      <c r="C43" s="234"/>
      <c r="D43" s="234"/>
      <c r="E43" s="234"/>
      <c r="F43" s="234"/>
      <c r="G43" s="234"/>
      <c r="H43" s="234"/>
      <c r="I43" s="234"/>
      <c r="J43" s="235"/>
    </row>
    <row r="44" spans="1:11" x14ac:dyDescent="0.25">
      <c r="A44" s="261">
        <f>'ADUELA CAPELINHA'!A14</f>
        <v>1</v>
      </c>
      <c r="B44" s="164"/>
      <c r="C44" s="164"/>
      <c r="D44" s="146"/>
      <c r="E44" s="100" t="str">
        <f>'ADUELA CAPELINHA'!E14</f>
        <v>SERVIÇOS PRELIMINARES</v>
      </c>
      <c r="F44" s="146"/>
      <c r="G44" s="101"/>
      <c r="H44" s="102"/>
      <c r="I44" s="105" t="str">
        <f>'ADUELA CAPELINHA'!I14</f>
        <v>SUB-TOTAL</v>
      </c>
      <c r="J44" s="264">
        <f>'ADUELA CAPELINHA'!J14</f>
        <v>28106.670000000002</v>
      </c>
    </row>
    <row r="45" spans="1:11" ht="45" x14ac:dyDescent="0.25">
      <c r="A45" s="262" t="str">
        <f>'ADUELA CAPELINHA'!A15</f>
        <v>1.1</v>
      </c>
      <c r="B45" s="14" t="str">
        <f>'ADUELA CAPELINHA'!B15</f>
        <v>SETOP</v>
      </c>
      <c r="C45" s="14"/>
      <c r="D45" s="13" t="str">
        <f>'ADUELA CAPELINHA'!D15</f>
        <v>ED-16350</v>
      </c>
      <c r="E45" s="104" t="str">
        <f>'ADUELA CAPELINHA'!E15</f>
        <v>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v>
      </c>
      <c r="F45" s="13" t="str">
        <f>'ADUELA CAPELINHA'!F15</f>
        <v>MÊS</v>
      </c>
      <c r="G45" s="230">
        <f>'ADUELA CAPELINHA'!G15</f>
        <v>2</v>
      </c>
      <c r="H45" s="227">
        <f>'ADUELA CAPELINHA'!H15</f>
        <v>858.6</v>
      </c>
      <c r="I45" s="227">
        <f>'ADUELA CAPELINHA'!I15</f>
        <v>1111.9728599999999</v>
      </c>
      <c r="J45" s="270">
        <f>'ADUELA CAPELINHA'!J15</f>
        <v>2223.94</v>
      </c>
    </row>
    <row r="46" spans="1:11" ht="22.5" x14ac:dyDescent="0.25">
      <c r="A46" s="262" t="str">
        <f>'ADUELA CAPELINHA'!A16</f>
        <v>1.2</v>
      </c>
      <c r="B46" s="14" t="str">
        <f>'ADUELA CAPELINHA'!B16</f>
        <v>SETOP</v>
      </c>
      <c r="C46" s="14"/>
      <c r="D46" s="13" t="str">
        <f>'ADUELA CAPELINHA'!D16</f>
        <v>ED-50137</v>
      </c>
      <c r="E46" s="104" t="str">
        <f>'ADUELA CAPELINHA'!E16</f>
        <v>MOBILIZAÇÃO E DESMOBILIZAÇÃO DE CONTAINER, INCLUSIVE CARGA, DESCARGA E TRANSPORTE EM CAMINHÃO CARROCERIA COM GUINDAUTO (MUNCK), EXCLUSIVE LOCAÇÃO DO CONTAINER</v>
      </c>
      <c r="F46" s="13" t="str">
        <f>'ADUELA CAPELINHA'!F16</f>
        <v>UN</v>
      </c>
      <c r="G46" s="230">
        <f>'ADUELA CAPELINHA'!G16</f>
        <v>1</v>
      </c>
      <c r="H46" s="227">
        <f>'ADUELA CAPELINHA'!H16</f>
        <v>1702.32</v>
      </c>
      <c r="I46" s="227">
        <f>'ADUELA CAPELINHA'!I16</f>
        <v>2204.6746319999997</v>
      </c>
      <c r="J46" s="270">
        <f>'ADUELA CAPELINHA'!J16</f>
        <v>2204.67</v>
      </c>
    </row>
    <row r="47" spans="1:11" ht="33.75" x14ac:dyDescent="0.25">
      <c r="A47" s="262" t="str">
        <f>'ADUELA CAPELINHA'!A17</f>
        <v>1.3</v>
      </c>
      <c r="B47" s="14" t="str">
        <f>'ADUELA CAPELINHA'!B17</f>
        <v>SETOP</v>
      </c>
      <c r="C47" s="14"/>
      <c r="D47" s="13" t="str">
        <f>'ADUELA CAPELINHA'!D17</f>
        <v>ED-48485</v>
      </c>
      <c r="E47" s="104" t="str">
        <f>'ADUELA CAPELINHA'!E17</f>
        <v>REMOÇÃO MANUAL DE PISO DE TÁBUAS, COM REAPROVEITAMENTO, INCLUSIVE AFASTAMENTO E
EMPILHAMENTO, EXCLUSIVE TRANSPORTE E RETIRADA DO MATERIAL REMOVIDO NÃO REAPROVEITÁVEL</v>
      </c>
      <c r="F47" s="13" t="str">
        <f>'ADUELA CAPELINHA'!F17</f>
        <v>M2</v>
      </c>
      <c r="G47" s="230">
        <f>'ADUELA CAPELINHA'!G17</f>
        <v>19.25</v>
      </c>
      <c r="H47" s="227">
        <f>'ADUELA CAPELINHA'!H17</f>
        <v>30.58</v>
      </c>
      <c r="I47" s="227">
        <f>'ADUELA CAPELINHA'!I17</f>
        <v>39.604157999999998</v>
      </c>
      <c r="J47" s="270">
        <f>'ADUELA CAPELINHA'!J17</f>
        <v>762.38</v>
      </c>
    </row>
    <row r="48" spans="1:11" ht="45" x14ac:dyDescent="0.25">
      <c r="A48" s="262" t="str">
        <f>'ADUELA CAPELINHA'!A18</f>
        <v>1.4</v>
      </c>
      <c r="B48" s="14" t="str">
        <f>'ADUELA CAPELINHA'!B18</f>
        <v>SETOP</v>
      </c>
      <c r="C48" s="14"/>
      <c r="D48" s="13" t="str">
        <f>'ADUELA CAPELINHA'!D18</f>
        <v>ED-28427</v>
      </c>
      <c r="E48" s="104" t="str">
        <f>'ADUELA CAPELINHA'!E18</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48" s="13" t="str">
        <f>'ADUELA CAPELINHA'!F18</f>
        <v>UN</v>
      </c>
      <c r="G48" s="230">
        <f>'ADUELA CAPELINHA'!G18</f>
        <v>1</v>
      </c>
      <c r="H48" s="227">
        <f>'ADUELA CAPELINHA'!H18</f>
        <v>1206.72</v>
      </c>
      <c r="I48" s="227">
        <f>'ADUELA CAPELINHA'!I18</f>
        <v>1562.8230719999999</v>
      </c>
      <c r="J48" s="270">
        <f>'ADUELA CAPELINHA'!J18</f>
        <v>1562.82</v>
      </c>
    </row>
    <row r="49" spans="1:10" ht="22.5" x14ac:dyDescent="0.25">
      <c r="A49" s="262" t="str">
        <f>'ADUELA CAPELINHA'!A19</f>
        <v>1.5</v>
      </c>
      <c r="B49" s="14" t="str">
        <f>'ADUELA CAPELINHA'!B19</f>
        <v>SINAPI</v>
      </c>
      <c r="C49" s="14"/>
      <c r="D49" s="13">
        <f>'ADUELA CAPELINHA'!D19</f>
        <v>99059</v>
      </c>
      <c r="E49" s="104" t="str">
        <f>'ADUELA CAPELINHA'!E19</f>
        <v>LOCAÇÃO CONVENCIONAL DE OBRA, UTILIZANDO GABARITO DE TÁBUAS CORRIDAS PONTALETADAS A CADA 2,00M - 2 UTILIZAÇÕES. AF_03/2024</v>
      </c>
      <c r="F49" s="13" t="str">
        <f>'ADUELA CAPELINHA'!F19</f>
        <v>M</v>
      </c>
      <c r="G49" s="230">
        <f>'ADUELA CAPELINHA'!G19</f>
        <v>42.9</v>
      </c>
      <c r="H49" s="227">
        <f>'ADUELA CAPELINHA'!H19</f>
        <v>77.739999999999995</v>
      </c>
      <c r="I49" s="227">
        <f>'ADUELA CAPELINHA'!I19</f>
        <v>100.68107399999998</v>
      </c>
      <c r="J49" s="270">
        <f>'ADUELA CAPELINHA'!J19</f>
        <v>4319.21</v>
      </c>
    </row>
    <row r="50" spans="1:10" x14ac:dyDescent="0.25">
      <c r="A50" s="262" t="str">
        <f>'ADUELA CAPELINHA'!A20</f>
        <v>1.6</v>
      </c>
      <c r="B50" s="14" t="str">
        <f>'ADUELA CAPELINHA'!B20</f>
        <v>SINAPI</v>
      </c>
      <c r="C50" s="14"/>
      <c r="D50" s="13">
        <f>'ADUELA CAPELINHA'!D20</f>
        <v>93421</v>
      </c>
      <c r="E50" s="104" t="str">
        <f>'ADUELA CAPELINHA'!E20</f>
        <v xml:space="preserve"> GRUPO GERADOR REBOCÁVEL, POTÊNCIA 66 KVA, MOTOR A DIESEL - CHP DIURNO. AF_03/2016</v>
      </c>
      <c r="F50" s="13" t="str">
        <f>'ADUELA CAPELINHA'!F20</f>
        <v>H</v>
      </c>
      <c r="G50" s="230">
        <f>'ADUELA CAPELINHA'!G20</f>
        <v>40</v>
      </c>
      <c r="H50" s="227">
        <f>'ADUELA CAPELINHA'!H20</f>
        <v>91.89</v>
      </c>
      <c r="I50" s="227">
        <f>'ADUELA CAPELINHA'!I20</f>
        <v>119.006739</v>
      </c>
      <c r="J50" s="270">
        <f>'ADUELA CAPELINHA'!J20</f>
        <v>4760.26</v>
      </c>
    </row>
    <row r="51" spans="1:10" ht="45" x14ac:dyDescent="0.25">
      <c r="A51" s="262" t="str">
        <f>'ADUELA CAPELINHA'!A21</f>
        <v>1.7</v>
      </c>
      <c r="B51" s="14" t="str">
        <f>'ADUELA CAPELINHA'!B21</f>
        <v>SINAPI</v>
      </c>
      <c r="C51" s="14"/>
      <c r="D51" s="13">
        <f>'ADUELA CAPELINHA'!D21</f>
        <v>5875</v>
      </c>
      <c r="E51" s="104" t="str">
        <f>'ADUELA CAPELINHA'!E21</f>
        <v>RETROESCAVADEIRA SOBRE RODAS COM CARREGADEIRA, TRAÇÃO 4X4, POTÊNCIA LÍQ. 72 HP, CAÇAMBA
CARREG. CAP. MÍN. 0,79 M3, CAÇAMBA RETRO CAP. 0,18 M3, PESO OPERACIONAL MÍN. 7.140 KG,
PROFUNDIDADE ESCAVAÇÃO MÁX. 4,50 M - CHP DIURNO. AF_06/2014</v>
      </c>
      <c r="F51" s="13" t="str">
        <f>'ADUELA CAPELINHA'!F21</f>
        <v>CHP</v>
      </c>
      <c r="G51" s="230">
        <f>'ADUELA CAPELINHA'!G21</f>
        <v>40</v>
      </c>
      <c r="H51" s="227">
        <f>'ADUELA CAPELINHA'!H21</f>
        <v>159.91999999999999</v>
      </c>
      <c r="I51" s="227">
        <f>'ADUELA CAPELINHA'!I21</f>
        <v>207.11239199999997</v>
      </c>
      <c r="J51" s="270">
        <f>'ADUELA CAPELINHA'!J21</f>
        <v>8284.49</v>
      </c>
    </row>
    <row r="52" spans="1:10" x14ac:dyDescent="0.25">
      <c r="A52" s="262" t="str">
        <f>'ADUELA CAPELINHA'!A22</f>
        <v>1.8</v>
      </c>
      <c r="B52" s="223" t="str">
        <f>'ADUELA CAPELINHA'!B22</f>
        <v>CP</v>
      </c>
      <c r="C52" s="224"/>
      <c r="D52" s="13">
        <f>'ADUELA CAPELINHA'!D22</f>
        <v>1</v>
      </c>
      <c r="E52" s="104" t="str">
        <f>'ADUELA CAPELINHA'!E22</f>
        <v>TRANSPORTE PLUVIAL</v>
      </c>
      <c r="F52" s="13" t="str">
        <f>'ADUELA CAPELINHA'!F22</f>
        <v>DIA</v>
      </c>
      <c r="G52" s="230">
        <f>'ADUELA CAPELINHA'!G22</f>
        <v>88</v>
      </c>
      <c r="H52" s="227">
        <f>'ADUELA CAPELINHA'!H22</f>
        <v>35</v>
      </c>
      <c r="I52" s="227">
        <f>'ADUELA CAPELINHA'!I22</f>
        <v>45.328499999999998</v>
      </c>
      <c r="J52" s="270">
        <f>'ADUELA CAPELINHA'!J22</f>
        <v>3988.9</v>
      </c>
    </row>
    <row r="53" spans="1:10" x14ac:dyDescent="0.25">
      <c r="A53" s="261">
        <f>'ADUELA CAPELINHA'!A23</f>
        <v>2</v>
      </c>
      <c r="B53" s="164"/>
      <c r="C53" s="164"/>
      <c r="D53" s="146"/>
      <c r="E53" s="232" t="str">
        <f>'ADUELA CAPELINHA'!E23</f>
        <v>INFRAESTRUTURA (ESTACA E BLOCO)</v>
      </c>
      <c r="F53" s="146"/>
      <c r="G53" s="101"/>
      <c r="H53" s="102"/>
      <c r="I53" s="105" t="str">
        <f>'ADUELA CAPELINHA'!I23</f>
        <v>SUB-TOTAL</v>
      </c>
      <c r="J53" s="264">
        <f>'ADUELA CAPELINHA'!J23</f>
        <v>14754.2513468364</v>
      </c>
    </row>
    <row r="54" spans="1:10" x14ac:dyDescent="0.25">
      <c r="A54" s="262" t="str">
        <f>'ADUELA CAPELINHA'!A24</f>
        <v>2.1</v>
      </c>
      <c r="B54" s="223" t="str">
        <f>'ADUELA CAPELINHA'!B24</f>
        <v>SETOP</v>
      </c>
      <c r="C54" s="14"/>
      <c r="D54" s="13" t="str">
        <f>'ADUELA CAPELINHA'!D24</f>
        <v>RO-00218</v>
      </c>
      <c r="E54" s="104" t="str">
        <f>'ADUELA CAPELINHA'!E24</f>
        <v>ESCAVAÇÃO MANUAL DE VALA EM MATERIAL DE 1ª CATEGORIA NA PROFUNDIDADE DE 0 A 1,50 M</v>
      </c>
      <c r="F54" s="13" t="str">
        <f>'ADUELA CAPELINHA'!F24</f>
        <v>M3</v>
      </c>
      <c r="G54" s="230">
        <f>'ADUELA CAPELINHA'!G24</f>
        <v>8.7620000000000005</v>
      </c>
      <c r="H54" s="227">
        <f>'ADUELA CAPELINHA'!H24</f>
        <v>89.59</v>
      </c>
      <c r="I54" s="227">
        <f>'ADUELA CAPELINHA'!I24</f>
        <v>116.028009</v>
      </c>
      <c r="J54" s="270">
        <f>'ADUELA CAPELINHA'!J24</f>
        <v>1016.6374148580001</v>
      </c>
    </row>
    <row r="55" spans="1:10" ht="22.5" x14ac:dyDescent="0.25">
      <c r="A55" s="262" t="str">
        <f>'ADUELA CAPELINHA'!A25</f>
        <v>2.2</v>
      </c>
      <c r="B55" s="223" t="str">
        <f>'ADUELA CAPELINHA'!B25</f>
        <v>SETOP</v>
      </c>
      <c r="C55" s="14"/>
      <c r="D55" s="13" t="str">
        <f>'ADUELA CAPELINHA'!D25</f>
        <v>ED-29801</v>
      </c>
      <c r="E55" s="104" t="str">
        <f>'ADUELA CAPELINHA'!E25</f>
        <v>PERFURAÇÃO MANUAL DE ESTACA TIPO BROCA A TRADO, INCLUSIVE AFASTAMENTO, EXCLUSIVE ARMAÇÃO, CONCRETO ESTRUTURAL, TRANSPORTE E RETIRADA DO MATERIAL ESCAVADO</v>
      </c>
      <c r="F55" s="13" t="str">
        <f>'ADUELA CAPELINHA'!F25</f>
        <v>M3</v>
      </c>
      <c r="G55" s="230">
        <f>'ADUELA CAPELINHA'!G25</f>
        <v>1.6956000000000002</v>
      </c>
      <c r="H55" s="227">
        <f>'ADUELA CAPELINHA'!H25</f>
        <v>276.67</v>
      </c>
      <c r="I55" s="227">
        <f>'ADUELA CAPELINHA'!I25</f>
        <v>358.31531699999999</v>
      </c>
      <c r="J55" s="270">
        <f>'ADUELA CAPELINHA'!J25</f>
        <v>607.55945150520006</v>
      </c>
    </row>
    <row r="56" spans="1:10" ht="22.5" x14ac:dyDescent="0.25">
      <c r="A56" s="262" t="str">
        <f>'ADUELA CAPELINHA'!A26</f>
        <v>2.3</v>
      </c>
      <c r="B56" s="223" t="str">
        <f>'ADUELA CAPELINHA'!B26</f>
        <v>SETOP</v>
      </c>
      <c r="C56" s="14"/>
      <c r="D56" s="13" t="str">
        <f>'ADUELA CAPELINHA'!D26</f>
        <v>ED-51123</v>
      </c>
      <c r="E56" s="104" t="str">
        <f>'ADUELA CAPELINHA'!E26</f>
        <v>REGULARIZAÇÃO MANUAL E COMPACTAÇÃO MECANIZADA DE TERRENO COM PLACA VIBRATÓRIA, EXCLUSIVE DESMATAMENTO,  DESTOCAMENTO, LIMPEZA/ROÇADA DO TERRENO</v>
      </c>
      <c r="F56" s="13" t="str">
        <f>'ADUELA CAPELINHA'!F26</f>
        <v>M2</v>
      </c>
      <c r="G56" s="230">
        <f>'ADUELA CAPELINHA'!G26</f>
        <v>17.524000000000001</v>
      </c>
      <c r="H56" s="227">
        <f>'ADUELA CAPELINHA'!H26</f>
        <v>6.1</v>
      </c>
      <c r="I56" s="227">
        <f>'ADUELA CAPELINHA'!I26</f>
        <v>7.9001099999999989</v>
      </c>
      <c r="J56" s="270">
        <f>'ADUELA CAPELINHA'!J26</f>
        <v>138.44152763999998</v>
      </c>
    </row>
    <row r="57" spans="1:10" x14ac:dyDescent="0.25">
      <c r="A57" s="262" t="str">
        <f>'ADUELA CAPELINHA'!A27</f>
        <v>2.4</v>
      </c>
      <c r="B57" s="223" t="str">
        <f>'ADUELA CAPELINHA'!B27</f>
        <v>SETOP</v>
      </c>
      <c r="C57" s="14"/>
      <c r="D57" s="13" t="str">
        <f>'ADUELA CAPELINHA'!D27</f>
        <v>RO-00542</v>
      </c>
      <c r="E57" s="104" t="str">
        <f>'ADUELA CAPELINHA'!E27</f>
        <v>ARMAÇÃO DE AÇO CA-50 PARA OBRAS DE ARTES ESPECIAIS - FORNECIMENTO, PREPARO E COLOCAÇÃO</v>
      </c>
      <c r="F57" s="13" t="str">
        <f>'ADUELA CAPELINHA'!F27</f>
        <v>KG</v>
      </c>
      <c r="G57" s="230">
        <f>'ADUELA CAPELINHA'!G27</f>
        <v>199.37240000000003</v>
      </c>
      <c r="H57" s="227">
        <f>'ADUELA CAPELINHA'!H27</f>
        <v>10.35</v>
      </c>
      <c r="I57" s="227">
        <f>'ADUELA CAPELINHA'!I27</f>
        <v>13.404284999999998</v>
      </c>
      <c r="J57" s="270">
        <f>'ADUELA CAPELINHA'!J27</f>
        <v>2672.4444707339999</v>
      </c>
    </row>
    <row r="58" spans="1:10" ht="22.5" x14ac:dyDescent="0.25">
      <c r="A58" s="262" t="str">
        <f>'ADUELA CAPELINHA'!A28</f>
        <v>2.5</v>
      </c>
      <c r="B58" s="223" t="str">
        <f>'ADUELA CAPELINHA'!B28</f>
        <v>SETOP</v>
      </c>
      <c r="C58" s="224"/>
      <c r="D58" s="13" t="str">
        <f>'ADUELA CAPELINHA'!D28</f>
        <v>ED-49632</v>
      </c>
      <c r="E58" s="104" t="str">
        <f>'ADUELA CAPELINHA'!E28</f>
        <v>FORNECIMENTO DE CONCRETO ESTRUTURAL, USINADO, COM FCK 35MPA, INCLUSIVE LANÇAMENTO, ADENSAMENTO E ACABAMENTO</v>
      </c>
      <c r="F58" s="13" t="str">
        <f>'ADUELA CAPELINHA'!F28</f>
        <v>M3</v>
      </c>
      <c r="G58" s="230">
        <f>'ADUELA CAPELINHA'!G28</f>
        <v>10.457600000000001</v>
      </c>
      <c r="H58" s="227">
        <f>'ADUELA CAPELINHA'!H28</f>
        <v>761.92</v>
      </c>
      <c r="I58" s="227">
        <f>'ADUELA CAPELINHA'!I28</f>
        <v>986.76259199999993</v>
      </c>
      <c r="J58" s="270">
        <f>'ADUELA CAPELINHA'!J28</f>
        <v>10319.1684820992</v>
      </c>
    </row>
    <row r="59" spans="1:10" x14ac:dyDescent="0.25">
      <c r="A59" s="261">
        <f>'ADUELA CAPELINHA'!A29</f>
        <v>3</v>
      </c>
      <c r="B59" s="164"/>
      <c r="C59" s="164"/>
      <c r="D59" s="146"/>
      <c r="E59" s="232" t="str">
        <f>'ADUELA CAPELINHA'!E29</f>
        <v>SUPERESTRUTURA</v>
      </c>
      <c r="F59" s="146"/>
      <c r="G59" s="101"/>
      <c r="H59" s="102"/>
      <c r="I59" s="105" t="str">
        <f>'ADUELA CAPELINHA'!I29</f>
        <v>SUB-TOTAL</v>
      </c>
      <c r="J59" s="264">
        <f>'ADUELA CAPELINHA'!J29</f>
        <v>68675.963479523998</v>
      </c>
    </row>
    <row r="60" spans="1:10" ht="22.5" x14ac:dyDescent="0.25">
      <c r="A60" s="262" t="str">
        <f>'ADUELA CAPELINHA'!A30</f>
        <v>3.1</v>
      </c>
      <c r="B60" s="223" t="str">
        <f>'ADUELA CAPELINHA'!B30</f>
        <v>SETOP</v>
      </c>
      <c r="C60" s="14"/>
      <c r="D60" s="13" t="str">
        <f>'ADUELA CAPELINHA'!D30</f>
        <v>ED-51123</v>
      </c>
      <c r="E60" s="104" t="str">
        <f>'ADUELA CAPELINHA'!E30</f>
        <v>REGULARIZAÇÃO MANUAL E COMPACTAÇÃO MECANIZADA DE TERRENO COM PLACA VIBRATÓRIA, EXCLUSIVE DESMATAMENTO,  DESTOCAMENTO, LIMPEZA/ROÇADA DO TERRENO</v>
      </c>
      <c r="F60" s="13" t="str">
        <f>'ADUELA CAPELINHA'!F30</f>
        <v>M2</v>
      </c>
      <c r="G60" s="230">
        <f>'ADUELA CAPELINHA'!G30</f>
        <v>31.8</v>
      </c>
      <c r="H60" s="227">
        <f>'ADUELA CAPELINHA'!H30</f>
        <v>6.1</v>
      </c>
      <c r="I60" s="227">
        <f>'ADUELA CAPELINHA'!I30</f>
        <v>7.9001099999999989</v>
      </c>
      <c r="J60" s="270">
        <f>'ADUELA CAPELINHA'!J30</f>
        <v>251.22349799999998</v>
      </c>
    </row>
    <row r="61" spans="1:10" ht="22.5" x14ac:dyDescent="0.25">
      <c r="A61" s="262" t="str">
        <f>'ADUELA CAPELINHA'!A31</f>
        <v>3.2</v>
      </c>
      <c r="B61" s="223" t="str">
        <f>'ADUELA CAPELINHA'!B31</f>
        <v>SETOP</v>
      </c>
      <c r="C61" s="14"/>
      <c r="D61" s="13" t="str">
        <f>'ADUELA CAPELINHA'!D31</f>
        <v>ED-49632</v>
      </c>
      <c r="E61" s="104" t="str">
        <f>'ADUELA CAPELINHA'!E31</f>
        <v>FORNECIMENTO DE CONCRETO ESTRUTURAL, USINADO, COM FCK 35MPA, INCLUSIVE LANÇAMENTO, ADENSAMENTO E ACABAMENTO</v>
      </c>
      <c r="F61" s="13" t="str">
        <f>'ADUELA CAPELINHA'!F31</f>
        <v>M3</v>
      </c>
      <c r="G61" s="230">
        <f>'ADUELA CAPELINHA'!G31</f>
        <v>9.7159999999999993</v>
      </c>
      <c r="H61" s="227">
        <f>'ADUELA CAPELINHA'!H31</f>
        <v>761.92</v>
      </c>
      <c r="I61" s="227">
        <f>'ADUELA CAPELINHA'!I31</f>
        <v>986.76259199999993</v>
      </c>
      <c r="J61" s="270">
        <f>'ADUELA CAPELINHA'!J31</f>
        <v>9587.385343871998</v>
      </c>
    </row>
    <row r="62" spans="1:10" x14ac:dyDescent="0.25">
      <c r="A62" s="262" t="str">
        <f>'ADUELA CAPELINHA'!A32</f>
        <v>3.3</v>
      </c>
      <c r="B62" s="223" t="str">
        <f>'ADUELA CAPELINHA'!B32</f>
        <v>SETOP</v>
      </c>
      <c r="C62" s="14"/>
      <c r="D62" s="13" t="str">
        <f>'ADUELA CAPELINHA'!D32</f>
        <v>RO-00542</v>
      </c>
      <c r="E62" s="104" t="str">
        <f>'ADUELA CAPELINHA'!E32</f>
        <v>ARMAÇÃO DE AÇO CA-50 PARA OBRAS DE ARTES ESPECIAIS - FORNECIMENTO, PREPARO E COLOCAÇÃO</v>
      </c>
      <c r="F62" s="13" t="str">
        <f>'ADUELA CAPELINHA'!F32</f>
        <v>KG</v>
      </c>
      <c r="G62" s="230">
        <f>'ADUELA CAPELINHA'!G32</f>
        <v>527.84720000000004</v>
      </c>
      <c r="H62" s="227">
        <f>'ADUELA CAPELINHA'!H32</f>
        <v>10.35</v>
      </c>
      <c r="I62" s="227">
        <f>'ADUELA CAPELINHA'!I32</f>
        <v>13.404284999999998</v>
      </c>
      <c r="J62" s="270">
        <f>'ADUELA CAPELINHA'!J32</f>
        <v>7075.4143052519994</v>
      </c>
    </row>
    <row r="63" spans="1:10" ht="33.75" x14ac:dyDescent="0.25">
      <c r="A63" s="262" t="str">
        <f>'ADUELA CAPELINHA'!A33</f>
        <v>3.4</v>
      </c>
      <c r="B63" s="223" t="str">
        <f>'ADUELA CAPELINHA'!B33</f>
        <v>SETOP</v>
      </c>
      <c r="C63" s="14"/>
      <c r="D63" s="13" t="str">
        <f>'ADUELA CAPELINHA'!D33</f>
        <v>ED-15690</v>
      </c>
      <c r="E63" s="104" t="str">
        <f>'ADUELA CAPELINHA'!E33</f>
        <v>FÔRMA E DESFORMA PARA CORTINA DE CONCRETO OU PAREDE ESTRUTURAL (VIGA-PAREDE), ALTURA MÁXIMA DE 360CM, COM CHAPA DE COMPENSADO PLASTIFICADO, ESP. 18MM, REAPROVEITAMENTO (3X), INCLUSIVE TRAVAMENTO COM TIRANTES EM ARAME E ESCORA PARA PRUMO EM MADEIRA</v>
      </c>
      <c r="F63" s="13" t="str">
        <f>'ADUELA CAPELINHA'!F33</f>
        <v>M2</v>
      </c>
      <c r="G63" s="230">
        <f>'ADUELA CAPELINHA'!G33</f>
        <v>64.800000000000011</v>
      </c>
      <c r="H63" s="227">
        <f>'ADUELA CAPELINHA'!H33</f>
        <v>146.63</v>
      </c>
      <c r="I63" s="227">
        <f>'ADUELA CAPELINHA'!I33</f>
        <v>189.90051299999999</v>
      </c>
      <c r="J63" s="270">
        <f>'ADUELA CAPELINHA'!J33</f>
        <v>12305.553242400001</v>
      </c>
    </row>
    <row r="64" spans="1:10" ht="33.75" x14ac:dyDescent="0.25">
      <c r="A64" s="262" t="str">
        <f>'ADUELA CAPELINHA'!A34</f>
        <v>3.5</v>
      </c>
      <c r="B64" s="223" t="str">
        <f>'ADUELA CAPELINHA'!B34</f>
        <v>SINAPI</v>
      </c>
      <c r="C64" s="14"/>
      <c r="D64" s="13">
        <f>'ADUELA CAPELINHA'!D34</f>
        <v>104494</v>
      </c>
      <c r="E64" s="104" t="str">
        <f>'ADUELA CAPELINHA'!E34</f>
        <v>ADUELA/ GALERIA FECHADA PRE-MOLDADA DE CONCRETO ARMADO, SECAO QUADRANGULAR INTERNA DE 2,50 X 2,50 M (L X A), MISULA DE 20 X 20 CM, C = 1,00 M, ESPESSURA MIN = 15 CM, TB-45 E FCK DO CONCRETO = 30 MPA FORNECIMENTO E ASSENTAMENTO. AF_01/2023</v>
      </c>
      <c r="F64" s="13" t="str">
        <f>'ADUELA CAPELINHA'!F34</f>
        <v>M</v>
      </c>
      <c r="G64" s="230">
        <f>'ADUELA CAPELINHA'!G34</f>
        <v>4</v>
      </c>
      <c r="H64" s="227">
        <f>'ADUELA CAPELINHA'!H34</f>
        <v>6835.8</v>
      </c>
      <c r="I64" s="227">
        <f>'ADUELA CAPELINHA'!I34</f>
        <v>8853.0445799999998</v>
      </c>
      <c r="J64" s="270">
        <f>'ADUELA CAPELINHA'!J34</f>
        <v>35412.178319999999</v>
      </c>
    </row>
    <row r="65" spans="1:10" ht="22.5" x14ac:dyDescent="0.25">
      <c r="A65" s="262" t="str">
        <f>'ADUELA CAPELINHA'!A35</f>
        <v>3.6</v>
      </c>
      <c r="B65" s="223" t="str">
        <f>'ADUELA CAPELINHA'!B35</f>
        <v>SETOP</v>
      </c>
      <c r="C65" s="14"/>
      <c r="D65" s="13" t="str">
        <f>'ADUELA CAPELINHA'!D35</f>
        <v>RO-00856</v>
      </c>
      <c r="E65" s="104" t="str">
        <f>'ADUELA CAPELINHA'!E35</f>
        <v>CARGA, MANOBRA E DESCARGA DE MATERIAIS DIVERSOS EM CAMINHÃO CARROCERIA DE 15 T - CARGA E DESCARGA COM CAMINHÃO GUINDAUTO DE 20 T.M</v>
      </c>
      <c r="F65" s="13" t="str">
        <f>'ADUELA CAPELINHA'!F35</f>
        <v>T</v>
      </c>
      <c r="G65" s="230">
        <f>'ADUELA CAPELINHA'!G35</f>
        <v>15</v>
      </c>
      <c r="H65" s="227">
        <f>'ADUELA CAPELINHA'!H35</f>
        <v>36.46</v>
      </c>
      <c r="I65" s="227">
        <f>'ADUELA CAPELINHA'!I35</f>
        <v>47.219346000000002</v>
      </c>
      <c r="J65" s="270">
        <f>'ADUELA CAPELINHA'!J35</f>
        <v>708.29019000000005</v>
      </c>
    </row>
    <row r="66" spans="1:10" ht="22.5" x14ac:dyDescent="0.25">
      <c r="A66" s="262" t="str">
        <f>'ADUELA CAPELINHA'!A36</f>
        <v>3.7</v>
      </c>
      <c r="B66" s="223" t="str">
        <f>'ADUELA CAPELINHA'!B36</f>
        <v>SINAPI</v>
      </c>
      <c r="C66" s="224"/>
      <c r="D66" s="13">
        <f>'ADUELA CAPELINHA'!D36</f>
        <v>106685</v>
      </c>
      <c r="E66" s="104" t="str">
        <f>'ADUELA CAPELINHA'!E36</f>
        <v>TRANSPORTE COM CAMINHÃO CARROCERIA 15T DE 10 M³, EM VIA URBANA PAVIMENTADA, ADICIONAL PARA DMT EXCEDENTE A 30 KM (UNIDADE: TXKM). AF_02/2026</v>
      </c>
      <c r="F66" s="13" t="str">
        <f>'ADUELA CAPELINHA'!F36</f>
        <v>TXKM</v>
      </c>
      <c r="G66" s="230">
        <f>'ADUELA CAPELINHA'!G36</f>
        <v>3180</v>
      </c>
      <c r="H66" s="227">
        <f>'ADUELA CAPELINHA'!H36</f>
        <v>0.81</v>
      </c>
      <c r="I66" s="227">
        <f>'ADUELA CAPELINHA'!I36</f>
        <v>1.049031</v>
      </c>
      <c r="J66" s="270">
        <f>'ADUELA CAPELINHA'!J36</f>
        <v>3335.91858</v>
      </c>
    </row>
    <row r="67" spans="1:10" x14ac:dyDescent="0.25">
      <c r="A67" s="261">
        <f>'ADUELA CAPELINHA'!A37</f>
        <v>4</v>
      </c>
      <c r="B67" s="164"/>
      <c r="C67" s="164"/>
      <c r="D67" s="146"/>
      <c r="E67" s="232" t="str">
        <f>'ADUELA CAPELINHA'!E37</f>
        <v>SERVIÇO COMPLEMENTARES</v>
      </c>
      <c r="F67" s="146"/>
      <c r="G67" s="101"/>
      <c r="H67" s="102"/>
      <c r="I67" s="105" t="str">
        <f>'ADUELA CAPELINHA'!I37</f>
        <v>SUB-TOTAL</v>
      </c>
      <c r="J67" s="264">
        <f>'ADUELA CAPELINHA'!J37</f>
        <v>2886.55</v>
      </c>
    </row>
    <row r="68" spans="1:10" ht="33.75" x14ac:dyDescent="0.25">
      <c r="A68" s="262" t="str">
        <f>'ADUELA CAPELINHA'!A38</f>
        <v>4.1</v>
      </c>
      <c r="B68" s="223" t="str">
        <f>'ADUELA CAPELINHA'!B38</f>
        <v>SETOP</v>
      </c>
      <c r="C68" s="14"/>
      <c r="D68" s="13" t="str">
        <f>'ADUELA CAPELINHA'!D38</f>
        <v>RO-00050</v>
      </c>
      <c r="E68" s="104" t="str">
        <f>'ADUELA CAPELINHA'!E38</f>
        <v>ESCAVAÇÃO, CARGA E TRANSPORTE DE MATERIAL DE 1ª CATEGORIA - EXECUTADO COM ESCAVADEIRA DE 1,40 M3 E CAMINHÃO BASCULANTE DE 12 M3 E COM CAMINHO DE SERVIÇO EM LEITO NATURAL - DMT DE 800 A 1.000 M</v>
      </c>
      <c r="F68" s="13" t="str">
        <f>'ADUELA CAPELINHA'!F38</f>
        <v>M3</v>
      </c>
      <c r="G68" s="230">
        <f>'ADUELA CAPELINHA'!G38</f>
        <v>174.48</v>
      </c>
      <c r="H68" s="227">
        <f>'ADUELA CAPELINHA'!H38</f>
        <v>9.0500000000000007</v>
      </c>
      <c r="I68" s="227">
        <f>'ADUELA CAPELINHA'!I38</f>
        <v>11.720655000000001</v>
      </c>
      <c r="J68" s="270">
        <f>'ADUELA CAPELINHA'!J38</f>
        <v>2045.01</v>
      </c>
    </row>
    <row r="69" spans="1:10" ht="22.5" x14ac:dyDescent="0.25">
      <c r="A69" s="262" t="str">
        <f>'ADUELA CAPELINHA'!A39</f>
        <v>4.2</v>
      </c>
      <c r="B69" s="223" t="str">
        <f>'ADUELA CAPELINHA'!B39</f>
        <v>SETOP</v>
      </c>
      <c r="C69" s="14"/>
      <c r="D69" s="13" t="str">
        <f>'ADUELA CAPELINHA'!D39</f>
        <v>ED-51124</v>
      </c>
      <c r="E69" s="104" t="str">
        <f>'ADUELA CAPELINHA'!E39</f>
        <v>REGULARIZAÇÃO E COMPACTAÇÃO MECÂNICA DE TERRENO COM ROLO VIBRATÓRIO, EXCLUSIVE DESMATAMENTO, DESTOCAMENTO, LIMPEZA/ROÇADA DO TERRENO</v>
      </c>
      <c r="F69" s="13" t="str">
        <f>'ADUELA CAPELINHA'!F39</f>
        <v>M2</v>
      </c>
      <c r="G69" s="230">
        <f>'ADUELA CAPELINHA'!G39</f>
        <v>227.2</v>
      </c>
      <c r="H69" s="227">
        <f>'ADUELA CAPELINHA'!H39</f>
        <v>2.86</v>
      </c>
      <c r="I69" s="227">
        <f>'ADUELA CAPELINHA'!I39</f>
        <v>3.7039859999999996</v>
      </c>
      <c r="J69" s="270">
        <f>'ADUELA CAPELINHA'!J39</f>
        <v>841.54</v>
      </c>
    </row>
    <row r="70" spans="1:10" ht="6" customHeight="1" thickBot="1" x14ac:dyDescent="0.3">
      <c r="A70" s="271"/>
      <c r="B70" s="231"/>
      <c r="C70" s="231"/>
      <c r="D70" s="231"/>
      <c r="E70" s="231"/>
      <c r="F70" s="231"/>
      <c r="G70" s="231"/>
      <c r="H70" s="231"/>
      <c r="I70" s="231"/>
      <c r="J70" s="272"/>
    </row>
    <row r="71" spans="1:10" ht="12" customHeight="1" thickBot="1" x14ac:dyDescent="0.3">
      <c r="A71" s="244" t="str">
        <f>'ADUELA CAPELINHA'!A41</f>
        <v>SUB-TOTAL</v>
      </c>
      <c r="B71" s="245"/>
      <c r="C71" s="245"/>
      <c r="D71" s="245"/>
      <c r="E71" s="245"/>
      <c r="F71" s="245"/>
      <c r="G71" s="245"/>
      <c r="H71" s="245"/>
      <c r="I71" s="246"/>
      <c r="J71" s="247">
        <f>'ADUELA CAPELINHA'!J41</f>
        <v>114423.4348263604</v>
      </c>
    </row>
    <row r="72" spans="1:10" ht="20.25" customHeight="1" x14ac:dyDescent="0.25">
      <c r="A72" s="233" t="s">
        <v>132</v>
      </c>
      <c r="B72" s="234"/>
      <c r="C72" s="234"/>
      <c r="D72" s="234"/>
      <c r="E72" s="234"/>
      <c r="F72" s="234"/>
      <c r="G72" s="234"/>
      <c r="H72" s="234"/>
      <c r="I72" s="234"/>
      <c r="J72" s="235"/>
    </row>
    <row r="73" spans="1:10" ht="12" customHeight="1" x14ac:dyDescent="0.25">
      <c r="A73" s="261">
        <f>'PONTE RIACHO'!A14</f>
        <v>1</v>
      </c>
      <c r="B73" s="164"/>
      <c r="C73" s="164"/>
      <c r="D73" s="146"/>
      <c r="E73" s="232" t="str">
        <f>'PONTE RIACHO'!E14</f>
        <v>SERVIÇOS PRELIMINARES</v>
      </c>
      <c r="F73" s="146"/>
      <c r="G73" s="101"/>
      <c r="H73" s="102"/>
      <c r="I73" s="105" t="str">
        <f>'PONTE RIACHO'!I14</f>
        <v>SUB-TOTAL</v>
      </c>
      <c r="J73" s="264">
        <f>'PONTE RIACHO'!J14</f>
        <v>29879.27</v>
      </c>
    </row>
    <row r="74" spans="1:10" ht="45" x14ac:dyDescent="0.25">
      <c r="A74" s="262" t="str">
        <f>'PONTE RIACHO'!A15</f>
        <v>1.1</v>
      </c>
      <c r="B74" s="113" t="str">
        <f>'PONTE RIACHO'!B15</f>
        <v>SETOP</v>
      </c>
      <c r="C74" s="113"/>
      <c r="D74" s="13" t="str">
        <f>'PONTE RIACHO'!D15</f>
        <v>ED-16350</v>
      </c>
      <c r="E74" s="103" t="str">
        <f>'PONTE RIACHO'!E15</f>
        <v>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v>
      </c>
      <c r="F74" s="13" t="str">
        <f>'PONTE RIACHO'!F15</f>
        <v>MÊS</v>
      </c>
      <c r="G74" s="27">
        <f>'PONTE RIACHO'!G15</f>
        <v>3</v>
      </c>
      <c r="H74" s="241">
        <f>'PONTE RIACHO'!H15</f>
        <v>858.6</v>
      </c>
      <c r="I74" s="241">
        <f>'PONTE RIACHO'!I15</f>
        <v>1111.9728599999999</v>
      </c>
      <c r="J74" s="273">
        <f>'PONTE RIACHO'!J15</f>
        <v>3335.91</v>
      </c>
    </row>
    <row r="75" spans="1:10" ht="22.5" x14ac:dyDescent="0.25">
      <c r="A75" s="262" t="str">
        <f>'PONTE RIACHO'!A16</f>
        <v>1.2</v>
      </c>
      <c r="B75" s="113" t="str">
        <f>'PONTE RIACHO'!B16</f>
        <v>SETOP</v>
      </c>
      <c r="C75" s="113"/>
      <c r="D75" s="13" t="str">
        <f>'PONTE RIACHO'!D16</f>
        <v>ED-50137</v>
      </c>
      <c r="E75" s="103" t="str">
        <f>'PONTE RIACHO'!E16</f>
        <v>MOBILIZAÇÃO E DESMOBILIZAÇÃO DE CONTAINER, INCLUSIVE CARGA, DESCARGA E TRANSPORTE EM CAMINHÃO CARROCERIA COM GUINDAUTO (MUNCK), EXCLUSIVE LOCAÇÃO DO CONTAINER</v>
      </c>
      <c r="F75" s="13" t="str">
        <f>'PONTE RIACHO'!F16</f>
        <v>UN</v>
      </c>
      <c r="G75" s="27">
        <f>'PONTE RIACHO'!G16</f>
        <v>1</v>
      </c>
      <c r="H75" s="241">
        <f>'PONTE RIACHO'!H16</f>
        <v>1702.32</v>
      </c>
      <c r="I75" s="241">
        <f>'PONTE RIACHO'!I16</f>
        <v>2204.6746319999997</v>
      </c>
      <c r="J75" s="273">
        <f>'PONTE RIACHO'!J16</f>
        <v>2204.67</v>
      </c>
    </row>
    <row r="76" spans="1:10" ht="33.75" x14ac:dyDescent="0.25">
      <c r="A76" s="262" t="str">
        <f>'PONTE RIACHO'!A17</f>
        <v>1.3</v>
      </c>
      <c r="B76" s="113" t="str">
        <f>'PONTE RIACHO'!B17</f>
        <v>SETOP</v>
      </c>
      <c r="C76" s="113"/>
      <c r="D76" s="13" t="str">
        <f>'PONTE RIACHO'!D17</f>
        <v>ED-48485</v>
      </c>
      <c r="E76" s="103" t="str">
        <f>'PONTE RIACHO'!E17</f>
        <v>REMOÇÃO MANUAL DE PISO DE TÁBUAS, COM REAPROVEITAMENTO, INCLUSIVE AFASTAMENTO E
EMPILHAMENTO, EXCLUSIVE TRANSPORTE E RETIRADA DO MATERIAL REMOVIDO NÃO REAPROVEITÁVEL</v>
      </c>
      <c r="F76" s="13" t="str">
        <f>'PONTE RIACHO'!F17</f>
        <v>M2</v>
      </c>
      <c r="G76" s="27">
        <f>'PONTE RIACHO'!G17</f>
        <v>32</v>
      </c>
      <c r="H76" s="241">
        <f>'PONTE RIACHO'!H17</f>
        <v>30.58</v>
      </c>
      <c r="I76" s="241">
        <f>'PONTE RIACHO'!I17</f>
        <v>39.604157999999998</v>
      </c>
      <c r="J76" s="273">
        <f>'PONTE RIACHO'!J17</f>
        <v>1267.33</v>
      </c>
    </row>
    <row r="77" spans="1:10" ht="45" x14ac:dyDescent="0.25">
      <c r="A77" s="262" t="str">
        <f>'PONTE RIACHO'!A18</f>
        <v>1.4</v>
      </c>
      <c r="B77" s="113" t="str">
        <f>'PONTE RIACHO'!B18</f>
        <v>SETOP</v>
      </c>
      <c r="C77" s="113"/>
      <c r="D77" s="13" t="str">
        <f>'PONTE RIACHO'!D18</f>
        <v>ED-28427</v>
      </c>
      <c r="E77" s="103" t="str">
        <f>'PONTE RIACHO'!E18</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77" s="13" t="str">
        <f>'PONTE RIACHO'!F18</f>
        <v>UN</v>
      </c>
      <c r="G77" s="27">
        <f>'PONTE RIACHO'!G18</f>
        <v>1</v>
      </c>
      <c r="H77" s="241">
        <f>'PONTE RIACHO'!H18</f>
        <v>1206.72</v>
      </c>
      <c r="I77" s="241">
        <f>'PONTE RIACHO'!I18</f>
        <v>1562.8230719999999</v>
      </c>
      <c r="J77" s="273">
        <f>'PONTE RIACHO'!J18</f>
        <v>1562.82</v>
      </c>
    </row>
    <row r="78" spans="1:10" ht="22.5" x14ac:dyDescent="0.25">
      <c r="A78" s="262" t="str">
        <f>'PONTE RIACHO'!A19</f>
        <v>1.5</v>
      </c>
      <c r="B78" s="113" t="str">
        <f>'PONTE RIACHO'!B19</f>
        <v>SINAPI</v>
      </c>
      <c r="C78" s="113"/>
      <c r="D78" s="13">
        <f>'PONTE RIACHO'!D19</f>
        <v>99059</v>
      </c>
      <c r="E78" s="103" t="str">
        <f>'PONTE RIACHO'!E19</f>
        <v>LOCAÇÃO CONVENCIONAL DE OBRA, UTILIZANDO GABARITO DE TÁBUAS CORRIDAS PONTALETADAS A CADA 2,00M - 2 UTILIZAÇÕES. AF_03/2024</v>
      </c>
      <c r="F78" s="13" t="str">
        <f>'PONTE RIACHO'!F19</f>
        <v>M</v>
      </c>
      <c r="G78" s="27">
        <f>'PONTE RIACHO'!G19</f>
        <v>36</v>
      </c>
      <c r="H78" s="241">
        <f>'PONTE RIACHO'!H19</f>
        <v>77.739999999999995</v>
      </c>
      <c r="I78" s="241">
        <f>'PONTE RIACHO'!I19</f>
        <v>100.68107399999998</v>
      </c>
      <c r="J78" s="273">
        <f>'PONTE RIACHO'!J19</f>
        <v>3624.51</v>
      </c>
    </row>
    <row r="79" spans="1:10" x14ac:dyDescent="0.25">
      <c r="A79" s="262" t="str">
        <f>'PONTE RIACHO'!A20</f>
        <v>1.6</v>
      </c>
      <c r="B79" s="113" t="str">
        <f>'PONTE RIACHO'!B20</f>
        <v>SINAPI</v>
      </c>
      <c r="C79" s="113"/>
      <c r="D79" s="13">
        <f>'PONTE RIACHO'!D20</f>
        <v>93421</v>
      </c>
      <c r="E79" s="103" t="str">
        <f>'PONTE RIACHO'!E20</f>
        <v xml:space="preserve"> GRUPO GERADOR REBOCÁVEL, POTÊNCIA 66 KVA, MOTOR A DIESEL - CHP DIURNO. AF_03/2016</v>
      </c>
      <c r="F79" s="13" t="str">
        <f>'PONTE RIACHO'!F20</f>
        <v>H</v>
      </c>
      <c r="G79" s="27">
        <f>'PONTE RIACHO'!G20</f>
        <v>100</v>
      </c>
      <c r="H79" s="241">
        <f>'PONTE RIACHO'!H20</f>
        <v>91.89</v>
      </c>
      <c r="I79" s="241">
        <f>'PONTE RIACHO'!I20</f>
        <v>119.006739</v>
      </c>
      <c r="J79" s="273">
        <f>'PONTE RIACHO'!J20</f>
        <v>11900.67</v>
      </c>
    </row>
    <row r="80" spans="1:10" x14ac:dyDescent="0.25">
      <c r="A80" s="262" t="str">
        <f>'PONTE RIACHO'!A21</f>
        <v>1.7</v>
      </c>
      <c r="B80" s="239" t="str">
        <f>'PONTE RIACHO'!B21</f>
        <v>CP</v>
      </c>
      <c r="C80" s="240"/>
      <c r="D80" s="13">
        <f>'PONTE RIACHO'!D21</f>
        <v>1</v>
      </c>
      <c r="E80" s="103" t="str">
        <f>'PONTE RIACHO'!E21</f>
        <v>TRANSPORTE FLUVIAL</v>
      </c>
      <c r="F80" s="13" t="str">
        <f>'PONTE RIACHO'!F21</f>
        <v>DIA</v>
      </c>
      <c r="G80" s="27">
        <f>'PONTE RIACHO'!G21</f>
        <v>132</v>
      </c>
      <c r="H80" s="241">
        <f>'PONTE RIACHO'!H21</f>
        <v>35</v>
      </c>
      <c r="I80" s="241">
        <f>'PONTE RIACHO'!I21</f>
        <v>45.328499999999998</v>
      </c>
      <c r="J80" s="273">
        <f>'PONTE RIACHO'!J21</f>
        <v>5983.36</v>
      </c>
    </row>
    <row r="81" spans="1:10" x14ac:dyDescent="0.25">
      <c r="A81" s="261">
        <f>'PONTE RIACHO'!A22</f>
        <v>2</v>
      </c>
      <c r="B81" s="164"/>
      <c r="C81" s="164"/>
      <c r="D81" s="146"/>
      <c r="E81" s="242" t="str">
        <f>'PONTE RIACHO'!E22</f>
        <v>MESOESTRUTURA (TRANSVERSINAS)</v>
      </c>
      <c r="F81" s="146"/>
      <c r="G81" s="101"/>
      <c r="H81" s="102"/>
      <c r="I81" s="105" t="str">
        <f>'PONTE RIACHO'!I22</f>
        <v>SUB-TOTAL</v>
      </c>
      <c r="J81" s="264">
        <f>'PONTE RIACHO'!J22</f>
        <v>7209.517999050001</v>
      </c>
    </row>
    <row r="82" spans="1:10" ht="33.75" x14ac:dyDescent="0.25">
      <c r="A82" s="262" t="str">
        <f>'PONTE RIACHO'!A23</f>
        <v>2.1</v>
      </c>
      <c r="B82" s="113" t="str">
        <f>'PONTE RIACHO'!B23</f>
        <v>SETOP</v>
      </c>
      <c r="C82" s="113"/>
      <c r="D82" s="13" t="str">
        <f>'PONTE RIACHO'!D23</f>
        <v>ED-49664</v>
      </c>
      <c r="E82" s="103" t="str">
        <f>'PONTE RIACHO'!E23</f>
        <v>FORNECIMENTO DE ESTRUTURA METÁLICA EM PERFIL LAMINADO, INCLUSIVE FABRICAÇÃO, TRANSPORTE, MONTAGEM E APLICAÇÃO DE FUNDO PREPARADOR ANTICORROSIVO EM SUPERFÍCIE METÁLICA, UMA (1) DEMÃO</v>
      </c>
      <c r="F82" s="13" t="str">
        <f>'PONTE RIACHO'!F23</f>
        <v>KG</v>
      </c>
      <c r="G82" s="27">
        <f>'PONTE RIACHO'!G23</f>
        <v>182.25000000000003</v>
      </c>
      <c r="H82" s="241">
        <f>'PONTE RIACHO'!H23</f>
        <v>29.42</v>
      </c>
      <c r="I82" s="241">
        <f>'PONTE RIACHO'!I23</f>
        <v>38.101841999999998</v>
      </c>
      <c r="J82" s="273">
        <f>'PONTE RIACHO'!J23</f>
        <v>6944.0607045000006</v>
      </c>
    </row>
    <row r="83" spans="1:10" ht="22.5" x14ac:dyDescent="0.25">
      <c r="A83" s="262" t="str">
        <f>'PONTE RIACHO'!A24</f>
        <v>2.3.</v>
      </c>
      <c r="B83" s="113" t="str">
        <f>'PONTE RIACHO'!B24</f>
        <v>SETOP</v>
      </c>
      <c r="C83" s="113"/>
      <c r="D83" s="13" t="str">
        <f>'PONTE RIACHO'!D24</f>
        <v>ED-50495</v>
      </c>
      <c r="E83" s="103" t="str">
        <f>'PONTE RIACHO'!E24</f>
        <v>PINTURA ESMALTE BASE SOLVENTE EM SUPERFÍCIES METÁLICAS , DUAS (2) DEMÃOS, COM APLICAÇÃO MANUAL, INCLUSIVE UMA (1)  DEMÃO DE FUNDO ANTICORROSIVO</v>
      </c>
      <c r="F83" s="13" t="str">
        <f>'PONTE RIACHO'!F24</f>
        <v>M2</v>
      </c>
      <c r="G83" s="27">
        <f>'PONTE RIACHO'!G24</f>
        <v>5.67</v>
      </c>
      <c r="H83" s="241">
        <f>'PONTE RIACHO'!H24</f>
        <v>36.15</v>
      </c>
      <c r="I83" s="241">
        <f>'PONTE RIACHO'!I24</f>
        <v>46.817864999999998</v>
      </c>
      <c r="J83" s="273">
        <f>'PONTE RIACHO'!J24</f>
        <v>265.45729454999997</v>
      </c>
    </row>
    <row r="84" spans="1:10" x14ac:dyDescent="0.25">
      <c r="A84" s="261">
        <f>'PONTE RIACHO'!A25</f>
        <v>3</v>
      </c>
      <c r="B84" s="164"/>
      <c r="C84" s="164"/>
      <c r="D84" s="146"/>
      <c r="E84" s="242" t="str">
        <f>'PONTE RIACHO'!E25</f>
        <v>SUPERESTRUTURA</v>
      </c>
      <c r="F84" s="146"/>
      <c r="G84" s="101"/>
      <c r="H84" s="102"/>
      <c r="I84" s="105" t="str">
        <f>'PONTE RIACHO'!I25</f>
        <v>SUB-TOTAL</v>
      </c>
      <c r="J84" s="264">
        <f>'PONTE RIACHO'!J25</f>
        <v>35655.589999999997</v>
      </c>
    </row>
    <row r="85" spans="1:10" x14ac:dyDescent="0.25">
      <c r="A85" s="262" t="str">
        <f>'PONTE RIACHO'!A26</f>
        <v>3.1</v>
      </c>
      <c r="B85" s="113" t="str">
        <f>'PONTE RIACHO'!B26</f>
        <v>SETOP</v>
      </c>
      <c r="C85" s="113"/>
      <c r="D85" s="13" t="str">
        <f>'PONTE RIACHO'!D26</f>
        <v>RO-00542</v>
      </c>
      <c r="E85" s="103" t="str">
        <f>'PONTE RIACHO'!E26</f>
        <v>ARMAÇÃO DE AÇO CA-50 PARA OBRAS DE ARTES ESPECIAIS - FORNECIMENTO, PREPARO E COLOCAÇÃO</v>
      </c>
      <c r="F85" s="13" t="str">
        <f>'PONTE RIACHO'!F26</f>
        <v>KG</v>
      </c>
      <c r="G85" s="27">
        <f>'PONTE RIACHO'!G26</f>
        <v>1145.6949599999998</v>
      </c>
      <c r="H85" s="241">
        <f>'PONTE RIACHO'!H26</f>
        <v>10.77</v>
      </c>
      <c r="I85" s="241">
        <f>'PONTE RIACHO'!I26</f>
        <v>13.948226999999999</v>
      </c>
      <c r="J85" s="273">
        <f>'PONTE RIACHO'!J26</f>
        <v>15980.41</v>
      </c>
    </row>
    <row r="86" spans="1:10" ht="22.5" x14ac:dyDescent="0.25">
      <c r="A86" s="262" t="str">
        <f>'PONTE RIACHO'!A27</f>
        <v>3.2</v>
      </c>
      <c r="B86" s="113" t="str">
        <f>'PONTE RIACHO'!B27</f>
        <v>SETOP</v>
      </c>
      <c r="C86" s="113"/>
      <c r="D86" s="13" t="str">
        <f>'PONTE RIACHO'!D27</f>
        <v>RO-01089</v>
      </c>
      <c r="E86" s="103" t="str">
        <f>'PONTE RIACHO'!E27</f>
        <v>TELHA-FÔRMA EM AÇO GAÇVANIZADO ASTM A653 GRAU 40- E= 1,25MM - FORNECIMENTO E INSTALAÇÃO</v>
      </c>
      <c r="F86" s="13" t="str">
        <f>'PONTE RIACHO'!F27</f>
        <v>M2</v>
      </c>
      <c r="G86" s="27">
        <f>'PONTE RIACHO'!G27</f>
        <v>40.5</v>
      </c>
      <c r="H86" s="241">
        <f>'PONTE RIACHO'!H27</f>
        <v>215.68</v>
      </c>
      <c r="I86" s="241">
        <f>'PONTE RIACHO'!I27</f>
        <v>279.32716799999997</v>
      </c>
      <c r="J86" s="273">
        <f>'PONTE RIACHO'!J27</f>
        <v>11312.75</v>
      </c>
    </row>
    <row r="87" spans="1:10" ht="22.5" x14ac:dyDescent="0.25">
      <c r="A87" s="262" t="str">
        <f>'PONTE RIACHO'!A28</f>
        <v>3.3</v>
      </c>
      <c r="B87" s="113" t="str">
        <f>'PONTE RIACHO'!B28</f>
        <v>SETOP</v>
      </c>
      <c r="C87" s="113"/>
      <c r="D87" s="13" t="str">
        <f>'PONTE RIACHO'!D28</f>
        <v>ED-49632</v>
      </c>
      <c r="E87" s="103" t="str">
        <f>'PONTE RIACHO'!E28</f>
        <v>FORNECIMENTO DE CONCRETO ESTRUTURAL, USINADO, COM FCK 35MPA, INCLUSIVE LANÇAMENTO, ADENSAMENTO E ACABAMENTO</v>
      </c>
      <c r="F87" s="13" t="str">
        <f>'PONTE RIACHO'!F28</f>
        <v>M3</v>
      </c>
      <c r="G87" s="27">
        <f>'PONTE RIACHO'!G28</f>
        <v>8.1</v>
      </c>
      <c r="H87" s="241">
        <f>'PONTE RIACHO'!H28</f>
        <v>783.22</v>
      </c>
      <c r="I87" s="241">
        <f>'PONTE RIACHO'!I28</f>
        <v>1014.348222</v>
      </c>
      <c r="J87" s="273">
        <f>'PONTE RIACHO'!J28</f>
        <v>8216.2199999999993</v>
      </c>
    </row>
    <row r="88" spans="1:10" x14ac:dyDescent="0.25">
      <c r="A88" s="262" t="str">
        <f>'PONTE RIACHO'!A29</f>
        <v>3.4</v>
      </c>
      <c r="B88" s="113" t="str">
        <f>'PONTE RIACHO'!B29</f>
        <v>SICRO</v>
      </c>
      <c r="C88" s="113"/>
      <c r="D88" s="13">
        <f>'PONTE RIACHO'!D29</f>
        <v>2007971</v>
      </c>
      <c r="E88" s="103" t="str">
        <f>'PONTE RIACHO'!E29</f>
        <v>DRENO DE PVC D=100MM PARA OAE - FORNECIMENTO E INSTALAÇÃO</v>
      </c>
      <c r="F88" s="13" t="str">
        <f>'PONTE RIACHO'!F29</f>
        <v>M</v>
      </c>
      <c r="G88" s="27">
        <f>'PONTE RIACHO'!G29</f>
        <v>1.2</v>
      </c>
      <c r="H88" s="241">
        <f>'PONTE RIACHO'!H29</f>
        <v>94.08</v>
      </c>
      <c r="I88" s="241">
        <f>'PONTE RIACHO'!I29</f>
        <v>121.84300799999998</v>
      </c>
      <c r="J88" s="273">
        <f>'PONTE RIACHO'!J29</f>
        <v>146.21</v>
      </c>
    </row>
    <row r="89" spans="1:10" x14ac:dyDescent="0.25">
      <c r="A89" s="261">
        <f>'PONTE RIACHO'!A30</f>
        <v>4</v>
      </c>
      <c r="B89" s="164"/>
      <c r="C89" s="164"/>
      <c r="D89" s="146"/>
      <c r="E89" s="242" t="str">
        <f>'PONTE RIACHO'!E30</f>
        <v>SERVIÇO COMPLEMENTARES</v>
      </c>
      <c r="F89" s="146"/>
      <c r="G89" s="101"/>
      <c r="H89" s="102"/>
      <c r="I89" s="105" t="str">
        <f>'PONTE RIACHO'!I30</f>
        <v>SUB-TOTAL</v>
      </c>
      <c r="J89" s="264">
        <f>'PONTE RIACHO'!J30</f>
        <v>38324.339999999997</v>
      </c>
    </row>
    <row r="90" spans="1:10" ht="33.75" x14ac:dyDescent="0.25">
      <c r="A90" s="262" t="str">
        <f>'PONTE RIACHO'!A31</f>
        <v>4.1</v>
      </c>
      <c r="B90" s="113" t="str">
        <f>'PONTE RIACHO'!B31</f>
        <v>SETOP</v>
      </c>
      <c r="C90" s="113"/>
      <c r="D90" s="13" t="str">
        <f>'PONTE RIACHO'!D31</f>
        <v>ED-20478</v>
      </c>
      <c r="E90" s="103" t="str">
        <f>'PONTE RIACHO'!E31</f>
        <v>PERFIL "UDC" ENRIJECIDO DOBRADO DE CHAPA (MATERIAL: AÇO PATINÁVEL|DIMENSÕES: 200X75X20MM|ESPESSURA: 2,25MM|MASSA LINEAR: 6,66KG/M) - FORNECIMENTO, EXCLUSIVE SERVIÇO DE MONTAGEM/INSTALAÇÃO.</v>
      </c>
      <c r="F90" s="13" t="str">
        <f>'PONTE RIACHO'!F31</f>
        <v>M</v>
      </c>
      <c r="G90" s="27">
        <f>'PONTE RIACHO'!G31</f>
        <v>99</v>
      </c>
      <c r="H90" s="241">
        <f>'PONTE RIACHO'!H31</f>
        <v>64.53</v>
      </c>
      <c r="I90" s="241">
        <f>'PONTE RIACHO'!I31</f>
        <v>83.572802999999993</v>
      </c>
      <c r="J90" s="273">
        <f>'PONTE RIACHO'!J31</f>
        <v>8273.7000000000007</v>
      </c>
    </row>
    <row r="91" spans="1:10" ht="22.5" x14ac:dyDescent="0.25">
      <c r="A91" s="262" t="str">
        <f>'PONTE RIACHO'!A32</f>
        <v>4.2</v>
      </c>
      <c r="B91" s="113" t="str">
        <f>'PONTE RIACHO'!B32</f>
        <v>SETOP</v>
      </c>
      <c r="C91" s="113"/>
      <c r="D91" s="13" t="str">
        <f>'PONTE RIACHO'!D32</f>
        <v>ED-50495</v>
      </c>
      <c r="E91" s="103" t="str">
        <f>'PONTE RIACHO'!E32</f>
        <v>PINTURA ESMALTE BASE SOLVENTE EM SUPERFÍCIES METÁLICAS , DUAS (2) DEMÃOS, COM APLICAÇÃO MANUAL, INCLUSIVE UMA (1)  DEMÃO DE FUNDO ANTICORROSIVO</v>
      </c>
      <c r="F91" s="13" t="str">
        <f>'PONTE RIACHO'!F32</f>
        <v>M2</v>
      </c>
      <c r="G91" s="27">
        <f>'PONTE RIACHO'!G32</f>
        <v>34.65</v>
      </c>
      <c r="H91" s="241">
        <f>'PONTE RIACHO'!H32</f>
        <v>36.15</v>
      </c>
      <c r="I91" s="241">
        <f>'PONTE RIACHO'!I32</f>
        <v>46.817864999999998</v>
      </c>
      <c r="J91" s="273">
        <f>'PONTE RIACHO'!J32</f>
        <v>1622.23</v>
      </c>
    </row>
    <row r="92" spans="1:10" ht="33.75" x14ac:dyDescent="0.25">
      <c r="A92" s="262" t="str">
        <f>'PONTE RIACHO'!A33</f>
        <v>4.3</v>
      </c>
      <c r="B92" s="113" t="str">
        <f>'PONTE RIACHO'!B33</f>
        <v>SETOP</v>
      </c>
      <c r="C92" s="113"/>
      <c r="D92" s="13" t="str">
        <f>'PONTE RIACHO'!D33</f>
        <v>ED-49664</v>
      </c>
      <c r="E92" s="103" t="str">
        <f>'PONTE RIACHO'!E33</f>
        <v>FORNECIMENTO DE ESTRUTURA METÁLICA EM PERFIL LAMINADO, INCLUSIVE FABRICAÇÃO, TRANSPORTE, MONTAGEM E APLICAÇÃO DE FUNDO PREPARADOR ANTICORROSIVO EM SUPERFÍCIE METÁLICA, UMA (1) DEMÃO</v>
      </c>
      <c r="F92" s="13" t="str">
        <f>'PONTE RIACHO'!F33</f>
        <v>KG</v>
      </c>
      <c r="G92" s="27">
        <f>'PONTE RIACHO'!G33</f>
        <v>294.62400000000002</v>
      </c>
      <c r="H92" s="241">
        <f>'PONTE RIACHO'!H33</f>
        <v>29.42</v>
      </c>
      <c r="I92" s="241">
        <f>'PONTE RIACHO'!I33</f>
        <v>38.101841999999998</v>
      </c>
      <c r="J92" s="273">
        <f>'PONTE RIACHO'!J33</f>
        <v>11225.71</v>
      </c>
    </row>
    <row r="93" spans="1:10" ht="22.5" x14ac:dyDescent="0.25">
      <c r="A93" s="262" t="str">
        <f>'PONTE RIACHO'!A34</f>
        <v>4.4</v>
      </c>
      <c r="B93" s="113" t="str">
        <f>'PONTE RIACHO'!B34</f>
        <v>SETOP</v>
      </c>
      <c r="C93" s="113"/>
      <c r="D93" s="13" t="str">
        <f>'PONTE RIACHO'!D34</f>
        <v>ED-50428</v>
      </c>
      <c r="E93" s="103" t="str">
        <f>'PONTE RIACHO'!E34</f>
        <v>LANÇAMENTO DE VIGA PARA PONTE, EXCLUSIVE FORNECIMENTO , DESCARGA E TRANSPORTE - PROJETO PADRÃO SEINFRA-MG</v>
      </c>
      <c r="F93" s="13" t="str">
        <f>'PONTE RIACHO'!F34</f>
        <v>KG</v>
      </c>
      <c r="G93" s="27">
        <f>'PONTE RIACHO'!G34</f>
        <v>2880</v>
      </c>
      <c r="H93" s="241">
        <f>'PONTE RIACHO'!H34</f>
        <v>1.73</v>
      </c>
      <c r="I93" s="241">
        <f>'PONTE RIACHO'!I34</f>
        <v>2.240523</v>
      </c>
      <c r="J93" s="273">
        <f>'PONTE RIACHO'!J34</f>
        <v>6452.7</v>
      </c>
    </row>
    <row r="94" spans="1:10" ht="22.5" x14ac:dyDescent="0.25">
      <c r="A94" s="262" t="str">
        <f>'PONTE RIACHO'!A35</f>
        <v>4.5</v>
      </c>
      <c r="B94" s="113" t="str">
        <f>'PONTE RIACHO'!B35</f>
        <v>SETOP</v>
      </c>
      <c r="C94" s="113"/>
      <c r="D94" s="13" t="str">
        <f>'PONTE RIACHO'!D35</f>
        <v>ED-29091</v>
      </c>
      <c r="E94" s="103" t="str">
        <f>'PONTE RIACHO'!E35</f>
        <v>TRANSPORTE DE VIGA OU TABULEIRO PARA PONTE (CUSTO FIXO ), INCLUSIVE CARGA, EXCLUSIVE FORNECIMENTO , DESCARGA E TRANSPORTE EM QUILÔMETRO RODADO (CUSTO VARIÁVEL)</v>
      </c>
      <c r="F94" s="13" t="str">
        <f>'PONTE RIACHO'!F35</f>
        <v>UN</v>
      </c>
      <c r="G94" s="27">
        <f>'PONTE RIACHO'!G35</f>
        <v>9</v>
      </c>
      <c r="H94" s="241">
        <f>'PONTE RIACHO'!H35</f>
        <v>922.28</v>
      </c>
      <c r="I94" s="241">
        <f>'PONTE RIACHO'!I35</f>
        <v>1194.4448279999999</v>
      </c>
      <c r="J94" s="273">
        <f>'PONTE RIACHO'!J35</f>
        <v>10750</v>
      </c>
    </row>
    <row r="95" spans="1:10" ht="4.5" customHeight="1" thickBot="1" x14ac:dyDescent="0.3">
      <c r="A95" s="274"/>
      <c r="B95" s="162"/>
      <c r="C95" s="163"/>
      <c r="D95" s="118"/>
      <c r="E95" s="118"/>
      <c r="F95" s="118"/>
      <c r="G95" s="118"/>
      <c r="H95" s="118"/>
      <c r="I95" s="118"/>
      <c r="J95" s="275"/>
    </row>
    <row r="96" spans="1:10" ht="12" customHeight="1" thickBot="1" x14ac:dyDescent="0.3">
      <c r="A96" s="249" t="str">
        <f>'PONTE RIACHO'!A38</f>
        <v>SUB-TOTAL</v>
      </c>
      <c r="B96" s="249"/>
      <c r="C96" s="249"/>
      <c r="D96" s="249"/>
      <c r="E96" s="249"/>
      <c r="F96" s="249"/>
      <c r="G96" s="249"/>
      <c r="H96" s="249"/>
      <c r="I96" s="249"/>
      <c r="J96" s="250">
        <f>'PONTE RIACHO'!J38</f>
        <v>111068.71799905</v>
      </c>
    </row>
    <row r="97" spans="1:10" ht="21" customHeight="1" x14ac:dyDescent="0.25">
      <c r="A97" s="276" t="s">
        <v>176</v>
      </c>
      <c r="B97" s="255"/>
      <c r="C97" s="255"/>
      <c r="D97" s="255"/>
      <c r="E97" s="255"/>
      <c r="F97" s="255"/>
      <c r="G97" s="255"/>
      <c r="H97" s="255"/>
      <c r="I97" s="255"/>
      <c r="J97" s="277"/>
    </row>
    <row r="98" spans="1:10" x14ac:dyDescent="0.25">
      <c r="A98" s="261">
        <v>1</v>
      </c>
      <c r="B98" s="164"/>
      <c r="C98" s="164"/>
      <c r="D98" s="146"/>
      <c r="E98" s="242" t="s">
        <v>41</v>
      </c>
      <c r="F98" s="146"/>
      <c r="G98" s="101"/>
      <c r="H98" s="102"/>
      <c r="I98" s="105" t="s">
        <v>48</v>
      </c>
      <c r="J98" s="264">
        <v>28563.67</v>
      </c>
    </row>
    <row r="99" spans="1:10" ht="45" x14ac:dyDescent="0.25">
      <c r="A99" s="262" t="s">
        <v>21</v>
      </c>
      <c r="B99" s="113" t="s">
        <v>17</v>
      </c>
      <c r="C99" s="113"/>
      <c r="D99" s="13" t="s">
        <v>56</v>
      </c>
      <c r="E99" s="103" t="s">
        <v>65</v>
      </c>
      <c r="F99" s="13" t="s">
        <v>57</v>
      </c>
      <c r="G99" s="27">
        <v>3</v>
      </c>
      <c r="H99" s="241">
        <v>858.6</v>
      </c>
      <c r="I99" s="241">
        <v>1111.9728599999999</v>
      </c>
      <c r="J99" s="273">
        <v>3335.91</v>
      </c>
    </row>
    <row r="100" spans="1:10" ht="22.5" x14ac:dyDescent="0.25">
      <c r="A100" s="262" t="s">
        <v>54</v>
      </c>
      <c r="B100" s="113" t="s">
        <v>17</v>
      </c>
      <c r="C100" s="113"/>
      <c r="D100" s="13" t="s">
        <v>55</v>
      </c>
      <c r="E100" s="103" t="s">
        <v>53</v>
      </c>
      <c r="F100" s="13" t="s">
        <v>44</v>
      </c>
      <c r="G100" s="27">
        <v>1</v>
      </c>
      <c r="H100" s="241">
        <v>1702.32</v>
      </c>
      <c r="I100" s="241">
        <v>2204.6746319999997</v>
      </c>
      <c r="J100" s="273">
        <v>2204.67</v>
      </c>
    </row>
    <row r="101" spans="1:10" ht="33.75" x14ac:dyDescent="0.25">
      <c r="A101" s="262" t="s">
        <v>66</v>
      </c>
      <c r="B101" s="113" t="s">
        <v>17</v>
      </c>
      <c r="C101" s="113"/>
      <c r="D101" s="13" t="s">
        <v>67</v>
      </c>
      <c r="E101" s="103" t="s">
        <v>68</v>
      </c>
      <c r="F101" s="13" t="s">
        <v>18</v>
      </c>
      <c r="G101" s="27">
        <v>36</v>
      </c>
      <c r="H101" s="241">
        <v>30.58</v>
      </c>
      <c r="I101" s="241">
        <v>39.604157999999998</v>
      </c>
      <c r="J101" s="273">
        <v>1425.74</v>
      </c>
    </row>
    <row r="102" spans="1:10" ht="45" x14ac:dyDescent="0.25">
      <c r="A102" s="262" t="s">
        <v>69</v>
      </c>
      <c r="B102" s="113" t="s">
        <v>17</v>
      </c>
      <c r="C102" s="113"/>
      <c r="D102" s="13" t="s">
        <v>70</v>
      </c>
      <c r="E102" s="103" t="s">
        <v>71</v>
      </c>
      <c r="F102" s="13" t="s">
        <v>44</v>
      </c>
      <c r="G102" s="27">
        <v>1</v>
      </c>
      <c r="H102" s="241">
        <v>1206.72</v>
      </c>
      <c r="I102" s="241">
        <v>1562.8230719999999</v>
      </c>
      <c r="J102" s="273">
        <v>1562.82</v>
      </c>
    </row>
    <row r="103" spans="1:10" ht="22.5" x14ac:dyDescent="0.25">
      <c r="A103" s="262" t="s">
        <v>76</v>
      </c>
      <c r="B103" s="113" t="s">
        <v>74</v>
      </c>
      <c r="C103" s="113"/>
      <c r="D103" s="13">
        <v>99059</v>
      </c>
      <c r="E103" s="103" t="s">
        <v>77</v>
      </c>
      <c r="F103" s="13" t="s">
        <v>47</v>
      </c>
      <c r="G103" s="27">
        <v>45</v>
      </c>
      <c r="H103" s="241">
        <v>77.739999999999995</v>
      </c>
      <c r="I103" s="241">
        <v>100.68107399999998</v>
      </c>
      <c r="J103" s="273">
        <v>4530.6400000000003</v>
      </c>
    </row>
    <row r="104" spans="1:10" x14ac:dyDescent="0.25">
      <c r="A104" s="262" t="s">
        <v>73</v>
      </c>
      <c r="B104" s="113" t="s">
        <v>74</v>
      </c>
      <c r="C104" s="113"/>
      <c r="D104" s="13">
        <v>93421</v>
      </c>
      <c r="E104" s="103" t="s">
        <v>72</v>
      </c>
      <c r="F104" s="13" t="s">
        <v>75</v>
      </c>
      <c r="G104" s="27">
        <v>80</v>
      </c>
      <c r="H104" s="241">
        <v>91.89</v>
      </c>
      <c r="I104" s="241">
        <v>119.006739</v>
      </c>
      <c r="J104" s="273">
        <v>9520.5300000000007</v>
      </c>
    </row>
    <row r="105" spans="1:10" x14ac:dyDescent="0.25">
      <c r="A105" s="262" t="s">
        <v>96</v>
      </c>
      <c r="B105" s="239" t="s">
        <v>127</v>
      </c>
      <c r="C105" s="240"/>
      <c r="D105" s="13">
        <v>1</v>
      </c>
      <c r="E105" s="103" t="s">
        <v>149</v>
      </c>
      <c r="F105" s="13" t="s">
        <v>129</v>
      </c>
      <c r="G105" s="27">
        <v>132</v>
      </c>
      <c r="H105" s="241">
        <v>35</v>
      </c>
      <c r="I105" s="241">
        <v>45.328499999999998</v>
      </c>
      <c r="J105" s="273">
        <v>5983.36</v>
      </c>
    </row>
    <row r="106" spans="1:10" x14ac:dyDescent="0.25">
      <c r="A106" s="263">
        <v>2</v>
      </c>
      <c r="B106" s="243"/>
      <c r="C106" s="243"/>
      <c r="D106" s="146"/>
      <c r="E106" s="242" t="s">
        <v>150</v>
      </c>
      <c r="F106" s="146"/>
      <c r="G106" s="101"/>
      <c r="H106" s="102"/>
      <c r="I106" s="105"/>
      <c r="J106" s="264">
        <v>7209.517999050001</v>
      </c>
    </row>
    <row r="107" spans="1:10" ht="33.75" x14ac:dyDescent="0.25">
      <c r="A107" s="262" t="s">
        <v>42</v>
      </c>
      <c r="B107" s="113" t="s">
        <v>17</v>
      </c>
      <c r="C107" s="113"/>
      <c r="D107" s="13" t="s">
        <v>151</v>
      </c>
      <c r="E107" s="103" t="s">
        <v>152</v>
      </c>
      <c r="F107" s="13" t="s">
        <v>61</v>
      </c>
      <c r="G107" s="27">
        <v>182.25000000000003</v>
      </c>
      <c r="H107" s="241">
        <v>29.42</v>
      </c>
      <c r="I107" s="241">
        <v>38.101841999999998</v>
      </c>
      <c r="J107" s="273">
        <v>6944.0607045000006</v>
      </c>
    </row>
    <row r="108" spans="1:10" ht="22.5" x14ac:dyDescent="0.25">
      <c r="A108" s="262" t="s">
        <v>43</v>
      </c>
      <c r="B108" s="113" t="s">
        <v>17</v>
      </c>
      <c r="C108" s="113"/>
      <c r="D108" s="13" t="s">
        <v>155</v>
      </c>
      <c r="E108" s="103" t="s">
        <v>156</v>
      </c>
      <c r="F108" s="13" t="s">
        <v>18</v>
      </c>
      <c r="G108" s="27">
        <v>5.67</v>
      </c>
      <c r="H108" s="241">
        <v>36.15</v>
      </c>
      <c r="I108" s="241">
        <v>46.817864999999998</v>
      </c>
      <c r="J108" s="273">
        <v>265.45729454999997</v>
      </c>
    </row>
    <row r="109" spans="1:10" x14ac:dyDescent="0.25">
      <c r="A109" s="263">
        <v>3</v>
      </c>
      <c r="B109" s="243"/>
      <c r="C109" s="243"/>
      <c r="D109" s="146"/>
      <c r="E109" s="242" t="s">
        <v>58</v>
      </c>
      <c r="F109" s="146"/>
      <c r="G109" s="101"/>
      <c r="H109" s="102"/>
      <c r="I109" s="105" t="s">
        <v>48</v>
      </c>
      <c r="J109" s="264">
        <v>39601.069999999992</v>
      </c>
    </row>
    <row r="110" spans="1:10" x14ac:dyDescent="0.25">
      <c r="A110" s="262" t="s">
        <v>45</v>
      </c>
      <c r="B110" s="113" t="s">
        <v>17</v>
      </c>
      <c r="C110" s="113"/>
      <c r="D110" s="13" t="s">
        <v>59</v>
      </c>
      <c r="E110" s="103" t="s">
        <v>60</v>
      </c>
      <c r="F110" s="13" t="s">
        <v>61</v>
      </c>
      <c r="G110" s="27">
        <v>1272.9943999999998</v>
      </c>
      <c r="H110" s="241">
        <v>10.77</v>
      </c>
      <c r="I110" s="241">
        <v>13.948226999999999</v>
      </c>
      <c r="J110" s="273">
        <v>17756.009999999998</v>
      </c>
    </row>
    <row r="111" spans="1:10" ht="22.5" x14ac:dyDescent="0.25">
      <c r="A111" s="262" t="s">
        <v>46</v>
      </c>
      <c r="B111" s="113" t="s">
        <v>17</v>
      </c>
      <c r="C111" s="113"/>
      <c r="D111" s="13" t="s">
        <v>157</v>
      </c>
      <c r="E111" s="103" t="s">
        <v>158</v>
      </c>
      <c r="F111" s="13" t="s">
        <v>18</v>
      </c>
      <c r="G111" s="27">
        <v>45</v>
      </c>
      <c r="H111" s="241">
        <v>215.68</v>
      </c>
      <c r="I111" s="241">
        <v>279.32716799999997</v>
      </c>
      <c r="J111" s="273">
        <v>12569.72</v>
      </c>
    </row>
    <row r="112" spans="1:10" ht="22.5" x14ac:dyDescent="0.25">
      <c r="A112" s="262" t="s">
        <v>118</v>
      </c>
      <c r="B112" s="113" t="s">
        <v>17</v>
      </c>
      <c r="C112" s="113"/>
      <c r="D112" s="13" t="s">
        <v>63</v>
      </c>
      <c r="E112" s="103" t="s">
        <v>62</v>
      </c>
      <c r="F112" s="13" t="s">
        <v>20</v>
      </c>
      <c r="G112" s="27">
        <v>9</v>
      </c>
      <c r="H112" s="241">
        <v>783.22</v>
      </c>
      <c r="I112" s="241">
        <v>1014.348222</v>
      </c>
      <c r="J112" s="273">
        <v>9129.1299999999992</v>
      </c>
    </row>
    <row r="113" spans="1:10" x14ac:dyDescent="0.25">
      <c r="A113" s="262" t="s">
        <v>119</v>
      </c>
      <c r="B113" s="113" t="s">
        <v>159</v>
      </c>
      <c r="C113" s="113"/>
      <c r="D113" s="13">
        <v>2007971</v>
      </c>
      <c r="E113" s="103" t="s">
        <v>160</v>
      </c>
      <c r="F113" s="13" t="s">
        <v>47</v>
      </c>
      <c r="G113" s="27">
        <v>1.2</v>
      </c>
      <c r="H113" s="241">
        <v>94.08</v>
      </c>
      <c r="I113" s="241">
        <v>121.84300799999998</v>
      </c>
      <c r="J113" s="273">
        <v>146.21</v>
      </c>
    </row>
    <row r="114" spans="1:10" x14ac:dyDescent="0.25">
      <c r="A114" s="263">
        <v>4</v>
      </c>
      <c r="B114" s="243"/>
      <c r="C114" s="243"/>
      <c r="D114" s="146"/>
      <c r="E114" s="242" t="s">
        <v>64</v>
      </c>
      <c r="F114" s="146"/>
      <c r="G114" s="101"/>
      <c r="H114" s="102"/>
      <c r="I114" s="105" t="s">
        <v>48</v>
      </c>
      <c r="J114" s="264">
        <v>35412.93</v>
      </c>
    </row>
    <row r="115" spans="1:10" ht="33.75" x14ac:dyDescent="0.25">
      <c r="A115" s="262" t="s">
        <v>78</v>
      </c>
      <c r="B115" s="113" t="s">
        <v>17</v>
      </c>
      <c r="C115" s="113"/>
      <c r="D115" s="13" t="s">
        <v>162</v>
      </c>
      <c r="E115" s="103" t="s">
        <v>163</v>
      </c>
      <c r="F115" s="13" t="s">
        <v>47</v>
      </c>
      <c r="G115" s="27">
        <v>110</v>
      </c>
      <c r="H115" s="241">
        <v>64.53</v>
      </c>
      <c r="I115" s="241">
        <v>83.572802999999993</v>
      </c>
      <c r="J115" s="273">
        <v>9193</v>
      </c>
    </row>
    <row r="116" spans="1:10" ht="22.5" x14ac:dyDescent="0.25">
      <c r="A116" s="262" t="s">
        <v>79</v>
      </c>
      <c r="B116" s="113" t="s">
        <v>17</v>
      </c>
      <c r="C116" s="113"/>
      <c r="D116" s="13" t="s">
        <v>155</v>
      </c>
      <c r="E116" s="103" t="s">
        <v>156</v>
      </c>
      <c r="F116" s="13" t="s">
        <v>18</v>
      </c>
      <c r="G116" s="27">
        <v>38.500000000000007</v>
      </c>
      <c r="H116" s="241">
        <v>36.15</v>
      </c>
      <c r="I116" s="241">
        <v>46.817864999999998</v>
      </c>
      <c r="J116" s="273">
        <v>1802.48</v>
      </c>
    </row>
    <row r="117" spans="1:10" ht="33.75" x14ac:dyDescent="0.25">
      <c r="A117" s="262" t="s">
        <v>164</v>
      </c>
      <c r="B117" s="113" t="s">
        <v>17</v>
      </c>
      <c r="C117" s="113"/>
      <c r="D117" s="13" t="s">
        <v>151</v>
      </c>
      <c r="E117" s="103" t="s">
        <v>152</v>
      </c>
      <c r="F117" s="13" t="s">
        <v>61</v>
      </c>
      <c r="G117" s="27">
        <v>327.36</v>
      </c>
      <c r="H117" s="241">
        <v>29.42</v>
      </c>
      <c r="I117" s="241">
        <v>38.101841999999998</v>
      </c>
      <c r="J117" s="273">
        <v>12473.01</v>
      </c>
    </row>
    <row r="118" spans="1:10" ht="22.5" x14ac:dyDescent="0.25">
      <c r="A118" s="262" t="s">
        <v>167</v>
      </c>
      <c r="B118" s="113" t="s">
        <v>17</v>
      </c>
      <c r="C118" s="113"/>
      <c r="D118" s="13" t="s">
        <v>171</v>
      </c>
      <c r="E118" s="103" t="s">
        <v>172</v>
      </c>
      <c r="F118" s="13" t="s">
        <v>175</v>
      </c>
      <c r="G118" s="27">
        <v>10</v>
      </c>
      <c r="H118" s="241">
        <v>922.28</v>
      </c>
      <c r="I118" s="241">
        <v>1194.4448279999999</v>
      </c>
      <c r="J118" s="273">
        <v>11944.44</v>
      </c>
    </row>
    <row r="119" spans="1:10" ht="3.75" customHeight="1" thickBot="1" x14ac:dyDescent="0.3">
      <c r="A119" s="274"/>
      <c r="B119" s="149"/>
      <c r="C119" s="150"/>
      <c r="D119" s="118"/>
      <c r="E119" s="118"/>
      <c r="F119" s="118"/>
      <c r="G119" s="118"/>
      <c r="H119" s="118"/>
      <c r="I119" s="118"/>
      <c r="J119" s="275"/>
    </row>
    <row r="120" spans="1:10" ht="12" customHeight="1" thickBot="1" x14ac:dyDescent="0.3">
      <c r="A120" s="249" t="s">
        <v>48</v>
      </c>
      <c r="B120" s="249"/>
      <c r="C120" s="249"/>
      <c r="D120" s="249"/>
      <c r="E120" s="249"/>
      <c r="F120" s="249"/>
      <c r="G120" s="249"/>
      <c r="H120" s="249"/>
      <c r="I120" s="249"/>
      <c r="J120" s="250">
        <v>110787.18799904999</v>
      </c>
    </row>
    <row r="121" spans="1:10" ht="19.5" customHeight="1" x14ac:dyDescent="0.25">
      <c r="A121" s="278" t="s">
        <v>134</v>
      </c>
      <c r="B121" s="154"/>
      <c r="C121" s="154"/>
      <c r="D121" s="154"/>
      <c r="E121" s="154"/>
      <c r="F121" s="154"/>
      <c r="G121" s="154"/>
      <c r="H121" s="154"/>
      <c r="I121" s="154"/>
      <c r="J121" s="279"/>
    </row>
    <row r="122" spans="1:10" ht="12" customHeight="1" x14ac:dyDescent="0.25">
      <c r="A122" s="263">
        <v>1</v>
      </c>
      <c r="B122" s="243"/>
      <c r="C122" s="243"/>
      <c r="D122" s="146"/>
      <c r="E122" s="242" t="s">
        <v>41</v>
      </c>
      <c r="F122" s="146"/>
      <c r="G122" s="101"/>
      <c r="H122" s="102"/>
      <c r="I122" s="105" t="s">
        <v>48</v>
      </c>
      <c r="J122" s="264">
        <v>29707.43</v>
      </c>
    </row>
    <row r="123" spans="1:10" ht="45" x14ac:dyDescent="0.25">
      <c r="A123" s="262" t="s">
        <v>21</v>
      </c>
      <c r="B123" s="113" t="s">
        <v>17</v>
      </c>
      <c r="C123" s="113"/>
      <c r="D123" s="13" t="s">
        <v>56</v>
      </c>
      <c r="E123" s="103" t="s">
        <v>65</v>
      </c>
      <c r="F123" s="13" t="s">
        <v>57</v>
      </c>
      <c r="G123" s="27">
        <v>3</v>
      </c>
      <c r="H123" s="241">
        <v>858.6</v>
      </c>
      <c r="I123" s="241">
        <v>1111.9728599999999</v>
      </c>
      <c r="J123" s="273">
        <v>3335.91</v>
      </c>
    </row>
    <row r="124" spans="1:10" ht="22.5" x14ac:dyDescent="0.25">
      <c r="A124" s="262" t="s">
        <v>54</v>
      </c>
      <c r="B124" s="113" t="s">
        <v>17</v>
      </c>
      <c r="C124" s="113"/>
      <c r="D124" s="13" t="s">
        <v>55</v>
      </c>
      <c r="E124" s="103" t="s">
        <v>53</v>
      </c>
      <c r="F124" s="13" t="s">
        <v>44</v>
      </c>
      <c r="G124" s="27">
        <v>1</v>
      </c>
      <c r="H124" s="241">
        <v>1702.32</v>
      </c>
      <c r="I124" s="241">
        <v>2204.6746319999997</v>
      </c>
      <c r="J124" s="273">
        <v>2204.67</v>
      </c>
    </row>
    <row r="125" spans="1:10" ht="33.75" x14ac:dyDescent="0.25">
      <c r="A125" s="262" t="s">
        <v>66</v>
      </c>
      <c r="B125" s="113" t="s">
        <v>17</v>
      </c>
      <c r="C125" s="113"/>
      <c r="D125" s="13" t="s">
        <v>67</v>
      </c>
      <c r="E125" s="103" t="s">
        <v>68</v>
      </c>
      <c r="F125" s="13" t="s">
        <v>18</v>
      </c>
      <c r="G125" s="27">
        <v>42</v>
      </c>
      <c r="H125" s="241">
        <v>30.58</v>
      </c>
      <c r="I125" s="241">
        <v>39.604157999999998</v>
      </c>
      <c r="J125" s="273">
        <v>1663.37</v>
      </c>
    </row>
    <row r="126" spans="1:10" ht="45" x14ac:dyDescent="0.25">
      <c r="A126" s="262" t="s">
        <v>69</v>
      </c>
      <c r="B126" s="113" t="s">
        <v>17</v>
      </c>
      <c r="C126" s="113"/>
      <c r="D126" s="13" t="s">
        <v>70</v>
      </c>
      <c r="E126" s="103" t="s">
        <v>71</v>
      </c>
      <c r="F126" s="13" t="s">
        <v>44</v>
      </c>
      <c r="G126" s="27">
        <v>1</v>
      </c>
      <c r="H126" s="241">
        <v>1206.72</v>
      </c>
      <c r="I126" s="241">
        <v>1562.8230719999999</v>
      </c>
      <c r="J126" s="273">
        <v>1562.82</v>
      </c>
    </row>
    <row r="127" spans="1:10" ht="22.5" x14ac:dyDescent="0.25">
      <c r="A127" s="262" t="s">
        <v>76</v>
      </c>
      <c r="B127" s="113" t="s">
        <v>74</v>
      </c>
      <c r="C127" s="113"/>
      <c r="D127" s="13">
        <v>99059</v>
      </c>
      <c r="E127" s="103" t="s">
        <v>77</v>
      </c>
      <c r="F127" s="13" t="s">
        <v>47</v>
      </c>
      <c r="G127" s="27">
        <v>54</v>
      </c>
      <c r="H127" s="241">
        <v>77.739999999999995</v>
      </c>
      <c r="I127" s="241">
        <v>100.68107399999998</v>
      </c>
      <c r="J127" s="273">
        <v>5436.77</v>
      </c>
    </row>
    <row r="128" spans="1:10" x14ac:dyDescent="0.25">
      <c r="A128" s="262" t="s">
        <v>73</v>
      </c>
      <c r="B128" s="113" t="s">
        <v>74</v>
      </c>
      <c r="C128" s="113"/>
      <c r="D128" s="13">
        <v>93421</v>
      </c>
      <c r="E128" s="103" t="s">
        <v>72</v>
      </c>
      <c r="F128" s="13" t="s">
        <v>75</v>
      </c>
      <c r="G128" s="27">
        <v>80</v>
      </c>
      <c r="H128" s="241">
        <v>91.89</v>
      </c>
      <c r="I128" s="241">
        <v>119.006739</v>
      </c>
      <c r="J128" s="273">
        <v>9520.5300000000007</v>
      </c>
    </row>
    <row r="129" spans="1:10" x14ac:dyDescent="0.25">
      <c r="A129" s="262" t="s">
        <v>96</v>
      </c>
      <c r="B129" s="239" t="s">
        <v>127</v>
      </c>
      <c r="C129" s="240"/>
      <c r="D129" s="13">
        <v>1</v>
      </c>
      <c r="E129" s="103" t="s">
        <v>149</v>
      </c>
      <c r="F129" s="13" t="s">
        <v>129</v>
      </c>
      <c r="G129" s="27">
        <v>132</v>
      </c>
      <c r="H129" s="241">
        <v>35</v>
      </c>
      <c r="I129" s="241">
        <v>45.328499999999998</v>
      </c>
      <c r="J129" s="273">
        <v>5983.36</v>
      </c>
    </row>
    <row r="130" spans="1:10" x14ac:dyDescent="0.25">
      <c r="A130" s="263">
        <v>2</v>
      </c>
      <c r="B130" s="243"/>
      <c r="C130" s="243"/>
      <c r="D130" s="146"/>
      <c r="E130" s="242" t="s">
        <v>150</v>
      </c>
      <c r="F130" s="146"/>
      <c r="G130" s="101"/>
      <c r="H130" s="102"/>
      <c r="I130" s="105"/>
      <c r="J130" s="264">
        <v>7209.517999050001</v>
      </c>
    </row>
    <row r="131" spans="1:10" ht="33.75" x14ac:dyDescent="0.25">
      <c r="A131" s="262" t="s">
        <v>42</v>
      </c>
      <c r="B131" s="113" t="s">
        <v>17</v>
      </c>
      <c r="C131" s="113"/>
      <c r="D131" s="13" t="s">
        <v>151</v>
      </c>
      <c r="E131" s="103" t="s">
        <v>152</v>
      </c>
      <c r="F131" s="13" t="s">
        <v>61</v>
      </c>
      <c r="G131" s="27">
        <v>182.25000000000003</v>
      </c>
      <c r="H131" s="241">
        <v>29.42</v>
      </c>
      <c r="I131" s="241">
        <v>38.101841999999998</v>
      </c>
      <c r="J131" s="273">
        <v>6944.0607045000006</v>
      </c>
    </row>
    <row r="132" spans="1:10" ht="22.5" x14ac:dyDescent="0.25">
      <c r="A132" s="262" t="s">
        <v>43</v>
      </c>
      <c r="B132" s="113" t="s">
        <v>17</v>
      </c>
      <c r="C132" s="113"/>
      <c r="D132" s="13" t="s">
        <v>155</v>
      </c>
      <c r="E132" s="103" t="s">
        <v>156</v>
      </c>
      <c r="F132" s="13" t="s">
        <v>18</v>
      </c>
      <c r="G132" s="27">
        <v>5.67</v>
      </c>
      <c r="H132" s="241">
        <v>36.15</v>
      </c>
      <c r="I132" s="241">
        <v>46.817864999999998</v>
      </c>
      <c r="J132" s="273">
        <v>265.45729454999997</v>
      </c>
    </row>
    <row r="133" spans="1:10" x14ac:dyDescent="0.25">
      <c r="A133" s="263">
        <v>3</v>
      </c>
      <c r="B133" s="243"/>
      <c r="C133" s="243"/>
      <c r="D133" s="146"/>
      <c r="E133" s="242" t="s">
        <v>58</v>
      </c>
      <c r="F133" s="146"/>
      <c r="G133" s="101"/>
      <c r="H133" s="102"/>
      <c r="I133" s="105" t="s">
        <v>48</v>
      </c>
      <c r="J133" s="264">
        <v>47492.039999999994</v>
      </c>
    </row>
    <row r="134" spans="1:10" x14ac:dyDescent="0.25">
      <c r="A134" s="262" t="s">
        <v>45</v>
      </c>
      <c r="B134" s="113" t="s">
        <v>17</v>
      </c>
      <c r="C134" s="113"/>
      <c r="D134" s="13" t="s">
        <v>59</v>
      </c>
      <c r="E134" s="103" t="s">
        <v>60</v>
      </c>
      <c r="F134" s="13" t="s">
        <v>61</v>
      </c>
      <c r="G134" s="27">
        <v>1527.59328</v>
      </c>
      <c r="H134" s="241">
        <v>10.77</v>
      </c>
      <c r="I134" s="241">
        <v>13.948226999999999</v>
      </c>
      <c r="J134" s="273">
        <v>21307.21</v>
      </c>
    </row>
    <row r="135" spans="1:10" ht="22.5" x14ac:dyDescent="0.25">
      <c r="A135" s="262" t="s">
        <v>46</v>
      </c>
      <c r="B135" s="113" t="s">
        <v>17</v>
      </c>
      <c r="C135" s="113"/>
      <c r="D135" s="13" t="s">
        <v>157</v>
      </c>
      <c r="E135" s="103" t="s">
        <v>179</v>
      </c>
      <c r="F135" s="13" t="s">
        <v>18</v>
      </c>
      <c r="G135" s="27">
        <v>54</v>
      </c>
      <c r="H135" s="241">
        <v>215.68</v>
      </c>
      <c r="I135" s="241">
        <v>279.32716799999997</v>
      </c>
      <c r="J135" s="273">
        <v>15083.66</v>
      </c>
    </row>
    <row r="136" spans="1:10" ht="22.5" x14ac:dyDescent="0.25">
      <c r="A136" s="262" t="s">
        <v>118</v>
      </c>
      <c r="B136" s="113" t="s">
        <v>17</v>
      </c>
      <c r="C136" s="113"/>
      <c r="D136" s="13" t="s">
        <v>63</v>
      </c>
      <c r="E136" s="103" t="s">
        <v>62</v>
      </c>
      <c r="F136" s="13" t="s">
        <v>20</v>
      </c>
      <c r="G136" s="27">
        <v>10.8</v>
      </c>
      <c r="H136" s="241">
        <v>783.22</v>
      </c>
      <c r="I136" s="241">
        <v>1014.348222</v>
      </c>
      <c r="J136" s="273">
        <v>10954.96</v>
      </c>
    </row>
    <row r="137" spans="1:10" x14ac:dyDescent="0.25">
      <c r="A137" s="262" t="s">
        <v>119</v>
      </c>
      <c r="B137" s="113" t="s">
        <v>159</v>
      </c>
      <c r="C137" s="113"/>
      <c r="D137" s="13">
        <v>2007971</v>
      </c>
      <c r="E137" s="103" t="s">
        <v>160</v>
      </c>
      <c r="F137" s="13" t="s">
        <v>47</v>
      </c>
      <c r="G137" s="27">
        <v>1.2</v>
      </c>
      <c r="H137" s="241">
        <v>94.08</v>
      </c>
      <c r="I137" s="241">
        <v>121.84300799999998</v>
      </c>
      <c r="J137" s="273">
        <v>146.21</v>
      </c>
    </row>
    <row r="138" spans="1:10" x14ac:dyDescent="0.25">
      <c r="A138" s="263">
        <v>4</v>
      </c>
      <c r="B138" s="243"/>
      <c r="C138" s="243"/>
      <c r="D138" s="146"/>
      <c r="E138" s="242" t="s">
        <v>64</v>
      </c>
      <c r="F138" s="146"/>
      <c r="G138" s="101"/>
      <c r="H138" s="102"/>
      <c r="I138" s="105" t="s">
        <v>48</v>
      </c>
      <c r="J138" s="264">
        <v>42495.53</v>
      </c>
    </row>
    <row r="139" spans="1:10" ht="33.75" x14ac:dyDescent="0.25">
      <c r="A139" s="262" t="s">
        <v>78</v>
      </c>
      <c r="B139" s="113" t="s">
        <v>17</v>
      </c>
      <c r="C139" s="113"/>
      <c r="D139" s="13" t="s">
        <v>162</v>
      </c>
      <c r="E139" s="103" t="s">
        <v>163</v>
      </c>
      <c r="F139" s="13" t="s">
        <v>47</v>
      </c>
      <c r="G139" s="27">
        <v>132</v>
      </c>
      <c r="H139" s="241">
        <v>64.53</v>
      </c>
      <c r="I139" s="241">
        <v>83.572802999999993</v>
      </c>
      <c r="J139" s="273">
        <v>11031.6</v>
      </c>
    </row>
    <row r="140" spans="1:10" ht="22.5" x14ac:dyDescent="0.25">
      <c r="A140" s="262" t="s">
        <v>79</v>
      </c>
      <c r="B140" s="113" t="s">
        <v>17</v>
      </c>
      <c r="C140" s="113"/>
      <c r="D140" s="13" t="s">
        <v>155</v>
      </c>
      <c r="E140" s="103" t="s">
        <v>156</v>
      </c>
      <c r="F140" s="13" t="s">
        <v>18</v>
      </c>
      <c r="G140" s="27">
        <v>46.199999999999996</v>
      </c>
      <c r="H140" s="241">
        <v>36.15</v>
      </c>
      <c r="I140" s="241">
        <v>46.817864999999998</v>
      </c>
      <c r="J140" s="273">
        <v>2162.98</v>
      </c>
    </row>
    <row r="141" spans="1:10" ht="33.75" x14ac:dyDescent="0.25">
      <c r="A141" s="262" t="s">
        <v>164</v>
      </c>
      <c r="B141" s="113" t="s">
        <v>17</v>
      </c>
      <c r="C141" s="113"/>
      <c r="D141" s="13" t="s">
        <v>151</v>
      </c>
      <c r="E141" s="103" t="s">
        <v>152</v>
      </c>
      <c r="F141" s="13" t="s">
        <v>61</v>
      </c>
      <c r="G141" s="27">
        <v>392.83200000000005</v>
      </c>
      <c r="H141" s="241">
        <v>29.42</v>
      </c>
      <c r="I141" s="241">
        <v>38.101841999999998</v>
      </c>
      <c r="J141" s="273">
        <v>14967.62</v>
      </c>
    </row>
    <row r="142" spans="1:10" ht="22.5" x14ac:dyDescent="0.25">
      <c r="A142" s="262" t="s">
        <v>167</v>
      </c>
      <c r="B142" s="113" t="s">
        <v>17</v>
      </c>
      <c r="C142" s="113"/>
      <c r="D142" s="13" t="s">
        <v>171</v>
      </c>
      <c r="E142" s="103" t="s">
        <v>172</v>
      </c>
      <c r="F142" s="13" t="s">
        <v>44</v>
      </c>
      <c r="G142" s="27">
        <v>12</v>
      </c>
      <c r="H142" s="241">
        <v>922.28</v>
      </c>
      <c r="I142" s="241">
        <v>1194.4448279999999</v>
      </c>
      <c r="J142" s="273">
        <v>14333.33</v>
      </c>
    </row>
    <row r="143" spans="1:10" ht="4.5" customHeight="1" thickBot="1" x14ac:dyDescent="0.3">
      <c r="A143" s="274"/>
      <c r="B143" s="149"/>
      <c r="C143" s="150"/>
      <c r="D143" s="118"/>
      <c r="E143" s="118"/>
      <c r="F143" s="118"/>
      <c r="G143" s="118"/>
      <c r="H143" s="118"/>
      <c r="I143" s="118"/>
      <c r="J143" s="275"/>
    </row>
    <row r="144" spans="1:10" ht="12" customHeight="1" thickBot="1" x14ac:dyDescent="0.3">
      <c r="A144" s="249" t="s">
        <v>48</v>
      </c>
      <c r="B144" s="249"/>
      <c r="C144" s="249"/>
      <c r="D144" s="249"/>
      <c r="E144" s="249"/>
      <c r="F144" s="249"/>
      <c r="G144" s="249"/>
      <c r="H144" s="249"/>
      <c r="I144" s="249"/>
      <c r="J144" s="250">
        <v>126904.51799905</v>
      </c>
    </row>
    <row r="145" spans="1:10" ht="6.75" customHeight="1" thickBot="1" x14ac:dyDescent="0.3">
      <c r="A145" s="265"/>
      <c r="B145" s="139"/>
      <c r="C145" s="139"/>
      <c r="D145" s="139"/>
      <c r="E145" s="139"/>
      <c r="F145" s="139"/>
      <c r="G145" s="139"/>
      <c r="H145" s="139"/>
      <c r="I145" s="139"/>
      <c r="J145" s="280"/>
    </row>
    <row r="146" spans="1:10" ht="12" customHeight="1" x14ac:dyDescent="0.25">
      <c r="A146" s="251" t="s">
        <v>180</v>
      </c>
      <c r="B146" s="251"/>
      <c r="C146" s="251"/>
      <c r="D146" s="251"/>
      <c r="E146" s="251"/>
      <c r="F146" s="251"/>
      <c r="G146" s="251"/>
      <c r="H146" s="251"/>
      <c r="I146" s="251"/>
      <c r="J146" s="253">
        <f>J144+J120+J96+J71+J42</f>
        <v>626819.36943228263</v>
      </c>
    </row>
    <row r="147" spans="1:10" ht="12" customHeight="1" thickBot="1" x14ac:dyDescent="0.3">
      <c r="A147" s="252"/>
      <c r="B147" s="252"/>
      <c r="C147" s="252"/>
      <c r="D147" s="252"/>
      <c r="E147" s="252"/>
      <c r="F147" s="252"/>
      <c r="G147" s="252"/>
      <c r="H147" s="252"/>
      <c r="I147" s="252"/>
      <c r="J147" s="254"/>
    </row>
    <row r="148" spans="1:10" ht="12" customHeight="1" x14ac:dyDescent="0.25">
      <c r="A148" s="151"/>
      <c r="B148" s="151"/>
      <c r="C148" s="151"/>
      <c r="D148" s="151"/>
      <c r="E148" s="151"/>
      <c r="F148" s="151"/>
      <c r="G148" s="151"/>
      <c r="H148" s="151"/>
      <c r="I148" s="151"/>
      <c r="J148" s="151"/>
    </row>
    <row r="149" spans="1:10" ht="12" customHeight="1" x14ac:dyDescent="0.25">
      <c r="A149" s="151"/>
      <c r="B149" s="151"/>
      <c r="C149" s="151"/>
      <c r="D149" s="151"/>
      <c r="E149" s="151"/>
      <c r="F149" s="151"/>
      <c r="G149" s="151"/>
      <c r="H149" s="151"/>
      <c r="I149" s="151"/>
      <c r="J149" s="151"/>
    </row>
    <row r="150" spans="1:10" ht="12" customHeight="1" x14ac:dyDescent="0.25">
      <c r="A150" s="151"/>
      <c r="B150" s="151"/>
      <c r="C150" s="151"/>
      <c r="D150" s="151"/>
      <c r="E150" s="151"/>
      <c r="F150" s="151"/>
      <c r="G150" s="151"/>
      <c r="H150" s="151"/>
      <c r="I150" s="151"/>
      <c r="J150" s="151"/>
    </row>
    <row r="151" spans="1:10" ht="12" customHeight="1" x14ac:dyDescent="0.25">
      <c r="A151" s="29"/>
      <c r="B151" s="140"/>
      <c r="C151" s="140"/>
      <c r="D151" s="30"/>
      <c r="E151" s="1"/>
    </row>
    <row r="152" spans="1:10" ht="15" customHeight="1" x14ac:dyDescent="0.25">
      <c r="A152" s="29"/>
      <c r="B152" s="140"/>
      <c r="C152" s="140"/>
      <c r="D152" s="30"/>
      <c r="E152" s="28" t="s">
        <v>16</v>
      </c>
      <c r="G152" s="108" t="s">
        <v>52</v>
      </c>
      <c r="H152" s="108"/>
      <c r="I152" s="108"/>
      <c r="J152" s="109"/>
    </row>
    <row r="153" spans="1:10" ht="12" customHeight="1" x14ac:dyDescent="0.25">
      <c r="A153" s="29"/>
      <c r="B153" s="29"/>
      <c r="C153" s="29"/>
      <c r="D153" s="30"/>
      <c r="E153" s="30"/>
      <c r="F153" s="29"/>
      <c r="G153" s="31"/>
      <c r="H153" s="32"/>
      <c r="I153" s="33"/>
      <c r="J153" s="33"/>
    </row>
    <row r="154" spans="1:10" ht="12" customHeight="1" x14ac:dyDescent="0.25">
      <c r="A154" s="29"/>
      <c r="B154" s="29"/>
      <c r="C154" s="29"/>
      <c r="D154" s="30"/>
      <c r="E154" s="30"/>
      <c r="F154" s="29"/>
      <c r="G154" s="31"/>
      <c r="H154" s="32"/>
      <c r="I154" s="33"/>
      <c r="J154" s="33"/>
    </row>
    <row r="155" spans="1:10" ht="25.5" customHeight="1" x14ac:dyDescent="0.25">
      <c r="A155" s="89"/>
      <c r="B155" s="88"/>
      <c r="C155" s="88"/>
      <c r="D155" s="88"/>
      <c r="E155" s="97"/>
      <c r="F155" s="97"/>
      <c r="G155" s="97"/>
      <c r="H155" s="97"/>
      <c r="I155" s="97"/>
      <c r="J155" s="90"/>
    </row>
    <row r="156" spans="1:10" ht="12" customHeight="1" x14ac:dyDescent="0.25">
      <c r="A156" s="89"/>
      <c r="B156" s="88"/>
      <c r="C156" s="88"/>
      <c r="D156" s="88"/>
      <c r="E156" s="94"/>
      <c r="F156" s="94"/>
      <c r="G156" s="94"/>
      <c r="H156" s="94"/>
      <c r="I156" s="94"/>
      <c r="J156" s="90"/>
    </row>
    <row r="157" spans="1:10" ht="12.75" customHeight="1" x14ac:dyDescent="0.25">
      <c r="A157" s="89"/>
      <c r="B157" s="88"/>
      <c r="C157" s="88"/>
      <c r="D157" s="88"/>
      <c r="E157" s="94"/>
      <c r="F157" s="94"/>
      <c r="G157" s="94"/>
      <c r="H157" s="94"/>
      <c r="I157" s="94"/>
      <c r="J157" s="90"/>
    </row>
    <row r="158" spans="1:10" ht="12" customHeight="1" x14ac:dyDescent="0.25">
      <c r="A158" s="95"/>
      <c r="B158" s="95"/>
      <c r="C158" s="95"/>
      <c r="D158" s="95"/>
      <c r="E158" s="95"/>
      <c r="F158" s="95"/>
      <c r="G158" s="95"/>
      <c r="H158" s="95"/>
      <c r="I158" s="95"/>
      <c r="J158" s="95"/>
    </row>
    <row r="159" spans="1:10" ht="12" customHeight="1" x14ac:dyDescent="0.25">
      <c r="A159" s="96"/>
      <c r="B159" s="96"/>
      <c r="C159" s="96"/>
      <c r="D159" s="96"/>
      <c r="E159" s="96"/>
      <c r="F159" s="96"/>
      <c r="G159" s="96"/>
      <c r="H159" s="96"/>
      <c r="I159" s="96"/>
      <c r="J159" s="96"/>
    </row>
    <row r="160" spans="1:10" ht="5.25" customHeight="1" x14ac:dyDescent="0.25">
      <c r="A160" s="88"/>
      <c r="B160" s="88"/>
      <c r="C160" s="88"/>
      <c r="D160" s="88"/>
      <c r="E160" s="88"/>
      <c r="F160" s="88"/>
      <c r="G160" s="88"/>
      <c r="H160" s="88"/>
      <c r="I160" s="88"/>
      <c r="J160" s="88"/>
    </row>
  </sheetData>
  <mergeCells count="63">
    <mergeCell ref="J146:J147"/>
    <mergeCell ref="A13:J13"/>
    <mergeCell ref="A43:J43"/>
    <mergeCell ref="A71:I71"/>
    <mergeCell ref="A72:J72"/>
    <mergeCell ref="A146:I147"/>
    <mergeCell ref="A144:I144"/>
    <mergeCell ref="B138:C138"/>
    <mergeCell ref="B133:C133"/>
    <mergeCell ref="B130:C130"/>
    <mergeCell ref="B122:C122"/>
    <mergeCell ref="A120:I120"/>
    <mergeCell ref="A121:J121"/>
    <mergeCell ref="B114:C114"/>
    <mergeCell ref="B109:C109"/>
    <mergeCell ref="B106:C106"/>
    <mergeCell ref="B95:C95"/>
    <mergeCell ref="B98:C98"/>
    <mergeCell ref="A96:I96"/>
    <mergeCell ref="A97:J97"/>
    <mergeCell ref="B89:C89"/>
    <mergeCell ref="B81:C81"/>
    <mergeCell ref="B84:C84"/>
    <mergeCell ref="B73:C73"/>
    <mergeCell ref="B67:C67"/>
    <mergeCell ref="B59:C59"/>
    <mergeCell ref="B53:C53"/>
    <mergeCell ref="B14:C14"/>
    <mergeCell ref="B15:C15"/>
    <mergeCell ref="B16:C16"/>
    <mergeCell ref="B38:C38"/>
    <mergeCell ref="B39:C39"/>
    <mergeCell ref="B17:C17"/>
    <mergeCell ref="B30:C30"/>
    <mergeCell ref="B34:C34"/>
    <mergeCell ref="B18:C18"/>
    <mergeCell ref="B19:C19"/>
    <mergeCell ref="B20:C20"/>
    <mergeCell ref="B28:C28"/>
    <mergeCell ref="B26:C26"/>
    <mergeCell ref="B27:C27"/>
    <mergeCell ref="B31:C31"/>
    <mergeCell ref="B36:C36"/>
    <mergeCell ref="E1:I1"/>
    <mergeCell ref="E2:I2"/>
    <mergeCell ref="E3:I3"/>
    <mergeCell ref="G9:J9"/>
    <mergeCell ref="G11:H11"/>
    <mergeCell ref="A4:J4"/>
    <mergeCell ref="A5:J5"/>
    <mergeCell ref="A42:I42"/>
    <mergeCell ref="B21:C21"/>
    <mergeCell ref="B40:C40"/>
    <mergeCell ref="B24:C24"/>
    <mergeCell ref="B22:C22"/>
    <mergeCell ref="B35:C35"/>
    <mergeCell ref="B29:C29"/>
    <mergeCell ref="B25:C25"/>
    <mergeCell ref="B37:C37"/>
    <mergeCell ref="B32:C32"/>
    <mergeCell ref="B33:C33"/>
    <mergeCell ref="B23:C23"/>
    <mergeCell ref="B44:C44"/>
  </mergeCells>
  <phoneticPr fontId="25" type="noConversion"/>
  <pageMargins left="0.59055118110236227" right="0.23622047244094491" top="0.39370078740157483" bottom="0.39370078740157483" header="0" footer="0.31496062992125984"/>
  <pageSetup paperSize="9" orientation="landscape" r:id="rId1"/>
  <rowBreaks count="1" manualBreakCount="1">
    <brk id="123"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B7F32-EEE3-47AC-83B2-AB9B975D0189}">
  <dimension ref="A1:O61"/>
  <sheetViews>
    <sheetView showGridLines="0" view="pageBreakPreview" topLeftCell="A14" zoomScaleNormal="100" zoomScaleSheetLayoutView="100" workbookViewId="0">
      <selection activeCell="A42" sqref="A42"/>
    </sheetView>
  </sheetViews>
  <sheetFormatPr defaultRowHeight="15" x14ac:dyDescent="0.25"/>
  <cols>
    <col min="1" max="1" width="4.85546875" style="9" customWidth="1"/>
    <col min="2" max="2" width="2.140625" style="1" customWidth="1"/>
    <col min="3" max="3" width="4.140625" style="1" customWidth="1"/>
    <col min="4" max="4" width="7.85546875" style="1" customWidth="1"/>
    <col min="5" max="5" width="68" customWidth="1"/>
    <col min="6" max="6" width="6.5703125" style="9" customWidth="1"/>
    <col min="7" max="7" width="9.5703125" style="10" customWidth="1"/>
    <col min="8" max="8" width="10.85546875" style="11" customWidth="1"/>
    <col min="9" max="9" width="11" style="11" customWidth="1"/>
    <col min="10" max="10" width="13.42578125" style="11" customWidth="1"/>
    <col min="11" max="11" width="10.85546875" customWidth="1"/>
  </cols>
  <sheetData>
    <row r="1" spans="1:15" ht="23.25" customHeight="1" x14ac:dyDescent="0.25">
      <c r="E1" s="155" t="s">
        <v>37</v>
      </c>
      <c r="F1" s="155"/>
      <c r="G1" s="155"/>
      <c r="H1" s="155"/>
      <c r="I1" s="155"/>
    </row>
    <row r="2" spans="1:15" x14ac:dyDescent="0.25">
      <c r="E2" s="156" t="s">
        <v>38</v>
      </c>
      <c r="F2" s="156"/>
      <c r="G2" s="156"/>
      <c r="H2" s="156"/>
      <c r="I2" s="156"/>
    </row>
    <row r="3" spans="1:15" x14ac:dyDescent="0.25">
      <c r="E3" s="156" t="s">
        <v>39</v>
      </c>
      <c r="F3" s="156"/>
      <c r="G3" s="156"/>
      <c r="H3" s="156"/>
      <c r="I3" s="156"/>
    </row>
    <row r="4" spans="1:15" ht="6.75" customHeight="1" thickBot="1" x14ac:dyDescent="0.3">
      <c r="A4" s="170"/>
      <c r="B4" s="170"/>
      <c r="C4" s="170"/>
      <c r="D4" s="170"/>
      <c r="E4" s="170"/>
      <c r="F4" s="170"/>
      <c r="G4" s="170"/>
      <c r="H4" s="170"/>
      <c r="I4" s="170"/>
      <c r="J4" s="170"/>
    </row>
    <row r="5" spans="1:15" ht="14.25" customHeight="1" thickBot="1" x14ac:dyDescent="0.3">
      <c r="A5" s="157" t="s">
        <v>9</v>
      </c>
      <c r="B5" s="158"/>
      <c r="C5" s="158"/>
      <c r="D5" s="158"/>
      <c r="E5" s="158"/>
      <c r="F5" s="158"/>
      <c r="G5" s="158"/>
      <c r="H5" s="158"/>
      <c r="I5" s="158"/>
      <c r="J5" s="159"/>
    </row>
    <row r="6" spans="1:15" ht="5.0999999999999996" customHeight="1" thickBot="1" x14ac:dyDescent="0.3">
      <c r="A6" s="1"/>
      <c r="E6" s="1"/>
      <c r="F6" s="1"/>
      <c r="G6" s="1"/>
      <c r="H6" s="1"/>
      <c r="I6" s="1"/>
      <c r="J6" s="1"/>
    </row>
    <row r="7" spans="1:15" x14ac:dyDescent="0.25">
      <c r="A7" s="123" t="s">
        <v>40</v>
      </c>
      <c r="B7" s="124"/>
      <c r="C7" s="124"/>
      <c r="D7" s="124"/>
      <c r="E7" s="124"/>
      <c r="F7" s="124"/>
      <c r="G7" s="124"/>
      <c r="H7" s="124"/>
      <c r="I7" s="124"/>
      <c r="J7" s="125"/>
    </row>
    <row r="8" spans="1:15" x14ac:dyDescent="0.25">
      <c r="A8" s="126" t="s">
        <v>136</v>
      </c>
      <c r="B8" s="127"/>
      <c r="C8" s="127"/>
      <c r="D8" s="127"/>
      <c r="E8" s="127"/>
      <c r="F8" s="127"/>
      <c r="G8" s="128"/>
      <c r="H8" s="120" t="s">
        <v>125</v>
      </c>
      <c r="I8" s="121"/>
      <c r="J8" s="122"/>
    </row>
    <row r="9" spans="1:15" ht="13.5" customHeight="1" x14ac:dyDescent="0.25">
      <c r="A9" s="126" t="s">
        <v>137</v>
      </c>
      <c r="B9" s="127"/>
      <c r="C9" s="127"/>
      <c r="D9" s="127"/>
      <c r="E9" s="127"/>
      <c r="F9" s="128"/>
      <c r="G9" s="165" t="s">
        <v>14</v>
      </c>
      <c r="H9" s="166"/>
      <c r="I9" s="166"/>
      <c r="J9" s="167"/>
    </row>
    <row r="10" spans="1:15" x14ac:dyDescent="0.25">
      <c r="A10" s="129" t="s">
        <v>124</v>
      </c>
      <c r="B10" s="130"/>
      <c r="C10" s="130"/>
      <c r="D10" s="130"/>
      <c r="E10" s="130"/>
      <c r="F10" s="131"/>
      <c r="G10" s="148" t="s">
        <v>10</v>
      </c>
      <c r="H10" s="7" t="s">
        <v>11</v>
      </c>
      <c r="I10" s="147" t="s">
        <v>19</v>
      </c>
      <c r="J10" s="8" t="s">
        <v>12</v>
      </c>
    </row>
    <row r="11" spans="1:15" ht="15.75" thickBot="1" x14ac:dyDescent="0.3">
      <c r="A11" s="115" t="s">
        <v>117</v>
      </c>
      <c r="B11" s="116"/>
      <c r="C11" s="116"/>
      <c r="D11" s="116"/>
      <c r="E11" s="116"/>
      <c r="F11" s="117"/>
      <c r="G11" s="168" t="s">
        <v>80</v>
      </c>
      <c r="H11" s="169"/>
      <c r="I11" s="12" t="s">
        <v>13</v>
      </c>
      <c r="J11" s="18">
        <v>0.29509999999999997</v>
      </c>
      <c r="K11">
        <v>1.2950999999999999</v>
      </c>
    </row>
    <row r="12" spans="1:15" ht="5.0999999999999996" customHeight="1" thickBot="1" x14ac:dyDescent="0.3">
      <c r="A12" s="2"/>
      <c r="B12" s="2"/>
      <c r="C12" s="2"/>
      <c r="D12" s="2"/>
      <c r="E12" s="2"/>
      <c r="F12" s="2"/>
      <c r="G12" s="2"/>
      <c r="H12" s="2"/>
      <c r="I12" s="2"/>
      <c r="J12" s="2"/>
    </row>
    <row r="13" spans="1:15" ht="34.5" thickBot="1" x14ac:dyDescent="0.3">
      <c r="A13" s="3" t="s">
        <v>0</v>
      </c>
      <c r="B13" s="171" t="s">
        <v>1</v>
      </c>
      <c r="C13" s="172"/>
      <c r="D13" s="4" t="s">
        <v>2</v>
      </c>
      <c r="E13" s="4" t="s">
        <v>3</v>
      </c>
      <c r="F13" s="4" t="s">
        <v>4</v>
      </c>
      <c r="G13" s="4" t="s">
        <v>5</v>
      </c>
      <c r="H13" s="5" t="s">
        <v>6</v>
      </c>
      <c r="I13" s="5" t="s">
        <v>7</v>
      </c>
      <c r="J13" s="6" t="s">
        <v>8</v>
      </c>
      <c r="O13" t="s">
        <v>35</v>
      </c>
    </row>
    <row r="14" spans="1:15" ht="12" customHeight="1" x14ac:dyDescent="0.25">
      <c r="A14" s="23">
        <v>1</v>
      </c>
      <c r="B14" s="225"/>
      <c r="C14" s="226"/>
      <c r="D14" s="20"/>
      <c r="E14" s="20" t="s">
        <v>41</v>
      </c>
      <c r="F14" s="19"/>
      <c r="G14" s="21"/>
      <c r="H14" s="22"/>
      <c r="I14" s="110" t="s">
        <v>48</v>
      </c>
      <c r="J14" s="111">
        <f>SUM(J15:J22)</f>
        <v>28106.670000000002</v>
      </c>
    </row>
    <row r="15" spans="1:15" ht="45" x14ac:dyDescent="0.25">
      <c r="A15" s="13" t="s">
        <v>21</v>
      </c>
      <c r="B15" s="223" t="s">
        <v>17</v>
      </c>
      <c r="C15" s="224"/>
      <c r="D15" s="13" t="s">
        <v>56</v>
      </c>
      <c r="E15" s="103" t="s">
        <v>65</v>
      </c>
      <c r="F15" s="13" t="s">
        <v>57</v>
      </c>
      <c r="G15" s="27">
        <v>2</v>
      </c>
      <c r="H15" s="17">
        <v>858.6</v>
      </c>
      <c r="I15" s="17">
        <f>H15*1.2951</f>
        <v>1111.9728599999999</v>
      </c>
      <c r="J15" s="98">
        <f>TRUNC(I15*G15,2)</f>
        <v>2223.94</v>
      </c>
    </row>
    <row r="16" spans="1:15" ht="22.5" x14ac:dyDescent="0.25">
      <c r="A16" s="13" t="s">
        <v>54</v>
      </c>
      <c r="B16" s="223" t="s">
        <v>17</v>
      </c>
      <c r="C16" s="224"/>
      <c r="D16" s="13" t="s">
        <v>55</v>
      </c>
      <c r="E16" s="103" t="s">
        <v>53</v>
      </c>
      <c r="F16" s="13" t="s">
        <v>44</v>
      </c>
      <c r="G16" s="27">
        <v>1</v>
      </c>
      <c r="H16" s="17">
        <v>1702.32</v>
      </c>
      <c r="I16" s="17">
        <f t="shared" ref="I16:I22" si="0">H16*1.2951</f>
        <v>2204.6746319999997</v>
      </c>
      <c r="J16" s="98">
        <f t="shared" ref="J16:J22" si="1">TRUNC(I16*G16,2)</f>
        <v>2204.67</v>
      </c>
    </row>
    <row r="17" spans="1:11" ht="27.75" customHeight="1" x14ac:dyDescent="0.25">
      <c r="A17" s="13" t="s">
        <v>66</v>
      </c>
      <c r="B17" s="223" t="s">
        <v>17</v>
      </c>
      <c r="C17" s="224"/>
      <c r="D17" s="13" t="s">
        <v>67</v>
      </c>
      <c r="E17" s="103" t="s">
        <v>68</v>
      </c>
      <c r="F17" s="13" t="s">
        <v>18</v>
      </c>
      <c r="G17" s="27">
        <f>3.5*5.5</f>
        <v>19.25</v>
      </c>
      <c r="H17" s="17">
        <v>30.58</v>
      </c>
      <c r="I17" s="17">
        <f t="shared" si="0"/>
        <v>39.604157999999998</v>
      </c>
      <c r="J17" s="98">
        <f t="shared" si="1"/>
        <v>762.38</v>
      </c>
    </row>
    <row r="18" spans="1:11" ht="45" x14ac:dyDescent="0.25">
      <c r="A18" s="13" t="s">
        <v>69</v>
      </c>
      <c r="B18" s="223" t="s">
        <v>17</v>
      </c>
      <c r="C18" s="224"/>
      <c r="D18" s="13" t="s">
        <v>70</v>
      </c>
      <c r="E18" s="103" t="s">
        <v>71</v>
      </c>
      <c r="F18" s="13" t="s">
        <v>44</v>
      </c>
      <c r="G18" s="27">
        <v>1</v>
      </c>
      <c r="H18" s="17">
        <v>1206.72</v>
      </c>
      <c r="I18" s="17">
        <f t="shared" si="0"/>
        <v>1562.8230719999999</v>
      </c>
      <c r="J18" s="98">
        <f t="shared" si="1"/>
        <v>1562.82</v>
      </c>
    </row>
    <row r="19" spans="1:11" ht="22.5" x14ac:dyDescent="0.25">
      <c r="A19" s="13" t="s">
        <v>76</v>
      </c>
      <c r="B19" s="223" t="s">
        <v>74</v>
      </c>
      <c r="C19" s="224"/>
      <c r="D19" s="13">
        <v>99059</v>
      </c>
      <c r="E19" s="103" t="s">
        <v>77</v>
      </c>
      <c r="F19" s="13" t="s">
        <v>47</v>
      </c>
      <c r="G19" s="27">
        <f>7.8*5.5</f>
        <v>42.9</v>
      </c>
      <c r="H19" s="17">
        <v>77.739999999999995</v>
      </c>
      <c r="I19" s="17">
        <f t="shared" si="0"/>
        <v>100.68107399999998</v>
      </c>
      <c r="J19" s="98">
        <f t="shared" si="1"/>
        <v>4319.21</v>
      </c>
      <c r="K19" t="s">
        <v>113</v>
      </c>
    </row>
    <row r="20" spans="1:11" x14ac:dyDescent="0.25">
      <c r="A20" s="13" t="s">
        <v>73</v>
      </c>
      <c r="B20" s="228" t="s">
        <v>74</v>
      </c>
      <c r="C20" s="229"/>
      <c r="D20" s="118">
        <v>93421</v>
      </c>
      <c r="E20" s="141" t="s">
        <v>72</v>
      </c>
      <c r="F20" s="118" t="s">
        <v>75</v>
      </c>
      <c r="G20" s="119">
        <v>40</v>
      </c>
      <c r="H20" s="142">
        <v>91.89</v>
      </c>
      <c r="I20" s="17">
        <f t="shared" si="0"/>
        <v>119.006739</v>
      </c>
      <c r="J20" s="98">
        <f t="shared" si="1"/>
        <v>4760.26</v>
      </c>
    </row>
    <row r="21" spans="1:11" ht="36" customHeight="1" x14ac:dyDescent="0.25">
      <c r="A21" s="13" t="s">
        <v>96</v>
      </c>
      <c r="B21" s="223" t="s">
        <v>74</v>
      </c>
      <c r="C21" s="224"/>
      <c r="D21" s="118">
        <v>5875</v>
      </c>
      <c r="E21" s="141" t="s">
        <v>95</v>
      </c>
      <c r="F21" s="118" t="s">
        <v>97</v>
      </c>
      <c r="G21" s="119">
        <v>40</v>
      </c>
      <c r="H21" s="142">
        <v>159.91999999999999</v>
      </c>
      <c r="I21" s="17">
        <f t="shared" si="0"/>
        <v>207.11239199999997</v>
      </c>
      <c r="J21" s="98">
        <f t="shared" si="1"/>
        <v>8284.49</v>
      </c>
      <c r="K21" t="s">
        <v>112</v>
      </c>
    </row>
    <row r="22" spans="1:11" x14ac:dyDescent="0.25">
      <c r="A22" s="13" t="s">
        <v>126</v>
      </c>
      <c r="B22" s="223" t="s">
        <v>127</v>
      </c>
      <c r="C22" s="224"/>
      <c r="D22" s="118">
        <v>1</v>
      </c>
      <c r="E22" s="141" t="s">
        <v>128</v>
      </c>
      <c r="F22" s="118" t="s">
        <v>129</v>
      </c>
      <c r="G22" s="119">
        <f>22*2*2</f>
        <v>88</v>
      </c>
      <c r="H22" s="142">
        <v>35</v>
      </c>
      <c r="I22" s="17">
        <f t="shared" si="0"/>
        <v>45.328499999999998</v>
      </c>
      <c r="J22" s="98">
        <f t="shared" si="1"/>
        <v>3988.9</v>
      </c>
    </row>
    <row r="23" spans="1:11" x14ac:dyDescent="0.25">
      <c r="A23" s="23">
        <v>2</v>
      </c>
      <c r="B23" s="164"/>
      <c r="C23" s="164"/>
      <c r="D23" s="100"/>
      <c r="E23" s="100" t="s">
        <v>92</v>
      </c>
      <c r="F23" s="146"/>
      <c r="G23" s="101"/>
      <c r="H23" s="102"/>
      <c r="I23" s="110" t="s">
        <v>48</v>
      </c>
      <c r="J23" s="111">
        <f>SUM(J24:J28)</f>
        <v>14754.2513468364</v>
      </c>
    </row>
    <row r="24" spans="1:11" x14ac:dyDescent="0.25">
      <c r="A24" s="13" t="s">
        <v>42</v>
      </c>
      <c r="B24" s="223" t="s">
        <v>17</v>
      </c>
      <c r="C24" s="224"/>
      <c r="D24" s="13" t="s">
        <v>87</v>
      </c>
      <c r="E24" s="103" t="s">
        <v>88</v>
      </c>
      <c r="F24" s="13" t="s">
        <v>20</v>
      </c>
      <c r="G24" s="27">
        <f>(1.3*0.5*(2.12+2.12+2.5))*2</f>
        <v>8.7620000000000005</v>
      </c>
      <c r="H24" s="17">
        <v>89.59</v>
      </c>
      <c r="I24" s="17">
        <f t="shared" ref="I24:I28" si="2">H24*$K$11</f>
        <v>116.028009</v>
      </c>
      <c r="J24" s="114">
        <f t="shared" ref="J24:J28" si="3">I24*G24</f>
        <v>1016.6374148580001</v>
      </c>
      <c r="K24" t="s">
        <v>86</v>
      </c>
    </row>
    <row r="25" spans="1:11" ht="22.5" x14ac:dyDescent="0.25">
      <c r="A25" s="13" t="s">
        <v>43</v>
      </c>
      <c r="B25" s="223" t="s">
        <v>17</v>
      </c>
      <c r="C25" s="224"/>
      <c r="D25" s="13" t="s">
        <v>90</v>
      </c>
      <c r="E25" s="103" t="s">
        <v>89</v>
      </c>
      <c r="F25" s="13" t="s">
        <v>20</v>
      </c>
      <c r="G25" s="27">
        <f>(3.14*0.15^2)*3*8</f>
        <v>1.6956000000000002</v>
      </c>
      <c r="H25" s="17">
        <v>276.67</v>
      </c>
      <c r="I25" s="17">
        <f t="shared" si="2"/>
        <v>358.31531699999999</v>
      </c>
      <c r="J25" s="114">
        <f t="shared" si="3"/>
        <v>607.55945150520006</v>
      </c>
      <c r="K25" t="s">
        <v>91</v>
      </c>
    </row>
    <row r="26" spans="1:11" ht="22.5" x14ac:dyDescent="0.25">
      <c r="A26" s="13" t="s">
        <v>83</v>
      </c>
      <c r="B26" s="223" t="s">
        <v>17</v>
      </c>
      <c r="C26" s="224"/>
      <c r="D26" s="13" t="s">
        <v>94</v>
      </c>
      <c r="E26" s="103" t="s">
        <v>93</v>
      </c>
      <c r="F26" s="13" t="s">
        <v>18</v>
      </c>
      <c r="G26" s="27">
        <f>(1.3*(2.12+2.12+2.5))*2</f>
        <v>17.524000000000001</v>
      </c>
      <c r="H26" s="17">
        <v>6.1</v>
      </c>
      <c r="I26" s="17">
        <f t="shared" si="2"/>
        <v>7.9001099999999989</v>
      </c>
      <c r="J26" s="114">
        <f t="shared" si="3"/>
        <v>138.44152763999998</v>
      </c>
      <c r="K26" t="s">
        <v>115</v>
      </c>
    </row>
    <row r="27" spans="1:11" x14ac:dyDescent="0.25">
      <c r="A27" s="13" t="s">
        <v>84</v>
      </c>
      <c r="B27" s="223" t="s">
        <v>17</v>
      </c>
      <c r="C27" s="224"/>
      <c r="D27" s="13" t="s">
        <v>59</v>
      </c>
      <c r="E27" s="103" t="s">
        <v>60</v>
      </c>
      <c r="F27" s="13" t="s">
        <v>61</v>
      </c>
      <c r="G27" s="27">
        <f>(((5*3.1*8)+(14*3.1*2)+(16*2.2*2))*0.617)+((25*0.84*8)*0.154)</f>
        <v>199.37240000000003</v>
      </c>
      <c r="H27" s="17">
        <v>10.35</v>
      </c>
      <c r="I27" s="17">
        <f t="shared" si="2"/>
        <v>13.404284999999998</v>
      </c>
      <c r="J27" s="114">
        <f t="shared" si="3"/>
        <v>2672.4444707339999</v>
      </c>
      <c r="K27" t="s">
        <v>98</v>
      </c>
    </row>
    <row r="28" spans="1:11" ht="22.5" x14ac:dyDescent="0.25">
      <c r="A28" s="13" t="s">
        <v>85</v>
      </c>
      <c r="B28" s="223" t="s">
        <v>17</v>
      </c>
      <c r="C28" s="224"/>
      <c r="D28" s="13" t="s">
        <v>63</v>
      </c>
      <c r="E28" s="103" t="s">
        <v>62</v>
      </c>
      <c r="F28" s="13" t="s">
        <v>20</v>
      </c>
      <c r="G28" s="27">
        <f>(3.14*0.15^2*3*8)+(0.5*1.3*(2.12+2.5+2.12)*2)</f>
        <v>10.457600000000001</v>
      </c>
      <c r="H28" s="17">
        <v>761.92</v>
      </c>
      <c r="I28" s="17">
        <f t="shared" si="2"/>
        <v>986.76259199999993</v>
      </c>
      <c r="J28" s="114">
        <f t="shared" si="3"/>
        <v>10319.1684820992</v>
      </c>
      <c r="K28" t="s">
        <v>98</v>
      </c>
    </row>
    <row r="29" spans="1:11" x14ac:dyDescent="0.25">
      <c r="A29" s="146">
        <v>3</v>
      </c>
      <c r="B29" s="175"/>
      <c r="C29" s="176"/>
      <c r="D29" s="100"/>
      <c r="E29" s="100" t="s">
        <v>58</v>
      </c>
      <c r="F29" s="100"/>
      <c r="G29" s="100"/>
      <c r="H29" s="100"/>
      <c r="I29" s="100" t="s">
        <v>48</v>
      </c>
      <c r="J29" s="106">
        <f>SUM(J30:J36)</f>
        <v>68675.963479523998</v>
      </c>
    </row>
    <row r="30" spans="1:11" ht="22.5" x14ac:dyDescent="0.25">
      <c r="A30" s="13" t="s">
        <v>45</v>
      </c>
      <c r="B30" s="223" t="s">
        <v>17</v>
      </c>
      <c r="C30" s="224"/>
      <c r="D30" s="13" t="s">
        <v>94</v>
      </c>
      <c r="E30" s="103" t="s">
        <v>93</v>
      </c>
      <c r="F30" s="13" t="s">
        <v>18</v>
      </c>
      <c r="G30" s="27">
        <f>31.8</f>
        <v>31.8</v>
      </c>
      <c r="H30" s="17">
        <v>6.1</v>
      </c>
      <c r="I30" s="17">
        <f t="shared" ref="I30:I32" si="4">H30*1.2951</f>
        <v>7.9001099999999989</v>
      </c>
      <c r="J30" s="114">
        <f t="shared" ref="J30:J32" si="5">I30*G30</f>
        <v>251.22349799999998</v>
      </c>
      <c r="K30" t="s">
        <v>114</v>
      </c>
    </row>
    <row r="31" spans="1:11" ht="22.5" x14ac:dyDescent="0.25">
      <c r="A31" s="13" t="s">
        <v>46</v>
      </c>
      <c r="B31" s="223" t="s">
        <v>17</v>
      </c>
      <c r="C31" s="224"/>
      <c r="D31" s="13" t="s">
        <v>63</v>
      </c>
      <c r="E31" s="103" t="s">
        <v>62</v>
      </c>
      <c r="F31" s="13" t="s">
        <v>20</v>
      </c>
      <c r="G31" s="27">
        <f>(31.8*0.1)+((2.12*3.5*0.2)*4)+((2.5*0.6*0.2)*2)</f>
        <v>9.7159999999999993</v>
      </c>
      <c r="H31" s="17">
        <v>761.92</v>
      </c>
      <c r="I31" s="17">
        <f t="shared" si="4"/>
        <v>986.76259199999993</v>
      </c>
      <c r="J31" s="114">
        <f t="shared" si="5"/>
        <v>9587.385343871998</v>
      </c>
      <c r="K31" t="s">
        <v>99</v>
      </c>
    </row>
    <row r="32" spans="1:11" x14ac:dyDescent="0.25">
      <c r="A32" s="13" t="s">
        <v>118</v>
      </c>
      <c r="B32" s="223" t="s">
        <v>17</v>
      </c>
      <c r="C32" s="224"/>
      <c r="D32" s="13" t="s">
        <v>59</v>
      </c>
      <c r="E32" s="103" t="s">
        <v>60</v>
      </c>
      <c r="F32" s="13" t="s">
        <v>61</v>
      </c>
      <c r="G32" s="27">
        <f>((((14*3.8*2)*4)+((17*0.6*2)*2)+((24*2*2)*4)+((4*2.5*2)*2))*0.395)+(((115.2+35.2)*0.617)+(224*0.154))+(((2.3*4)*4)*0.617)+((16*(0.1+0.1+0.25+0.25+0.1)*4)*0.154)+(((2.8*4)*2)*0.617)+(((18*(0.1+0.1+0.25+0.25+0.1))*2)*0.154)</f>
        <v>527.84720000000004</v>
      </c>
      <c r="H32" s="17">
        <v>10.35</v>
      </c>
      <c r="I32" s="17">
        <f t="shared" si="4"/>
        <v>13.404284999999998</v>
      </c>
      <c r="J32" s="114">
        <f t="shared" si="5"/>
        <v>7075.4143052519994</v>
      </c>
      <c r="K32" t="s">
        <v>101</v>
      </c>
    </row>
    <row r="33" spans="1:11" ht="33.75" x14ac:dyDescent="0.25">
      <c r="A33" s="13" t="s">
        <v>119</v>
      </c>
      <c r="B33" s="223" t="s">
        <v>17</v>
      </c>
      <c r="C33" s="224"/>
      <c r="D33" s="13" t="s">
        <v>82</v>
      </c>
      <c r="E33" s="103" t="s">
        <v>81</v>
      </c>
      <c r="F33" s="13" t="s">
        <v>18</v>
      </c>
      <c r="G33" s="27">
        <f>((2.1*3.5*2)*4)+((2.5*0.6*2)*2)</f>
        <v>64.800000000000011</v>
      </c>
      <c r="H33" s="17">
        <v>146.63</v>
      </c>
      <c r="I33" s="17">
        <f>H33*1.2951</f>
        <v>189.90051299999999</v>
      </c>
      <c r="J33" s="114">
        <f>I33*G33</f>
        <v>12305.553242400001</v>
      </c>
      <c r="K33" t="s">
        <v>100</v>
      </c>
    </row>
    <row r="34" spans="1:11" ht="33.75" x14ac:dyDescent="0.25">
      <c r="A34" s="13" t="s">
        <v>120</v>
      </c>
      <c r="B34" s="223" t="s">
        <v>74</v>
      </c>
      <c r="C34" s="224"/>
      <c r="D34" s="13">
        <v>104494</v>
      </c>
      <c r="E34" s="103" t="s">
        <v>138</v>
      </c>
      <c r="F34" s="13" t="s">
        <v>47</v>
      </c>
      <c r="G34" s="27">
        <v>4</v>
      </c>
      <c r="H34" s="17">
        <v>6835.8</v>
      </c>
      <c r="I34" s="17">
        <f>H34*1.2951</f>
        <v>8853.0445799999998</v>
      </c>
      <c r="J34" s="114">
        <f>I34*G34</f>
        <v>35412.178319999999</v>
      </c>
    </row>
    <row r="35" spans="1:11" ht="22.5" x14ac:dyDescent="0.25">
      <c r="A35" s="13" t="s">
        <v>121</v>
      </c>
      <c r="B35" s="223" t="s">
        <v>17</v>
      </c>
      <c r="C35" s="224"/>
      <c r="D35" s="13" t="s">
        <v>103</v>
      </c>
      <c r="E35" s="103" t="s">
        <v>102</v>
      </c>
      <c r="F35" s="13" t="s">
        <v>104</v>
      </c>
      <c r="G35" s="27">
        <f>(((10*1*0.15)*2500)/1000)*4</f>
        <v>15</v>
      </c>
      <c r="H35" s="17">
        <v>36.46</v>
      </c>
      <c r="I35" s="17">
        <f>H35*1.2951</f>
        <v>47.219346000000002</v>
      </c>
      <c r="J35" s="114">
        <f t="shared" ref="J35:J36" si="6">I35*G35</f>
        <v>708.29019000000005</v>
      </c>
    </row>
    <row r="36" spans="1:11" ht="22.5" x14ac:dyDescent="0.25">
      <c r="A36" s="13" t="s">
        <v>122</v>
      </c>
      <c r="B36" s="223" t="s">
        <v>74</v>
      </c>
      <c r="C36" s="224"/>
      <c r="D36" s="13">
        <v>106685</v>
      </c>
      <c r="E36" s="103" t="s">
        <v>107</v>
      </c>
      <c r="F36" s="13" t="s">
        <v>108</v>
      </c>
      <c r="G36" s="27">
        <f>15*212</f>
        <v>3180</v>
      </c>
      <c r="H36" s="17">
        <v>0.81</v>
      </c>
      <c r="I36" s="17">
        <f>H36*1.2951</f>
        <v>1.049031</v>
      </c>
      <c r="J36" s="114">
        <f t="shared" si="6"/>
        <v>3335.91858</v>
      </c>
    </row>
    <row r="37" spans="1:11" x14ac:dyDescent="0.25">
      <c r="A37" s="23">
        <v>4</v>
      </c>
      <c r="B37" s="164"/>
      <c r="C37" s="164"/>
      <c r="D37" s="146"/>
      <c r="E37" s="100" t="s">
        <v>64</v>
      </c>
      <c r="F37" s="146"/>
      <c r="G37" s="101"/>
      <c r="H37" s="102"/>
      <c r="I37" s="105" t="s">
        <v>48</v>
      </c>
      <c r="J37" s="106">
        <f>SUM(J38:J39)</f>
        <v>2886.55</v>
      </c>
    </row>
    <row r="38" spans="1:11" ht="34.5" x14ac:dyDescent="0.25">
      <c r="A38" s="13" t="s">
        <v>78</v>
      </c>
      <c r="B38" s="223" t="s">
        <v>17</v>
      </c>
      <c r="C38" s="224"/>
      <c r="D38" s="13" t="s">
        <v>106</v>
      </c>
      <c r="E38" s="26" t="s">
        <v>105</v>
      </c>
      <c r="F38" s="13" t="s">
        <v>20</v>
      </c>
      <c r="G38" s="27">
        <f>((3*7.8*3.6)*2)+(4*2.5*0.6)</f>
        <v>174.48</v>
      </c>
      <c r="H38" s="17">
        <v>9.0500000000000007</v>
      </c>
      <c r="I38" s="17">
        <f>H38*1.2951</f>
        <v>11.720655000000001</v>
      </c>
      <c r="J38" s="98">
        <f t="shared" ref="J38:J39" si="7">TRUNC(I38*G38,2)</f>
        <v>2045.01</v>
      </c>
      <c r="K38" t="s">
        <v>116</v>
      </c>
    </row>
    <row r="39" spans="1:11" ht="22.5" x14ac:dyDescent="0.25">
      <c r="A39" s="13" t="s">
        <v>79</v>
      </c>
      <c r="B39" s="223" t="s">
        <v>17</v>
      </c>
      <c r="C39" s="224"/>
      <c r="D39" s="13" t="s">
        <v>111</v>
      </c>
      <c r="E39" s="104" t="s">
        <v>110</v>
      </c>
      <c r="F39" s="13" t="s">
        <v>18</v>
      </c>
      <c r="G39" s="27">
        <f>(((3*7.8)*2)+(4*2.5))*4</f>
        <v>227.2</v>
      </c>
      <c r="H39" s="17">
        <v>2.86</v>
      </c>
      <c r="I39" s="17">
        <f t="shared" ref="I39" si="8">H39*1.2951</f>
        <v>3.7039859999999996</v>
      </c>
      <c r="J39" s="98">
        <f t="shared" si="7"/>
        <v>841.54</v>
      </c>
      <c r="K39" t="s">
        <v>109</v>
      </c>
    </row>
    <row r="40" spans="1:11" ht="5.25" customHeight="1" thickBot="1" x14ac:dyDescent="0.3">
      <c r="A40" s="151"/>
      <c r="B40" s="151"/>
      <c r="C40" s="151"/>
      <c r="D40" s="30"/>
      <c r="E40" s="30"/>
      <c r="F40" s="151"/>
      <c r="G40" s="31"/>
      <c r="H40" s="32"/>
      <c r="I40" s="33"/>
      <c r="J40" s="33"/>
    </row>
    <row r="41" spans="1:11" ht="12" customHeight="1" thickBot="1" x14ac:dyDescent="0.3">
      <c r="A41" s="157" t="s">
        <v>48</v>
      </c>
      <c r="B41" s="158"/>
      <c r="C41" s="158"/>
      <c r="D41" s="158"/>
      <c r="E41" s="158"/>
      <c r="F41" s="158"/>
      <c r="G41" s="158"/>
      <c r="H41" s="158"/>
      <c r="I41" s="159"/>
      <c r="J41" s="25">
        <f>J14+J37+J29+J23</f>
        <v>114423.4348263604</v>
      </c>
    </row>
    <row r="42" spans="1:11" ht="12" customHeight="1" x14ac:dyDescent="0.25">
      <c r="A42" s="151"/>
      <c r="B42" s="151"/>
      <c r="C42" s="151"/>
      <c r="D42" s="30"/>
      <c r="E42" s="30"/>
      <c r="F42" s="151"/>
      <c r="G42" s="31"/>
      <c r="H42" s="32"/>
      <c r="I42" s="33"/>
      <c r="J42" s="33"/>
    </row>
    <row r="43" spans="1:11" ht="12" customHeight="1" x14ac:dyDescent="0.25">
      <c r="A43" s="151"/>
      <c r="B43" s="151"/>
      <c r="C43" s="151"/>
      <c r="D43" s="30"/>
      <c r="E43" s="30"/>
      <c r="F43" s="151"/>
      <c r="G43" s="31"/>
      <c r="H43" s="32"/>
      <c r="I43" s="33"/>
      <c r="J43" s="33"/>
    </row>
    <row r="44" spans="1:11" ht="12" customHeight="1" x14ac:dyDescent="0.25">
      <c r="A44" s="151"/>
      <c r="B44" s="151"/>
      <c r="C44" s="151"/>
      <c r="D44" s="30"/>
      <c r="E44" s="30"/>
      <c r="F44" s="151"/>
      <c r="G44" s="31"/>
      <c r="H44" s="32"/>
      <c r="I44" s="33"/>
      <c r="J44" s="33"/>
    </row>
    <row r="45" spans="1:11" ht="12" customHeight="1" x14ac:dyDescent="0.25">
      <c r="A45" s="151"/>
      <c r="B45" s="151"/>
      <c r="C45" s="151"/>
      <c r="D45" s="30"/>
      <c r="E45" s="30"/>
      <c r="F45" s="151"/>
      <c r="G45" s="31"/>
      <c r="H45" s="32"/>
      <c r="I45" s="33"/>
      <c r="J45" s="33"/>
    </row>
    <row r="46" spans="1:11" ht="12" customHeight="1" x14ac:dyDescent="0.25">
      <c r="A46" s="151"/>
      <c r="B46" s="151"/>
      <c r="C46" s="151"/>
      <c r="D46" s="30"/>
      <c r="E46" s="1"/>
    </row>
    <row r="47" spans="1:11" ht="12" customHeight="1" x14ac:dyDescent="0.25">
      <c r="A47" s="151"/>
      <c r="B47" s="151"/>
      <c r="C47" s="151"/>
      <c r="D47" s="30"/>
      <c r="E47" s="1"/>
    </row>
    <row r="48" spans="1:11" ht="12" customHeight="1" x14ac:dyDescent="0.25">
      <c r="A48" s="151"/>
      <c r="B48" s="151"/>
      <c r="C48" s="151"/>
      <c r="D48" s="30"/>
      <c r="E48" s="28" t="s">
        <v>16</v>
      </c>
      <c r="G48" s="108" t="s">
        <v>52</v>
      </c>
      <c r="H48" s="108"/>
      <c r="I48" s="108"/>
      <c r="J48" s="216"/>
    </row>
    <row r="49" spans="1:10" ht="12" customHeight="1" x14ac:dyDescent="0.25">
      <c r="A49" s="151"/>
      <c r="B49" s="151"/>
      <c r="C49" s="151"/>
      <c r="D49" s="30"/>
      <c r="E49" s="151"/>
      <c r="G49" s="145"/>
      <c r="H49" s="145"/>
      <c r="I49" s="145"/>
      <c r="J49" s="145"/>
    </row>
    <row r="50" spans="1:10" ht="12" customHeight="1" x14ac:dyDescent="0.25">
      <c r="A50" s="151"/>
      <c r="B50" s="151"/>
      <c r="C50" s="151"/>
      <c r="D50" s="30"/>
      <c r="E50" s="151"/>
      <c r="G50" s="145"/>
      <c r="H50" s="145"/>
      <c r="I50" s="145"/>
      <c r="J50" s="145"/>
    </row>
    <row r="51" spans="1:10" ht="12" customHeight="1" x14ac:dyDescent="0.25">
      <c r="A51" s="151"/>
      <c r="B51" s="151"/>
      <c r="C51" s="151"/>
      <c r="D51" s="30"/>
      <c r="E51" s="151"/>
      <c r="G51" s="153"/>
      <c r="H51" s="153"/>
      <c r="I51" s="153"/>
      <c r="J51" s="153"/>
    </row>
    <row r="52" spans="1:10" ht="12" customHeight="1" x14ac:dyDescent="0.25">
      <c r="A52" s="151"/>
      <c r="B52" s="151"/>
      <c r="C52" s="151"/>
      <c r="D52" s="30"/>
      <c r="E52" s="30"/>
      <c r="F52" s="151"/>
      <c r="G52" s="31"/>
      <c r="H52" s="32"/>
      <c r="I52" s="33"/>
      <c r="J52" s="33"/>
    </row>
    <row r="53" spans="1:10" ht="12" customHeight="1" x14ac:dyDescent="0.25">
      <c r="A53" s="151"/>
      <c r="B53" s="151"/>
      <c r="C53" s="151"/>
      <c r="D53" s="30"/>
      <c r="E53" s="30"/>
      <c r="F53" s="151"/>
      <c r="G53" s="31"/>
      <c r="H53" s="32"/>
      <c r="I53" s="33"/>
      <c r="J53" s="33"/>
    </row>
    <row r="54" spans="1:10" ht="12" customHeight="1" x14ac:dyDescent="0.25">
      <c r="A54" s="151"/>
      <c r="B54" s="151"/>
      <c r="C54" s="151"/>
      <c r="D54" s="30"/>
      <c r="E54" s="30"/>
      <c r="F54" s="151"/>
      <c r="G54" s="31"/>
      <c r="H54" s="32"/>
      <c r="I54" s="33"/>
      <c r="J54" s="33"/>
    </row>
    <row r="55" spans="1:10" ht="12" customHeight="1" x14ac:dyDescent="0.25">
      <c r="A55" s="151"/>
      <c r="B55" s="151"/>
      <c r="C55" s="151"/>
      <c r="D55" s="30"/>
      <c r="E55" s="30"/>
      <c r="F55" s="151"/>
      <c r="G55" s="31"/>
      <c r="H55" s="32"/>
      <c r="I55" s="33"/>
      <c r="J55" s="33"/>
    </row>
    <row r="56" spans="1:10" ht="25.5" customHeight="1" x14ac:dyDescent="0.25">
      <c r="A56" s="89"/>
      <c r="B56" s="88"/>
      <c r="C56" s="88"/>
      <c r="D56" s="88"/>
      <c r="E56" s="97"/>
      <c r="F56" s="97"/>
      <c r="G56" s="97"/>
      <c r="H56" s="97"/>
      <c r="I56" s="97"/>
      <c r="J56" s="90"/>
    </row>
    <row r="57" spans="1:10" ht="12" customHeight="1" x14ac:dyDescent="0.25">
      <c r="A57" s="89"/>
      <c r="B57" s="88"/>
      <c r="C57" s="88"/>
      <c r="D57" s="88"/>
      <c r="E57" s="94"/>
      <c r="F57" s="94"/>
      <c r="G57" s="94"/>
      <c r="H57" s="94"/>
      <c r="I57" s="94"/>
      <c r="J57" s="90"/>
    </row>
    <row r="58" spans="1:10" ht="12.75" customHeight="1" x14ac:dyDescent="0.25">
      <c r="A58" s="89"/>
      <c r="B58" s="88"/>
      <c r="C58" s="88"/>
      <c r="D58" s="88"/>
      <c r="E58" s="94"/>
      <c r="F58" s="94"/>
      <c r="G58" s="94"/>
      <c r="H58" s="94"/>
      <c r="I58" s="94"/>
      <c r="J58" s="90"/>
    </row>
    <row r="59" spans="1:10" ht="12" customHeight="1" x14ac:dyDescent="0.25">
      <c r="A59" s="95"/>
      <c r="B59" s="95"/>
      <c r="C59" s="95"/>
      <c r="D59" s="95"/>
      <c r="E59" s="95"/>
      <c r="F59" s="95"/>
      <c r="G59" s="95"/>
      <c r="H59" s="95"/>
      <c r="I59" s="95"/>
      <c r="J59" s="95"/>
    </row>
    <row r="60" spans="1:10" ht="12" customHeight="1" x14ac:dyDescent="0.25">
      <c r="A60" s="96"/>
      <c r="B60" s="96"/>
      <c r="C60" s="96"/>
      <c r="D60" s="96"/>
      <c r="E60" s="96"/>
      <c r="F60" s="96"/>
      <c r="G60" s="96"/>
      <c r="H60" s="96"/>
      <c r="I60" s="96"/>
      <c r="J60" s="96"/>
    </row>
    <row r="61" spans="1:10" ht="5.25" customHeight="1" x14ac:dyDescent="0.25">
      <c r="A61" s="88"/>
      <c r="B61" s="88"/>
      <c r="C61" s="88"/>
      <c r="D61" s="88"/>
      <c r="E61" s="88"/>
      <c r="F61" s="88"/>
      <c r="G61" s="88"/>
      <c r="H61" s="88"/>
      <c r="I61" s="88"/>
      <c r="J61" s="88"/>
    </row>
  </sheetData>
  <mergeCells count="13">
    <mergeCell ref="G51:J51"/>
    <mergeCell ref="B37:C37"/>
    <mergeCell ref="A41:I41"/>
    <mergeCell ref="B29:C29"/>
    <mergeCell ref="B23:C23"/>
    <mergeCell ref="G11:H11"/>
    <mergeCell ref="B13:C13"/>
    <mergeCell ref="E1:I1"/>
    <mergeCell ref="E2:I2"/>
    <mergeCell ref="E3:I3"/>
    <mergeCell ref="A4:J4"/>
    <mergeCell ref="A5:J5"/>
    <mergeCell ref="G9:J9"/>
  </mergeCells>
  <pageMargins left="0.59055118110236227" right="0.23622047244094491" top="0.39370078740157483" bottom="0.39370078740157483" header="0"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C9C9C-31B4-4BDB-B03F-E76D8B402067}">
  <dimension ref="A1:R58"/>
  <sheetViews>
    <sheetView showGridLines="0" view="pageBreakPreview" topLeftCell="A17" zoomScaleNormal="100" zoomScaleSheetLayoutView="100" workbookViewId="0">
      <selection activeCell="P27" sqref="P27"/>
    </sheetView>
  </sheetViews>
  <sheetFormatPr defaultRowHeight="15" x14ac:dyDescent="0.25"/>
  <cols>
    <col min="1" max="1" width="4.85546875" style="9" customWidth="1"/>
    <col min="2" max="2" width="2.140625" style="1" customWidth="1"/>
    <col min="3" max="3" width="4.140625" style="1" customWidth="1"/>
    <col min="4" max="4" width="7.85546875" style="1" customWidth="1"/>
    <col min="5" max="5" width="68" customWidth="1"/>
    <col min="6" max="6" width="6.5703125" style="9" customWidth="1"/>
    <col min="7" max="7" width="9.5703125" style="10" customWidth="1"/>
    <col min="8" max="8" width="10.85546875" style="11" customWidth="1"/>
    <col min="9" max="9" width="11" style="11" customWidth="1"/>
    <col min="10" max="10" width="13.42578125" style="11" customWidth="1"/>
    <col min="11" max="11" width="10.85546875" customWidth="1"/>
  </cols>
  <sheetData>
    <row r="1" spans="1:15" ht="23.25" customHeight="1" x14ac:dyDescent="0.25">
      <c r="E1" s="155" t="s">
        <v>37</v>
      </c>
      <c r="F1" s="155"/>
      <c r="G1" s="155"/>
      <c r="H1" s="155"/>
      <c r="I1" s="155"/>
    </row>
    <row r="2" spans="1:15" x14ac:dyDescent="0.25">
      <c r="E2" s="156" t="s">
        <v>38</v>
      </c>
      <c r="F2" s="156"/>
      <c r="G2" s="156"/>
      <c r="H2" s="156"/>
      <c r="I2" s="156"/>
    </row>
    <row r="3" spans="1:15" x14ac:dyDescent="0.25">
      <c r="E3" s="156" t="s">
        <v>39</v>
      </c>
      <c r="F3" s="156"/>
      <c r="G3" s="156"/>
      <c r="H3" s="156"/>
      <c r="I3" s="156"/>
    </row>
    <row r="4" spans="1:15" ht="6.75" customHeight="1" thickBot="1" x14ac:dyDescent="0.3">
      <c r="A4" s="170"/>
      <c r="B4" s="170"/>
      <c r="C4" s="170"/>
      <c r="D4" s="170"/>
      <c r="E4" s="170"/>
      <c r="F4" s="170"/>
      <c r="G4" s="170"/>
      <c r="H4" s="170"/>
      <c r="I4" s="170"/>
      <c r="J4" s="170"/>
    </row>
    <row r="5" spans="1:15" ht="14.25" customHeight="1" thickBot="1" x14ac:dyDescent="0.3">
      <c r="A5" s="157" t="s">
        <v>9</v>
      </c>
      <c r="B5" s="158"/>
      <c r="C5" s="158"/>
      <c r="D5" s="158"/>
      <c r="E5" s="158"/>
      <c r="F5" s="158"/>
      <c r="G5" s="158"/>
      <c r="H5" s="158"/>
      <c r="I5" s="158"/>
      <c r="J5" s="159"/>
    </row>
    <row r="6" spans="1:15" ht="5.0999999999999996" customHeight="1" thickBot="1" x14ac:dyDescent="0.3">
      <c r="A6" s="1"/>
      <c r="E6" s="1"/>
      <c r="F6" s="1"/>
      <c r="G6" s="1"/>
      <c r="H6" s="1"/>
      <c r="I6" s="1"/>
      <c r="J6" s="1"/>
    </row>
    <row r="7" spans="1:15" x14ac:dyDescent="0.25">
      <c r="A7" s="123" t="s">
        <v>40</v>
      </c>
      <c r="B7" s="124"/>
      <c r="C7" s="124"/>
      <c r="D7" s="124"/>
      <c r="E7" s="124"/>
      <c r="F7" s="124"/>
      <c r="G7" s="124"/>
      <c r="H7" s="124"/>
      <c r="I7" s="124"/>
      <c r="J7" s="125"/>
    </row>
    <row r="8" spans="1:15" x14ac:dyDescent="0.25">
      <c r="A8" s="126" t="s">
        <v>144</v>
      </c>
      <c r="B8" s="127"/>
      <c r="C8" s="127"/>
      <c r="D8" s="127"/>
      <c r="E8" s="127"/>
      <c r="F8" s="127"/>
      <c r="G8" s="128"/>
      <c r="H8" s="120" t="s">
        <v>125</v>
      </c>
      <c r="I8" s="121"/>
      <c r="J8" s="122"/>
    </row>
    <row r="9" spans="1:15" ht="13.5" customHeight="1" x14ac:dyDescent="0.25">
      <c r="A9" s="129" t="s">
        <v>145</v>
      </c>
      <c r="B9" s="127"/>
      <c r="C9" s="127"/>
      <c r="D9" s="236"/>
      <c r="E9" s="236"/>
      <c r="F9" s="128"/>
      <c r="G9" s="165" t="s">
        <v>14</v>
      </c>
      <c r="H9" s="166"/>
      <c r="I9" s="166"/>
      <c r="J9" s="167"/>
    </row>
    <row r="10" spans="1:15" x14ac:dyDescent="0.25">
      <c r="A10" s="129" t="s">
        <v>146</v>
      </c>
      <c r="B10" s="130"/>
      <c r="C10" s="130"/>
      <c r="D10" s="130"/>
      <c r="E10" s="130"/>
      <c r="F10" s="131"/>
      <c r="G10" s="148" t="s">
        <v>10</v>
      </c>
      <c r="H10" s="7" t="s">
        <v>11</v>
      </c>
      <c r="I10" s="147" t="s">
        <v>19</v>
      </c>
      <c r="J10" s="8" t="s">
        <v>12</v>
      </c>
    </row>
    <row r="11" spans="1:15" ht="15.75" thickBot="1" x14ac:dyDescent="0.3">
      <c r="A11" s="115" t="s">
        <v>147</v>
      </c>
      <c r="B11" s="116"/>
      <c r="C11" s="116"/>
      <c r="D11" s="116"/>
      <c r="E11" s="116"/>
      <c r="F11" s="117"/>
      <c r="G11" s="168" t="s">
        <v>148</v>
      </c>
      <c r="H11" s="169"/>
      <c r="I11" s="12" t="s">
        <v>13</v>
      </c>
      <c r="J11" s="18">
        <v>0.29509999999999997</v>
      </c>
    </row>
    <row r="12" spans="1:15" ht="5.0999999999999996" customHeight="1" thickBot="1" x14ac:dyDescent="0.3">
      <c r="A12" s="2"/>
      <c r="B12" s="2"/>
      <c r="C12" s="2"/>
      <c r="D12" s="2"/>
      <c r="E12" s="2"/>
      <c r="F12" s="2"/>
      <c r="G12" s="2"/>
      <c r="H12" s="2"/>
      <c r="I12" s="2"/>
      <c r="J12" s="2"/>
    </row>
    <row r="13" spans="1:15" ht="34.5" thickBot="1" x14ac:dyDescent="0.3">
      <c r="A13" s="3" t="s">
        <v>0</v>
      </c>
      <c r="B13" s="171" t="s">
        <v>1</v>
      </c>
      <c r="C13" s="172"/>
      <c r="D13" s="4" t="s">
        <v>2</v>
      </c>
      <c r="E13" s="4" t="s">
        <v>3</v>
      </c>
      <c r="F13" s="4" t="s">
        <v>4</v>
      </c>
      <c r="G13" s="4" t="s">
        <v>5</v>
      </c>
      <c r="H13" s="5" t="s">
        <v>6</v>
      </c>
      <c r="I13" s="5" t="s">
        <v>7</v>
      </c>
      <c r="J13" s="6" t="s">
        <v>8</v>
      </c>
      <c r="O13" t="s">
        <v>35</v>
      </c>
    </row>
    <row r="14" spans="1:15" ht="12" customHeight="1" x14ac:dyDescent="0.25">
      <c r="A14" s="23">
        <v>1</v>
      </c>
      <c r="B14" s="173"/>
      <c r="C14" s="174"/>
      <c r="D14" s="20"/>
      <c r="E14" s="20" t="s">
        <v>41</v>
      </c>
      <c r="F14" s="19"/>
      <c r="G14" s="21"/>
      <c r="H14" s="22"/>
      <c r="I14" s="110" t="s">
        <v>48</v>
      </c>
      <c r="J14" s="111">
        <f>SUM(J15:J21)</f>
        <v>29879.27</v>
      </c>
    </row>
    <row r="15" spans="1:15" ht="45" x14ac:dyDescent="0.25">
      <c r="A15" s="13" t="s">
        <v>21</v>
      </c>
      <c r="B15" s="223" t="s">
        <v>17</v>
      </c>
      <c r="C15" s="224"/>
      <c r="D15" s="13" t="s">
        <v>56</v>
      </c>
      <c r="E15" s="103" t="s">
        <v>65</v>
      </c>
      <c r="F15" s="13" t="s">
        <v>57</v>
      </c>
      <c r="G15" s="27">
        <v>3</v>
      </c>
      <c r="H15" s="17">
        <v>858.6</v>
      </c>
      <c r="I15" s="17">
        <f>H15*1.2951</f>
        <v>1111.9728599999999</v>
      </c>
      <c r="J15" s="98">
        <f>TRUNC(I15*G15,2)</f>
        <v>3335.91</v>
      </c>
    </row>
    <row r="16" spans="1:15" ht="22.5" x14ac:dyDescent="0.25">
      <c r="A16" s="13" t="s">
        <v>54</v>
      </c>
      <c r="B16" s="223" t="s">
        <v>17</v>
      </c>
      <c r="C16" s="224"/>
      <c r="D16" s="13" t="s">
        <v>55</v>
      </c>
      <c r="E16" s="103" t="s">
        <v>53</v>
      </c>
      <c r="F16" s="13" t="s">
        <v>44</v>
      </c>
      <c r="G16" s="27">
        <v>1</v>
      </c>
      <c r="H16" s="17">
        <v>1702.32</v>
      </c>
      <c r="I16" s="17">
        <f t="shared" ref="I16:I21" si="0">H16*1.2951</f>
        <v>2204.6746319999997</v>
      </c>
      <c r="J16" s="98">
        <f t="shared" ref="J16:J21" si="1">TRUNC(I16*G16,2)</f>
        <v>2204.67</v>
      </c>
    </row>
    <row r="17" spans="1:18" ht="33.75" x14ac:dyDescent="0.25">
      <c r="A17" s="13" t="s">
        <v>66</v>
      </c>
      <c r="B17" s="223" t="s">
        <v>17</v>
      </c>
      <c r="C17" s="224"/>
      <c r="D17" s="13" t="s">
        <v>67</v>
      </c>
      <c r="E17" s="103" t="s">
        <v>68</v>
      </c>
      <c r="F17" s="13" t="s">
        <v>18</v>
      </c>
      <c r="G17" s="27">
        <f>4*8</f>
        <v>32</v>
      </c>
      <c r="H17" s="17">
        <v>30.58</v>
      </c>
      <c r="I17" s="17">
        <f t="shared" si="0"/>
        <v>39.604157999999998</v>
      </c>
      <c r="J17" s="98">
        <f t="shared" si="1"/>
        <v>1267.33</v>
      </c>
    </row>
    <row r="18" spans="1:18" ht="45" x14ac:dyDescent="0.25">
      <c r="A18" s="13" t="s">
        <v>69</v>
      </c>
      <c r="B18" s="223" t="s">
        <v>17</v>
      </c>
      <c r="C18" s="224"/>
      <c r="D18" s="13" t="s">
        <v>70</v>
      </c>
      <c r="E18" s="103" t="s">
        <v>71</v>
      </c>
      <c r="F18" s="13" t="s">
        <v>44</v>
      </c>
      <c r="G18" s="27">
        <v>1</v>
      </c>
      <c r="H18" s="17">
        <v>1206.72</v>
      </c>
      <c r="I18" s="17">
        <f t="shared" si="0"/>
        <v>1562.8230719999999</v>
      </c>
      <c r="J18" s="98">
        <f t="shared" si="1"/>
        <v>1562.82</v>
      </c>
    </row>
    <row r="19" spans="1:18" ht="22.5" x14ac:dyDescent="0.25">
      <c r="A19" s="13" t="s">
        <v>76</v>
      </c>
      <c r="B19" s="223" t="s">
        <v>74</v>
      </c>
      <c r="C19" s="224"/>
      <c r="D19" s="13">
        <v>99059</v>
      </c>
      <c r="E19" s="103" t="s">
        <v>77</v>
      </c>
      <c r="F19" s="13" t="s">
        <v>47</v>
      </c>
      <c r="G19" s="27">
        <f>8*4.5</f>
        <v>36</v>
      </c>
      <c r="H19" s="17">
        <v>77.739999999999995</v>
      </c>
      <c r="I19" s="17">
        <f t="shared" si="0"/>
        <v>100.68107399999998</v>
      </c>
      <c r="J19" s="98">
        <f t="shared" si="1"/>
        <v>3624.51</v>
      </c>
    </row>
    <row r="20" spans="1:18" x14ac:dyDescent="0.25">
      <c r="A20" s="13" t="s">
        <v>73</v>
      </c>
      <c r="B20" s="223" t="s">
        <v>74</v>
      </c>
      <c r="C20" s="224"/>
      <c r="D20" s="13">
        <v>93421</v>
      </c>
      <c r="E20" s="103" t="s">
        <v>72</v>
      </c>
      <c r="F20" s="13" t="s">
        <v>75</v>
      </c>
      <c r="G20" s="27">
        <v>100</v>
      </c>
      <c r="H20" s="17">
        <v>91.89</v>
      </c>
      <c r="I20" s="17">
        <f t="shared" si="0"/>
        <v>119.006739</v>
      </c>
      <c r="J20" s="98">
        <f t="shared" si="1"/>
        <v>11900.67</v>
      </c>
      <c r="R20">
        <f>80*0.2</f>
        <v>16</v>
      </c>
    </row>
    <row r="21" spans="1:18" x14ac:dyDescent="0.25">
      <c r="A21" s="13" t="s">
        <v>96</v>
      </c>
      <c r="B21" s="223" t="s">
        <v>127</v>
      </c>
      <c r="C21" s="224"/>
      <c r="D21" s="13">
        <v>1</v>
      </c>
      <c r="E21" s="103" t="s">
        <v>149</v>
      </c>
      <c r="F21" s="13" t="s">
        <v>129</v>
      </c>
      <c r="G21" s="27">
        <v>132</v>
      </c>
      <c r="H21" s="17">
        <v>35</v>
      </c>
      <c r="I21" s="17">
        <f t="shared" si="0"/>
        <v>45.328499999999998</v>
      </c>
      <c r="J21" s="114">
        <f t="shared" si="1"/>
        <v>5983.36</v>
      </c>
    </row>
    <row r="22" spans="1:18" x14ac:dyDescent="0.25">
      <c r="A22" s="146">
        <v>2</v>
      </c>
      <c r="B22" s="237"/>
      <c r="C22" s="238"/>
      <c r="D22" s="100"/>
      <c r="E22" s="100" t="s">
        <v>150</v>
      </c>
      <c r="F22" s="100"/>
      <c r="G22" s="100"/>
      <c r="H22" s="100"/>
      <c r="I22" s="100" t="s">
        <v>48</v>
      </c>
      <c r="J22" s="106">
        <f>SUM(J23:J24)</f>
        <v>7209.517999050001</v>
      </c>
    </row>
    <row r="23" spans="1:18" ht="33.75" x14ac:dyDescent="0.25">
      <c r="A23" s="13" t="s">
        <v>42</v>
      </c>
      <c r="B23" s="223" t="s">
        <v>17</v>
      </c>
      <c r="C23" s="224"/>
      <c r="D23" s="13" t="s">
        <v>151</v>
      </c>
      <c r="E23" s="103" t="s">
        <v>152</v>
      </c>
      <c r="F23" s="13" t="s">
        <v>61</v>
      </c>
      <c r="G23" s="27">
        <f>(3*2.7)*22.5</f>
        <v>182.25000000000003</v>
      </c>
      <c r="H23" s="17">
        <v>29.42</v>
      </c>
      <c r="I23" s="17">
        <f>H23*1.2951</f>
        <v>38.101841999999998</v>
      </c>
      <c r="J23" s="114">
        <f>I23*G23</f>
        <v>6944.0607045000006</v>
      </c>
      <c r="K23" t="s">
        <v>153</v>
      </c>
    </row>
    <row r="24" spans="1:18" ht="22.5" x14ac:dyDescent="0.25">
      <c r="A24" s="13" t="s">
        <v>154</v>
      </c>
      <c r="B24" s="223" t="s">
        <v>17</v>
      </c>
      <c r="C24" s="224"/>
      <c r="D24" s="13" t="s">
        <v>155</v>
      </c>
      <c r="E24" s="103" t="s">
        <v>156</v>
      </c>
      <c r="F24" s="13" t="s">
        <v>18</v>
      </c>
      <c r="G24" s="27">
        <f>((0.25+0.25+0.1+0.1)*2.7)*3</f>
        <v>5.67</v>
      </c>
      <c r="H24" s="17">
        <v>36.15</v>
      </c>
      <c r="I24" s="17">
        <f t="shared" ref="I24" si="2">H24*1.2951</f>
        <v>46.817864999999998</v>
      </c>
      <c r="J24" s="114">
        <f>I24*G24</f>
        <v>265.45729454999997</v>
      </c>
    </row>
    <row r="25" spans="1:18" x14ac:dyDescent="0.25">
      <c r="A25" s="23">
        <v>3</v>
      </c>
      <c r="B25" s="100"/>
      <c r="C25" s="100"/>
      <c r="D25" s="146"/>
      <c r="E25" s="100" t="s">
        <v>58</v>
      </c>
      <c r="F25" s="146"/>
      <c r="G25" s="101"/>
      <c r="H25" s="102"/>
      <c r="I25" s="105" t="s">
        <v>48</v>
      </c>
      <c r="J25" s="106">
        <f>SUM(J26:J29)</f>
        <v>35655.589999999997</v>
      </c>
    </row>
    <row r="26" spans="1:18" x14ac:dyDescent="0.25">
      <c r="A26" s="13" t="s">
        <v>45</v>
      </c>
      <c r="B26" s="223" t="s">
        <v>17</v>
      </c>
      <c r="C26" s="224"/>
      <c r="D26" s="13" t="s">
        <v>59</v>
      </c>
      <c r="E26" s="26" t="s">
        <v>60</v>
      </c>
      <c r="F26" s="13" t="s">
        <v>61</v>
      </c>
      <c r="G26" s="27">
        <f>((20*4.75)+(92*1.21))*9*0.617</f>
        <v>1145.6949599999998</v>
      </c>
      <c r="H26" s="17">
        <v>10.77</v>
      </c>
      <c r="I26" s="17">
        <f>H26*1.2951</f>
        <v>13.948226999999999</v>
      </c>
      <c r="J26" s="98">
        <f t="shared" ref="J26:J32" si="3">TRUNC(I26*G26,2)</f>
        <v>15980.41</v>
      </c>
    </row>
    <row r="27" spans="1:18" ht="18" customHeight="1" x14ac:dyDescent="0.25">
      <c r="A27" s="13" t="s">
        <v>46</v>
      </c>
      <c r="B27" s="223" t="s">
        <v>17</v>
      </c>
      <c r="C27" s="224"/>
      <c r="D27" s="13" t="s">
        <v>157</v>
      </c>
      <c r="E27" s="104" t="s">
        <v>158</v>
      </c>
      <c r="F27" s="13" t="s">
        <v>18</v>
      </c>
      <c r="G27" s="27">
        <f>9*4.5</f>
        <v>40.5</v>
      </c>
      <c r="H27" s="17">
        <v>215.68</v>
      </c>
      <c r="I27" s="17">
        <f t="shared" ref="I27:I29" si="4">H27*1.2951</f>
        <v>279.32716799999997</v>
      </c>
      <c r="J27" s="98">
        <f t="shared" si="3"/>
        <v>11312.75</v>
      </c>
    </row>
    <row r="28" spans="1:18" ht="22.5" x14ac:dyDescent="0.25">
      <c r="A28" s="13" t="s">
        <v>118</v>
      </c>
      <c r="B28" s="223" t="s">
        <v>17</v>
      </c>
      <c r="C28" s="224"/>
      <c r="D28" s="13" t="s">
        <v>63</v>
      </c>
      <c r="E28" s="104" t="s">
        <v>62</v>
      </c>
      <c r="F28" s="13" t="s">
        <v>20</v>
      </c>
      <c r="G28" s="27">
        <f>9*4.5*0.2</f>
        <v>8.1</v>
      </c>
      <c r="H28" s="17">
        <v>783.22</v>
      </c>
      <c r="I28" s="17">
        <f t="shared" si="4"/>
        <v>1014.348222</v>
      </c>
      <c r="J28" s="98">
        <f t="shared" si="3"/>
        <v>8216.2199999999993</v>
      </c>
    </row>
    <row r="29" spans="1:18" x14ac:dyDescent="0.25">
      <c r="A29" s="13" t="s">
        <v>119</v>
      </c>
      <c r="B29" s="223" t="s">
        <v>159</v>
      </c>
      <c r="C29" s="224"/>
      <c r="D29" s="13">
        <v>2007971</v>
      </c>
      <c r="E29" s="26" t="s">
        <v>160</v>
      </c>
      <c r="F29" s="13" t="s">
        <v>47</v>
      </c>
      <c r="G29" s="27">
        <v>1.2</v>
      </c>
      <c r="H29" s="17">
        <v>94.08</v>
      </c>
      <c r="I29" s="17">
        <f t="shared" si="4"/>
        <v>121.84300799999998</v>
      </c>
      <c r="J29" s="98">
        <f t="shared" si="3"/>
        <v>146.21</v>
      </c>
      <c r="K29" t="s">
        <v>161</v>
      </c>
    </row>
    <row r="30" spans="1:18" x14ac:dyDescent="0.25">
      <c r="A30" s="146">
        <v>4</v>
      </c>
      <c r="B30" s="237"/>
      <c r="C30" s="238"/>
      <c r="D30" s="146"/>
      <c r="E30" s="100" t="s">
        <v>64</v>
      </c>
      <c r="F30" s="100"/>
      <c r="G30" s="100"/>
      <c r="H30" s="100"/>
      <c r="I30" s="105" t="s">
        <v>48</v>
      </c>
      <c r="J30" s="106">
        <f>SUM(J31:J35)</f>
        <v>38324.339999999997</v>
      </c>
    </row>
    <row r="31" spans="1:18" ht="34.5" x14ac:dyDescent="0.25">
      <c r="A31" s="13" t="s">
        <v>78</v>
      </c>
      <c r="B31" s="223" t="s">
        <v>17</v>
      </c>
      <c r="C31" s="224"/>
      <c r="D31" s="13" t="s">
        <v>162</v>
      </c>
      <c r="E31" s="26" t="s">
        <v>163</v>
      </c>
      <c r="F31" s="13" t="s">
        <v>47</v>
      </c>
      <c r="G31" s="27">
        <f>(4.5+1+4.5+1)*9</f>
        <v>99</v>
      </c>
      <c r="H31" s="17">
        <v>64.53</v>
      </c>
      <c r="I31" s="17">
        <f>H31*1.2951</f>
        <v>83.572802999999993</v>
      </c>
      <c r="J31" s="98">
        <f t="shared" si="3"/>
        <v>8273.7000000000007</v>
      </c>
    </row>
    <row r="32" spans="1:18" ht="23.25" x14ac:dyDescent="0.25">
      <c r="A32" s="13" t="s">
        <v>79</v>
      </c>
      <c r="B32" s="223" t="s">
        <v>17</v>
      </c>
      <c r="C32" s="224"/>
      <c r="D32" s="13" t="s">
        <v>155</v>
      </c>
      <c r="E32" s="26" t="s">
        <v>156</v>
      </c>
      <c r="F32" s="13" t="s">
        <v>18</v>
      </c>
      <c r="G32" s="27">
        <f>G31*0.35</f>
        <v>34.65</v>
      </c>
      <c r="H32" s="17">
        <v>36.15</v>
      </c>
      <c r="I32" s="17">
        <f t="shared" ref="I32:I35" si="5">H32*1.2951</f>
        <v>46.817864999999998</v>
      </c>
      <c r="J32" s="98">
        <f t="shared" si="3"/>
        <v>1622.23</v>
      </c>
    </row>
    <row r="33" spans="1:12" ht="34.5" x14ac:dyDescent="0.25">
      <c r="A33" s="13" t="s">
        <v>164</v>
      </c>
      <c r="B33" s="223" t="s">
        <v>17</v>
      </c>
      <c r="C33" s="224"/>
      <c r="D33" s="13" t="s">
        <v>151</v>
      </c>
      <c r="E33" s="26" t="s">
        <v>152</v>
      </c>
      <c r="F33" s="13" t="s">
        <v>61</v>
      </c>
      <c r="G33" s="27">
        <f>(0.2*8*9)*20.46</f>
        <v>294.62400000000002</v>
      </c>
      <c r="H33" s="17">
        <v>29.42</v>
      </c>
      <c r="I33" s="17">
        <f t="shared" si="5"/>
        <v>38.101841999999998</v>
      </c>
      <c r="J33" s="98">
        <f>TRUNC(I33*G33,2)</f>
        <v>11225.71</v>
      </c>
      <c r="K33" t="s">
        <v>165</v>
      </c>
      <c r="L33" t="s">
        <v>166</v>
      </c>
    </row>
    <row r="34" spans="1:12" ht="23.25" x14ac:dyDescent="0.25">
      <c r="A34" s="13" t="s">
        <v>167</v>
      </c>
      <c r="B34" s="223" t="s">
        <v>17</v>
      </c>
      <c r="C34" s="224"/>
      <c r="D34" s="13" t="s">
        <v>168</v>
      </c>
      <c r="E34" s="26" t="s">
        <v>169</v>
      </c>
      <c r="F34" s="13" t="s">
        <v>61</v>
      </c>
      <c r="G34" s="27">
        <f>(9+9+9+9)*80</f>
        <v>2880</v>
      </c>
      <c r="H34" s="17">
        <v>1.73</v>
      </c>
      <c r="I34" s="17">
        <f t="shared" si="5"/>
        <v>2.240523</v>
      </c>
      <c r="J34" s="98">
        <f t="shared" ref="J34:J35" si="6">TRUNC(I34*G34,2)</f>
        <v>6452.7</v>
      </c>
    </row>
    <row r="35" spans="1:12" ht="23.25" x14ac:dyDescent="0.25">
      <c r="A35" s="13" t="s">
        <v>170</v>
      </c>
      <c r="B35" s="223" t="s">
        <v>17</v>
      </c>
      <c r="C35" s="224"/>
      <c r="D35" s="13" t="s">
        <v>171</v>
      </c>
      <c r="E35" s="26" t="s">
        <v>172</v>
      </c>
      <c r="F35" s="13" t="s">
        <v>44</v>
      </c>
      <c r="G35" s="27">
        <v>9</v>
      </c>
      <c r="H35" s="17">
        <v>922.28</v>
      </c>
      <c r="I35" s="17">
        <f t="shared" si="5"/>
        <v>1194.4448279999999</v>
      </c>
      <c r="J35" s="98">
        <f t="shared" si="6"/>
        <v>10750</v>
      </c>
    </row>
    <row r="36" spans="1:12" ht="12" customHeight="1" x14ac:dyDescent="0.25">
      <c r="A36" s="13"/>
      <c r="B36" s="160"/>
      <c r="C36" s="161"/>
      <c r="D36" s="14"/>
      <c r="E36" s="15"/>
      <c r="F36" s="13"/>
      <c r="G36" s="16"/>
      <c r="H36" s="17"/>
      <c r="I36" s="24"/>
      <c r="J36" s="98"/>
    </row>
    <row r="37" spans="1:12" ht="5.25" customHeight="1" thickBot="1" x14ac:dyDescent="0.3">
      <c r="A37" s="151"/>
      <c r="B37" s="151"/>
      <c r="C37" s="151"/>
      <c r="D37" s="30"/>
      <c r="E37" s="30"/>
      <c r="F37" s="151"/>
      <c r="G37" s="31"/>
      <c r="H37" s="32"/>
      <c r="I37" s="33"/>
      <c r="J37" s="33"/>
    </row>
    <row r="38" spans="1:12" ht="12" customHeight="1" thickBot="1" x14ac:dyDescent="0.3">
      <c r="A38" s="157" t="s">
        <v>48</v>
      </c>
      <c r="B38" s="158"/>
      <c r="C38" s="158"/>
      <c r="D38" s="158"/>
      <c r="E38" s="158"/>
      <c r="F38" s="158"/>
      <c r="G38" s="158"/>
      <c r="H38" s="158"/>
      <c r="I38" s="159"/>
      <c r="J38" s="25">
        <f>J14+J25+J30+J22</f>
        <v>111068.71799905</v>
      </c>
    </row>
    <row r="39" spans="1:12" ht="12" customHeight="1" x14ac:dyDescent="0.25">
      <c r="A39" s="151"/>
      <c r="B39" s="151"/>
      <c r="C39" s="151"/>
      <c r="D39" s="30"/>
      <c r="E39" s="30"/>
      <c r="F39" s="151"/>
      <c r="G39" s="31"/>
      <c r="H39" s="32"/>
      <c r="I39" s="33"/>
      <c r="J39" s="33"/>
    </row>
    <row r="40" spans="1:12" ht="12" customHeight="1" x14ac:dyDescent="0.25">
      <c r="A40" s="151"/>
      <c r="B40" s="151"/>
      <c r="C40" s="151"/>
      <c r="D40" s="30"/>
      <c r="E40" s="30"/>
      <c r="F40" s="151"/>
      <c r="G40" s="31"/>
      <c r="H40" s="32"/>
      <c r="I40" s="33"/>
      <c r="J40" s="33"/>
    </row>
    <row r="41" spans="1:12" ht="12" customHeight="1" x14ac:dyDescent="0.25">
      <c r="A41" s="151"/>
      <c r="B41" s="151"/>
      <c r="C41" s="151"/>
      <c r="D41" s="30"/>
      <c r="E41" s="30"/>
      <c r="F41" s="151"/>
      <c r="G41" s="31"/>
      <c r="H41" s="32"/>
      <c r="I41" s="33"/>
      <c r="J41" s="33"/>
    </row>
    <row r="42" spans="1:12" ht="12" customHeight="1" x14ac:dyDescent="0.25">
      <c r="A42" s="151"/>
      <c r="B42" s="151"/>
      <c r="C42" s="151"/>
      <c r="D42" s="30"/>
      <c r="E42" s="30"/>
      <c r="F42" s="151"/>
      <c r="G42" s="31"/>
      <c r="H42" s="32"/>
      <c r="I42" s="33"/>
      <c r="J42" s="33"/>
    </row>
    <row r="43" spans="1:12" ht="12" customHeight="1" x14ac:dyDescent="0.25">
      <c r="A43" s="151"/>
      <c r="B43" s="151"/>
      <c r="C43" s="151"/>
      <c r="D43" s="30"/>
      <c r="E43" s="1"/>
    </row>
    <row r="44" spans="1:12" ht="12" customHeight="1" x14ac:dyDescent="0.25">
      <c r="A44" s="151"/>
      <c r="B44" s="151"/>
      <c r="C44" s="151"/>
      <c r="D44" s="30"/>
      <c r="E44" s="1"/>
    </row>
    <row r="45" spans="1:12" ht="12" customHeight="1" x14ac:dyDescent="0.25">
      <c r="A45" s="151"/>
      <c r="B45" s="151"/>
      <c r="C45" s="151"/>
      <c r="D45" s="30"/>
      <c r="E45" s="28" t="s">
        <v>16</v>
      </c>
      <c r="G45" s="108" t="s">
        <v>52</v>
      </c>
      <c r="H45" s="108"/>
      <c r="I45" s="108"/>
      <c r="J45" s="216"/>
    </row>
    <row r="46" spans="1:12" ht="12" customHeight="1" x14ac:dyDescent="0.25">
      <c r="A46" s="151"/>
      <c r="B46" s="151"/>
      <c r="C46" s="151"/>
      <c r="D46" s="30"/>
      <c r="E46" s="151"/>
      <c r="G46" s="145"/>
      <c r="H46" s="145"/>
      <c r="I46" s="145"/>
      <c r="J46" s="145"/>
    </row>
    <row r="47" spans="1:12" ht="12" customHeight="1" x14ac:dyDescent="0.25">
      <c r="A47" s="151"/>
      <c r="B47" s="151"/>
      <c r="C47" s="151"/>
      <c r="D47" s="30"/>
      <c r="E47" s="151"/>
      <c r="G47" s="145"/>
      <c r="H47" s="145"/>
      <c r="I47" s="145"/>
      <c r="J47" s="145"/>
    </row>
    <row r="48" spans="1:12" ht="12" customHeight="1" x14ac:dyDescent="0.25">
      <c r="A48" s="151"/>
      <c r="B48" s="151"/>
      <c r="C48" s="151"/>
      <c r="D48" s="30"/>
      <c r="E48" s="151"/>
      <c r="G48" s="153"/>
      <c r="H48" s="153"/>
      <c r="I48" s="153"/>
      <c r="J48" s="153"/>
    </row>
    <row r="49" spans="1:10" ht="12" customHeight="1" x14ac:dyDescent="0.25">
      <c r="A49" s="151"/>
      <c r="B49" s="151"/>
      <c r="C49" s="151"/>
      <c r="D49" s="30"/>
      <c r="E49" s="30"/>
      <c r="F49" s="151"/>
      <c r="G49" s="31"/>
      <c r="H49" s="32"/>
      <c r="I49" s="33"/>
      <c r="J49" s="33"/>
    </row>
    <row r="50" spans="1:10" ht="12" customHeight="1" x14ac:dyDescent="0.25">
      <c r="A50" s="151"/>
      <c r="B50" s="151"/>
      <c r="C50" s="151"/>
      <c r="D50" s="30"/>
      <c r="E50" s="30"/>
      <c r="F50" s="151"/>
      <c r="G50" s="31"/>
      <c r="H50" s="32"/>
      <c r="I50" s="33"/>
      <c r="J50" s="33"/>
    </row>
    <row r="51" spans="1:10" ht="12" customHeight="1" x14ac:dyDescent="0.25">
      <c r="A51" s="151"/>
      <c r="B51" s="151"/>
      <c r="C51" s="151"/>
      <c r="D51" s="30"/>
      <c r="E51" s="30"/>
      <c r="F51" s="151"/>
      <c r="G51" s="31"/>
      <c r="H51" s="32"/>
      <c r="I51" s="33"/>
      <c r="J51" s="33"/>
    </row>
    <row r="52" spans="1:10" ht="12" customHeight="1" x14ac:dyDescent="0.25">
      <c r="A52" s="151"/>
      <c r="B52" s="151"/>
      <c r="C52" s="151"/>
      <c r="D52" s="30"/>
      <c r="E52" s="30"/>
      <c r="F52" s="151"/>
      <c r="G52" s="31"/>
      <c r="H52" s="32"/>
      <c r="I52" s="33"/>
      <c r="J52" s="33"/>
    </row>
    <row r="53" spans="1:10" ht="25.5" customHeight="1" x14ac:dyDescent="0.25">
      <c r="A53" s="89"/>
      <c r="B53" s="88"/>
      <c r="C53" s="88"/>
      <c r="D53" s="88"/>
      <c r="E53" s="97"/>
      <c r="F53" s="97"/>
      <c r="G53" s="97"/>
      <c r="H53" s="97"/>
      <c r="I53" s="97"/>
      <c r="J53" s="90"/>
    </row>
    <row r="54" spans="1:10" ht="12" customHeight="1" x14ac:dyDescent="0.25">
      <c r="A54" s="89"/>
      <c r="B54" s="88"/>
      <c r="C54" s="88"/>
      <c r="D54" s="88"/>
      <c r="E54" s="94"/>
      <c r="F54" s="94"/>
      <c r="G54" s="94"/>
      <c r="H54" s="94"/>
      <c r="I54" s="94"/>
      <c r="J54" s="90"/>
    </row>
    <row r="55" spans="1:10" ht="12.75" customHeight="1" x14ac:dyDescent="0.25">
      <c r="A55" s="89"/>
      <c r="B55" s="88"/>
      <c r="C55" s="88"/>
      <c r="D55" s="88"/>
      <c r="E55" s="94"/>
      <c r="F55" s="94"/>
      <c r="G55" s="94"/>
      <c r="H55" s="94"/>
      <c r="I55" s="94"/>
      <c r="J55" s="90"/>
    </row>
    <row r="56" spans="1:10" ht="12" customHeight="1" x14ac:dyDescent="0.25">
      <c r="A56" s="95"/>
      <c r="B56" s="95"/>
      <c r="C56" s="95"/>
      <c r="D56" s="95"/>
      <c r="E56" s="95"/>
      <c r="F56" s="95"/>
      <c r="G56" s="95"/>
      <c r="H56" s="95"/>
      <c r="I56" s="95"/>
      <c r="J56" s="95"/>
    </row>
    <row r="57" spans="1:10" ht="12" customHeight="1" x14ac:dyDescent="0.25">
      <c r="A57" s="96"/>
      <c r="B57" s="96"/>
      <c r="C57" s="96"/>
      <c r="D57" s="96"/>
      <c r="E57" s="96"/>
      <c r="F57" s="96"/>
      <c r="G57" s="96"/>
      <c r="H57" s="96"/>
      <c r="I57" s="96"/>
      <c r="J57" s="96"/>
    </row>
    <row r="58" spans="1:10" ht="5.25" customHeight="1" x14ac:dyDescent="0.25">
      <c r="A58" s="88"/>
      <c r="B58" s="88"/>
      <c r="C58" s="88"/>
      <c r="D58" s="88"/>
      <c r="E58" s="88"/>
      <c r="F58" s="88"/>
      <c r="G58" s="88"/>
      <c r="H58" s="88"/>
      <c r="I58" s="88"/>
      <c r="J58" s="88"/>
    </row>
  </sheetData>
  <mergeCells count="12">
    <mergeCell ref="B36:C36"/>
    <mergeCell ref="A38:I38"/>
    <mergeCell ref="G48:J48"/>
    <mergeCell ref="G11:H11"/>
    <mergeCell ref="B13:C13"/>
    <mergeCell ref="B14:C14"/>
    <mergeCell ref="E1:I1"/>
    <mergeCell ref="E2:I2"/>
    <mergeCell ref="E3:I3"/>
    <mergeCell ref="A4:J4"/>
    <mergeCell ref="A5:J5"/>
    <mergeCell ref="G9:J9"/>
  </mergeCells>
  <pageMargins left="0.59055118110236227" right="0.23622047244094491" top="0.39370078740157483" bottom="0.39370078740157483" header="0"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7C2CE-866A-488E-ADBB-685F4A7FB987}">
  <dimension ref="A1:R57"/>
  <sheetViews>
    <sheetView showGridLines="0" view="pageBreakPreview" topLeftCell="A17" zoomScaleNormal="100" zoomScaleSheetLayoutView="100" workbookViewId="0">
      <selection activeCell="A14" sqref="A14:J37"/>
    </sheetView>
  </sheetViews>
  <sheetFormatPr defaultRowHeight="15" x14ac:dyDescent="0.25"/>
  <cols>
    <col min="1" max="1" width="4.85546875" style="9" customWidth="1"/>
    <col min="2" max="2" width="2.140625" style="1" customWidth="1"/>
    <col min="3" max="3" width="4.140625" style="1" customWidth="1"/>
    <col min="4" max="4" width="7.85546875" style="1" customWidth="1"/>
    <col min="5" max="5" width="68" customWidth="1"/>
    <col min="6" max="6" width="6.5703125" style="9" customWidth="1"/>
    <col min="7" max="7" width="9.5703125" style="10" customWidth="1"/>
    <col min="8" max="8" width="10.85546875" style="11" customWidth="1"/>
    <col min="9" max="9" width="11" style="11" customWidth="1"/>
    <col min="10" max="10" width="13.42578125" style="11" customWidth="1"/>
    <col min="11" max="11" width="10.85546875" customWidth="1"/>
  </cols>
  <sheetData>
    <row r="1" spans="1:15" ht="23.25" customHeight="1" x14ac:dyDescent="0.25">
      <c r="E1" s="155" t="s">
        <v>37</v>
      </c>
      <c r="F1" s="155"/>
      <c r="G1" s="155"/>
      <c r="H1" s="155"/>
      <c r="I1" s="155"/>
    </row>
    <row r="2" spans="1:15" x14ac:dyDescent="0.25">
      <c r="E2" s="156" t="s">
        <v>38</v>
      </c>
      <c r="F2" s="156"/>
      <c r="G2" s="156"/>
      <c r="H2" s="156"/>
      <c r="I2" s="156"/>
    </row>
    <row r="3" spans="1:15" x14ac:dyDescent="0.25">
      <c r="E3" s="156" t="s">
        <v>39</v>
      </c>
      <c r="F3" s="156"/>
      <c r="G3" s="156"/>
      <c r="H3" s="156"/>
      <c r="I3" s="156"/>
    </row>
    <row r="4" spans="1:15" ht="6.75" customHeight="1" thickBot="1" x14ac:dyDescent="0.3">
      <c r="A4" s="170"/>
      <c r="B4" s="170"/>
      <c r="C4" s="170"/>
      <c r="D4" s="170"/>
      <c r="E4" s="170"/>
      <c r="F4" s="170"/>
      <c r="G4" s="170"/>
      <c r="H4" s="170"/>
      <c r="I4" s="170"/>
      <c r="J4" s="170"/>
    </row>
    <row r="5" spans="1:15" ht="14.25" customHeight="1" thickBot="1" x14ac:dyDescent="0.3">
      <c r="A5" s="157" t="s">
        <v>9</v>
      </c>
      <c r="B5" s="158"/>
      <c r="C5" s="158"/>
      <c r="D5" s="158"/>
      <c r="E5" s="158"/>
      <c r="F5" s="158"/>
      <c r="G5" s="158"/>
      <c r="H5" s="158"/>
      <c r="I5" s="158"/>
      <c r="J5" s="159"/>
    </row>
    <row r="6" spans="1:15" ht="5.0999999999999996" customHeight="1" thickBot="1" x14ac:dyDescent="0.3">
      <c r="A6" s="1"/>
      <c r="E6" s="1"/>
      <c r="F6" s="1"/>
      <c r="G6" s="1"/>
      <c r="H6" s="1"/>
      <c r="I6" s="1"/>
      <c r="J6" s="1"/>
    </row>
    <row r="7" spans="1:15" x14ac:dyDescent="0.25">
      <c r="A7" s="123" t="s">
        <v>40</v>
      </c>
      <c r="B7" s="124"/>
      <c r="C7" s="124"/>
      <c r="D7" s="124"/>
      <c r="E7" s="124"/>
      <c r="F7" s="124"/>
      <c r="G7" s="124"/>
      <c r="H7" s="124"/>
      <c r="I7" s="124"/>
      <c r="J7" s="125"/>
    </row>
    <row r="8" spans="1:15" x14ac:dyDescent="0.25">
      <c r="A8" s="126" t="s">
        <v>173</v>
      </c>
      <c r="B8" s="127"/>
      <c r="C8" s="127"/>
      <c r="D8" s="127"/>
      <c r="E8" s="127"/>
      <c r="F8" s="127"/>
      <c r="G8" s="128"/>
      <c r="H8" s="120" t="s">
        <v>125</v>
      </c>
      <c r="I8" s="121"/>
      <c r="J8" s="122"/>
    </row>
    <row r="9" spans="1:15" ht="13.5" customHeight="1" x14ac:dyDescent="0.25">
      <c r="A9" s="126" t="s">
        <v>174</v>
      </c>
      <c r="B9" s="127"/>
      <c r="C9" s="127"/>
      <c r="D9" s="127"/>
      <c r="E9" s="127"/>
      <c r="F9" s="128"/>
      <c r="G9" s="165" t="s">
        <v>14</v>
      </c>
      <c r="H9" s="166"/>
      <c r="I9" s="166"/>
      <c r="J9" s="167"/>
    </row>
    <row r="10" spans="1:15" x14ac:dyDescent="0.25">
      <c r="A10" s="129" t="s">
        <v>146</v>
      </c>
      <c r="B10" s="130"/>
      <c r="C10" s="130"/>
      <c r="D10" s="130"/>
      <c r="E10" s="130"/>
      <c r="F10" s="131"/>
      <c r="G10" s="148" t="s">
        <v>10</v>
      </c>
      <c r="H10" s="7" t="s">
        <v>11</v>
      </c>
      <c r="I10" s="147" t="s">
        <v>19</v>
      </c>
      <c r="J10" s="8" t="s">
        <v>12</v>
      </c>
    </row>
    <row r="11" spans="1:15" ht="15.75" thickBot="1" x14ac:dyDescent="0.3">
      <c r="A11" s="115" t="s">
        <v>147</v>
      </c>
      <c r="B11" s="116"/>
      <c r="C11" s="116"/>
      <c r="D11" s="116"/>
      <c r="E11" s="116"/>
      <c r="F11" s="117"/>
      <c r="G11" s="168" t="s">
        <v>80</v>
      </c>
      <c r="H11" s="169"/>
      <c r="I11" s="12" t="s">
        <v>13</v>
      </c>
      <c r="J11" s="18">
        <v>0.29509999999999997</v>
      </c>
    </row>
    <row r="12" spans="1:15" ht="5.0999999999999996" customHeight="1" thickBot="1" x14ac:dyDescent="0.3">
      <c r="A12" s="2"/>
      <c r="B12" s="2"/>
      <c r="C12" s="2"/>
      <c r="D12" s="2"/>
      <c r="E12" s="2"/>
      <c r="F12" s="2"/>
      <c r="G12" s="2"/>
      <c r="H12" s="2"/>
      <c r="I12" s="2"/>
      <c r="J12" s="2"/>
    </row>
    <row r="13" spans="1:15" ht="34.5" thickBot="1" x14ac:dyDescent="0.3">
      <c r="A13" s="3" t="s">
        <v>0</v>
      </c>
      <c r="B13" s="171" t="s">
        <v>1</v>
      </c>
      <c r="C13" s="172"/>
      <c r="D13" s="4" t="s">
        <v>2</v>
      </c>
      <c r="E13" s="4" t="s">
        <v>3</v>
      </c>
      <c r="F13" s="4" t="s">
        <v>4</v>
      </c>
      <c r="G13" s="4" t="s">
        <v>5</v>
      </c>
      <c r="H13" s="5" t="s">
        <v>6</v>
      </c>
      <c r="I13" s="5" t="s">
        <v>7</v>
      </c>
      <c r="J13" s="6" t="s">
        <v>8</v>
      </c>
      <c r="O13" t="s">
        <v>35</v>
      </c>
    </row>
    <row r="14" spans="1:15" ht="12" customHeight="1" x14ac:dyDescent="0.25">
      <c r="A14" s="23">
        <v>1</v>
      </c>
      <c r="B14" s="173"/>
      <c r="C14" s="174"/>
      <c r="D14" s="20"/>
      <c r="E14" s="20" t="s">
        <v>41</v>
      </c>
      <c r="F14" s="19"/>
      <c r="G14" s="21"/>
      <c r="H14" s="22"/>
      <c r="I14" s="110" t="s">
        <v>48</v>
      </c>
      <c r="J14" s="111">
        <f>SUM(J15:J21)</f>
        <v>28563.67</v>
      </c>
    </row>
    <row r="15" spans="1:15" ht="45" x14ac:dyDescent="0.25">
      <c r="A15" s="13" t="s">
        <v>21</v>
      </c>
      <c r="B15" s="160" t="s">
        <v>17</v>
      </c>
      <c r="C15" s="161"/>
      <c r="D15" s="13" t="s">
        <v>56</v>
      </c>
      <c r="E15" s="103" t="s">
        <v>65</v>
      </c>
      <c r="F15" s="13" t="s">
        <v>57</v>
      </c>
      <c r="G15" s="27">
        <v>3</v>
      </c>
      <c r="H15" s="17">
        <v>858.6</v>
      </c>
      <c r="I15" s="17">
        <f>H15*1.2951</f>
        <v>1111.9728599999999</v>
      </c>
      <c r="J15" s="98">
        <f>TRUNC(I15*G15,2)</f>
        <v>3335.91</v>
      </c>
    </row>
    <row r="16" spans="1:15" ht="22.5" x14ac:dyDescent="0.25">
      <c r="A16" s="13" t="s">
        <v>54</v>
      </c>
      <c r="B16" s="160" t="s">
        <v>17</v>
      </c>
      <c r="C16" s="161"/>
      <c r="D16" s="13" t="s">
        <v>55</v>
      </c>
      <c r="E16" s="103" t="s">
        <v>53</v>
      </c>
      <c r="F16" s="13" t="s">
        <v>44</v>
      </c>
      <c r="G16" s="27">
        <v>1</v>
      </c>
      <c r="H16" s="17">
        <v>1702.32</v>
      </c>
      <c r="I16" s="17">
        <f t="shared" ref="I16:I21" si="0">H16*1.2951</f>
        <v>2204.6746319999997</v>
      </c>
      <c r="J16" s="98">
        <f t="shared" ref="J16:J21" si="1">TRUNC(I16*G16,2)</f>
        <v>2204.67</v>
      </c>
    </row>
    <row r="17" spans="1:18" ht="33.75" x14ac:dyDescent="0.25">
      <c r="A17" s="13" t="s">
        <v>66</v>
      </c>
      <c r="B17" s="160" t="s">
        <v>17</v>
      </c>
      <c r="C17" s="161"/>
      <c r="D17" s="13" t="s">
        <v>67</v>
      </c>
      <c r="E17" s="103" t="s">
        <v>68</v>
      </c>
      <c r="F17" s="13" t="s">
        <v>18</v>
      </c>
      <c r="G17" s="27">
        <f>4*9</f>
        <v>36</v>
      </c>
      <c r="H17" s="17">
        <v>30.58</v>
      </c>
      <c r="I17" s="17">
        <f t="shared" si="0"/>
        <v>39.604157999999998</v>
      </c>
      <c r="J17" s="98">
        <f t="shared" si="1"/>
        <v>1425.74</v>
      </c>
    </row>
    <row r="18" spans="1:18" ht="45" x14ac:dyDescent="0.25">
      <c r="A18" s="13" t="s">
        <v>69</v>
      </c>
      <c r="B18" s="160" t="s">
        <v>17</v>
      </c>
      <c r="C18" s="161"/>
      <c r="D18" s="13" t="s">
        <v>70</v>
      </c>
      <c r="E18" s="103" t="s">
        <v>71</v>
      </c>
      <c r="F18" s="13" t="s">
        <v>44</v>
      </c>
      <c r="G18" s="27">
        <v>1</v>
      </c>
      <c r="H18" s="17">
        <v>1206.72</v>
      </c>
      <c r="I18" s="17">
        <f t="shared" si="0"/>
        <v>1562.8230719999999</v>
      </c>
      <c r="J18" s="98">
        <f t="shared" si="1"/>
        <v>1562.82</v>
      </c>
    </row>
    <row r="19" spans="1:18" ht="22.5" x14ac:dyDescent="0.25">
      <c r="A19" s="13" t="s">
        <v>76</v>
      </c>
      <c r="B19" s="160" t="s">
        <v>74</v>
      </c>
      <c r="C19" s="161"/>
      <c r="D19" s="13">
        <v>99059</v>
      </c>
      <c r="E19" s="103" t="s">
        <v>77</v>
      </c>
      <c r="F19" s="13" t="s">
        <v>47</v>
      </c>
      <c r="G19" s="27">
        <f>10*4.5</f>
        <v>45</v>
      </c>
      <c r="H19" s="17">
        <v>77.739999999999995</v>
      </c>
      <c r="I19" s="17">
        <f t="shared" si="0"/>
        <v>100.68107399999998</v>
      </c>
      <c r="J19" s="98">
        <f t="shared" si="1"/>
        <v>4530.6400000000003</v>
      </c>
    </row>
    <row r="20" spans="1:18" x14ac:dyDescent="0.25">
      <c r="A20" s="13" t="s">
        <v>73</v>
      </c>
      <c r="B20" s="160" t="s">
        <v>74</v>
      </c>
      <c r="C20" s="161"/>
      <c r="D20" s="13">
        <v>93421</v>
      </c>
      <c r="E20" s="103" t="s">
        <v>72</v>
      </c>
      <c r="F20" s="13" t="s">
        <v>75</v>
      </c>
      <c r="G20" s="27">
        <v>80</v>
      </c>
      <c r="H20" s="17">
        <v>91.89</v>
      </c>
      <c r="I20" s="17">
        <f t="shared" si="0"/>
        <v>119.006739</v>
      </c>
      <c r="J20" s="98">
        <f t="shared" si="1"/>
        <v>9520.5300000000007</v>
      </c>
      <c r="R20">
        <f>80*0.2</f>
        <v>16</v>
      </c>
    </row>
    <row r="21" spans="1:18" x14ac:dyDescent="0.25">
      <c r="A21" s="13" t="s">
        <v>96</v>
      </c>
      <c r="B21" s="160" t="s">
        <v>127</v>
      </c>
      <c r="C21" s="161"/>
      <c r="D21" s="13">
        <v>1</v>
      </c>
      <c r="E21" s="103" t="s">
        <v>149</v>
      </c>
      <c r="F21" s="13" t="s">
        <v>129</v>
      </c>
      <c r="G21" s="27">
        <f>66*2</f>
        <v>132</v>
      </c>
      <c r="H21" s="17">
        <v>35</v>
      </c>
      <c r="I21" s="17">
        <f t="shared" si="0"/>
        <v>45.328499999999998</v>
      </c>
      <c r="J21" s="114">
        <f t="shared" si="1"/>
        <v>5983.36</v>
      </c>
    </row>
    <row r="22" spans="1:18" x14ac:dyDescent="0.25">
      <c r="A22" s="146">
        <v>2</v>
      </c>
      <c r="B22" s="175"/>
      <c r="C22" s="176"/>
      <c r="D22" s="100"/>
      <c r="E22" s="100" t="s">
        <v>150</v>
      </c>
      <c r="F22" s="100"/>
      <c r="G22" s="100"/>
      <c r="H22" s="100"/>
      <c r="I22" s="100"/>
      <c r="J22" s="106">
        <f>SUM(J23:J24)</f>
        <v>7209.517999050001</v>
      </c>
    </row>
    <row r="23" spans="1:18" ht="33.75" x14ac:dyDescent="0.25">
      <c r="A23" s="13" t="s">
        <v>42</v>
      </c>
      <c r="B23" s="160" t="s">
        <v>17</v>
      </c>
      <c r="C23" s="161"/>
      <c r="D23" s="13" t="s">
        <v>151</v>
      </c>
      <c r="E23" s="103" t="s">
        <v>152</v>
      </c>
      <c r="F23" s="13" t="s">
        <v>61</v>
      </c>
      <c r="G23" s="27">
        <f>(3*2.7)*22.5</f>
        <v>182.25000000000003</v>
      </c>
      <c r="H23" s="17">
        <v>29.42</v>
      </c>
      <c r="I23" s="17">
        <f>H23*1.2951</f>
        <v>38.101841999999998</v>
      </c>
      <c r="J23" s="114">
        <f>I23*G23</f>
        <v>6944.0607045000006</v>
      </c>
      <c r="K23" t="s">
        <v>153</v>
      </c>
    </row>
    <row r="24" spans="1:18" ht="22.5" x14ac:dyDescent="0.25">
      <c r="A24" s="13" t="s">
        <v>43</v>
      </c>
      <c r="B24" s="160" t="s">
        <v>17</v>
      </c>
      <c r="C24" s="161"/>
      <c r="D24" s="13" t="s">
        <v>155</v>
      </c>
      <c r="E24" s="103" t="s">
        <v>156</v>
      </c>
      <c r="F24" s="13" t="s">
        <v>18</v>
      </c>
      <c r="G24" s="27">
        <f>((0.25+0.25+0.1+0.1)*2.7)*3</f>
        <v>5.67</v>
      </c>
      <c r="H24" s="17">
        <v>36.15</v>
      </c>
      <c r="I24" s="17">
        <f t="shared" ref="I24" si="2">H24*1.2951</f>
        <v>46.817864999999998</v>
      </c>
      <c r="J24" s="114">
        <f>I24*G24</f>
        <v>265.45729454999997</v>
      </c>
    </row>
    <row r="25" spans="1:18" x14ac:dyDescent="0.25">
      <c r="A25" s="23">
        <v>3</v>
      </c>
      <c r="B25" s="164"/>
      <c r="C25" s="164"/>
      <c r="D25" s="146"/>
      <c r="E25" s="100" t="s">
        <v>58</v>
      </c>
      <c r="F25" s="146"/>
      <c r="G25" s="101"/>
      <c r="H25" s="102"/>
      <c r="I25" s="105" t="s">
        <v>48</v>
      </c>
      <c r="J25" s="106">
        <f>SUM(J26:J29)</f>
        <v>39601.069999999992</v>
      </c>
    </row>
    <row r="26" spans="1:18" x14ac:dyDescent="0.25">
      <c r="A26" s="13" t="s">
        <v>45</v>
      </c>
      <c r="B26" s="160" t="s">
        <v>17</v>
      </c>
      <c r="C26" s="161"/>
      <c r="D26" s="13" t="s">
        <v>59</v>
      </c>
      <c r="E26" s="26" t="s">
        <v>60</v>
      </c>
      <c r="F26" s="13" t="s">
        <v>61</v>
      </c>
      <c r="G26" s="27">
        <f>((20*4.75)+(92*1.21))*10*0.617</f>
        <v>1272.9943999999998</v>
      </c>
      <c r="H26" s="17">
        <v>10.77</v>
      </c>
      <c r="I26" s="17">
        <f>H26*1.2951</f>
        <v>13.948226999999999</v>
      </c>
      <c r="J26" s="98">
        <f t="shared" ref="J26:J32" si="3">TRUNC(I26*G26,2)</f>
        <v>17756.009999999998</v>
      </c>
    </row>
    <row r="27" spans="1:18" ht="18" customHeight="1" x14ac:dyDescent="0.25">
      <c r="A27" s="13" t="s">
        <v>46</v>
      </c>
      <c r="B27" s="160" t="s">
        <v>17</v>
      </c>
      <c r="C27" s="161"/>
      <c r="D27" s="13" t="s">
        <v>157</v>
      </c>
      <c r="E27" s="104" t="s">
        <v>158</v>
      </c>
      <c r="F27" s="13" t="s">
        <v>18</v>
      </c>
      <c r="G27" s="27">
        <f>10*4.5</f>
        <v>45</v>
      </c>
      <c r="H27" s="17">
        <v>215.68</v>
      </c>
      <c r="I27" s="17">
        <f t="shared" ref="I27:I29" si="4">H27*1.2951</f>
        <v>279.32716799999997</v>
      </c>
      <c r="J27" s="98">
        <f t="shared" si="3"/>
        <v>12569.72</v>
      </c>
    </row>
    <row r="28" spans="1:18" ht="22.5" x14ac:dyDescent="0.25">
      <c r="A28" s="13" t="s">
        <v>118</v>
      </c>
      <c r="B28" s="160" t="s">
        <v>17</v>
      </c>
      <c r="C28" s="161"/>
      <c r="D28" s="13" t="s">
        <v>63</v>
      </c>
      <c r="E28" s="104" t="s">
        <v>62</v>
      </c>
      <c r="F28" s="13" t="s">
        <v>20</v>
      </c>
      <c r="G28" s="27">
        <f>10*4.5*0.2</f>
        <v>9</v>
      </c>
      <c r="H28" s="17">
        <v>783.22</v>
      </c>
      <c r="I28" s="17">
        <f t="shared" si="4"/>
        <v>1014.348222</v>
      </c>
      <c r="J28" s="98">
        <f t="shared" si="3"/>
        <v>9129.1299999999992</v>
      </c>
    </row>
    <row r="29" spans="1:18" x14ac:dyDescent="0.25">
      <c r="A29" s="13" t="s">
        <v>119</v>
      </c>
      <c r="B29" s="160" t="s">
        <v>159</v>
      </c>
      <c r="C29" s="161"/>
      <c r="D29" s="13">
        <v>2007971</v>
      </c>
      <c r="E29" s="26" t="s">
        <v>160</v>
      </c>
      <c r="F29" s="13" t="s">
        <v>47</v>
      </c>
      <c r="G29" s="27">
        <v>1.2</v>
      </c>
      <c r="H29" s="17">
        <v>94.08</v>
      </c>
      <c r="I29" s="17">
        <f t="shared" si="4"/>
        <v>121.84300799999998</v>
      </c>
      <c r="J29" s="98">
        <f t="shared" si="3"/>
        <v>146.21</v>
      </c>
      <c r="K29" t="s">
        <v>161</v>
      </c>
    </row>
    <row r="30" spans="1:18" x14ac:dyDescent="0.25">
      <c r="A30" s="146">
        <v>4</v>
      </c>
      <c r="B30" s="175"/>
      <c r="C30" s="176"/>
      <c r="D30" s="146"/>
      <c r="E30" s="100" t="s">
        <v>64</v>
      </c>
      <c r="F30" s="100"/>
      <c r="G30" s="100"/>
      <c r="H30" s="100"/>
      <c r="I30" s="105" t="s">
        <v>48</v>
      </c>
      <c r="J30" s="106">
        <f>SUM(J31:J34)</f>
        <v>35412.93</v>
      </c>
    </row>
    <row r="31" spans="1:18" ht="34.5" x14ac:dyDescent="0.25">
      <c r="A31" s="13" t="s">
        <v>78</v>
      </c>
      <c r="B31" s="160" t="s">
        <v>17</v>
      </c>
      <c r="C31" s="161"/>
      <c r="D31" s="13" t="s">
        <v>162</v>
      </c>
      <c r="E31" s="26" t="s">
        <v>163</v>
      </c>
      <c r="F31" s="13" t="s">
        <v>47</v>
      </c>
      <c r="G31" s="27">
        <f>(4.5+1+4.5+1)*10</f>
        <v>110</v>
      </c>
      <c r="H31" s="17">
        <v>64.53</v>
      </c>
      <c r="I31" s="17">
        <f>H31*1.2951</f>
        <v>83.572802999999993</v>
      </c>
      <c r="J31" s="98">
        <f t="shared" si="3"/>
        <v>9193</v>
      </c>
    </row>
    <row r="32" spans="1:18" ht="23.25" x14ac:dyDescent="0.25">
      <c r="A32" s="13" t="s">
        <v>79</v>
      </c>
      <c r="B32" s="160" t="s">
        <v>17</v>
      </c>
      <c r="C32" s="161"/>
      <c r="D32" s="13" t="s">
        <v>155</v>
      </c>
      <c r="E32" s="26" t="s">
        <v>156</v>
      </c>
      <c r="F32" s="13" t="s">
        <v>18</v>
      </c>
      <c r="G32" s="27">
        <f>(0.075+0.2+0.075)*110</f>
        <v>38.500000000000007</v>
      </c>
      <c r="H32" s="17">
        <v>36.15</v>
      </c>
      <c r="I32" s="17">
        <f t="shared" ref="I32:I34" si="5">H32*1.2951</f>
        <v>46.817864999999998</v>
      </c>
      <c r="J32" s="98">
        <f t="shared" si="3"/>
        <v>1802.48</v>
      </c>
    </row>
    <row r="33" spans="1:12" ht="34.5" x14ac:dyDescent="0.25">
      <c r="A33" s="13" t="s">
        <v>164</v>
      </c>
      <c r="B33" s="160" t="s">
        <v>17</v>
      </c>
      <c r="C33" s="161"/>
      <c r="D33" s="13" t="s">
        <v>151</v>
      </c>
      <c r="E33" s="26" t="s">
        <v>152</v>
      </c>
      <c r="F33" s="13" t="s">
        <v>61</v>
      </c>
      <c r="G33" s="27">
        <f>(0.2*8*10)*20.46</f>
        <v>327.36</v>
      </c>
      <c r="H33" s="17">
        <v>29.42</v>
      </c>
      <c r="I33" s="17">
        <f t="shared" si="5"/>
        <v>38.101841999999998</v>
      </c>
      <c r="J33" s="98">
        <f>TRUNC(I33*G33,2)</f>
        <v>12473.01</v>
      </c>
      <c r="K33" t="s">
        <v>165</v>
      </c>
      <c r="L33" t="s">
        <v>166</v>
      </c>
    </row>
    <row r="34" spans="1:12" ht="23.25" x14ac:dyDescent="0.25">
      <c r="A34" s="13" t="s">
        <v>167</v>
      </c>
      <c r="B34" s="160" t="s">
        <v>17</v>
      </c>
      <c r="C34" s="161"/>
      <c r="D34" s="13" t="s">
        <v>171</v>
      </c>
      <c r="E34" s="26" t="s">
        <v>172</v>
      </c>
      <c r="F34" s="13" t="s">
        <v>175</v>
      </c>
      <c r="G34" s="27">
        <v>10</v>
      </c>
      <c r="H34" s="17">
        <v>922.28</v>
      </c>
      <c r="I34" s="17">
        <f t="shared" si="5"/>
        <v>1194.4448279999999</v>
      </c>
      <c r="J34" s="98">
        <f>TRUNC(I34*G34,2)</f>
        <v>11944.44</v>
      </c>
    </row>
    <row r="35" spans="1:12" ht="12" customHeight="1" x14ac:dyDescent="0.25">
      <c r="A35" s="13"/>
      <c r="B35" s="160"/>
      <c r="C35" s="161"/>
      <c r="D35" s="14"/>
      <c r="E35" s="15"/>
      <c r="F35" s="13"/>
      <c r="G35" s="16"/>
      <c r="H35" s="17"/>
      <c r="I35" s="24"/>
      <c r="J35" s="98"/>
    </row>
    <row r="36" spans="1:12" ht="5.25" customHeight="1" thickBot="1" x14ac:dyDescent="0.3">
      <c r="A36" s="151"/>
      <c r="B36" s="151"/>
      <c r="C36" s="151"/>
      <c r="D36" s="30"/>
      <c r="E36" s="30"/>
      <c r="F36" s="151"/>
      <c r="G36" s="31"/>
      <c r="H36" s="32"/>
      <c r="I36" s="33"/>
      <c r="J36" s="33"/>
    </row>
    <row r="37" spans="1:12" ht="12" customHeight="1" thickBot="1" x14ac:dyDescent="0.3">
      <c r="A37" s="157" t="s">
        <v>15</v>
      </c>
      <c r="B37" s="158"/>
      <c r="C37" s="158"/>
      <c r="D37" s="158"/>
      <c r="E37" s="158"/>
      <c r="F37" s="158"/>
      <c r="G37" s="158"/>
      <c r="H37" s="158"/>
      <c r="I37" s="159"/>
      <c r="J37" s="25">
        <f>J14+J25+J30+J22</f>
        <v>110787.18799904999</v>
      </c>
    </row>
    <row r="38" spans="1:12" ht="12" customHeight="1" x14ac:dyDescent="0.25">
      <c r="A38" s="151"/>
      <c r="B38" s="151"/>
      <c r="C38" s="151"/>
      <c r="D38" s="30"/>
      <c r="E38" s="30"/>
      <c r="F38" s="151"/>
      <c r="G38" s="31"/>
      <c r="H38" s="32"/>
      <c r="I38" s="33"/>
      <c r="J38" s="33"/>
    </row>
    <row r="39" spans="1:12" ht="12" customHeight="1" x14ac:dyDescent="0.25">
      <c r="A39" s="151"/>
      <c r="B39" s="151"/>
      <c r="C39" s="151"/>
      <c r="D39" s="30"/>
      <c r="E39" s="30"/>
      <c r="F39" s="151"/>
      <c r="G39" s="31"/>
      <c r="H39" s="32"/>
      <c r="I39" s="33"/>
      <c r="J39" s="33"/>
    </row>
    <row r="40" spans="1:12" ht="12" customHeight="1" x14ac:dyDescent="0.25">
      <c r="A40" s="151"/>
      <c r="B40" s="151"/>
      <c r="C40" s="151"/>
      <c r="D40" s="30"/>
      <c r="E40" s="30"/>
      <c r="F40" s="151"/>
      <c r="G40" s="31"/>
      <c r="H40" s="32"/>
      <c r="I40" s="33"/>
      <c r="J40" s="33"/>
    </row>
    <row r="41" spans="1:12" ht="12" customHeight="1" x14ac:dyDescent="0.25">
      <c r="A41" s="151"/>
      <c r="B41" s="151"/>
      <c r="C41" s="151"/>
      <c r="D41" s="30"/>
      <c r="E41" s="30"/>
      <c r="F41" s="151"/>
      <c r="G41" s="31"/>
      <c r="H41" s="32"/>
      <c r="I41" s="33"/>
      <c r="J41" s="33"/>
    </row>
    <row r="42" spans="1:12" ht="12" customHeight="1" x14ac:dyDescent="0.25">
      <c r="A42" s="151"/>
      <c r="B42" s="151"/>
      <c r="C42" s="151"/>
      <c r="D42" s="30"/>
      <c r="E42" s="1"/>
    </row>
    <row r="43" spans="1:12" ht="12" customHeight="1" x14ac:dyDescent="0.25">
      <c r="A43" s="151"/>
      <c r="B43" s="151"/>
      <c r="C43" s="151"/>
      <c r="D43" s="30"/>
      <c r="E43" s="1"/>
    </row>
    <row r="44" spans="1:12" ht="12" customHeight="1" x14ac:dyDescent="0.25">
      <c r="A44" s="151"/>
      <c r="B44" s="151"/>
      <c r="C44" s="151"/>
      <c r="D44" s="30"/>
      <c r="E44" s="28" t="s">
        <v>16</v>
      </c>
      <c r="G44" s="108" t="s">
        <v>52</v>
      </c>
      <c r="H44" s="108"/>
      <c r="I44" s="108"/>
      <c r="J44" s="216"/>
    </row>
    <row r="45" spans="1:12" ht="12" customHeight="1" x14ac:dyDescent="0.25">
      <c r="A45" s="151"/>
      <c r="B45" s="151"/>
      <c r="C45" s="151"/>
      <c r="D45" s="30"/>
      <c r="E45" s="151"/>
      <c r="G45" s="145"/>
      <c r="H45" s="145"/>
      <c r="I45" s="145"/>
      <c r="J45" s="145"/>
    </row>
    <row r="46" spans="1:12" ht="12" customHeight="1" x14ac:dyDescent="0.25">
      <c r="A46" s="151"/>
      <c r="B46" s="151"/>
      <c r="C46" s="151"/>
      <c r="D46" s="30"/>
      <c r="E46" s="151"/>
      <c r="G46" s="145"/>
      <c r="H46" s="145"/>
      <c r="I46" s="145"/>
      <c r="J46" s="145"/>
    </row>
    <row r="47" spans="1:12" ht="12" customHeight="1" x14ac:dyDescent="0.25">
      <c r="A47" s="151"/>
      <c r="B47" s="151"/>
      <c r="C47" s="151"/>
      <c r="D47" s="30"/>
      <c r="E47" s="151"/>
      <c r="G47" s="153"/>
      <c r="H47" s="153"/>
      <c r="I47" s="153"/>
      <c r="J47" s="153"/>
    </row>
    <row r="48" spans="1:12" ht="12" customHeight="1" x14ac:dyDescent="0.25">
      <c r="A48" s="151"/>
      <c r="B48" s="151"/>
      <c r="C48" s="151"/>
      <c r="D48" s="30"/>
      <c r="E48" s="30"/>
      <c r="F48" s="151"/>
      <c r="G48" s="31"/>
      <c r="H48" s="32"/>
      <c r="I48" s="33"/>
      <c r="J48" s="33"/>
    </row>
    <row r="49" spans="1:10" ht="12" customHeight="1" x14ac:dyDescent="0.25">
      <c r="A49" s="151"/>
      <c r="B49" s="151"/>
      <c r="C49" s="151"/>
      <c r="D49" s="30"/>
      <c r="E49" s="30"/>
      <c r="F49" s="151"/>
      <c r="G49" s="31"/>
      <c r="H49" s="32"/>
      <c r="I49" s="33"/>
      <c r="J49" s="33"/>
    </row>
    <row r="50" spans="1:10" ht="12" customHeight="1" x14ac:dyDescent="0.25">
      <c r="A50" s="151"/>
      <c r="B50" s="151"/>
      <c r="C50" s="151"/>
      <c r="D50" s="30"/>
      <c r="E50" s="30"/>
      <c r="F50" s="151"/>
      <c r="G50" s="31"/>
      <c r="H50" s="32"/>
      <c r="I50" s="33"/>
      <c r="J50" s="33"/>
    </row>
    <row r="51" spans="1:10" ht="12" customHeight="1" x14ac:dyDescent="0.25">
      <c r="A51" s="151"/>
      <c r="B51" s="151"/>
      <c r="C51" s="151"/>
      <c r="D51" s="30"/>
      <c r="E51" s="30"/>
      <c r="F51" s="151"/>
      <c r="G51" s="31"/>
      <c r="H51" s="32"/>
      <c r="I51" s="33"/>
      <c r="J51" s="33"/>
    </row>
    <row r="52" spans="1:10" ht="25.5" customHeight="1" x14ac:dyDescent="0.25">
      <c r="A52" s="89"/>
      <c r="B52" s="88"/>
      <c r="C52" s="88"/>
      <c r="D52" s="88"/>
      <c r="E52" s="97"/>
      <c r="F52" s="97"/>
      <c r="G52" s="97"/>
      <c r="H52" s="97"/>
      <c r="I52" s="97"/>
      <c r="J52" s="90"/>
    </row>
    <row r="53" spans="1:10" ht="12" customHeight="1" x14ac:dyDescent="0.25">
      <c r="A53" s="89"/>
      <c r="B53" s="88"/>
      <c r="C53" s="88"/>
      <c r="D53" s="88"/>
      <c r="E53" s="94"/>
      <c r="F53" s="94"/>
      <c r="G53" s="94"/>
      <c r="H53" s="94"/>
      <c r="I53" s="94"/>
      <c r="J53" s="90"/>
    </row>
    <row r="54" spans="1:10" ht="12.75" customHeight="1" x14ac:dyDescent="0.25">
      <c r="A54" s="89"/>
      <c r="B54" s="88"/>
      <c r="C54" s="88"/>
      <c r="D54" s="88"/>
      <c r="E54" s="94"/>
      <c r="F54" s="94"/>
      <c r="G54" s="94"/>
      <c r="H54" s="94"/>
      <c r="I54" s="94"/>
      <c r="J54" s="90"/>
    </row>
    <row r="55" spans="1:10" ht="12" customHeight="1" x14ac:dyDescent="0.25">
      <c r="A55" s="95"/>
      <c r="B55" s="95"/>
      <c r="C55" s="95"/>
      <c r="D55" s="95"/>
      <c r="E55" s="95"/>
      <c r="F55" s="95"/>
      <c r="G55" s="95"/>
      <c r="H55" s="95"/>
      <c r="I55" s="95"/>
      <c r="J55" s="95"/>
    </row>
    <row r="56" spans="1:10" ht="12" customHeight="1" x14ac:dyDescent="0.25">
      <c r="A56" s="96"/>
      <c r="B56" s="96"/>
      <c r="C56" s="96"/>
      <c r="D56" s="96"/>
      <c r="E56" s="96"/>
      <c r="F56" s="96"/>
      <c r="G56" s="96"/>
      <c r="H56" s="96"/>
      <c r="I56" s="96"/>
      <c r="J56" s="96"/>
    </row>
    <row r="57" spans="1:10" ht="5.25" customHeight="1" x14ac:dyDescent="0.25">
      <c r="A57" s="88"/>
      <c r="B57" s="88"/>
      <c r="C57" s="88"/>
      <c r="D57" s="88"/>
      <c r="E57" s="88"/>
      <c r="F57" s="88"/>
      <c r="G57" s="88"/>
      <c r="H57" s="88"/>
      <c r="I57" s="88"/>
      <c r="J57" s="88"/>
    </row>
  </sheetData>
  <mergeCells count="32">
    <mergeCell ref="A37:I37"/>
    <mergeCell ref="G47:J47"/>
    <mergeCell ref="B30:C30"/>
    <mergeCell ref="B31:C31"/>
    <mergeCell ref="B32:C32"/>
    <mergeCell ref="B33:C33"/>
    <mergeCell ref="B34:C34"/>
    <mergeCell ref="B35:C35"/>
    <mergeCell ref="B24:C24"/>
    <mergeCell ref="B25:C25"/>
    <mergeCell ref="B26:C26"/>
    <mergeCell ref="B27:C27"/>
    <mergeCell ref="B28:C28"/>
    <mergeCell ref="B29:C29"/>
    <mergeCell ref="B18:C18"/>
    <mergeCell ref="B19:C19"/>
    <mergeCell ref="B20:C20"/>
    <mergeCell ref="B21:C21"/>
    <mergeCell ref="B22:C22"/>
    <mergeCell ref="B23:C23"/>
    <mergeCell ref="G11:H11"/>
    <mergeCell ref="B13:C13"/>
    <mergeCell ref="B14:C14"/>
    <mergeCell ref="B15:C15"/>
    <mergeCell ref="B16:C16"/>
    <mergeCell ref="B17:C17"/>
    <mergeCell ref="E1:I1"/>
    <mergeCell ref="E2:I2"/>
    <mergeCell ref="E3:I3"/>
    <mergeCell ref="A4:J4"/>
    <mergeCell ref="A5:J5"/>
    <mergeCell ref="G9:J9"/>
  </mergeCells>
  <pageMargins left="0.59055118110236227" right="0.23622047244094491" top="0.39370078740157483" bottom="0.39370078740157483" header="0"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738C2-B260-46F6-81CE-F866635AA2DB}">
  <dimension ref="A1:R57"/>
  <sheetViews>
    <sheetView showGridLines="0" view="pageBreakPreview" topLeftCell="A14" zoomScaleNormal="100" zoomScaleSheetLayoutView="100" workbookViewId="0">
      <selection activeCell="A14" sqref="A14:J37"/>
    </sheetView>
  </sheetViews>
  <sheetFormatPr defaultRowHeight="15" x14ac:dyDescent="0.25"/>
  <cols>
    <col min="1" max="1" width="4.85546875" style="9" customWidth="1"/>
    <col min="2" max="2" width="2.140625" style="1" customWidth="1"/>
    <col min="3" max="3" width="4.140625" style="1" customWidth="1"/>
    <col min="4" max="4" width="7.85546875" style="1" customWidth="1"/>
    <col min="5" max="5" width="68" customWidth="1"/>
    <col min="6" max="6" width="6.5703125" style="9" customWidth="1"/>
    <col min="7" max="7" width="9.5703125" style="10" customWidth="1"/>
    <col min="8" max="8" width="10.85546875" style="11" customWidth="1"/>
    <col min="9" max="9" width="11" style="11" customWidth="1"/>
    <col min="10" max="10" width="13.42578125" style="11" customWidth="1"/>
    <col min="11" max="11" width="10.85546875" customWidth="1"/>
  </cols>
  <sheetData>
    <row r="1" spans="1:15" ht="23.25" customHeight="1" x14ac:dyDescent="0.25">
      <c r="E1" s="155" t="s">
        <v>37</v>
      </c>
      <c r="F1" s="155"/>
      <c r="G1" s="155"/>
      <c r="H1" s="155"/>
      <c r="I1" s="155"/>
    </row>
    <row r="2" spans="1:15" x14ac:dyDescent="0.25">
      <c r="E2" s="156" t="s">
        <v>38</v>
      </c>
      <c r="F2" s="156"/>
      <c r="G2" s="156"/>
      <c r="H2" s="156"/>
      <c r="I2" s="156"/>
    </row>
    <row r="3" spans="1:15" x14ac:dyDescent="0.25">
      <c r="E3" s="156" t="s">
        <v>39</v>
      </c>
      <c r="F3" s="156"/>
      <c r="G3" s="156"/>
      <c r="H3" s="156"/>
      <c r="I3" s="156"/>
    </row>
    <row r="4" spans="1:15" ht="6.75" customHeight="1" thickBot="1" x14ac:dyDescent="0.3">
      <c r="A4" s="170"/>
      <c r="B4" s="170"/>
      <c r="C4" s="170"/>
      <c r="D4" s="170"/>
      <c r="E4" s="170"/>
      <c r="F4" s="170"/>
      <c r="G4" s="170"/>
      <c r="H4" s="170"/>
      <c r="I4" s="170"/>
      <c r="J4" s="170"/>
    </row>
    <row r="5" spans="1:15" ht="14.25" customHeight="1" thickBot="1" x14ac:dyDescent="0.3">
      <c r="A5" s="157" t="s">
        <v>9</v>
      </c>
      <c r="B5" s="158"/>
      <c r="C5" s="158"/>
      <c r="D5" s="158"/>
      <c r="E5" s="158"/>
      <c r="F5" s="158"/>
      <c r="G5" s="158"/>
      <c r="H5" s="158"/>
      <c r="I5" s="158"/>
      <c r="J5" s="159"/>
    </row>
    <row r="6" spans="1:15" ht="5.0999999999999996" customHeight="1" thickBot="1" x14ac:dyDescent="0.3">
      <c r="A6" s="1"/>
      <c r="E6" s="1"/>
      <c r="F6" s="1"/>
      <c r="G6" s="1"/>
      <c r="H6" s="1"/>
      <c r="I6" s="1"/>
      <c r="J6" s="1"/>
    </row>
    <row r="7" spans="1:15" x14ac:dyDescent="0.25">
      <c r="A7" s="123" t="s">
        <v>40</v>
      </c>
      <c r="B7" s="124"/>
      <c r="C7" s="124"/>
      <c r="D7" s="124"/>
      <c r="E7" s="124"/>
      <c r="F7" s="124"/>
      <c r="G7" s="124"/>
      <c r="H7" s="124"/>
      <c r="I7" s="124"/>
      <c r="J7" s="125"/>
    </row>
    <row r="8" spans="1:15" x14ac:dyDescent="0.25">
      <c r="A8" s="126" t="s">
        <v>177</v>
      </c>
      <c r="B8" s="127"/>
      <c r="C8" s="127"/>
      <c r="D8" s="127"/>
      <c r="E8" s="127"/>
      <c r="F8" s="127"/>
      <c r="G8" s="128"/>
      <c r="H8" s="120" t="s">
        <v>125</v>
      </c>
      <c r="I8" s="121"/>
      <c r="J8" s="122"/>
    </row>
    <row r="9" spans="1:15" ht="13.5" customHeight="1" x14ac:dyDescent="0.25">
      <c r="A9" s="126" t="s">
        <v>178</v>
      </c>
      <c r="B9" s="127"/>
      <c r="C9" s="127"/>
      <c r="D9" s="127"/>
      <c r="E9" s="127"/>
      <c r="F9" s="128"/>
      <c r="G9" s="165" t="s">
        <v>14</v>
      </c>
      <c r="H9" s="166"/>
      <c r="I9" s="166"/>
      <c r="J9" s="167"/>
    </row>
    <row r="10" spans="1:15" x14ac:dyDescent="0.25">
      <c r="A10" s="129" t="s">
        <v>146</v>
      </c>
      <c r="B10" s="130"/>
      <c r="C10" s="130"/>
      <c r="D10" s="130"/>
      <c r="E10" s="130"/>
      <c r="F10" s="131"/>
      <c r="G10" s="148" t="s">
        <v>10</v>
      </c>
      <c r="H10" s="7" t="s">
        <v>11</v>
      </c>
      <c r="I10" s="147" t="s">
        <v>19</v>
      </c>
      <c r="J10" s="8" t="s">
        <v>12</v>
      </c>
    </row>
    <row r="11" spans="1:15" ht="15.75" thickBot="1" x14ac:dyDescent="0.3">
      <c r="A11" s="115" t="s">
        <v>147</v>
      </c>
      <c r="B11" s="116"/>
      <c r="C11" s="116"/>
      <c r="D11" s="116"/>
      <c r="E11" s="116"/>
      <c r="F11" s="117"/>
      <c r="G11" s="168" t="s">
        <v>80</v>
      </c>
      <c r="H11" s="169"/>
      <c r="I11" s="12" t="s">
        <v>13</v>
      </c>
      <c r="J11" s="18">
        <v>0.29509999999999997</v>
      </c>
    </row>
    <row r="12" spans="1:15" ht="5.0999999999999996" customHeight="1" thickBot="1" x14ac:dyDescent="0.3">
      <c r="A12" s="2"/>
      <c r="B12" s="2"/>
      <c r="C12" s="2"/>
      <c r="D12" s="2"/>
      <c r="E12" s="2"/>
      <c r="F12" s="2"/>
      <c r="G12" s="2"/>
      <c r="H12" s="2"/>
      <c r="I12" s="2"/>
      <c r="J12" s="2"/>
    </row>
    <row r="13" spans="1:15" ht="34.5" thickBot="1" x14ac:dyDescent="0.3">
      <c r="A13" s="3" t="s">
        <v>0</v>
      </c>
      <c r="B13" s="171" t="s">
        <v>1</v>
      </c>
      <c r="C13" s="172"/>
      <c r="D13" s="4" t="s">
        <v>2</v>
      </c>
      <c r="E13" s="4" t="s">
        <v>3</v>
      </c>
      <c r="F13" s="4" t="s">
        <v>4</v>
      </c>
      <c r="G13" s="4" t="s">
        <v>5</v>
      </c>
      <c r="H13" s="5" t="s">
        <v>6</v>
      </c>
      <c r="I13" s="5" t="s">
        <v>7</v>
      </c>
      <c r="J13" s="6" t="s">
        <v>8</v>
      </c>
      <c r="O13" t="s">
        <v>35</v>
      </c>
    </row>
    <row r="14" spans="1:15" ht="12" customHeight="1" x14ac:dyDescent="0.25">
      <c r="A14" s="23">
        <v>1</v>
      </c>
      <c r="B14" s="173"/>
      <c r="C14" s="174"/>
      <c r="D14" s="20"/>
      <c r="E14" s="20" t="s">
        <v>41</v>
      </c>
      <c r="F14" s="19"/>
      <c r="G14" s="21"/>
      <c r="H14" s="22"/>
      <c r="I14" s="110" t="s">
        <v>48</v>
      </c>
      <c r="J14" s="111">
        <f>SUM(J15:J21)</f>
        <v>29707.43</v>
      </c>
    </row>
    <row r="15" spans="1:15" ht="45" x14ac:dyDescent="0.25">
      <c r="A15" s="13" t="s">
        <v>21</v>
      </c>
      <c r="B15" s="160" t="s">
        <v>17</v>
      </c>
      <c r="C15" s="161"/>
      <c r="D15" s="13" t="s">
        <v>56</v>
      </c>
      <c r="E15" s="103" t="s">
        <v>65</v>
      </c>
      <c r="F15" s="13" t="s">
        <v>57</v>
      </c>
      <c r="G15" s="27">
        <v>3</v>
      </c>
      <c r="H15" s="17">
        <v>858.6</v>
      </c>
      <c r="I15" s="17">
        <f>H15*1.2951</f>
        <v>1111.9728599999999</v>
      </c>
      <c r="J15" s="98">
        <f>TRUNC(I15*G15,2)</f>
        <v>3335.91</v>
      </c>
    </row>
    <row r="16" spans="1:15" ht="22.5" x14ac:dyDescent="0.25">
      <c r="A16" s="13" t="s">
        <v>54</v>
      </c>
      <c r="B16" s="160" t="s">
        <v>17</v>
      </c>
      <c r="C16" s="161"/>
      <c r="D16" s="13" t="s">
        <v>55</v>
      </c>
      <c r="E16" s="103" t="s">
        <v>53</v>
      </c>
      <c r="F16" s="13" t="s">
        <v>44</v>
      </c>
      <c r="G16" s="27">
        <v>1</v>
      </c>
      <c r="H16" s="17">
        <v>1702.32</v>
      </c>
      <c r="I16" s="17">
        <f t="shared" ref="I16:I21" si="0">H16*1.2951</f>
        <v>2204.6746319999997</v>
      </c>
      <c r="J16" s="98">
        <f t="shared" ref="J16:J21" si="1">TRUNC(I16*G16,2)</f>
        <v>2204.67</v>
      </c>
    </row>
    <row r="17" spans="1:18" ht="33.75" x14ac:dyDescent="0.25">
      <c r="A17" s="13" t="s">
        <v>66</v>
      </c>
      <c r="B17" s="160" t="s">
        <v>17</v>
      </c>
      <c r="C17" s="161"/>
      <c r="D17" s="13" t="s">
        <v>67</v>
      </c>
      <c r="E17" s="103" t="s">
        <v>68</v>
      </c>
      <c r="F17" s="13" t="s">
        <v>18</v>
      </c>
      <c r="G17" s="27">
        <f>4*10.5</f>
        <v>42</v>
      </c>
      <c r="H17" s="17">
        <v>30.58</v>
      </c>
      <c r="I17" s="17">
        <f t="shared" si="0"/>
        <v>39.604157999999998</v>
      </c>
      <c r="J17" s="98">
        <f t="shared" si="1"/>
        <v>1663.37</v>
      </c>
    </row>
    <row r="18" spans="1:18" ht="45" x14ac:dyDescent="0.25">
      <c r="A18" s="13" t="s">
        <v>69</v>
      </c>
      <c r="B18" s="160" t="s">
        <v>17</v>
      </c>
      <c r="C18" s="161"/>
      <c r="D18" s="13" t="s">
        <v>70</v>
      </c>
      <c r="E18" s="103" t="s">
        <v>71</v>
      </c>
      <c r="F18" s="13" t="s">
        <v>44</v>
      </c>
      <c r="G18" s="27">
        <v>1</v>
      </c>
      <c r="H18" s="17">
        <v>1206.72</v>
      </c>
      <c r="I18" s="17">
        <f t="shared" si="0"/>
        <v>1562.8230719999999</v>
      </c>
      <c r="J18" s="98">
        <f t="shared" si="1"/>
        <v>1562.82</v>
      </c>
    </row>
    <row r="19" spans="1:18" ht="22.5" x14ac:dyDescent="0.25">
      <c r="A19" s="13" t="s">
        <v>76</v>
      </c>
      <c r="B19" s="160" t="s">
        <v>74</v>
      </c>
      <c r="C19" s="161"/>
      <c r="D19" s="13">
        <v>99059</v>
      </c>
      <c r="E19" s="103" t="s">
        <v>77</v>
      </c>
      <c r="F19" s="13" t="s">
        <v>47</v>
      </c>
      <c r="G19" s="27">
        <v>54</v>
      </c>
      <c r="H19" s="17">
        <v>77.739999999999995</v>
      </c>
      <c r="I19" s="17">
        <f t="shared" si="0"/>
        <v>100.68107399999998</v>
      </c>
      <c r="J19" s="98">
        <f t="shared" si="1"/>
        <v>5436.77</v>
      </c>
    </row>
    <row r="20" spans="1:18" x14ac:dyDescent="0.25">
      <c r="A20" s="13" t="s">
        <v>73</v>
      </c>
      <c r="B20" s="160" t="s">
        <v>74</v>
      </c>
      <c r="C20" s="161"/>
      <c r="D20" s="13">
        <v>93421</v>
      </c>
      <c r="E20" s="103" t="s">
        <v>72</v>
      </c>
      <c r="F20" s="13" t="s">
        <v>75</v>
      </c>
      <c r="G20" s="27">
        <v>80</v>
      </c>
      <c r="H20" s="17">
        <v>91.89</v>
      </c>
      <c r="I20" s="17">
        <f t="shared" si="0"/>
        <v>119.006739</v>
      </c>
      <c r="J20" s="98">
        <f t="shared" si="1"/>
        <v>9520.5300000000007</v>
      </c>
      <c r="R20">
        <f>80*0.2</f>
        <v>16</v>
      </c>
    </row>
    <row r="21" spans="1:18" x14ac:dyDescent="0.25">
      <c r="A21" s="13" t="s">
        <v>96</v>
      </c>
      <c r="B21" s="160" t="s">
        <v>127</v>
      </c>
      <c r="C21" s="161"/>
      <c r="D21" s="13">
        <v>1</v>
      </c>
      <c r="E21" s="103" t="s">
        <v>149</v>
      </c>
      <c r="F21" s="13" t="s">
        <v>129</v>
      </c>
      <c r="G21" s="27">
        <f>66*2</f>
        <v>132</v>
      </c>
      <c r="H21" s="17">
        <v>35</v>
      </c>
      <c r="I21" s="17">
        <f t="shared" si="0"/>
        <v>45.328499999999998</v>
      </c>
      <c r="J21" s="98">
        <f t="shared" si="1"/>
        <v>5983.36</v>
      </c>
    </row>
    <row r="22" spans="1:18" x14ac:dyDescent="0.25">
      <c r="A22" s="146">
        <v>2</v>
      </c>
      <c r="B22" s="175"/>
      <c r="C22" s="176"/>
      <c r="D22" s="100"/>
      <c r="E22" s="100" t="s">
        <v>150</v>
      </c>
      <c r="F22" s="100"/>
      <c r="G22" s="100"/>
      <c r="H22" s="100"/>
      <c r="I22" s="100"/>
      <c r="J22" s="106">
        <f>SUM(J23:J24)</f>
        <v>7209.517999050001</v>
      </c>
    </row>
    <row r="23" spans="1:18" ht="33.75" x14ac:dyDescent="0.25">
      <c r="A23" s="13" t="s">
        <v>42</v>
      </c>
      <c r="B23" s="160" t="s">
        <v>17</v>
      </c>
      <c r="C23" s="161"/>
      <c r="D23" s="13" t="s">
        <v>151</v>
      </c>
      <c r="E23" s="103" t="s">
        <v>152</v>
      </c>
      <c r="F23" s="13" t="s">
        <v>61</v>
      </c>
      <c r="G23" s="27">
        <f>(3*2.7)*22.5</f>
        <v>182.25000000000003</v>
      </c>
      <c r="H23" s="17">
        <v>29.42</v>
      </c>
      <c r="I23" s="17">
        <f>H23*1.2951</f>
        <v>38.101841999999998</v>
      </c>
      <c r="J23" s="114">
        <f>I23*G23</f>
        <v>6944.0607045000006</v>
      </c>
      <c r="K23" t="s">
        <v>153</v>
      </c>
    </row>
    <row r="24" spans="1:18" ht="22.5" x14ac:dyDescent="0.25">
      <c r="A24" s="13" t="s">
        <v>43</v>
      </c>
      <c r="B24" s="160" t="s">
        <v>17</v>
      </c>
      <c r="C24" s="161"/>
      <c r="D24" s="13" t="s">
        <v>155</v>
      </c>
      <c r="E24" s="103" t="s">
        <v>156</v>
      </c>
      <c r="F24" s="13" t="s">
        <v>18</v>
      </c>
      <c r="G24" s="27">
        <f>((0.25+0.25+0.1+0.1)*2.7)*3</f>
        <v>5.67</v>
      </c>
      <c r="H24" s="17">
        <v>36.15</v>
      </c>
      <c r="I24" s="17">
        <f t="shared" ref="I24" si="2">H24*1.2951</f>
        <v>46.817864999999998</v>
      </c>
      <c r="J24" s="114">
        <f>I24*G24</f>
        <v>265.45729454999997</v>
      </c>
    </row>
    <row r="25" spans="1:18" x14ac:dyDescent="0.25">
      <c r="A25" s="23">
        <v>3</v>
      </c>
      <c r="B25" s="164"/>
      <c r="C25" s="164"/>
      <c r="D25" s="146"/>
      <c r="E25" s="100" t="s">
        <v>58</v>
      </c>
      <c r="F25" s="146"/>
      <c r="G25" s="101"/>
      <c r="H25" s="102"/>
      <c r="I25" s="105" t="s">
        <v>48</v>
      </c>
      <c r="J25" s="106">
        <f>SUM(J26:J29)</f>
        <v>47492.039999999994</v>
      </c>
    </row>
    <row r="26" spans="1:18" x14ac:dyDescent="0.25">
      <c r="A26" s="13" t="s">
        <v>45</v>
      </c>
      <c r="B26" s="160" t="s">
        <v>17</v>
      </c>
      <c r="C26" s="161"/>
      <c r="D26" s="13" t="s">
        <v>59</v>
      </c>
      <c r="E26" s="26" t="s">
        <v>60</v>
      </c>
      <c r="F26" s="13" t="s">
        <v>61</v>
      </c>
      <c r="G26" s="27">
        <f>((20*4.75)+(92*1.21))*12*0.617</f>
        <v>1527.59328</v>
      </c>
      <c r="H26" s="17">
        <v>10.77</v>
      </c>
      <c r="I26" s="17">
        <f>H26*1.2951</f>
        <v>13.948226999999999</v>
      </c>
      <c r="J26" s="98">
        <f t="shared" ref="J26:J32" si="3">TRUNC(I26*G26,2)</f>
        <v>21307.21</v>
      </c>
    </row>
    <row r="27" spans="1:18" ht="18" customHeight="1" x14ac:dyDescent="0.25">
      <c r="A27" s="13" t="s">
        <v>46</v>
      </c>
      <c r="B27" s="160" t="s">
        <v>17</v>
      </c>
      <c r="C27" s="161"/>
      <c r="D27" s="13" t="s">
        <v>157</v>
      </c>
      <c r="E27" s="104" t="s">
        <v>179</v>
      </c>
      <c r="F27" s="13" t="s">
        <v>18</v>
      </c>
      <c r="G27" s="27">
        <f>12*4.5</f>
        <v>54</v>
      </c>
      <c r="H27" s="17">
        <v>215.68</v>
      </c>
      <c r="I27" s="17">
        <f t="shared" ref="I27:I29" si="4">H27*1.2951</f>
        <v>279.32716799999997</v>
      </c>
      <c r="J27" s="98">
        <f t="shared" si="3"/>
        <v>15083.66</v>
      </c>
    </row>
    <row r="28" spans="1:18" ht="22.5" x14ac:dyDescent="0.25">
      <c r="A28" s="13" t="s">
        <v>118</v>
      </c>
      <c r="B28" s="160" t="s">
        <v>17</v>
      </c>
      <c r="C28" s="161"/>
      <c r="D28" s="13" t="s">
        <v>63</v>
      </c>
      <c r="E28" s="104" t="s">
        <v>62</v>
      </c>
      <c r="F28" s="13" t="s">
        <v>20</v>
      </c>
      <c r="G28" s="27">
        <f>12*4.5*0.2</f>
        <v>10.8</v>
      </c>
      <c r="H28" s="17">
        <v>783.22</v>
      </c>
      <c r="I28" s="17">
        <f t="shared" si="4"/>
        <v>1014.348222</v>
      </c>
      <c r="J28" s="98">
        <f t="shared" si="3"/>
        <v>10954.96</v>
      </c>
    </row>
    <row r="29" spans="1:18" x14ac:dyDescent="0.25">
      <c r="A29" s="13" t="s">
        <v>119</v>
      </c>
      <c r="B29" s="160" t="s">
        <v>159</v>
      </c>
      <c r="C29" s="161"/>
      <c r="D29" s="13">
        <v>2007971</v>
      </c>
      <c r="E29" s="26" t="s">
        <v>160</v>
      </c>
      <c r="F29" s="13" t="s">
        <v>47</v>
      </c>
      <c r="G29" s="27">
        <v>1.2</v>
      </c>
      <c r="H29" s="17">
        <v>94.08</v>
      </c>
      <c r="I29" s="17">
        <f t="shared" si="4"/>
        <v>121.84300799999998</v>
      </c>
      <c r="J29" s="98">
        <f t="shared" si="3"/>
        <v>146.21</v>
      </c>
      <c r="K29" t="s">
        <v>161</v>
      </c>
    </row>
    <row r="30" spans="1:18" x14ac:dyDescent="0.25">
      <c r="A30" s="146">
        <v>4</v>
      </c>
      <c r="B30" s="175"/>
      <c r="C30" s="176"/>
      <c r="D30" s="146"/>
      <c r="E30" s="100" t="s">
        <v>64</v>
      </c>
      <c r="F30" s="100"/>
      <c r="G30" s="100"/>
      <c r="H30" s="100"/>
      <c r="I30" s="105" t="s">
        <v>48</v>
      </c>
      <c r="J30" s="106">
        <f>SUM(J31:J34)</f>
        <v>42495.53</v>
      </c>
    </row>
    <row r="31" spans="1:18" ht="34.5" x14ac:dyDescent="0.25">
      <c r="A31" s="13" t="s">
        <v>78</v>
      </c>
      <c r="B31" s="160" t="s">
        <v>17</v>
      </c>
      <c r="C31" s="161"/>
      <c r="D31" s="13" t="s">
        <v>162</v>
      </c>
      <c r="E31" s="26" t="s">
        <v>163</v>
      </c>
      <c r="F31" s="13" t="s">
        <v>47</v>
      </c>
      <c r="G31" s="27">
        <v>132</v>
      </c>
      <c r="H31" s="17">
        <v>64.53</v>
      </c>
      <c r="I31" s="17">
        <f>H31*1.2951</f>
        <v>83.572802999999993</v>
      </c>
      <c r="J31" s="98">
        <f t="shared" si="3"/>
        <v>11031.6</v>
      </c>
    </row>
    <row r="32" spans="1:18" ht="23.25" x14ac:dyDescent="0.25">
      <c r="A32" s="13" t="s">
        <v>79</v>
      </c>
      <c r="B32" s="160" t="s">
        <v>17</v>
      </c>
      <c r="C32" s="161"/>
      <c r="D32" s="13" t="s">
        <v>155</v>
      </c>
      <c r="E32" s="26" t="s">
        <v>156</v>
      </c>
      <c r="F32" s="13" t="s">
        <v>18</v>
      </c>
      <c r="G32" s="27">
        <f>G31*0.35</f>
        <v>46.199999999999996</v>
      </c>
      <c r="H32" s="17">
        <v>36.15</v>
      </c>
      <c r="I32" s="17">
        <f t="shared" ref="I32:I34" si="5">H32*1.2951</f>
        <v>46.817864999999998</v>
      </c>
      <c r="J32" s="98">
        <f t="shared" si="3"/>
        <v>2162.98</v>
      </c>
    </row>
    <row r="33" spans="1:12" ht="34.5" x14ac:dyDescent="0.25">
      <c r="A33" s="13" t="s">
        <v>164</v>
      </c>
      <c r="B33" s="160" t="s">
        <v>17</v>
      </c>
      <c r="C33" s="161"/>
      <c r="D33" s="13" t="s">
        <v>151</v>
      </c>
      <c r="E33" s="26" t="s">
        <v>152</v>
      </c>
      <c r="F33" s="13" t="s">
        <v>61</v>
      </c>
      <c r="G33" s="27">
        <f>(0.2*8*12)*20.46</f>
        <v>392.83200000000005</v>
      </c>
      <c r="H33" s="17">
        <v>29.42</v>
      </c>
      <c r="I33" s="17">
        <f t="shared" si="5"/>
        <v>38.101841999999998</v>
      </c>
      <c r="J33" s="98">
        <f>TRUNC(I33*G33,2)</f>
        <v>14967.62</v>
      </c>
      <c r="K33" t="s">
        <v>165</v>
      </c>
      <c r="L33" t="s">
        <v>166</v>
      </c>
    </row>
    <row r="34" spans="1:12" ht="23.25" x14ac:dyDescent="0.25">
      <c r="A34" s="13" t="s">
        <v>167</v>
      </c>
      <c r="B34" s="160" t="s">
        <v>17</v>
      </c>
      <c r="C34" s="161"/>
      <c r="D34" s="13" t="s">
        <v>171</v>
      </c>
      <c r="E34" s="26" t="s">
        <v>172</v>
      </c>
      <c r="F34" s="13" t="s">
        <v>44</v>
      </c>
      <c r="G34" s="27">
        <v>12</v>
      </c>
      <c r="H34" s="17">
        <v>922.28</v>
      </c>
      <c r="I34" s="17">
        <f t="shared" si="5"/>
        <v>1194.4448279999999</v>
      </c>
      <c r="J34" s="98">
        <f>TRUNC(I34*G34,2)</f>
        <v>14333.33</v>
      </c>
    </row>
    <row r="35" spans="1:12" ht="12" customHeight="1" x14ac:dyDescent="0.25">
      <c r="A35" s="13"/>
      <c r="B35" s="160"/>
      <c r="C35" s="161"/>
      <c r="D35" s="14"/>
      <c r="E35" s="15"/>
      <c r="F35" s="13"/>
      <c r="G35" s="16"/>
      <c r="H35" s="17"/>
      <c r="I35" s="24"/>
      <c r="J35" s="98"/>
    </row>
    <row r="36" spans="1:12" ht="5.25" customHeight="1" thickBot="1" x14ac:dyDescent="0.3">
      <c r="A36" s="151"/>
      <c r="B36" s="151"/>
      <c r="C36" s="151"/>
      <c r="D36" s="30"/>
      <c r="E36" s="30"/>
      <c r="F36" s="151"/>
      <c r="G36" s="31"/>
      <c r="H36" s="32"/>
      <c r="I36" s="33"/>
      <c r="J36" s="33"/>
    </row>
    <row r="37" spans="1:12" ht="12" customHeight="1" thickBot="1" x14ac:dyDescent="0.3">
      <c r="A37" s="157" t="s">
        <v>15</v>
      </c>
      <c r="B37" s="158"/>
      <c r="C37" s="158"/>
      <c r="D37" s="158"/>
      <c r="E37" s="158"/>
      <c r="F37" s="158"/>
      <c r="G37" s="158"/>
      <c r="H37" s="158"/>
      <c r="I37" s="159"/>
      <c r="J37" s="25">
        <f>J14+J25+J30+J22</f>
        <v>126904.51799905</v>
      </c>
    </row>
    <row r="38" spans="1:12" ht="12" customHeight="1" x14ac:dyDescent="0.25">
      <c r="A38" s="151"/>
      <c r="B38" s="151"/>
      <c r="C38" s="151"/>
      <c r="D38" s="30"/>
      <c r="E38" s="30"/>
      <c r="F38" s="151"/>
      <c r="G38" s="31"/>
      <c r="H38" s="32"/>
      <c r="I38" s="33"/>
      <c r="J38" s="33"/>
    </row>
    <row r="39" spans="1:12" ht="12" customHeight="1" x14ac:dyDescent="0.25">
      <c r="A39" s="151"/>
      <c r="B39" s="151"/>
      <c r="C39" s="151"/>
      <c r="D39" s="30"/>
      <c r="E39" s="30"/>
      <c r="F39" s="151"/>
      <c r="G39" s="31"/>
      <c r="H39" s="32"/>
      <c r="I39" s="33"/>
      <c r="J39" s="33"/>
    </row>
    <row r="40" spans="1:12" ht="12" customHeight="1" x14ac:dyDescent="0.25">
      <c r="A40" s="151"/>
      <c r="B40" s="151"/>
      <c r="C40" s="151"/>
      <c r="D40" s="30"/>
      <c r="E40" s="30"/>
      <c r="F40" s="151"/>
      <c r="G40" s="31"/>
      <c r="H40" s="32"/>
      <c r="I40" s="33"/>
      <c r="J40" s="33"/>
    </row>
    <row r="41" spans="1:12" ht="12" customHeight="1" x14ac:dyDescent="0.25">
      <c r="A41" s="151"/>
      <c r="B41" s="151"/>
      <c r="C41" s="151"/>
      <c r="D41" s="30"/>
      <c r="E41" s="30"/>
      <c r="F41" s="151"/>
      <c r="G41" s="31"/>
      <c r="H41" s="32"/>
      <c r="I41" s="33"/>
      <c r="J41" s="33"/>
    </row>
    <row r="42" spans="1:12" ht="12" customHeight="1" x14ac:dyDescent="0.25">
      <c r="A42" s="151"/>
      <c r="B42" s="151"/>
      <c r="C42" s="151"/>
      <c r="D42" s="30"/>
      <c r="E42" s="1"/>
    </row>
    <row r="43" spans="1:12" ht="12" customHeight="1" x14ac:dyDescent="0.25">
      <c r="A43" s="151"/>
      <c r="B43" s="151"/>
      <c r="C43" s="151"/>
      <c r="D43" s="30"/>
      <c r="E43" s="1"/>
    </row>
    <row r="44" spans="1:12" ht="12" customHeight="1" x14ac:dyDescent="0.25">
      <c r="A44" s="151"/>
      <c r="B44" s="151"/>
      <c r="C44" s="151"/>
      <c r="D44" s="30"/>
      <c r="E44" s="28" t="s">
        <v>16</v>
      </c>
      <c r="G44" s="108" t="s">
        <v>52</v>
      </c>
      <c r="H44" s="108"/>
      <c r="I44" s="108"/>
      <c r="J44" s="216"/>
    </row>
    <row r="45" spans="1:12" ht="12" customHeight="1" x14ac:dyDescent="0.25">
      <c r="A45" s="151"/>
      <c r="B45" s="151"/>
      <c r="C45" s="151"/>
      <c r="D45" s="30"/>
      <c r="E45" s="151"/>
      <c r="G45" s="145"/>
      <c r="H45" s="145"/>
      <c r="I45" s="145"/>
      <c r="J45" s="145"/>
    </row>
    <row r="46" spans="1:12" ht="12" customHeight="1" x14ac:dyDescent="0.25">
      <c r="A46" s="151"/>
      <c r="B46" s="151"/>
      <c r="C46" s="151"/>
      <c r="D46" s="30"/>
      <c r="E46" s="151"/>
      <c r="G46" s="145"/>
      <c r="H46" s="145"/>
      <c r="I46" s="145"/>
      <c r="J46" s="145"/>
    </row>
    <row r="47" spans="1:12" ht="12" customHeight="1" x14ac:dyDescent="0.25">
      <c r="A47" s="151"/>
      <c r="B47" s="151"/>
      <c r="C47" s="151"/>
      <c r="D47" s="30"/>
      <c r="E47" s="151"/>
      <c r="G47" s="153"/>
      <c r="H47" s="153"/>
      <c r="I47" s="153"/>
      <c r="J47" s="153"/>
    </row>
    <row r="48" spans="1:12" ht="12" customHeight="1" x14ac:dyDescent="0.25">
      <c r="A48" s="151"/>
      <c r="B48" s="151"/>
      <c r="C48" s="151"/>
      <c r="D48" s="30"/>
      <c r="E48" s="30"/>
      <c r="F48" s="151"/>
      <c r="G48" s="31"/>
      <c r="H48" s="32"/>
      <c r="I48" s="33"/>
      <c r="J48" s="33"/>
    </row>
    <row r="49" spans="1:10" ht="12" customHeight="1" x14ac:dyDescent="0.25">
      <c r="A49" s="151"/>
      <c r="B49" s="151"/>
      <c r="C49" s="151"/>
      <c r="D49" s="30"/>
      <c r="E49" s="30"/>
      <c r="F49" s="151"/>
      <c r="G49" s="31"/>
      <c r="H49" s="32"/>
      <c r="I49" s="33"/>
      <c r="J49" s="33"/>
    </row>
    <row r="50" spans="1:10" ht="12" customHeight="1" x14ac:dyDescent="0.25">
      <c r="A50" s="151"/>
      <c r="B50" s="151"/>
      <c r="C50" s="151"/>
      <c r="D50" s="30"/>
      <c r="E50" s="30"/>
      <c r="F50" s="151"/>
      <c r="G50" s="31"/>
      <c r="H50" s="32"/>
      <c r="I50" s="33"/>
      <c r="J50" s="33"/>
    </row>
    <row r="51" spans="1:10" ht="12" customHeight="1" x14ac:dyDescent="0.25">
      <c r="A51" s="151"/>
      <c r="B51" s="151"/>
      <c r="C51" s="151"/>
      <c r="D51" s="30"/>
      <c r="E51" s="30"/>
      <c r="F51" s="151"/>
      <c r="G51" s="31"/>
      <c r="H51" s="32"/>
      <c r="I51" s="33"/>
      <c r="J51" s="33"/>
    </row>
    <row r="52" spans="1:10" ht="25.5" customHeight="1" x14ac:dyDescent="0.25">
      <c r="A52" s="89"/>
      <c r="B52" s="88"/>
      <c r="C52" s="88"/>
      <c r="D52" s="88"/>
      <c r="E52" s="97"/>
      <c r="F52" s="97"/>
      <c r="G52" s="97"/>
      <c r="H52" s="97"/>
      <c r="I52" s="97"/>
      <c r="J52" s="90"/>
    </row>
    <row r="53" spans="1:10" ht="12" customHeight="1" x14ac:dyDescent="0.25">
      <c r="A53" s="89"/>
      <c r="B53" s="88"/>
      <c r="C53" s="88"/>
      <c r="D53" s="88"/>
      <c r="E53" s="94"/>
      <c r="F53" s="94"/>
      <c r="G53" s="94"/>
      <c r="H53" s="94"/>
      <c r="I53" s="94"/>
      <c r="J53" s="90"/>
    </row>
    <row r="54" spans="1:10" ht="12.75" customHeight="1" x14ac:dyDescent="0.25">
      <c r="A54" s="89"/>
      <c r="B54" s="88"/>
      <c r="C54" s="88"/>
      <c r="D54" s="88"/>
      <c r="E54" s="94"/>
      <c r="F54" s="94"/>
      <c r="G54" s="94"/>
      <c r="H54" s="94"/>
      <c r="I54" s="94"/>
      <c r="J54" s="90"/>
    </row>
    <row r="55" spans="1:10" ht="12" customHeight="1" x14ac:dyDescent="0.25">
      <c r="A55" s="95"/>
      <c r="B55" s="95"/>
      <c r="C55" s="95"/>
      <c r="D55" s="95"/>
      <c r="E55" s="95"/>
      <c r="F55" s="95"/>
      <c r="G55" s="95"/>
      <c r="H55" s="95"/>
      <c r="I55" s="95"/>
      <c r="J55" s="95"/>
    </row>
    <row r="56" spans="1:10" ht="12" customHeight="1" x14ac:dyDescent="0.25">
      <c r="A56" s="96"/>
      <c r="B56" s="96"/>
      <c r="C56" s="96"/>
      <c r="D56" s="96"/>
      <c r="E56" s="96"/>
      <c r="F56" s="96"/>
      <c r="G56" s="96"/>
      <c r="H56" s="96"/>
      <c r="I56" s="96"/>
      <c r="J56" s="96"/>
    </row>
    <row r="57" spans="1:10" ht="5.25" customHeight="1" x14ac:dyDescent="0.25">
      <c r="A57" s="88"/>
      <c r="B57" s="88"/>
      <c r="C57" s="88"/>
      <c r="D57" s="88"/>
      <c r="E57" s="88"/>
      <c r="F57" s="88"/>
      <c r="G57" s="88"/>
      <c r="H57" s="88"/>
      <c r="I57" s="88"/>
      <c r="J57" s="88"/>
    </row>
  </sheetData>
  <mergeCells count="32">
    <mergeCell ref="A37:I37"/>
    <mergeCell ref="G47:J47"/>
    <mergeCell ref="B30:C30"/>
    <mergeCell ref="B31:C31"/>
    <mergeCell ref="B32:C32"/>
    <mergeCell ref="B33:C33"/>
    <mergeCell ref="B34:C34"/>
    <mergeCell ref="B35:C35"/>
    <mergeCell ref="B24:C24"/>
    <mergeCell ref="B25:C25"/>
    <mergeCell ref="B26:C26"/>
    <mergeCell ref="B27:C27"/>
    <mergeCell ref="B28:C28"/>
    <mergeCell ref="B29:C29"/>
    <mergeCell ref="B18:C18"/>
    <mergeCell ref="B19:C19"/>
    <mergeCell ref="B20:C20"/>
    <mergeCell ref="B21:C21"/>
    <mergeCell ref="B22:C22"/>
    <mergeCell ref="B23:C23"/>
    <mergeCell ref="G11:H11"/>
    <mergeCell ref="B13:C13"/>
    <mergeCell ref="B14:C14"/>
    <mergeCell ref="B15:C15"/>
    <mergeCell ref="B16:C16"/>
    <mergeCell ref="B17:C17"/>
    <mergeCell ref="E1:I1"/>
    <mergeCell ref="E2:I2"/>
    <mergeCell ref="E3:I3"/>
    <mergeCell ref="A4:J4"/>
    <mergeCell ref="A5:J5"/>
    <mergeCell ref="G9:J9"/>
  </mergeCells>
  <pageMargins left="0.59055118110236227" right="0.23622047244094491" top="0.39370078740157483" bottom="0.39370078740157483" header="0"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74DF3-A171-4E78-BC1B-0A5DBE149B3B}">
  <sheetPr>
    <pageSetUpPr fitToPage="1"/>
  </sheetPr>
  <dimension ref="A1:P50"/>
  <sheetViews>
    <sheetView showGridLines="0" showZeros="0" view="pageBreakPreview" zoomScale="75" zoomScaleNormal="75" zoomScaleSheetLayoutView="75" workbookViewId="0">
      <selection activeCell="R30" sqref="R30"/>
    </sheetView>
  </sheetViews>
  <sheetFormatPr defaultRowHeight="12.75" x14ac:dyDescent="0.2"/>
  <cols>
    <col min="1" max="1" width="12.140625" style="36" customWidth="1"/>
    <col min="2" max="2" width="10.42578125" style="36" customWidth="1"/>
    <col min="3" max="3" width="68" style="36" customWidth="1"/>
    <col min="4" max="4" width="14.28515625" style="37" customWidth="1"/>
    <col min="5" max="5" width="15.7109375" style="37" customWidth="1"/>
    <col min="6" max="14" width="15.7109375" style="36" customWidth="1"/>
    <col min="15" max="16384" width="9.140625" style="36"/>
  </cols>
  <sheetData>
    <row r="1" spans="1:14" ht="30" customHeight="1" x14ac:dyDescent="0.2">
      <c r="A1" s="34"/>
      <c r="B1" s="35"/>
      <c r="C1" s="180" t="s">
        <v>37</v>
      </c>
      <c r="D1" s="180"/>
      <c r="E1" s="180"/>
      <c r="F1" s="180"/>
      <c r="G1" s="180"/>
      <c r="H1" s="180"/>
      <c r="I1" s="180"/>
      <c r="J1" s="180"/>
      <c r="K1" s="180"/>
      <c r="L1" s="180"/>
      <c r="M1" s="180"/>
      <c r="N1" s="180"/>
    </row>
    <row r="2" spans="1:14" ht="15" customHeight="1" x14ac:dyDescent="0.2">
      <c r="C2" s="181" t="s">
        <v>50</v>
      </c>
      <c r="D2" s="181"/>
      <c r="E2" s="181"/>
      <c r="F2" s="181"/>
      <c r="G2" s="181"/>
      <c r="H2" s="181"/>
      <c r="I2" s="181"/>
      <c r="J2" s="181"/>
      <c r="K2" s="181"/>
      <c r="L2" s="181"/>
      <c r="M2" s="181"/>
      <c r="N2" s="181"/>
    </row>
    <row r="3" spans="1:14" ht="19.5" customHeight="1" x14ac:dyDescent="0.2">
      <c r="C3" s="182" t="s">
        <v>51</v>
      </c>
      <c r="D3" s="182"/>
      <c r="E3" s="182"/>
      <c r="F3" s="182"/>
      <c r="G3" s="182"/>
      <c r="H3" s="182"/>
      <c r="I3" s="182"/>
      <c r="J3" s="182"/>
      <c r="K3" s="182"/>
      <c r="L3" s="182"/>
      <c r="M3" s="182"/>
      <c r="N3" s="182"/>
    </row>
    <row r="4" spans="1:14" ht="7.5" customHeight="1" x14ac:dyDescent="0.25">
      <c r="A4" s="183"/>
      <c r="B4" s="183"/>
      <c r="C4" s="183"/>
      <c r="D4" s="183"/>
      <c r="E4" s="183"/>
      <c r="F4" s="183"/>
      <c r="G4" s="183"/>
      <c r="H4" s="183"/>
      <c r="I4" s="183"/>
      <c r="J4" s="183"/>
      <c r="K4" s="183"/>
      <c r="L4" s="183"/>
      <c r="M4" s="183"/>
      <c r="N4" s="183"/>
    </row>
    <row r="5" spans="1:14" ht="3.75" customHeight="1" x14ac:dyDescent="0.2"/>
    <row r="6" spans="1:14" ht="18" customHeight="1" thickBot="1" x14ac:dyDescent="0.25">
      <c r="A6" s="184" t="s">
        <v>23</v>
      </c>
      <c r="B6" s="185"/>
      <c r="C6" s="185"/>
      <c r="D6" s="185"/>
      <c r="E6" s="185"/>
      <c r="F6" s="185"/>
      <c r="G6" s="185"/>
      <c r="H6" s="185"/>
      <c r="I6" s="185"/>
      <c r="J6" s="185"/>
      <c r="K6" s="286"/>
      <c r="L6" s="286"/>
      <c r="M6" s="286"/>
      <c r="N6" s="286"/>
    </row>
    <row r="7" spans="1:14" ht="18" customHeight="1" x14ac:dyDescent="0.2">
      <c r="A7" s="177" t="str">
        <f>'Planilha Orçamentária'!A7</f>
        <v>PREFEITURA: PREFEITURA MUNICIPAL DE MORADA NOVA DE MINAS</v>
      </c>
      <c r="B7" s="178"/>
      <c r="C7" s="179"/>
      <c r="D7" s="187" t="s">
        <v>49</v>
      </c>
      <c r="E7" s="188"/>
      <c r="F7" s="186">
        <f>E35</f>
        <v>626819.36943228263</v>
      </c>
      <c r="G7" s="186"/>
      <c r="H7" s="91"/>
      <c r="I7" s="135" t="str">
        <f>'Planilha Orçamentária'!H8</f>
        <v>DATA: 15/06/2026</v>
      </c>
      <c r="J7" s="136"/>
      <c r="K7" s="287"/>
      <c r="L7" s="287"/>
      <c r="M7" s="287"/>
      <c r="N7" s="287"/>
    </row>
    <row r="8" spans="1:14" ht="18" customHeight="1" thickBot="1" x14ac:dyDescent="0.25">
      <c r="A8" s="132" t="str">
        <f>'Planilha Orçamentária'!A8</f>
        <v>OBRA: ASSENTAMENTO DE ADUELAS CÓRREGO PALMEIRAS E NA GROTA CAPELINHA - PONTE DO RIACHO, ALFORGEZ E ARROZAL</v>
      </c>
      <c r="B8" s="133"/>
      <c r="C8" s="134"/>
      <c r="D8" s="143" t="str">
        <f>'Planilha Orçamentária'!A9</f>
        <v>LOCAL: REGIÃO DO TRAÇADAL E LAGOINHA</v>
      </c>
      <c r="E8" s="133"/>
      <c r="F8" s="133"/>
      <c r="G8" s="133"/>
      <c r="H8" s="133"/>
      <c r="I8" s="137" t="str">
        <f>'Planilha Orçamentária'!A11</f>
        <v>PRAZO DE EXECUÇÃO: 12 MÊSES</v>
      </c>
      <c r="J8" s="133"/>
      <c r="K8" s="133"/>
      <c r="L8" s="133"/>
      <c r="M8" s="133"/>
      <c r="N8" s="133"/>
    </row>
    <row r="9" spans="1:14" ht="36" customHeight="1" x14ac:dyDescent="0.2">
      <c r="A9" s="38" t="s">
        <v>0</v>
      </c>
      <c r="B9" s="39" t="s">
        <v>2</v>
      </c>
      <c r="C9" s="39" t="s">
        <v>24</v>
      </c>
      <c r="D9" s="40" t="s">
        <v>25</v>
      </c>
      <c r="E9" s="40" t="s">
        <v>26</v>
      </c>
      <c r="F9" s="39" t="s">
        <v>27</v>
      </c>
      <c r="G9" s="39" t="s">
        <v>28</v>
      </c>
      <c r="H9" s="39" t="s">
        <v>29</v>
      </c>
      <c r="I9" s="39" t="s">
        <v>30</v>
      </c>
      <c r="J9" s="39" t="s">
        <v>31</v>
      </c>
      <c r="K9" s="39" t="s">
        <v>32</v>
      </c>
      <c r="L9" s="39" t="s">
        <v>181</v>
      </c>
      <c r="M9" s="39" t="s">
        <v>182</v>
      </c>
      <c r="N9" s="39" t="s">
        <v>183</v>
      </c>
    </row>
    <row r="10" spans="1:14" ht="14.25" customHeight="1" x14ac:dyDescent="0.2">
      <c r="A10" s="189">
        <v>1</v>
      </c>
      <c r="B10" s="191"/>
      <c r="C10" s="193" t="s">
        <v>131</v>
      </c>
      <c r="D10" s="41" t="s">
        <v>33</v>
      </c>
      <c r="E10" s="42">
        <f>E11/E35</f>
        <v>0.26105688271404065</v>
      </c>
      <c r="F10" s="42">
        <v>0.7</v>
      </c>
      <c r="G10" s="42">
        <v>0.3</v>
      </c>
      <c r="H10" s="42"/>
      <c r="I10" s="43"/>
      <c r="J10" s="44"/>
      <c r="K10" s="288"/>
      <c r="L10" s="288"/>
      <c r="M10" s="288"/>
      <c r="N10" s="288"/>
    </row>
    <row r="11" spans="1:14" ht="14.25" customHeight="1" x14ac:dyDescent="0.2">
      <c r="A11" s="190"/>
      <c r="B11" s="192"/>
      <c r="C11" s="194"/>
      <c r="D11" s="45" t="s">
        <v>34</v>
      </c>
      <c r="E11" s="92">
        <f>'Planilha Orçamentária'!J42</f>
        <v>163635.51060877234</v>
      </c>
      <c r="F11" s="47">
        <f t="shared" ref="F11:J11" si="0">F10*$E$11</f>
        <v>114544.85742614063</v>
      </c>
      <c r="G11" s="47">
        <f t="shared" si="0"/>
        <v>49090.6531826317</v>
      </c>
      <c r="H11" s="47">
        <f t="shared" si="0"/>
        <v>0</v>
      </c>
      <c r="I11" s="48">
        <f t="shared" si="0"/>
        <v>0</v>
      </c>
      <c r="J11" s="48">
        <f t="shared" si="0"/>
        <v>0</v>
      </c>
      <c r="K11" s="289"/>
      <c r="L11" s="289"/>
      <c r="M11" s="289"/>
      <c r="N11" s="289"/>
    </row>
    <row r="12" spans="1:14" ht="14.25" customHeight="1" x14ac:dyDescent="0.2">
      <c r="A12" s="195">
        <v>2</v>
      </c>
      <c r="B12" s="196"/>
      <c r="C12" s="197" t="s">
        <v>130</v>
      </c>
      <c r="D12" s="49" t="s">
        <v>33</v>
      </c>
      <c r="E12" s="50">
        <f>E13/E35</f>
        <v>0.18254610563485776</v>
      </c>
      <c r="F12" s="50"/>
      <c r="G12" s="50">
        <v>0.3</v>
      </c>
      <c r="H12" s="50">
        <v>0.7</v>
      </c>
      <c r="I12" s="51"/>
      <c r="J12" s="52"/>
      <c r="K12" s="290"/>
      <c r="L12" s="290"/>
      <c r="M12" s="290"/>
      <c r="N12" s="290"/>
    </row>
    <row r="13" spans="1:14" ht="14.25" customHeight="1" x14ac:dyDescent="0.2">
      <c r="A13" s="195"/>
      <c r="B13" s="196"/>
      <c r="C13" s="197"/>
      <c r="D13" s="49" t="s">
        <v>34</v>
      </c>
      <c r="E13" s="93">
        <f>'Planilha Orçamentária'!J71</f>
        <v>114423.4348263604</v>
      </c>
      <c r="F13" s="54">
        <f t="shared" ref="F13:J13" si="1">F12*$E$13</f>
        <v>0</v>
      </c>
      <c r="G13" s="54">
        <f t="shared" si="1"/>
        <v>34327.030447908117</v>
      </c>
      <c r="H13" s="54">
        <f t="shared" si="1"/>
        <v>80096.40437845228</v>
      </c>
      <c r="I13" s="55">
        <f t="shared" si="1"/>
        <v>0</v>
      </c>
      <c r="J13" s="55">
        <f t="shared" si="1"/>
        <v>0</v>
      </c>
      <c r="K13" s="291"/>
      <c r="L13" s="291"/>
      <c r="M13" s="291"/>
      <c r="N13" s="291"/>
    </row>
    <row r="14" spans="1:14" ht="14.25" customHeight="1" x14ac:dyDescent="0.2">
      <c r="A14" s="190">
        <v>3</v>
      </c>
      <c r="B14" s="198"/>
      <c r="C14" s="197" t="s">
        <v>132</v>
      </c>
      <c r="D14" s="45" t="s">
        <v>33</v>
      </c>
      <c r="E14" s="42">
        <f>E15/E35</f>
        <v>0.1771941382405687</v>
      </c>
      <c r="F14" s="42"/>
      <c r="G14" s="42"/>
      <c r="H14" s="42">
        <v>0.2</v>
      </c>
      <c r="I14" s="42">
        <v>0.5</v>
      </c>
      <c r="J14" s="42">
        <v>0.3</v>
      </c>
      <c r="K14" s="288"/>
      <c r="L14" s="288"/>
      <c r="M14" s="288"/>
      <c r="N14" s="288"/>
    </row>
    <row r="15" spans="1:14" ht="14.25" customHeight="1" x14ac:dyDescent="0.2">
      <c r="A15" s="190"/>
      <c r="B15" s="198"/>
      <c r="C15" s="197"/>
      <c r="D15" s="45" t="s">
        <v>34</v>
      </c>
      <c r="E15" s="46">
        <f>'Planilha Orçamentária'!J96</f>
        <v>111068.71799905</v>
      </c>
      <c r="F15" s="47">
        <f t="shared" ref="F15:N15" si="2">F14*$E$15</f>
        <v>0</v>
      </c>
      <c r="G15" s="47">
        <f t="shared" si="2"/>
        <v>0</v>
      </c>
      <c r="H15" s="47">
        <f t="shared" si="2"/>
        <v>22213.743599810001</v>
      </c>
      <c r="I15" s="47">
        <f t="shared" si="2"/>
        <v>55534.358999525</v>
      </c>
      <c r="J15" s="47">
        <f t="shared" si="2"/>
        <v>33320.615399714996</v>
      </c>
      <c r="K15" s="47">
        <f t="shared" si="2"/>
        <v>0</v>
      </c>
      <c r="L15" s="47">
        <f t="shared" si="2"/>
        <v>0</v>
      </c>
      <c r="M15" s="47">
        <f t="shared" si="2"/>
        <v>0</v>
      </c>
      <c r="N15" s="47">
        <f t="shared" si="2"/>
        <v>0</v>
      </c>
    </row>
    <row r="16" spans="1:14" ht="14.25" customHeight="1" x14ac:dyDescent="0.2">
      <c r="A16" s="195">
        <v>4</v>
      </c>
      <c r="B16" s="199"/>
      <c r="C16" s="194" t="s">
        <v>133</v>
      </c>
      <c r="D16" s="49" t="s">
        <v>33</v>
      </c>
      <c r="E16" s="50">
        <f>E17/E35</f>
        <v>0.17674499768472565</v>
      </c>
      <c r="F16" s="50"/>
      <c r="G16" s="50"/>
      <c r="H16" s="50"/>
      <c r="I16" s="51"/>
      <c r="J16" s="42">
        <v>0.2</v>
      </c>
      <c r="K16" s="42">
        <v>0.5</v>
      </c>
      <c r="L16" s="42">
        <v>0.3</v>
      </c>
      <c r="M16" s="290"/>
      <c r="N16" s="290"/>
    </row>
    <row r="17" spans="1:14" s="57" customFormat="1" ht="14.25" customHeight="1" x14ac:dyDescent="0.2">
      <c r="A17" s="195"/>
      <c r="B17" s="199"/>
      <c r="C17" s="194"/>
      <c r="D17" s="56" t="s">
        <v>34</v>
      </c>
      <c r="E17" s="53">
        <f>'Planilha Orçamentária'!J120</f>
        <v>110787.18799904999</v>
      </c>
      <c r="F17" s="54">
        <f>F16*$E$17</f>
        <v>0</v>
      </c>
      <c r="G17" s="54">
        <f>G16*$E$17</f>
        <v>0</v>
      </c>
      <c r="H17" s="54">
        <f>H16*$E$17</f>
        <v>0</v>
      </c>
      <c r="I17" s="54">
        <f t="shared" ref="I17:N17" si="3">I16*$E$17</f>
        <v>0</v>
      </c>
      <c r="J17" s="54">
        <f t="shared" si="3"/>
        <v>22157.43759981</v>
      </c>
      <c r="K17" s="54">
        <f t="shared" si="3"/>
        <v>55393.593999524994</v>
      </c>
      <c r="L17" s="54">
        <f t="shared" si="3"/>
        <v>33236.156399714993</v>
      </c>
      <c r="M17" s="54">
        <f t="shared" si="3"/>
        <v>0</v>
      </c>
      <c r="N17" s="54">
        <f t="shared" si="3"/>
        <v>0</v>
      </c>
    </row>
    <row r="18" spans="1:14" ht="14.25" customHeight="1" x14ac:dyDescent="0.2">
      <c r="A18" s="195">
        <v>5</v>
      </c>
      <c r="B18" s="198"/>
      <c r="C18" s="197" t="s">
        <v>134</v>
      </c>
      <c r="D18" s="45" t="s">
        <v>33</v>
      </c>
      <c r="E18" s="42">
        <f>E19/E35</f>
        <v>0.20245787572580734</v>
      </c>
      <c r="F18" s="54"/>
      <c r="G18" s="107"/>
      <c r="H18" s="50"/>
      <c r="I18" s="43"/>
      <c r="J18" s="44"/>
      <c r="K18" s="288"/>
      <c r="L18" s="42">
        <v>0.2</v>
      </c>
      <c r="M18" s="42">
        <v>0.5</v>
      </c>
      <c r="N18" s="42">
        <v>0.3</v>
      </c>
    </row>
    <row r="19" spans="1:14" ht="14.25" customHeight="1" x14ac:dyDescent="0.2">
      <c r="A19" s="195"/>
      <c r="B19" s="198"/>
      <c r="C19" s="197"/>
      <c r="D19" s="45" t="s">
        <v>34</v>
      </c>
      <c r="E19" s="53">
        <f>'Planilha Orçamentária'!J144</f>
        <v>126904.51799905</v>
      </c>
      <c r="F19" s="54">
        <f>F18*$E$19</f>
        <v>0</v>
      </c>
      <c r="G19" s="112">
        <f>G18*$E$19</f>
        <v>0</v>
      </c>
      <c r="H19" s="54"/>
      <c r="I19" s="54">
        <f t="shared" ref="I19:N19" si="4">I18*$E$19</f>
        <v>0</v>
      </c>
      <c r="J19" s="54">
        <f t="shared" si="4"/>
        <v>0</v>
      </c>
      <c r="K19" s="54">
        <f t="shared" si="4"/>
        <v>0</v>
      </c>
      <c r="L19" s="54">
        <f t="shared" si="4"/>
        <v>25380.903599810001</v>
      </c>
      <c r="M19" s="54">
        <f t="shared" si="4"/>
        <v>63452.258999525002</v>
      </c>
      <c r="N19" s="54">
        <f t="shared" si="4"/>
        <v>38071.355399715001</v>
      </c>
    </row>
    <row r="20" spans="1:14" ht="14.25" customHeight="1" x14ac:dyDescent="0.2">
      <c r="A20" s="200"/>
      <c r="B20" s="198"/>
      <c r="C20" s="197"/>
      <c r="D20" s="49" t="s">
        <v>33</v>
      </c>
      <c r="E20" s="59"/>
      <c r="F20" s="59"/>
      <c r="G20" s="59"/>
      <c r="H20" s="59"/>
      <c r="I20" s="51"/>
      <c r="J20" s="52"/>
      <c r="K20" s="290"/>
      <c r="L20" s="290"/>
      <c r="M20" s="290"/>
      <c r="N20" s="290"/>
    </row>
    <row r="21" spans="1:14" ht="14.25" customHeight="1" x14ac:dyDescent="0.2">
      <c r="A21" s="200"/>
      <c r="B21" s="198"/>
      <c r="C21" s="197"/>
      <c r="D21" s="49" t="s">
        <v>34</v>
      </c>
      <c r="E21" s="55"/>
      <c r="F21" s="55">
        <f t="shared" ref="F21:J21" si="5">F20*$E$21</f>
        <v>0</v>
      </c>
      <c r="G21" s="55">
        <f t="shared" si="5"/>
        <v>0</v>
      </c>
      <c r="H21" s="55">
        <f t="shared" si="5"/>
        <v>0</v>
      </c>
      <c r="I21" s="55">
        <f t="shared" si="5"/>
        <v>0</v>
      </c>
      <c r="J21" s="55">
        <f t="shared" si="5"/>
        <v>0</v>
      </c>
      <c r="K21" s="291"/>
      <c r="L21" s="291"/>
      <c r="M21" s="291"/>
      <c r="N21" s="291"/>
    </row>
    <row r="22" spans="1:14" ht="14.25" customHeight="1" x14ac:dyDescent="0.2">
      <c r="A22" s="201"/>
      <c r="B22" s="199"/>
      <c r="C22" s="194"/>
      <c r="D22" s="45" t="s">
        <v>33</v>
      </c>
      <c r="E22" s="58"/>
      <c r="F22" s="58"/>
      <c r="G22" s="58"/>
      <c r="H22" s="58"/>
      <c r="I22" s="43"/>
      <c r="J22" s="44"/>
      <c r="K22" s="288"/>
      <c r="L22" s="288"/>
      <c r="M22" s="288"/>
      <c r="N22" s="288"/>
    </row>
    <row r="23" spans="1:14" ht="14.25" customHeight="1" x14ac:dyDescent="0.2">
      <c r="A23" s="201"/>
      <c r="B23" s="199"/>
      <c r="C23" s="194"/>
      <c r="D23" s="45" t="s">
        <v>34</v>
      </c>
      <c r="E23" s="48"/>
      <c r="F23" s="48">
        <f t="shared" ref="F23:J23" si="6">F22*$E$23</f>
        <v>0</v>
      </c>
      <c r="G23" s="48">
        <f t="shared" si="6"/>
        <v>0</v>
      </c>
      <c r="H23" s="48">
        <f t="shared" si="6"/>
        <v>0</v>
      </c>
      <c r="I23" s="48">
        <f t="shared" si="6"/>
        <v>0</v>
      </c>
      <c r="J23" s="48">
        <f t="shared" si="6"/>
        <v>0</v>
      </c>
      <c r="K23" s="289"/>
      <c r="L23" s="289"/>
      <c r="M23" s="289"/>
      <c r="N23" s="289"/>
    </row>
    <row r="24" spans="1:14" ht="14.25" customHeight="1" x14ac:dyDescent="0.2">
      <c r="A24" s="200"/>
      <c r="B24" s="198"/>
      <c r="C24" s="197"/>
      <c r="D24" s="49" t="s">
        <v>33</v>
      </c>
      <c r="E24" s="59"/>
      <c r="F24" s="59"/>
      <c r="G24" s="59"/>
      <c r="H24" s="59"/>
      <c r="I24" s="51"/>
      <c r="J24" s="52"/>
      <c r="K24" s="290"/>
      <c r="L24" s="290"/>
      <c r="M24" s="290"/>
      <c r="N24" s="290"/>
    </row>
    <row r="25" spans="1:14" ht="14.25" customHeight="1" x14ac:dyDescent="0.2">
      <c r="A25" s="200"/>
      <c r="B25" s="198"/>
      <c r="C25" s="197"/>
      <c r="D25" s="49" t="s">
        <v>34</v>
      </c>
      <c r="E25" s="55"/>
      <c r="F25" s="55">
        <f t="shared" ref="F25:J25" si="7">F24*$E$25</f>
        <v>0</v>
      </c>
      <c r="G25" s="55">
        <f t="shared" si="7"/>
        <v>0</v>
      </c>
      <c r="H25" s="55">
        <f t="shared" si="7"/>
        <v>0</v>
      </c>
      <c r="I25" s="55">
        <f t="shared" si="7"/>
        <v>0</v>
      </c>
      <c r="J25" s="55">
        <f t="shared" si="7"/>
        <v>0</v>
      </c>
      <c r="K25" s="291"/>
      <c r="L25" s="291"/>
      <c r="M25" s="291"/>
      <c r="N25" s="291"/>
    </row>
    <row r="26" spans="1:14" ht="14.25" customHeight="1" x14ac:dyDescent="0.2">
      <c r="A26" s="201"/>
      <c r="B26" s="202"/>
      <c r="C26" s="202"/>
      <c r="D26" s="45" t="s">
        <v>33</v>
      </c>
      <c r="E26" s="58"/>
      <c r="F26" s="58"/>
      <c r="G26" s="58"/>
      <c r="H26" s="58"/>
      <c r="I26" s="43"/>
      <c r="J26" s="44"/>
      <c r="K26" s="288"/>
      <c r="L26" s="288"/>
      <c r="M26" s="288"/>
      <c r="N26" s="288"/>
    </row>
    <row r="27" spans="1:14" ht="14.25" customHeight="1" x14ac:dyDescent="0.2">
      <c r="A27" s="201"/>
      <c r="B27" s="202"/>
      <c r="C27" s="202"/>
      <c r="D27" s="45" t="s">
        <v>34</v>
      </c>
      <c r="E27" s="48"/>
      <c r="F27" s="48">
        <f t="shared" ref="F27:J27" si="8">F26*$E$27</f>
        <v>0</v>
      </c>
      <c r="G27" s="48">
        <f t="shared" si="8"/>
        <v>0</v>
      </c>
      <c r="H27" s="48">
        <f t="shared" si="8"/>
        <v>0</v>
      </c>
      <c r="I27" s="48">
        <f t="shared" si="8"/>
        <v>0</v>
      </c>
      <c r="J27" s="48">
        <f t="shared" si="8"/>
        <v>0</v>
      </c>
      <c r="K27" s="289"/>
      <c r="L27" s="289"/>
      <c r="M27" s="289"/>
      <c r="N27" s="289"/>
    </row>
    <row r="28" spans="1:14" ht="14.25" customHeight="1" x14ac:dyDescent="0.2">
      <c r="A28" s="200"/>
      <c r="B28" s="204"/>
      <c r="C28" s="204"/>
      <c r="D28" s="49" t="s">
        <v>33</v>
      </c>
      <c r="E28" s="59"/>
      <c r="F28" s="59"/>
      <c r="G28" s="59"/>
      <c r="H28" s="59"/>
      <c r="I28" s="51"/>
      <c r="J28" s="52"/>
      <c r="K28" s="290"/>
      <c r="L28" s="290"/>
      <c r="M28" s="290"/>
      <c r="N28" s="290"/>
    </row>
    <row r="29" spans="1:14" ht="14.25" customHeight="1" x14ac:dyDescent="0.2">
      <c r="A29" s="200"/>
      <c r="B29" s="204"/>
      <c r="C29" s="204"/>
      <c r="D29" s="49" t="s">
        <v>34</v>
      </c>
      <c r="E29" s="55"/>
      <c r="F29" s="55">
        <f t="shared" ref="F29:J29" si="9">F28*$E$29</f>
        <v>0</v>
      </c>
      <c r="G29" s="55">
        <f t="shared" si="9"/>
        <v>0</v>
      </c>
      <c r="H29" s="55">
        <f t="shared" si="9"/>
        <v>0</v>
      </c>
      <c r="I29" s="55">
        <f t="shared" si="9"/>
        <v>0</v>
      </c>
      <c r="J29" s="55">
        <f t="shared" si="9"/>
        <v>0</v>
      </c>
      <c r="K29" s="291"/>
      <c r="L29" s="291"/>
      <c r="M29" s="291"/>
      <c r="N29" s="291"/>
    </row>
    <row r="30" spans="1:14" ht="14.25" customHeight="1" x14ac:dyDescent="0.2">
      <c r="A30" s="205"/>
      <c r="B30" s="206"/>
      <c r="C30" s="206"/>
      <c r="D30" s="45" t="s">
        <v>33</v>
      </c>
      <c r="E30" s="58"/>
      <c r="F30" s="58"/>
      <c r="G30" s="58"/>
      <c r="H30" s="58"/>
      <c r="I30" s="43"/>
      <c r="J30" s="44"/>
      <c r="K30" s="288"/>
      <c r="L30" s="288"/>
      <c r="M30" s="288"/>
      <c r="N30" s="288"/>
    </row>
    <row r="31" spans="1:14" ht="14.25" customHeight="1" x14ac:dyDescent="0.2">
      <c r="A31" s="205"/>
      <c r="B31" s="206"/>
      <c r="C31" s="206"/>
      <c r="D31" s="45" t="s">
        <v>34</v>
      </c>
      <c r="E31" s="48"/>
      <c r="F31" s="48">
        <f t="shared" ref="F31:J31" si="10">F30*$E$31</f>
        <v>0</v>
      </c>
      <c r="G31" s="48">
        <f t="shared" si="10"/>
        <v>0</v>
      </c>
      <c r="H31" s="48">
        <f t="shared" si="10"/>
        <v>0</v>
      </c>
      <c r="I31" s="48">
        <f t="shared" si="10"/>
        <v>0</v>
      </c>
      <c r="J31" s="48">
        <f t="shared" si="10"/>
        <v>0</v>
      </c>
      <c r="K31" s="289"/>
      <c r="L31" s="289"/>
      <c r="M31" s="289"/>
      <c r="N31" s="289"/>
    </row>
    <row r="32" spans="1:14" ht="14.25" customHeight="1" x14ac:dyDescent="0.2">
      <c r="A32" s="200"/>
      <c r="B32" s="204"/>
      <c r="C32" s="204"/>
      <c r="D32" s="49" t="s">
        <v>33</v>
      </c>
      <c r="E32" s="59"/>
      <c r="F32" s="59"/>
      <c r="G32" s="59"/>
      <c r="H32" s="59"/>
      <c r="I32" s="51"/>
      <c r="J32" s="52"/>
      <c r="K32" s="290"/>
      <c r="L32" s="290"/>
      <c r="M32" s="290"/>
      <c r="N32" s="290"/>
    </row>
    <row r="33" spans="1:16" ht="14.25" customHeight="1" x14ac:dyDescent="0.2">
      <c r="A33" s="208"/>
      <c r="B33" s="209"/>
      <c r="C33" s="209"/>
      <c r="D33" s="60" t="s">
        <v>34</v>
      </c>
      <c r="E33" s="61"/>
      <c r="F33" s="55">
        <f t="shared" ref="F33:J33" si="11">F32*$E$33</f>
        <v>0</v>
      </c>
      <c r="G33" s="55">
        <f t="shared" si="11"/>
        <v>0</v>
      </c>
      <c r="H33" s="55">
        <f t="shared" si="11"/>
        <v>0</v>
      </c>
      <c r="I33" s="55">
        <f t="shared" si="11"/>
        <v>0</v>
      </c>
      <c r="J33" s="55">
        <f t="shared" si="11"/>
        <v>0</v>
      </c>
      <c r="K33" s="291"/>
      <c r="L33" s="291"/>
      <c r="M33" s="291"/>
      <c r="N33" s="291"/>
    </row>
    <row r="34" spans="1:16" ht="14.25" customHeight="1" x14ac:dyDescent="0.2">
      <c r="A34" s="210" t="s">
        <v>22</v>
      </c>
      <c r="B34" s="211"/>
      <c r="C34" s="212"/>
      <c r="D34" s="62" t="s">
        <v>33</v>
      </c>
      <c r="E34" s="63">
        <f>E10+E12+E14+E16+E18+E20+E22+E24+E26+E28+E30+E32</f>
        <v>1.0000000000000002</v>
      </c>
      <c r="F34" s="64">
        <f t="shared" ref="F34:N34" si="12">F35/$E$35</f>
        <v>0.18273981789982846</v>
      </c>
      <c r="G34" s="64">
        <f>G35/$E$35</f>
        <v>0.13308089650466953</v>
      </c>
      <c r="H34" s="64">
        <f t="shared" si="12"/>
        <v>0.16322110159251418</v>
      </c>
      <c r="I34" s="64">
        <f t="shared" si="12"/>
        <v>8.8597069120284352E-2</v>
      </c>
      <c r="J34" s="64">
        <f t="shared" si="12"/>
        <v>8.8507241009115736E-2</v>
      </c>
      <c r="K34" s="64">
        <f t="shared" si="12"/>
        <v>8.8372498842362826E-2</v>
      </c>
      <c r="L34" s="64">
        <f t="shared" si="12"/>
        <v>9.3515074450579161E-2</v>
      </c>
      <c r="M34" s="64">
        <f t="shared" si="12"/>
        <v>0.10122893786290367</v>
      </c>
      <c r="N34" s="64">
        <f t="shared" si="12"/>
        <v>6.0737362717742202E-2</v>
      </c>
    </row>
    <row r="35" spans="1:16" ht="13.5" customHeight="1" thickBot="1" x14ac:dyDescent="0.25">
      <c r="A35" s="213"/>
      <c r="B35" s="214"/>
      <c r="C35" s="215"/>
      <c r="D35" s="65" t="s">
        <v>34</v>
      </c>
      <c r="E35" s="99">
        <f>E11+E13+E15+E17+E19+E21+E23+E25+E27+E29+E31+E33</f>
        <v>626819.36943228263</v>
      </c>
      <c r="F35" s="66">
        <f t="shared" ref="F35:N35" si="13">F11+F13+F15+F17+F19+F21+F23+F25+F27+F29+F31+F33</f>
        <v>114544.85742614063</v>
      </c>
      <c r="G35" s="66">
        <f t="shared" si="13"/>
        <v>83417.683630539817</v>
      </c>
      <c r="H35" s="66">
        <f t="shared" si="13"/>
        <v>102310.14797826228</v>
      </c>
      <c r="I35" s="66">
        <f t="shared" si="13"/>
        <v>55534.358999525</v>
      </c>
      <c r="J35" s="66">
        <f t="shared" si="13"/>
        <v>55478.052999524996</v>
      </c>
      <c r="K35" s="66">
        <f t="shared" si="13"/>
        <v>55393.593999524994</v>
      </c>
      <c r="L35" s="66">
        <f t="shared" si="13"/>
        <v>58617.059999524994</v>
      </c>
      <c r="M35" s="66">
        <f t="shared" si="13"/>
        <v>63452.258999525002</v>
      </c>
      <c r="N35" s="66">
        <f t="shared" si="13"/>
        <v>38071.355399715001</v>
      </c>
    </row>
    <row r="36" spans="1:16" ht="1.5" customHeight="1" thickBot="1" x14ac:dyDescent="0.25">
      <c r="A36" s="67"/>
      <c r="B36" s="67"/>
      <c r="C36" s="67"/>
      <c r="D36" s="68"/>
      <c r="E36" s="68"/>
      <c r="F36" s="67"/>
      <c r="G36" s="67"/>
      <c r="H36" s="67"/>
      <c r="I36" s="67"/>
      <c r="J36" s="67"/>
      <c r="K36" s="67"/>
      <c r="L36" s="67"/>
      <c r="M36" s="67"/>
      <c r="N36" s="67"/>
    </row>
    <row r="37" spans="1:16" ht="14.25" customHeight="1" x14ac:dyDescent="0.2">
      <c r="A37" s="69"/>
      <c r="B37" s="70"/>
      <c r="C37" s="70"/>
      <c r="D37" s="70"/>
      <c r="E37" s="70"/>
      <c r="F37" s="70"/>
      <c r="G37" s="71"/>
      <c r="H37" s="77" t="s">
        <v>36</v>
      </c>
      <c r="I37" s="35"/>
      <c r="J37" s="35"/>
      <c r="K37" s="35"/>
      <c r="L37" s="35"/>
      <c r="M37" s="35"/>
      <c r="N37" s="35"/>
      <c r="P37" s="72" t="s">
        <v>35</v>
      </c>
    </row>
    <row r="38" spans="1:16" ht="14.25" customHeight="1" x14ac:dyDescent="0.2">
      <c r="A38" s="73"/>
      <c r="B38" s="283"/>
      <c r="C38" s="283"/>
      <c r="D38" s="283"/>
      <c r="E38" s="283"/>
      <c r="F38" s="283"/>
      <c r="G38" s="284"/>
      <c r="H38" s="80"/>
      <c r="I38" s="285"/>
      <c r="J38" s="285"/>
      <c r="K38" s="285"/>
      <c r="L38" s="285"/>
      <c r="M38" s="285"/>
      <c r="N38" s="285"/>
      <c r="P38" s="72"/>
    </row>
    <row r="39" spans="1:16" ht="14.25" customHeight="1" x14ac:dyDescent="0.2">
      <c r="A39" s="73"/>
      <c r="B39" s="283"/>
      <c r="C39" s="283"/>
      <c r="D39" s="283"/>
      <c r="E39" s="283"/>
      <c r="F39" s="283"/>
      <c r="G39" s="284"/>
      <c r="H39" s="80"/>
      <c r="I39" s="285"/>
      <c r="J39" s="285"/>
      <c r="K39" s="285"/>
      <c r="L39" s="285"/>
      <c r="M39" s="285"/>
      <c r="N39" s="285"/>
      <c r="P39" s="72"/>
    </row>
    <row r="40" spans="1:16" ht="14.25" customHeight="1" x14ac:dyDescent="0.2">
      <c r="A40" s="73"/>
      <c r="B40" s="283"/>
      <c r="C40" s="283"/>
      <c r="D40" s="283"/>
      <c r="E40" s="283"/>
      <c r="F40" s="283"/>
      <c r="G40" s="284"/>
      <c r="H40" s="80"/>
      <c r="I40" s="285"/>
      <c r="J40" s="285"/>
      <c r="K40" s="285"/>
      <c r="L40" s="285"/>
      <c r="M40" s="285"/>
      <c r="N40" s="285"/>
      <c r="P40" s="72"/>
    </row>
    <row r="41" spans="1:16" ht="14.25" customHeight="1" x14ac:dyDescent="0.2">
      <c r="A41" s="73"/>
      <c r="B41" s="283"/>
      <c r="C41" s="283"/>
      <c r="D41" s="283"/>
      <c r="E41" s="283"/>
      <c r="F41" s="283"/>
      <c r="G41" s="284"/>
      <c r="H41" s="80"/>
      <c r="I41" s="285"/>
      <c r="J41" s="285"/>
      <c r="K41" s="285"/>
      <c r="L41" s="285"/>
      <c r="M41" s="285"/>
      <c r="N41" s="285"/>
      <c r="P41" s="72"/>
    </row>
    <row r="42" spans="1:16" ht="14.25" customHeight="1" x14ac:dyDescent="0.2">
      <c r="A42" s="73"/>
      <c r="B42" s="74"/>
      <c r="C42" s="74"/>
      <c r="D42" s="75"/>
      <c r="E42" s="75"/>
      <c r="F42" s="67"/>
      <c r="G42" s="76"/>
    </row>
    <row r="43" spans="1:16" ht="14.25" customHeight="1" x14ac:dyDescent="0.2">
      <c r="A43" s="78"/>
      <c r="B43" s="281" t="str">
        <f>'Planilha Orçamentária'!E152</f>
        <v>Miguel César Feliciano - Eng. Civil - CREA-MG 202.020/D</v>
      </c>
      <c r="C43" s="281"/>
      <c r="E43" s="203"/>
      <c r="F43" s="203"/>
      <c r="G43" s="79"/>
      <c r="H43" s="80"/>
    </row>
    <row r="44" spans="1:16" ht="14.25" customHeight="1" x14ac:dyDescent="0.2">
      <c r="A44" s="78"/>
      <c r="B44" s="282"/>
      <c r="C44" s="282"/>
      <c r="E44" s="152"/>
      <c r="F44" s="152"/>
      <c r="G44" s="79"/>
      <c r="H44" s="80"/>
    </row>
    <row r="45" spans="1:16" ht="14.25" customHeight="1" x14ac:dyDescent="0.2">
      <c r="A45" s="78"/>
      <c r="B45" s="282"/>
      <c r="C45" s="282"/>
      <c r="E45" s="152"/>
      <c r="F45" s="152"/>
      <c r="G45" s="79"/>
      <c r="H45" s="80"/>
    </row>
    <row r="46" spans="1:16" ht="14.25" customHeight="1" x14ac:dyDescent="0.2">
      <c r="A46" s="78"/>
      <c r="B46" s="282"/>
      <c r="C46" s="282"/>
      <c r="E46" s="152"/>
      <c r="F46" s="152"/>
      <c r="G46" s="79"/>
      <c r="H46" s="80"/>
    </row>
    <row r="47" spans="1:16" ht="15" customHeight="1" x14ac:dyDescent="0.2">
      <c r="A47" s="81"/>
      <c r="B47" s="72"/>
      <c r="C47" s="72"/>
      <c r="G47" s="82"/>
      <c r="H47" s="80"/>
    </row>
    <row r="48" spans="1:16" ht="13.5" customHeight="1" x14ac:dyDescent="0.2">
      <c r="A48" s="83"/>
      <c r="B48" s="207"/>
      <c r="C48" s="207"/>
      <c r="D48" s="84"/>
      <c r="E48" s="84"/>
      <c r="F48" s="85"/>
      <c r="G48" s="82"/>
      <c r="H48" s="80"/>
    </row>
    <row r="49" spans="1:8" ht="14.25" customHeight="1" x14ac:dyDescent="0.2">
      <c r="A49" s="86"/>
      <c r="B49" s="281" t="str">
        <f>'Planilha Orçamentária'!G152</f>
        <v>Hermano Álvares Francisco de Moura - Prefeito Municipal</v>
      </c>
      <c r="C49" s="281"/>
      <c r="D49" s="87"/>
      <c r="E49" s="87"/>
      <c r="G49" s="82"/>
      <c r="H49" s="80"/>
    </row>
    <row r="50" spans="1:8" ht="14.1" customHeight="1" x14ac:dyDescent="0.2">
      <c r="H50" s="80"/>
    </row>
  </sheetData>
  <mergeCells count="49">
    <mergeCell ref="B48:C48"/>
    <mergeCell ref="B49:C49"/>
    <mergeCell ref="A32:A33"/>
    <mergeCell ref="B32:B33"/>
    <mergeCell ref="C32:C33"/>
    <mergeCell ref="A34:C35"/>
    <mergeCell ref="B43:C43"/>
    <mergeCell ref="A26:A27"/>
    <mergeCell ref="B26:B27"/>
    <mergeCell ref="C26:C27"/>
    <mergeCell ref="E43:F43"/>
    <mergeCell ref="A28:A29"/>
    <mergeCell ref="B28:B29"/>
    <mergeCell ref="C28:C29"/>
    <mergeCell ref="A30:A31"/>
    <mergeCell ref="B30:B31"/>
    <mergeCell ref="C30:C31"/>
    <mergeCell ref="A22:A23"/>
    <mergeCell ref="B22:B23"/>
    <mergeCell ref="C22:C23"/>
    <mergeCell ref="A24:A25"/>
    <mergeCell ref="B24:B25"/>
    <mergeCell ref="C24:C25"/>
    <mergeCell ref="A18:A19"/>
    <mergeCell ref="B18:B19"/>
    <mergeCell ref="C18:C19"/>
    <mergeCell ref="A20:A21"/>
    <mergeCell ref="B20:B21"/>
    <mergeCell ref="C20:C21"/>
    <mergeCell ref="A14:A15"/>
    <mergeCell ref="B14:B15"/>
    <mergeCell ref="C14:C15"/>
    <mergeCell ref="A16:A17"/>
    <mergeCell ref="B16:B17"/>
    <mergeCell ref="C16:C17"/>
    <mergeCell ref="A10:A11"/>
    <mergeCell ref="B10:B11"/>
    <mergeCell ref="C10:C11"/>
    <mergeCell ref="A12:A13"/>
    <mergeCell ref="B12:B13"/>
    <mergeCell ref="C12:C13"/>
    <mergeCell ref="A7:C7"/>
    <mergeCell ref="C1:N1"/>
    <mergeCell ref="C2:N2"/>
    <mergeCell ref="C3:N3"/>
    <mergeCell ref="A4:N4"/>
    <mergeCell ref="A6:N6"/>
    <mergeCell ref="F7:G7"/>
    <mergeCell ref="D7:E7"/>
  </mergeCells>
  <phoneticPr fontId="25" type="noConversion"/>
  <printOptions horizontalCentered="1"/>
  <pageMargins left="0.39370078740157483" right="0.19685039370078741" top="0.59055118110236227" bottom="0.19685039370078741" header="0.19685039370078741" footer="0"/>
  <pageSetup paperSize="9" scale="54"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Planilha Orçamentária</vt:lpstr>
      <vt:lpstr>ADUELA CAPELINHA</vt:lpstr>
      <vt:lpstr>PONTE RIACHO</vt:lpstr>
      <vt:lpstr>PONTE ALFORGES</vt:lpstr>
      <vt:lpstr>PONTE ARROZAL</vt:lpstr>
      <vt:lpstr>CRONOGRAMA FISICO FINANCEIRO</vt:lpstr>
      <vt:lpstr>'ADUELA CAPELINHA'!Area_de_impressao</vt:lpstr>
      <vt:lpstr>'CRONOGRAMA FISICO FINANCEIRO'!Area_de_impressao</vt:lpstr>
      <vt:lpstr>'Planilha Orçamentária'!Area_de_impressao</vt:lpstr>
      <vt:lpstr>'PONTE ALFORGES'!Area_de_impressao</vt:lpstr>
      <vt:lpstr>'PONTE ARROZAL'!Area_de_impressao</vt:lpstr>
      <vt:lpstr>'PONTE RIACHO'!Area_de_impressao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Contabilidade</dc:creator>
  <cp:lastModifiedBy>DANIEL</cp:lastModifiedBy>
  <cp:lastPrinted>2026-06-17T14:36:57Z</cp:lastPrinted>
  <dcterms:created xsi:type="dcterms:W3CDTF">2018-01-10T15:16:43Z</dcterms:created>
  <dcterms:modified xsi:type="dcterms:W3CDTF">2026-06-17T14:37:07Z</dcterms:modified>
</cp:coreProperties>
</file>